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comments/comment1.xml" ContentType="application/vnd.openxmlformats-officedocument.spreadsheetml.comment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lockStructure="1"/>
  <bookViews>
    <workbookView visibility="visible" minimized="0" showHorizontalScroll="1" showVerticalScroll="1" showSheetTabs="1" xWindow="-120" yWindow="-120" windowWidth="20730" windowHeight="11040" tabRatio="876" firstSheet="0" activeTab="8" autoFilterDateGrouping="1"/>
  </bookViews>
  <sheets>
    <sheet xmlns:r="http://schemas.openxmlformats.org/officeDocument/2006/relationships" name="Portada" sheetId="1" state="visible" r:id="rId1"/>
    <sheet xmlns:r="http://schemas.openxmlformats.org/officeDocument/2006/relationships" name="Instructivo" sheetId="2" state="visible" r:id="rId2"/>
    <sheet xmlns:r="http://schemas.openxmlformats.org/officeDocument/2006/relationships" name="Inicio" sheetId="3" state="visible" r:id="rId3"/>
    <sheet xmlns:r="http://schemas.openxmlformats.org/officeDocument/2006/relationships" name="Exogena_RAW" sheetId="4" state="visible" r:id="rId4"/>
    <sheet xmlns:r="http://schemas.openxmlformats.org/officeDocument/2006/relationships" name="Hoja_Trabajo" sheetId="5" state="visible" r:id="rId5"/>
    <sheet xmlns:r="http://schemas.openxmlformats.org/officeDocument/2006/relationships" name="Entrada_Manual" sheetId="6" state="visible" r:id="rId6"/>
    <sheet xmlns:r="http://schemas.openxmlformats.org/officeDocument/2006/relationships" name="Topes" sheetId="7" state="visible" r:id="rId7"/>
    <sheet xmlns:r="http://schemas.openxmlformats.org/officeDocument/2006/relationships" name="Formulario_210" sheetId="8" state="visible" r:id="rId8"/>
    <sheet xmlns:r="http://schemas.openxmlformats.org/officeDocument/2006/relationships" name="Formulario_210_Oficial" sheetId="9" state="visible" r:id="rId9"/>
    <sheet xmlns:r="http://schemas.openxmlformats.org/officeDocument/2006/relationships" name="Reglas" sheetId="10" state="visible" r:id="rId10"/>
    <sheet xmlns:r="http://schemas.openxmlformats.org/officeDocument/2006/relationships" name="Auditoria" sheetId="11" state="visible" r:id="rId11"/>
    <sheet xmlns:r="http://schemas.openxmlformats.org/officeDocument/2006/relationships" name="Macro_VBA" sheetId="12" state="visible" r:id="rId12"/>
  </sheets>
  <definedNames/>
  <calcPr calcId="191029" fullCalcOnLoad="1" forceFullCalc="1"/>
</workbook>
</file>

<file path=xl/styles.xml><?xml version="1.0" encoding="utf-8"?>
<styleSheet xmlns="http://schemas.openxmlformats.org/spreadsheetml/2006/main">
  <numFmts count="4">
    <numFmt numFmtId="164" formatCode="\$#,##0;[Red]&quot;-$&quot;#,##0"/>
    <numFmt numFmtId="165" formatCode="_(&quot;$ &quot;* #,##0_);_(&quot;$ &quot;* \(#,##0\);_(@_)"/>
    <numFmt numFmtId="166" formatCode="m/d/yyyy"/>
    <numFmt numFmtId="167" formatCode="&quot;$ &quot;#,##0.00"/>
  </numFmts>
  <fonts count="55">
    <font>
      <name val="Calibri"/>
      <sz val="11"/>
    </font>
    <font>
      <name val="Arial"/>
      <b val="1"/>
      <color rgb="FF1F3864"/>
      <sz val="24"/>
    </font>
    <font>
      <name val="Calibri"/>
      <b val="1"/>
      <color rgb="FFFFFFFF"/>
      <sz val="28"/>
    </font>
    <font>
      <name val="Calibri"/>
      <b val="1"/>
      <color rgb="FFFFFFFF"/>
      <sz val="13"/>
    </font>
    <font>
      <name val="Calibri"/>
      <i val="1"/>
      <color rgb="FF333333"/>
      <sz val="10"/>
    </font>
    <font>
      <name val="Calibri"/>
      <color rgb="FF333333"/>
      <sz val="10"/>
    </font>
    <font>
      <name val="Calibri"/>
      <b val="1"/>
      <color rgb="FFFFFFFF"/>
      <sz val="16"/>
    </font>
    <font>
      <name val="Calibri"/>
      <color rgb="FF333333"/>
      <sz val="11"/>
    </font>
    <font>
      <name val="Calibri"/>
      <b val="1"/>
      <color rgb="FF333333"/>
      <sz val="10"/>
    </font>
    <font>
      <name val="Calibri"/>
      <b val="1"/>
      <color rgb="FF7A5C00"/>
      <sz val="13"/>
    </font>
    <font>
      <name val="Calibri"/>
      <color rgb="FF5C4400"/>
      <sz val="10"/>
    </font>
    <font>
      <name val="Calibri"/>
      <i val="1"/>
      <color rgb="FF888888"/>
      <sz val="9"/>
    </font>
    <font>
      <name val="Calibri"/>
      <b val="1"/>
      <color rgb="FFFFFFFF"/>
      <sz val="18"/>
    </font>
    <font>
      <name val="Calibri"/>
      <i val="1"/>
      <color rgb="FF18323F"/>
      <sz val="11"/>
    </font>
    <font>
      <name val="Calibri"/>
      <b val="1"/>
      <color rgb="FFFFFFFF"/>
      <sz val="11"/>
    </font>
    <font>
      <name val="Calibri"/>
      <color rgb="FF18323F"/>
      <sz val="11"/>
    </font>
    <font>
      <name val="Calibri"/>
      <color rgb="FF7A4A00"/>
      <sz val="11"/>
    </font>
    <font>
      <name val="Calibri"/>
      <b val="1"/>
      <color rgb="FF7A4A00"/>
      <sz val="11"/>
    </font>
    <font>
      <name val="Arial"/>
      <b val="1"/>
      <color rgb="FF000000"/>
      <sz val="10"/>
    </font>
    <font>
      <name val="Arial"/>
      <b val="1"/>
      <color rgb="FF000000"/>
      <sz val="14"/>
    </font>
    <font>
      <name val="Arial"/>
      <b val="1"/>
      <color rgb="FFC00000"/>
      <sz val="14"/>
    </font>
    <font>
      <name val="Arial"/>
      <b val="1"/>
      <color theme="1"/>
      <sz val="14"/>
    </font>
    <font>
      <name val="Arial"/>
      <b val="1"/>
      <color rgb="FF000000"/>
      <sz val="12"/>
    </font>
    <font>
      <name val="Arial"/>
      <sz val="12"/>
    </font>
    <font>
      <name val="Arial"/>
      <color rgb="FF000000"/>
      <sz val="12"/>
    </font>
    <font>
      <name val="Calibri"/>
      <color theme="1"/>
      <sz val="12"/>
    </font>
    <font>
      <name val="Arial"/>
      <color rgb="FF000000"/>
      <sz val="10"/>
    </font>
    <font>
      <name val="Calibri"/>
      <color rgb="FF000000"/>
      <sz val="11"/>
    </font>
    <font>
      <name val="Calibri"/>
      <color rgb="FF2563EB"/>
      <sz val="11"/>
    </font>
    <font>
      <name val="Calibri"/>
      <color rgb="FF667085"/>
      <sz val="11"/>
    </font>
    <font>
      <name val="Calibri"/>
      <b val="1"/>
      <color rgb="FF123047"/>
      <sz val="16"/>
    </font>
    <font>
      <name val="Calibri"/>
      <i val="1"/>
      <color rgb="FF666666"/>
      <sz val="10"/>
    </font>
    <font>
      <name val="Calibri"/>
      <sz val="10"/>
    </font>
    <font>
      <name val="Calibri"/>
      <b val="1"/>
      <color rgb="FF123047"/>
      <sz val="10"/>
    </font>
    <font>
      <name val="Calibri"/>
      <b val="1"/>
      <sz val="10"/>
    </font>
    <font>
      <name val="Calibri"/>
      <color rgb="FF808080"/>
      <sz val="9"/>
    </font>
    <font>
      <name val="Calibri"/>
      <b val="1"/>
      <sz val="11"/>
    </font>
    <font>
      <name val="Calibri"/>
      <b val="1"/>
      <color rgb="FF123047"/>
      <sz val="14"/>
    </font>
    <font>
      <name val="Calibri"/>
      <i val="1"/>
      <color rgb="FF666666"/>
      <sz val="9"/>
    </font>
    <font>
      <name val="Arial"/>
      <b val="1"/>
      <color rgb="FF000000"/>
      <sz val="13"/>
    </font>
    <font>
      <name val="Arial"/>
      <b val="1"/>
      <color rgb="FFFFFFFF"/>
      <sz val="14"/>
    </font>
    <font>
      <name val="Arial"/>
      <b val="1"/>
      <color rgb="FF203864"/>
      <sz val="14"/>
    </font>
    <font>
      <name val="Arial"/>
      <b val="1"/>
      <color rgb="FFFFFFFF"/>
      <sz val="28"/>
    </font>
    <font>
      <name val="Arial"/>
      <b val="1"/>
      <color rgb="FF000000"/>
      <sz val="9"/>
    </font>
    <font>
      <name val="Arial"/>
      <b val="1"/>
      <sz val="10"/>
    </font>
    <font>
      <name val="Arial"/>
      <b val="1"/>
      <sz val="10"/>
    </font>
    <font>
      <name val="Arial"/>
      <sz val="10"/>
    </font>
    <font>
      <name val="Arial"/>
      <sz val="11"/>
    </font>
    <font>
      <name val="Arial"/>
      <b val="1"/>
      <sz val="12"/>
    </font>
    <font>
      <name val="Arial"/>
      <color rgb="FF000000"/>
      <sz val="9"/>
    </font>
    <font>
      <name val="Arial"/>
      <color rgb="FF000000"/>
      <sz val="11"/>
    </font>
    <font>
      <name val="Arial"/>
      <b val="1"/>
      <color rgb="FF000000"/>
      <sz val="11"/>
    </font>
    <font>
      <name val="Arial"/>
      <color rgb="FF0070C0"/>
      <sz val="11"/>
    </font>
    <font>
      <name val="Consolas"/>
      <color rgb="FF18323F"/>
      <sz val="9"/>
    </font>
    <font>
      <i val="1"/>
      <color rgb="FF999999"/>
      <sz val="8"/>
    </font>
  </fonts>
  <fills count="16">
    <fill>
      <patternFill/>
    </fill>
    <fill>
      <patternFill patternType="gray125"/>
    </fill>
    <fill>
      <patternFill patternType="solid">
        <fgColor rgb="FF123047"/>
      </patternFill>
    </fill>
    <fill>
      <patternFill patternType="solid">
        <fgColor rgb="FFF2F2F2"/>
      </patternFill>
    </fill>
    <fill>
      <patternFill patternType="solid">
        <fgColor rgb="FFFFF3CD"/>
      </patternFill>
    </fill>
    <fill>
      <patternFill patternType="solid">
        <fgColor rgb="FFE8EEF2"/>
      </patternFill>
    </fill>
    <fill>
      <patternFill patternType="solid">
        <fgColor rgb="FFF4F7F9"/>
      </patternFill>
    </fill>
    <fill>
      <patternFill patternType="solid">
        <fgColor rgb="FF0F766E"/>
      </patternFill>
    </fill>
    <fill>
      <patternFill patternType="solid">
        <fgColor rgb="FFFFF4D6"/>
      </patternFill>
    </fill>
    <fill>
      <patternFill patternType="solid">
        <fgColor rgb="FFDDF4F1"/>
      </patternFill>
    </fill>
    <fill>
      <patternFill patternType="solid">
        <fgColor rgb="FFFFFFFF"/>
      </patternFill>
    </fill>
    <fill>
      <patternFill patternType="solid">
        <fgColor theme="4" tint="0.7998901333658864"/>
        <bgColor indexed="65"/>
      </patternFill>
    </fill>
    <fill>
      <patternFill patternType="solid">
        <fgColor rgb="FFFFFCE8"/>
      </patternFill>
    </fill>
    <fill>
      <patternFill patternType="solid">
        <fgColor rgb="FFDEEBF7"/>
      </patternFill>
    </fill>
    <fill>
      <patternFill patternType="solid">
        <fgColor rgb="FFBFBFBF"/>
      </patternFill>
    </fill>
    <fill>
      <patternFill patternType="solid">
        <fgColor rgb="FFF7F9FB"/>
      </patternFill>
    </fill>
  </fills>
  <borders count="70">
    <border>
      <left/>
      <right/>
      <top/>
      <bottom/>
      <diagonal/>
    </border>
    <border>
      <left style="medium">
        <color rgb="FFB8860B"/>
      </left>
      <right style="medium">
        <color rgb="FFB8860B"/>
      </right>
      <top style="medium">
        <color rgb="FFB8860B"/>
      </top>
      <bottom/>
      <diagonal/>
    </border>
    <border>
      <left style="medium">
        <color rgb="FFB8860B"/>
      </left>
      <right style="medium">
        <color rgb="FFB8860B"/>
      </right>
      <top/>
      <bottom style="medium">
        <color rgb="FFB8860B"/>
      </bottom>
      <diagonal/>
    </border>
    <border>
      <left/>
      <right style="thin">
        <color rgb="FFD8E0E6"/>
      </right>
      <top/>
      <bottom style="thin">
        <color rgb="FFD8E0E6"/>
      </bottom>
      <diagonal/>
    </border>
    <border>
      <left style="thin">
        <color rgb="FFD8E0E6"/>
      </left>
      <right style="thin">
        <color rgb="FFD8E0E6"/>
      </right>
      <top/>
      <bottom style="thin">
        <color rgb="FFD8E0E6"/>
      </bottom>
      <diagonal/>
    </border>
    <border>
      <left style="thin">
        <color rgb="FFD8E0E6"/>
      </left>
      <right/>
      <top/>
      <bottom style="thin">
        <color rgb="FFD8E0E6"/>
      </bottom>
      <diagonal/>
    </border>
    <border>
      <left/>
      <right style="thin">
        <color rgb="FFD8E0E6"/>
      </right>
      <top style="thin">
        <color rgb="FFD8E0E6"/>
      </top>
      <bottom style="thin">
        <color rgb="FFD8E0E6"/>
      </bottom>
      <diagonal/>
    </border>
    <border>
      <left style="thin">
        <color rgb="FFD8E0E6"/>
      </left>
      <right style="thin">
        <color rgb="FFD8E0E6"/>
      </right>
      <top style="thin">
        <color rgb="FFD8E0E6"/>
      </top>
      <bottom style="thin">
        <color rgb="FFD8E0E6"/>
      </bottom>
      <diagonal/>
    </border>
    <border>
      <left style="thin">
        <color rgb="FFD8E0E6"/>
      </left>
      <right/>
      <top style="thin">
        <color rgb="FFD8E0E6"/>
      </top>
      <bottom style="thin">
        <color rgb="FFD8E0E6"/>
      </bottom>
      <diagonal/>
    </border>
    <border>
      <left/>
      <right style="thin">
        <color rgb="FFD8E0E6"/>
      </right>
      <top style="thin">
        <color rgb="FFD8E0E6"/>
      </top>
      <bottom/>
      <diagonal/>
    </border>
    <border>
      <left style="thin">
        <color rgb="FFD8E0E6"/>
      </left>
      <right style="thin">
        <color rgb="FFD8E0E6"/>
      </right>
      <top style="thin">
        <color rgb="FFD8E0E6"/>
      </top>
      <bottom/>
      <diagonal/>
    </border>
    <border>
      <left style="thin">
        <color rgb="FFD8E0E6"/>
      </left>
      <right/>
      <top style="thin">
        <color rgb="FFD8E0E6"/>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FBFBF"/>
      </left>
      <right style="thin">
        <color rgb="FFBFBFBF"/>
      </right>
      <top style="thin">
        <color rgb="FFBFBFBF"/>
      </top>
      <bottom style="thin">
        <color rgb="FFBFBFBF"/>
      </bottom>
      <diagonal/>
    </border>
    <border>
      <left style="medium">
        <color rgb="FF2F5597"/>
      </left>
      <right style="medium">
        <color rgb="FF2F5597"/>
      </right>
      <top style="medium">
        <color rgb="FF2F5597"/>
      </top>
      <bottom style="medium">
        <color rgb="FF2F5597"/>
      </bottom>
      <diagonal/>
    </border>
    <border>
      <left/>
      <right/>
      <top style="medium">
        <color rgb="FF2F5597"/>
      </top>
      <bottom/>
      <diagonal/>
    </border>
    <border>
      <left/>
      <right style="medium">
        <color rgb="FF2F5597"/>
      </right>
      <top style="medium">
        <color rgb="FF2F5597"/>
      </top>
      <bottom style="medium">
        <color rgb="FF2F5597"/>
      </bottom>
      <diagonal/>
    </border>
    <border>
      <left style="medium">
        <color rgb="FF2F5597"/>
      </left>
      <right/>
      <top style="medium">
        <color rgb="FF2F5597"/>
      </top>
      <bottom/>
      <diagonal/>
    </border>
    <border>
      <left/>
      <right style="medium">
        <color rgb="FF2F5597"/>
      </right>
      <top style="medium">
        <color rgb="FF2F5597"/>
      </top>
      <bottom/>
      <diagonal/>
    </border>
    <border>
      <left style="medium">
        <color rgb="FF2F5597"/>
      </left>
      <right style="medium">
        <color rgb="FF2F5597"/>
      </right>
      <top style="medium">
        <color rgb="FF2F5597"/>
      </top>
      <bottom/>
      <diagonal/>
    </border>
    <border>
      <left style="medium">
        <color rgb="FF2F5597"/>
      </left>
      <right/>
      <top/>
      <bottom/>
      <diagonal/>
    </border>
    <border>
      <left style="medium">
        <color rgb="FF2F5597"/>
      </left>
      <right style="medium">
        <color rgb="FF2F5597"/>
      </right>
      <top/>
      <bottom style="medium">
        <color rgb="FF2F5597"/>
      </bottom>
      <diagonal/>
    </border>
    <border>
      <left style="medium">
        <color rgb="FF2F5597"/>
      </left>
      <right/>
      <top style="medium">
        <color rgb="FF2F5597"/>
      </top>
      <bottom style="medium">
        <color rgb="FF2F5597"/>
      </bottom>
      <diagonal/>
    </border>
    <border>
      <left/>
      <right/>
      <top style="medium">
        <color rgb="FF2F5597"/>
      </top>
      <bottom style="medium">
        <color rgb="FF2F5597"/>
      </bottom>
      <diagonal/>
    </border>
    <border>
      <left style="medium">
        <color rgb="FF2F5597"/>
      </left>
      <right style="medium">
        <color rgb="FF2F5597"/>
      </right>
      <top style="medium">
        <color rgb="FF2F5597"/>
      </top>
      <bottom style="thin">
        <color rgb="FF44546A"/>
      </bottom>
      <diagonal/>
    </border>
    <border>
      <left style="medium">
        <color rgb="FF2F5597"/>
      </left>
      <right style="thin">
        <color rgb="FF44546A"/>
      </right>
      <top style="medium">
        <color rgb="FF2F5597"/>
      </top>
      <bottom/>
      <diagonal/>
    </border>
    <border>
      <left/>
      <right style="thin">
        <color rgb="FF44546A"/>
      </right>
      <top/>
      <bottom/>
      <diagonal/>
    </border>
    <border>
      <left style="thin">
        <color rgb="FF008B28"/>
      </left>
      <right style="thick">
        <color rgb="FF008B28"/>
      </right>
      <top/>
      <bottom/>
      <diagonal/>
    </border>
    <border>
      <left style="medium">
        <color rgb="FF2F5597"/>
      </left>
      <right style="thick">
        <color rgb="FF008B28"/>
      </right>
      <top style="medium">
        <color rgb="FF2F5597"/>
      </top>
      <bottom/>
      <diagonal/>
    </border>
    <border>
      <left style="medium">
        <color rgb="FF2F5597"/>
      </left>
      <right style="medium">
        <color rgb="FF2F5597"/>
      </right>
      <top/>
      <bottom/>
      <diagonal/>
    </border>
    <border>
      <left style="thin">
        <color rgb="FF44546A"/>
      </left>
      <right/>
      <top/>
      <bottom/>
      <diagonal/>
    </border>
    <border>
      <left/>
      <right style="medium">
        <color rgb="FF2F5597"/>
      </right>
      <top/>
      <bottom/>
      <diagonal/>
    </border>
    <border>
      <left/>
      <right/>
      <top/>
      <bottom style="medium">
        <color rgb="FF2F5597"/>
      </bottom>
      <diagonal/>
    </border>
    <border>
      <left/>
      <right style="thick">
        <color rgb="FF008B28"/>
      </right>
      <top/>
      <bottom/>
      <diagonal/>
    </border>
    <border>
      <left/>
      <right style="medium">
        <color rgb="FF2F5597"/>
      </right>
      <top/>
      <bottom style="thin">
        <color rgb="FF44546A"/>
      </bottom>
      <diagonal/>
    </border>
    <border>
      <left/>
      <right style="medium">
        <color rgb="FF2F5597"/>
      </right>
      <top/>
      <bottom style="medium">
        <color rgb="FF2F5597"/>
      </bottom>
      <diagonal/>
    </border>
    <border>
      <left style="medium">
        <color rgb="FF2F5597"/>
      </left>
      <right style="thin">
        <color rgb="FF44546A"/>
      </right>
      <top style="medium">
        <color rgb="FF2F5597"/>
      </top>
      <bottom style="medium">
        <color rgb="FF2F5597"/>
      </bottom>
      <diagonal/>
    </border>
    <border>
      <left style="medium">
        <color rgb="FF2F5597"/>
      </left>
      <right/>
      <top style="medium">
        <color rgb="FF2F5597"/>
      </top>
      <bottom style="thin">
        <color rgb="FF44546A"/>
      </bottom>
      <diagonal/>
    </border>
    <border>
      <left/>
      <right/>
      <top style="thin">
        <color rgb="FF44546A"/>
      </top>
      <bottom/>
      <diagonal/>
    </border>
    <border>
      <left style="medium">
        <color rgb="FF2F5597"/>
      </left>
      <right style="thin">
        <color rgb="FF44546A"/>
      </right>
      <top/>
      <bottom style="thin">
        <color rgb="FF44546A"/>
      </bottom>
      <diagonal/>
    </border>
    <border>
      <left/>
      <right style="thin">
        <color rgb="FF44546A"/>
      </right>
      <top style="thin">
        <color rgb="FF44546A"/>
      </top>
      <bottom/>
      <diagonal/>
    </border>
    <border>
      <left/>
      <right style="thin">
        <color rgb="FF44546A"/>
      </right>
      <top/>
      <bottom style="medium">
        <color rgb="FF2F5597"/>
      </bottom>
      <diagonal/>
    </border>
    <border>
      <left/>
      <right style="thin">
        <color rgb="FF44546A"/>
      </right>
      <top style="medium">
        <color rgb="FF2F5597"/>
      </top>
      <bottom/>
      <diagonal/>
    </border>
    <border>
      <left style="medium">
        <color rgb="FF2F5597"/>
      </left>
      <right style="thin">
        <color rgb="FF44546A"/>
      </right>
      <top/>
      <bottom/>
      <diagonal/>
    </border>
    <border>
      <left/>
      <right style="thin">
        <color rgb="FF44546A"/>
      </right>
      <top style="medium">
        <color rgb="FF2F5597"/>
      </top>
      <bottom style="medium">
        <color rgb="FF2F5597"/>
      </bottom>
      <diagonal/>
    </border>
    <border>
      <left style="medium">
        <color rgb="FF2F5597"/>
      </left>
      <right/>
      <top/>
      <bottom style="medium">
        <color rgb="FF2F5597"/>
      </bottom>
      <diagonal/>
    </border>
    <border>
      <left/>
      <right/>
      <top style="medium">
        <color rgb="FFB8860B"/>
      </top>
      <bottom/>
      <diagonal/>
    </border>
    <border>
      <left/>
      <right style="medium">
        <color rgb="FFB8860B"/>
      </right>
      <top style="medium">
        <color rgb="FFB8860B"/>
      </top>
      <bottom/>
      <diagonal/>
    </border>
    <border>
      <left style="medium">
        <color rgb="FFB8860B"/>
      </left>
      <right/>
      <top/>
      <bottom/>
      <diagonal/>
    </border>
    <border>
      <left/>
      <right style="medium">
        <color rgb="FFB8860B"/>
      </right>
      <top/>
      <bottom/>
      <diagonal/>
    </border>
    <border>
      <left style="medium">
        <color rgb="FFB8860B"/>
      </left>
      <right/>
      <top/>
      <bottom style="medium">
        <color rgb="FFB8860B"/>
      </bottom>
      <diagonal/>
    </border>
    <border>
      <left/>
      <right/>
      <top/>
      <bottom style="medium">
        <color rgb="FFB8860B"/>
      </bottom>
      <diagonal/>
    </border>
    <border>
      <left/>
      <right style="medium">
        <color rgb="FFB8860B"/>
      </right>
      <top/>
      <bottom style="medium">
        <color rgb="FFB8860B"/>
      </bottom>
      <diagonal/>
    </border>
    <border>
      <left/>
      <right/>
      <top style="thin">
        <color auto="1"/>
      </top>
      <bottom style="thin">
        <color auto="1"/>
      </bottom>
      <diagonal/>
    </border>
    <border>
      <left style="thin">
        <color auto="1"/>
      </left>
      <right/>
      <top/>
      <bottom style="thin">
        <color auto="1"/>
      </bottom>
      <diagonal/>
    </border>
    <border>
      <left style="medium">
        <color rgb="FF2F5597"/>
      </left>
      <right style="medium">
        <color rgb="FF2F5597"/>
      </right>
      <top/>
      <bottom style="thin">
        <color rgb="FF44546A"/>
      </bottom>
      <diagonal/>
    </border>
    <border>
      <left/>
      <right style="thick">
        <color rgb="FF008B28"/>
      </right>
      <top style="medium">
        <color rgb="FF2F5597"/>
      </top>
      <bottom/>
      <diagonal/>
    </border>
    <border>
      <left/>
      <right/>
      <top/>
      <bottom style="thin">
        <color rgb="FF44546A"/>
      </bottom>
      <diagonal/>
    </border>
    <border>
      <left/>
      <right/>
      <top style="medium">
        <color rgb="FF2F5597"/>
      </top>
      <bottom style="thin">
        <color rgb="FF44546A"/>
      </bottom>
      <diagonal/>
    </border>
    <border>
      <left/>
      <right style="thin">
        <color rgb="FF44546A"/>
      </right>
      <top/>
      <bottom style="thin">
        <color rgb="FF44546A"/>
      </bottom>
      <diagonal/>
    </border>
    <border>
      <left style="thin">
        <color auto="1"/>
      </left>
      <right/>
      <top/>
      <bottom/>
      <diagonal/>
    </border>
  </borders>
  <cellStyleXfs count="6">
    <xf numFmtId="0" fontId="0" fillId="0" borderId="0"/>
    <xf numFmtId="43" fontId="46" fillId="0" borderId="0"/>
    <xf numFmtId="41" fontId="46" fillId="0" borderId="0"/>
    <xf numFmtId="44" fontId="46" fillId="0" borderId="0"/>
    <xf numFmtId="42" fontId="46" fillId="0" borderId="0"/>
    <xf numFmtId="9" fontId="46" fillId="0" borderId="0"/>
  </cellStyleXfs>
  <cellXfs count="562">
    <xf numFmtId="0" fontId="0" fillId="0" borderId="0" pivotButton="0" quotePrefix="0" xfId="0"/>
    <xf numFmtId="0" fontId="8" fillId="3" borderId="0" applyAlignment="1" pivotButton="0" quotePrefix="0" xfId="0">
      <alignment horizontal="left" vertical="top" wrapText="1"/>
    </xf>
    <xf numFmtId="0" fontId="14" fillId="2" borderId="0" applyAlignment="1" pivotButton="0" quotePrefix="0" xfId="0">
      <alignment vertical="center" wrapText="1"/>
    </xf>
    <xf numFmtId="0" fontId="15" fillId="6" borderId="3" applyAlignment="1" pivotButton="0" quotePrefix="0" xfId="0">
      <alignment wrapText="1"/>
    </xf>
    <xf numFmtId="0" fontId="15" fillId="6" borderId="4" applyAlignment="1" pivotButton="0" quotePrefix="0" xfId="0">
      <alignment wrapText="1"/>
    </xf>
    <xf numFmtId="0" fontId="15" fillId="6" borderId="5" applyAlignment="1" pivotButton="0" quotePrefix="0" xfId="0">
      <alignment wrapText="1"/>
    </xf>
    <xf numFmtId="0" fontId="15" fillId="6" borderId="6" applyAlignment="1" pivotButton="0" quotePrefix="0" xfId="0">
      <alignment wrapText="1"/>
    </xf>
    <xf numFmtId="0" fontId="15" fillId="6" borderId="7" applyAlignment="1" pivotButton="0" quotePrefix="0" xfId="0">
      <alignment wrapText="1"/>
    </xf>
    <xf numFmtId="0" fontId="15" fillId="6" borderId="8" applyAlignment="1" pivotButton="0" quotePrefix="0" xfId="0">
      <alignment wrapText="1"/>
    </xf>
    <xf numFmtId="0" fontId="15" fillId="6" borderId="9" applyAlignment="1" pivotButton="0" quotePrefix="0" xfId="0">
      <alignment wrapText="1"/>
    </xf>
    <xf numFmtId="0" fontId="15" fillId="6" borderId="10" applyAlignment="1" pivotButton="0" quotePrefix="0" xfId="0">
      <alignment wrapText="1"/>
    </xf>
    <xf numFmtId="0" fontId="15" fillId="6" borderId="11" applyAlignment="1" pivotButton="0" quotePrefix="0" xfId="0">
      <alignment wrapText="1"/>
    </xf>
    <xf numFmtId="0" fontId="14" fillId="7" borderId="0" applyAlignment="1" pivotButton="0" quotePrefix="0" xfId="0">
      <alignment vertical="center"/>
    </xf>
    <xf numFmtId="0" fontId="16" fillId="8" borderId="3" applyAlignment="1" pivotButton="0" quotePrefix="0" xfId="0">
      <alignment wrapText="1"/>
    </xf>
    <xf numFmtId="0" fontId="16" fillId="8" borderId="4" applyAlignment="1" pivotButton="0" quotePrefix="0" xfId="0">
      <alignment wrapText="1"/>
    </xf>
    <xf numFmtId="0" fontId="16" fillId="8" borderId="5" applyAlignment="1" pivotButton="0" quotePrefix="0" xfId="0">
      <alignment wrapText="1"/>
    </xf>
    <xf numFmtId="0" fontId="16" fillId="8" borderId="6" applyAlignment="1" pivotButton="0" quotePrefix="0" xfId="0">
      <alignment wrapText="1"/>
    </xf>
    <xf numFmtId="0" fontId="16" fillId="8" borderId="7" applyAlignment="1" pivotButton="0" quotePrefix="0" xfId="0">
      <alignment wrapText="1"/>
    </xf>
    <xf numFmtId="0" fontId="16" fillId="8" borderId="8" applyAlignment="1" pivotButton="0" quotePrefix="0" xfId="0">
      <alignment wrapText="1"/>
    </xf>
    <xf numFmtId="0" fontId="16" fillId="8" borderId="9" applyAlignment="1" pivotButton="0" quotePrefix="0" xfId="0">
      <alignment wrapText="1"/>
    </xf>
    <xf numFmtId="0" fontId="16" fillId="8" borderId="10" applyAlignment="1" pivotButton="0" quotePrefix="0" xfId="0">
      <alignment wrapText="1"/>
    </xf>
    <xf numFmtId="0" fontId="16" fillId="8" borderId="11" applyAlignment="1" pivotButton="0" quotePrefix="0" xfId="0">
      <alignment wrapText="1"/>
    </xf>
    <xf numFmtId="0" fontId="14" fillId="0" borderId="0" pivotButton="0" quotePrefix="0" xfId="0"/>
    <xf numFmtId="0" fontId="14" fillId="7" borderId="0" pivotButton="0" quotePrefix="0" xfId="0"/>
    <xf numFmtId="0" fontId="15" fillId="9" borderId="0" applyAlignment="1" pivotButton="0" quotePrefix="0" xfId="0">
      <alignment wrapText="1"/>
    </xf>
    <xf numFmtId="0" fontId="14" fillId="2" borderId="3" applyAlignment="1" pivotButton="0" quotePrefix="0" xfId="0">
      <alignment vertical="center" wrapText="1"/>
    </xf>
    <xf numFmtId="0" fontId="14" fillId="2" borderId="5" applyAlignment="1" pivotButton="0" quotePrefix="0" xfId="0">
      <alignment vertical="center" wrapText="1"/>
    </xf>
    <xf numFmtId="0" fontId="14" fillId="2" borderId="4" applyAlignment="1" pivotButton="0" quotePrefix="0" xfId="0">
      <alignment vertical="center" wrapText="1"/>
    </xf>
    <xf numFmtId="0" fontId="0" fillId="0" borderId="6" pivotButton="0" quotePrefix="0" xfId="0"/>
    <xf numFmtId="1" fontId="0" fillId="0" borderId="8" pivotButton="0" quotePrefix="0" xfId="0"/>
    <xf numFmtId="0" fontId="0" fillId="0" borderId="7" pivotButton="0" quotePrefix="0" xfId="0"/>
    <xf numFmtId="0" fontId="0" fillId="0" borderId="8" pivotButton="0" quotePrefix="0" xfId="0"/>
    <xf numFmtId="0" fontId="17" fillId="8" borderId="8" applyAlignment="1" pivotButton="0" quotePrefix="0" xfId="0">
      <alignment wrapText="1"/>
    </xf>
    <xf numFmtId="0" fontId="0" fillId="0" borderId="9" pivotButton="0" quotePrefix="0" xfId="0"/>
    <xf numFmtId="0" fontId="0" fillId="0" borderId="10" pivotButton="0" quotePrefix="0" xfId="0"/>
    <xf numFmtId="0" fontId="0" fillId="0" borderId="11" pivotButton="0" quotePrefix="0" xfId="0"/>
    <xf numFmtId="0" fontId="17" fillId="8" borderId="11" applyAlignment="1" pivotButton="0" quotePrefix="0" xfId="0">
      <alignment wrapText="1"/>
    </xf>
    <xf numFmtId="0" fontId="0" fillId="6" borderId="3" applyAlignment="1" pivotButton="0" quotePrefix="0" xfId="0">
      <alignment wrapText="1"/>
    </xf>
    <xf numFmtId="0" fontId="0" fillId="6" borderId="4" applyAlignment="1" pivotButton="0" quotePrefix="0" xfId="0">
      <alignment wrapText="1"/>
    </xf>
    <xf numFmtId="0" fontId="0" fillId="6" borderId="5" applyAlignment="1" pivotButton="0" quotePrefix="0" xfId="0">
      <alignment wrapText="1"/>
    </xf>
    <xf numFmtId="0" fontId="17" fillId="0" borderId="0" pivotButton="0" quotePrefix="0" xfId="0"/>
    <xf numFmtId="0" fontId="0" fillId="6" borderId="6" applyAlignment="1" pivotButton="0" quotePrefix="0" xfId="0">
      <alignment wrapText="1"/>
    </xf>
    <xf numFmtId="0" fontId="0" fillId="6" borderId="7" applyAlignment="1" pivotButton="0" quotePrefix="0" xfId="0">
      <alignment wrapText="1"/>
    </xf>
    <xf numFmtId="0" fontId="0" fillId="6" borderId="8" applyAlignment="1" pivotButton="0" quotePrefix="0" xfId="0">
      <alignment wrapText="1"/>
    </xf>
    <xf numFmtId="0" fontId="0" fillId="6" borderId="9" applyAlignment="1" pivotButton="0" quotePrefix="0" xfId="0">
      <alignment wrapText="1"/>
    </xf>
    <xf numFmtId="0" fontId="0" fillId="6" borderId="10" applyAlignment="1" pivotButton="0" quotePrefix="0" xfId="0">
      <alignment wrapText="1"/>
    </xf>
    <xf numFmtId="0" fontId="0" fillId="6" borderId="11" applyAlignment="1" pivotButton="0" quotePrefix="0" xfId="0">
      <alignment wrapText="1"/>
    </xf>
    <xf numFmtId="0" fontId="0" fillId="0" borderId="6" applyAlignment="1" pivotButton="0" quotePrefix="0" xfId="0">
      <alignment wrapText="1"/>
    </xf>
    <xf numFmtId="0" fontId="0" fillId="0" borderId="7" applyAlignment="1" pivotButton="0" quotePrefix="0" xfId="0">
      <alignment wrapText="1"/>
    </xf>
    <xf numFmtId="164" fontId="0" fillId="0" borderId="7" applyAlignment="1" pivotButton="0" quotePrefix="0" xfId="0">
      <alignment wrapText="1"/>
    </xf>
    <xf numFmtId="0" fontId="0" fillId="0" borderId="8" applyAlignment="1" pivotButton="0" quotePrefix="0" xfId="0">
      <alignment wrapText="1"/>
    </xf>
    <xf numFmtId="0" fontId="0" fillId="0" borderId="9" applyAlignment="1" pivotButton="0" quotePrefix="0" xfId="0">
      <alignment wrapText="1"/>
    </xf>
    <xf numFmtId="0" fontId="0" fillId="0" borderId="10" applyAlignment="1" pivotButton="0" quotePrefix="0" xfId="0">
      <alignment wrapText="1"/>
    </xf>
    <xf numFmtId="164" fontId="0" fillId="0" borderId="10" applyAlignment="1" pivotButton="0" quotePrefix="0" xfId="0">
      <alignment wrapText="1"/>
    </xf>
    <xf numFmtId="0" fontId="0" fillId="0" borderId="11" applyAlignment="1" pivotButton="0" quotePrefix="0" xfId="0">
      <alignment wrapText="1"/>
    </xf>
    <xf numFmtId="0" fontId="14" fillId="2" borderId="0" pivotButton="0" quotePrefix="0" xfId="0"/>
    <xf numFmtId="0" fontId="28" fillId="12" borderId="7" applyAlignment="1" pivotButton="0" quotePrefix="0" xfId="0">
      <alignment wrapText="1"/>
    </xf>
    <xf numFmtId="164" fontId="28" fillId="12" borderId="7" applyAlignment="1" pivotButton="0" quotePrefix="0" xfId="0">
      <alignment wrapText="1"/>
    </xf>
    <xf numFmtId="1" fontId="29" fillId="6" borderId="7" applyAlignment="1" pivotButton="0" quotePrefix="0" xfId="0">
      <alignment wrapText="1"/>
    </xf>
    <xf numFmtId="1" fontId="29" fillId="6" borderId="8" applyAlignment="1" pivotButton="0" quotePrefix="0" xfId="0">
      <alignment wrapText="1"/>
    </xf>
    <xf numFmtId="164" fontId="0" fillId="0" borderId="0" pivotButton="0" quotePrefix="0" xfId="0"/>
    <xf numFmtId="1" fontId="0" fillId="0" borderId="7" applyAlignment="1" pivotButton="0" quotePrefix="0" xfId="0">
      <alignment wrapText="1"/>
    </xf>
    <xf numFmtId="0" fontId="28" fillId="12" borderId="10" applyAlignment="1" pivotButton="0" quotePrefix="0" xfId="0">
      <alignment wrapText="1"/>
    </xf>
    <xf numFmtId="1" fontId="29" fillId="6" borderId="10" applyAlignment="1" pivotButton="0" quotePrefix="0" xfId="0">
      <alignment wrapText="1"/>
    </xf>
    <xf numFmtId="1" fontId="29" fillId="6" borderId="11" applyAlignment="1" pivotButton="0" quotePrefix="0" xfId="0">
      <alignment wrapText="1"/>
    </xf>
    <xf numFmtId="0" fontId="14" fillId="2" borderId="22" applyAlignment="1" pivotButton="0" quotePrefix="0" xfId="0">
      <alignment horizontal="center" vertical="center" wrapText="1"/>
    </xf>
    <xf numFmtId="0" fontId="32" fillId="0" borderId="22" applyAlignment="1" pivotButton="0" quotePrefix="0" xfId="0">
      <alignment horizontal="left" vertical="center" wrapText="1"/>
    </xf>
    <xf numFmtId="0" fontId="33" fillId="0" borderId="22" applyAlignment="1" pivotButton="0" quotePrefix="0" xfId="0">
      <alignment horizontal="center" vertical="center" wrapText="1"/>
    </xf>
    <xf numFmtId="164" fontId="35" fillId="0" borderId="22" applyAlignment="1" pivotButton="0" quotePrefix="0" xfId="0">
      <alignment horizontal="center" vertical="center" wrapText="1"/>
    </xf>
    <xf numFmtId="0" fontId="35" fillId="0" borderId="22" applyAlignment="1" pivotButton="0" quotePrefix="0" xfId="0">
      <alignment horizontal="center" vertical="center" wrapText="1"/>
    </xf>
    <xf numFmtId="0" fontId="32" fillId="3" borderId="22" applyAlignment="1" pivotButton="0" quotePrefix="0" xfId="0">
      <alignment horizontal="left" vertical="center" wrapText="1"/>
    </xf>
    <xf numFmtId="0" fontId="33" fillId="3" borderId="22" applyAlignment="1" pivotButton="0" quotePrefix="0" xfId="0">
      <alignment horizontal="center" vertical="center" wrapText="1"/>
    </xf>
    <xf numFmtId="0" fontId="35" fillId="3" borderId="22" applyAlignment="1" pivotButton="0" quotePrefix="0" xfId="0">
      <alignment horizontal="center" vertical="center" wrapText="1"/>
    </xf>
    <xf numFmtId="164" fontId="35" fillId="3" borderId="22" applyAlignment="1" pivotButton="0" quotePrefix="0" xfId="0">
      <alignment horizontal="center" vertical="center" wrapText="1"/>
    </xf>
    <xf numFmtId="0" fontId="14" fillId="2" borderId="0" applyAlignment="1" pivotButton="0" quotePrefix="0" xfId="0">
      <alignment wrapText="1"/>
    </xf>
    <xf numFmtId="164" fontId="0" fillId="0" borderId="7" pivotButton="0" quotePrefix="0" xfId="0"/>
    <xf numFmtId="164" fontId="0" fillId="0" borderId="8" pivotButton="0" quotePrefix="0" xfId="0"/>
    <xf numFmtId="164" fontId="0" fillId="0" borderId="10" pivotButton="0" quotePrefix="0" xfId="0"/>
    <xf numFmtId="164" fontId="0" fillId="0" borderId="11" pivotButton="0" quotePrefix="0" xfId="0"/>
    <xf numFmtId="49" fontId="0" fillId="0" borderId="7" applyAlignment="1" pivotButton="0" quotePrefix="0" xfId="0">
      <alignment wrapText="1"/>
    </xf>
    <xf numFmtId="0" fontId="36" fillId="0" borderId="0" pivotButton="0" quotePrefix="0" xfId="0"/>
    <xf numFmtId="0" fontId="27" fillId="0" borderId="0" pivotButton="0" quotePrefix="0" xfId="0"/>
    <xf numFmtId="0" fontId="39" fillId="0" borderId="24" applyAlignment="1" pivotButton="0" quotePrefix="0" xfId="0">
      <alignment vertical="center" wrapText="1"/>
    </xf>
    <xf numFmtId="0" fontId="40" fillId="10" borderId="25" applyAlignment="1" pivotButton="0" quotePrefix="0" xfId="0">
      <alignment vertical="center" wrapText="1"/>
    </xf>
    <xf numFmtId="0" fontId="18" fillId="0" borderId="26" applyAlignment="1" pivotButton="0" quotePrefix="0" xfId="0">
      <alignment horizontal="center" wrapText="1"/>
    </xf>
    <xf numFmtId="0" fontId="18" fillId="0" borderId="24" applyAlignment="1" pivotButton="0" quotePrefix="0" xfId="0">
      <alignment horizontal="center" wrapText="1"/>
    </xf>
    <xf numFmtId="0" fontId="26" fillId="0" borderId="0" applyAlignment="1" pivotButton="0" quotePrefix="0" xfId="0">
      <alignment horizontal="left" vertical="center" wrapText="1"/>
    </xf>
    <xf numFmtId="0" fontId="44" fillId="0" borderId="23" applyAlignment="1" pivotButton="0" quotePrefix="0" xfId="0">
      <alignment horizontal="center" vertical="center"/>
    </xf>
    <xf numFmtId="0" fontId="45" fillId="0" borderId="23" applyAlignment="1" pivotButton="0" quotePrefix="0" xfId="0">
      <alignment horizontal="center"/>
    </xf>
    <xf numFmtId="0" fontId="26" fillId="0" borderId="27" applyAlignment="1" pivotButton="0" quotePrefix="0" xfId="0">
      <alignment horizontal="left" vertical="center"/>
    </xf>
    <xf numFmtId="0" fontId="44" fillId="0" borderId="30" applyAlignment="1" pivotButton="0" quotePrefix="0" xfId="0">
      <alignment horizontal="center" vertical="center"/>
    </xf>
    <xf numFmtId="0" fontId="26" fillId="0" borderId="32" applyAlignment="1" pivotButton="0" quotePrefix="0" xfId="0">
      <alignment horizontal="left" vertical="center" wrapText="1"/>
    </xf>
    <xf numFmtId="0" fontId="26" fillId="0" borderId="32" applyAlignment="1" pivotButton="0" quotePrefix="0" xfId="0">
      <alignment vertical="top" wrapText="1"/>
    </xf>
    <xf numFmtId="0" fontId="26" fillId="0" borderId="32" applyAlignment="1" pivotButton="0" quotePrefix="0" xfId="0">
      <alignment vertical="center" wrapText="1"/>
    </xf>
    <xf numFmtId="0" fontId="45" fillId="0" borderId="23" applyAlignment="1" pivotButton="0" quotePrefix="0" xfId="0">
      <alignment horizontal="center" vertical="center"/>
    </xf>
    <xf numFmtId="0" fontId="46" fillId="13" borderId="23" applyAlignment="1" pivotButton="0" quotePrefix="0" xfId="0">
      <alignment horizontal="center" vertical="center" wrapText="1"/>
    </xf>
    <xf numFmtId="0" fontId="26" fillId="13" borderId="23" applyAlignment="1" pivotButton="0" quotePrefix="0" xfId="0">
      <alignment horizontal="center" vertical="center"/>
    </xf>
    <xf numFmtId="0" fontId="26" fillId="13" borderId="23" applyAlignment="1" pivotButton="0" quotePrefix="0" xfId="0">
      <alignment horizontal="center" vertical="center" wrapText="1"/>
    </xf>
    <xf numFmtId="0" fontId="26" fillId="0" borderId="0" applyAlignment="1" pivotButton="0" quotePrefix="0" xfId="0">
      <alignment horizontal="left" vertical="center"/>
    </xf>
    <xf numFmtId="0" fontId="46" fillId="0" borderId="23" applyAlignment="1" pivotButton="0" quotePrefix="0" xfId="0">
      <alignment horizontal="center" vertical="center"/>
    </xf>
    <xf numFmtId="0" fontId="46" fillId="13" borderId="28" applyAlignment="1" pivotButton="0" quotePrefix="0" xfId="0">
      <alignment horizontal="center" vertical="center"/>
    </xf>
    <xf numFmtId="0" fontId="26" fillId="13" borderId="35" applyAlignment="1" pivotButton="0" quotePrefix="0" xfId="0">
      <alignment horizontal="center" vertical="center"/>
    </xf>
    <xf numFmtId="0" fontId="26" fillId="13" borderId="28" applyAlignment="1" pivotButton="0" quotePrefix="0" xfId="0">
      <alignment horizontal="center" vertical="center"/>
    </xf>
    <xf numFmtId="0" fontId="46" fillId="14" borderId="0" applyAlignment="1" pivotButton="0" quotePrefix="0" xfId="0">
      <alignment horizontal="center" vertical="center"/>
    </xf>
    <xf numFmtId="0" fontId="26" fillId="14" borderId="0" applyAlignment="1" pivotButton="0" quotePrefix="0" xfId="0">
      <alignment horizontal="center" vertical="center"/>
    </xf>
    <xf numFmtId="0" fontId="26" fillId="0" borderId="38" applyAlignment="1" pivotButton="0" quotePrefix="0" xfId="0">
      <alignment horizontal="center" vertical="center"/>
    </xf>
    <xf numFmtId="0" fontId="46" fillId="13" borderId="0" applyAlignment="1" pivotButton="0" quotePrefix="0" xfId="0">
      <alignment horizontal="center" vertical="center"/>
    </xf>
    <xf numFmtId="0" fontId="26" fillId="13" borderId="38" applyAlignment="1" pivotButton="0" quotePrefix="0" xfId="0">
      <alignment horizontal="center" vertical="center"/>
    </xf>
    <xf numFmtId="0" fontId="46" fillId="14" borderId="29" applyAlignment="1" pivotButton="0" quotePrefix="0" xfId="0">
      <alignment horizontal="center" vertical="center"/>
    </xf>
    <xf numFmtId="0" fontId="26" fillId="0" borderId="35" applyAlignment="1" pivotButton="0" quotePrefix="0" xfId="0">
      <alignment horizontal="center" vertical="center"/>
    </xf>
    <xf numFmtId="0" fontId="45" fillId="13" borderId="38" applyAlignment="1" pivotButton="0" quotePrefix="0" xfId="0">
      <alignment horizontal="center" vertical="center"/>
    </xf>
    <xf numFmtId="0" fontId="18" fillId="13" borderId="35" applyAlignment="1" pivotButton="0" quotePrefix="0" xfId="0">
      <alignment horizontal="center" vertical="center"/>
    </xf>
    <xf numFmtId="0" fontId="18" fillId="13" borderId="38" applyAlignment="1" pivotButton="0" quotePrefix="0" xfId="0">
      <alignment horizontal="center" vertical="center"/>
    </xf>
    <xf numFmtId="0" fontId="26" fillId="14" borderId="41" applyAlignment="1" pivotButton="0" quotePrefix="0" xfId="0">
      <alignment horizontal="center" vertical="center"/>
    </xf>
    <xf numFmtId="0" fontId="26" fillId="0" borderId="30" applyAlignment="1" pivotButton="0" quotePrefix="0" xfId="0">
      <alignment horizontal="center" vertical="center"/>
    </xf>
    <xf numFmtId="0" fontId="46" fillId="0" borderId="40" applyAlignment="1" pivotButton="0" quotePrefix="0" xfId="0">
      <alignment horizontal="center" vertical="center"/>
    </xf>
    <xf numFmtId="0" fontId="45" fillId="13" borderId="40" applyAlignment="1" pivotButton="0" quotePrefix="0" xfId="0">
      <alignment horizontal="center" vertical="center"/>
    </xf>
    <xf numFmtId="0" fontId="18" fillId="13" borderId="30" applyAlignment="1" pivotButton="0" quotePrefix="0" xfId="0">
      <alignment horizontal="center" vertical="center"/>
    </xf>
    <xf numFmtId="0" fontId="46" fillId="0" borderId="27" applyAlignment="1" pivotButton="0" quotePrefix="0" xfId="0">
      <alignment horizontal="center" vertical="center"/>
    </xf>
    <xf numFmtId="0" fontId="26" fillId="0" borderId="28" applyAlignment="1" pivotButton="0" quotePrefix="0" xfId="0">
      <alignment horizontal="center" vertical="center"/>
    </xf>
    <xf numFmtId="0" fontId="26" fillId="0" borderId="40" applyAlignment="1" pivotButton="0" quotePrefix="0" xfId="0">
      <alignment horizontal="center" vertical="center"/>
    </xf>
    <xf numFmtId="0" fontId="46" fillId="13" borderId="40" applyAlignment="1" pivotButton="0" quotePrefix="0" xfId="0">
      <alignment horizontal="center" vertical="center"/>
    </xf>
    <xf numFmtId="0" fontId="26" fillId="13" borderId="40" applyAlignment="1" pivotButton="0" quotePrefix="0" xfId="0">
      <alignment horizontal="center" vertical="center"/>
    </xf>
    <xf numFmtId="0" fontId="45" fillId="0" borderId="44" applyAlignment="1" pivotButton="0" quotePrefix="0" xfId="0">
      <alignment horizontal="center" vertical="center"/>
    </xf>
    <xf numFmtId="0" fontId="18" fillId="0" borderId="30" applyAlignment="1" pivotButton="0" quotePrefix="0" xfId="0">
      <alignment horizontal="center" vertical="center"/>
    </xf>
    <xf numFmtId="0" fontId="18" fillId="0" borderId="44" applyAlignment="1" pivotButton="0" quotePrefix="0" xfId="0">
      <alignment horizontal="center" vertical="center"/>
    </xf>
    <xf numFmtId="0" fontId="26" fillId="0" borderId="0" pivotButton="0" quotePrefix="0" xfId="0"/>
    <xf numFmtId="0" fontId="18" fillId="13" borderId="28" applyAlignment="1" pivotButton="0" quotePrefix="0" xfId="0">
      <alignment horizontal="center" vertical="center"/>
    </xf>
    <xf numFmtId="0" fontId="18" fillId="13" borderId="40" applyAlignment="1" pivotButton="0" quotePrefix="0" xfId="0">
      <alignment horizontal="center" vertical="center"/>
    </xf>
    <xf numFmtId="0" fontId="18" fillId="0" borderId="38" applyAlignment="1" pivotButton="0" quotePrefix="0" xfId="0">
      <alignment horizontal="center" vertical="center"/>
    </xf>
    <xf numFmtId="0" fontId="18" fillId="0" borderId="40" applyAlignment="1" pivotButton="0" quotePrefix="0" xfId="0">
      <alignment horizontal="center" vertical="center"/>
    </xf>
    <xf numFmtId="0" fontId="45" fillId="10" borderId="30" applyAlignment="1" pivotButton="0" quotePrefix="0" xfId="0">
      <alignment horizontal="center" vertical="center"/>
    </xf>
    <xf numFmtId="0" fontId="18" fillId="13" borderId="44" applyAlignment="1" pivotButton="0" quotePrefix="0" xfId="0">
      <alignment horizontal="center" vertical="center"/>
    </xf>
    <xf numFmtId="0" fontId="18" fillId="0" borderId="23" applyAlignment="1" pivotButton="0" quotePrefix="0" xfId="0">
      <alignment horizontal="center" vertical="center"/>
    </xf>
    <xf numFmtId="0" fontId="26" fillId="0" borderId="23" applyAlignment="1" pivotButton="0" quotePrefix="0" xfId="0">
      <alignment horizontal="center" vertical="center"/>
    </xf>
    <xf numFmtId="0" fontId="18" fillId="13" borderId="23" applyAlignment="1" pivotButton="0" quotePrefix="0" xfId="0">
      <alignment horizontal="center" vertical="center" wrapText="1"/>
    </xf>
    <xf numFmtId="0" fontId="46" fillId="0" borderId="28" applyAlignment="1" pivotButton="0" quotePrefix="0" xfId="0">
      <alignment horizontal="center" vertical="center"/>
    </xf>
    <xf numFmtId="0" fontId="18" fillId="0" borderId="28" applyAlignment="1" pivotButton="0" quotePrefix="0" xfId="0">
      <alignment horizontal="center" vertical="center"/>
    </xf>
    <xf numFmtId="0" fontId="46" fillId="13" borderId="38" applyAlignment="1" pivotButton="0" quotePrefix="0" xfId="0">
      <alignment horizontal="center" vertical="center"/>
    </xf>
    <xf numFmtId="0" fontId="45" fillId="0" borderId="38" applyAlignment="1" pivotButton="0" quotePrefix="0" xfId="0">
      <alignment horizontal="center" vertical="center"/>
    </xf>
    <xf numFmtId="0" fontId="45" fillId="0" borderId="30" applyAlignment="1" pivotButton="0" quotePrefix="0" xfId="0">
      <alignment horizontal="center" vertical="center"/>
    </xf>
    <xf numFmtId="0" fontId="46" fillId="0" borderId="38" applyAlignment="1" pivotButton="0" quotePrefix="0" xfId="0">
      <alignment horizontal="center" vertical="center"/>
    </xf>
    <xf numFmtId="0" fontId="26" fillId="0" borderId="28" applyAlignment="1" pivotButton="0" quotePrefix="0" xfId="0">
      <alignment horizontal="center" vertical="center" wrapText="1"/>
    </xf>
    <xf numFmtId="0" fontId="26" fillId="13" borderId="30" applyAlignment="1" pivotButton="0" quotePrefix="0" xfId="0">
      <alignment horizontal="center" vertical="center" wrapText="1"/>
    </xf>
    <xf numFmtId="0" fontId="18" fillId="13" borderId="23" applyAlignment="1" pivotButton="0" quotePrefix="0" xfId="0">
      <alignment horizontal="center" vertical="center"/>
    </xf>
    <xf numFmtId="0" fontId="18" fillId="0" borderId="27" applyAlignment="1" pivotButton="0" quotePrefix="0" xfId="0">
      <alignment horizontal="center" vertical="center"/>
    </xf>
    <xf numFmtId="0" fontId="45" fillId="13" borderId="23" applyAlignment="1" pivotButton="0" quotePrefix="0" xfId="0">
      <alignment horizontal="center" vertical="center"/>
    </xf>
    <xf numFmtId="0" fontId="45" fillId="13" borderId="32" applyAlignment="1" pivotButton="0" quotePrefix="0" xfId="0">
      <alignment horizontal="center" vertical="center"/>
    </xf>
    <xf numFmtId="1" fontId="45" fillId="0" borderId="23" applyAlignment="1" pivotButton="0" quotePrefix="0" xfId="0">
      <alignment horizontal="center" vertical="center"/>
    </xf>
    <xf numFmtId="0" fontId="26" fillId="13" borderId="25" applyAlignment="1" pivotButton="0" quotePrefix="0" xfId="0">
      <alignment horizontal="left" vertical="center"/>
    </xf>
    <xf numFmtId="164" fontId="18" fillId="0" borderId="32" applyAlignment="1" pivotButton="0" quotePrefix="0" xfId="0">
      <alignment horizontal="right" vertical="center"/>
    </xf>
    <xf numFmtId="0" fontId="18" fillId="0" borderId="25" applyAlignment="1" pivotButton="0" quotePrefix="0" xfId="0">
      <alignment horizontal="right" vertical="center"/>
    </xf>
    <xf numFmtId="0" fontId="26" fillId="13" borderId="26" applyAlignment="1" pivotButton="0" quotePrefix="0" xfId="0">
      <alignment horizontal="center"/>
    </xf>
    <xf numFmtId="0" fontId="26" fillId="13" borderId="24" applyAlignment="1" pivotButton="0" quotePrefix="0" xfId="0">
      <alignment horizontal="center"/>
    </xf>
    <xf numFmtId="0" fontId="26" fillId="13" borderId="27" applyAlignment="1" pivotButton="0" quotePrefix="0" xfId="0">
      <alignment horizontal="center"/>
    </xf>
    <xf numFmtId="0" fontId="50" fillId="0" borderId="23" applyAlignment="1" pivotButton="0" quotePrefix="0" xfId="0">
      <alignment horizontal="center"/>
    </xf>
    <xf numFmtId="0" fontId="50" fillId="0" borderId="23" pivotButton="0" quotePrefix="0" xfId="0"/>
    <xf numFmtId="0" fontId="50" fillId="13" borderId="40" applyAlignment="1" pivotButton="0" quotePrefix="0" xfId="0">
      <alignment horizontal="center"/>
    </xf>
    <xf numFmtId="165" fontId="47" fillId="13" borderId="54" applyAlignment="1" pivotButton="0" quotePrefix="0" xfId="0">
      <alignment vertical="center"/>
    </xf>
    <xf numFmtId="165" fontId="47" fillId="13" borderId="41" applyAlignment="1" pivotButton="0" quotePrefix="0" xfId="0">
      <alignment vertical="center"/>
    </xf>
    <xf numFmtId="165" fontId="47" fillId="13" borderId="44" applyAlignment="1" pivotButton="0" quotePrefix="0" xfId="0">
      <alignment vertical="center"/>
    </xf>
    <xf numFmtId="165" fontId="47" fillId="13" borderId="29" applyAlignment="1" pivotButton="0" quotePrefix="0" xfId="0">
      <alignment vertical="center"/>
    </xf>
    <xf numFmtId="165" fontId="47" fillId="13" borderId="0" applyAlignment="1" pivotButton="0" quotePrefix="0" xfId="0">
      <alignment vertical="center"/>
    </xf>
    <xf numFmtId="165" fontId="47" fillId="13" borderId="40" applyAlignment="1" pivotButton="0" quotePrefix="0" xfId="0">
      <alignment vertical="center"/>
    </xf>
    <xf numFmtId="0" fontId="50" fillId="13" borderId="54" applyAlignment="1" pivotButton="0" quotePrefix="0" xfId="0">
      <alignment horizontal="left"/>
    </xf>
    <xf numFmtId="0" fontId="50" fillId="13" borderId="41" applyAlignment="1" pivotButton="0" quotePrefix="0" xfId="0">
      <alignment horizontal="center"/>
    </xf>
    <xf numFmtId="0" fontId="50" fillId="13" borderId="44" applyAlignment="1" pivotButton="0" quotePrefix="0" xfId="0">
      <alignment horizontal="center"/>
    </xf>
    <xf numFmtId="165" fontId="47" fillId="13" borderId="0" applyAlignment="1" pivotButton="0" quotePrefix="0" xfId="0">
      <alignment horizontal="center" vertical="center"/>
    </xf>
    <xf numFmtId="165" fontId="47" fillId="13" borderId="29" applyAlignment="1" pivotButton="0" quotePrefix="0" xfId="0">
      <alignment horizontal="center" vertical="center"/>
    </xf>
    <xf numFmtId="1" fontId="28" fillId="12" borderId="0" pivotButton="0" quotePrefix="0" xfId="0"/>
    <xf numFmtId="0" fontId="15" fillId="6" borderId="3" pivotButton="0" quotePrefix="0" xfId="0"/>
    <xf numFmtId="0" fontId="15" fillId="6" borderId="4" pivotButton="0" quotePrefix="0" xfId="0"/>
    <xf numFmtId="0" fontId="15" fillId="6" borderId="5" pivotButton="0" quotePrefix="0" xfId="0"/>
    <xf numFmtId="164" fontId="28" fillId="12" borderId="0" pivotButton="0" quotePrefix="0" xfId="0"/>
    <xf numFmtId="0" fontId="15" fillId="6" borderId="6" pivotButton="0" quotePrefix="0" xfId="0"/>
    <xf numFmtId="0" fontId="15" fillId="6" borderId="7" pivotButton="0" quotePrefix="0" xfId="0"/>
    <xf numFmtId="0" fontId="15" fillId="6" borderId="8" pivotButton="0" quotePrefix="0" xfId="0"/>
    <xf numFmtId="0" fontId="28" fillId="12" borderId="0" pivotButton="0" quotePrefix="0" xfId="0"/>
    <xf numFmtId="9" fontId="0" fillId="0" borderId="0" pivotButton="0" quotePrefix="0" xfId="0"/>
    <xf numFmtId="3" fontId="28" fillId="12" borderId="0" pivotButton="0" quotePrefix="0" xfId="0"/>
    <xf numFmtId="0" fontId="15" fillId="6" borderId="9" pivotButton="0" quotePrefix="0" xfId="0"/>
    <xf numFmtId="0" fontId="15" fillId="6" borderId="10" pivotButton="0" quotePrefix="0" xfId="0"/>
    <xf numFmtId="0" fontId="15" fillId="6" borderId="11" pivotButton="0" quotePrefix="0" xfId="0"/>
    <xf numFmtId="0" fontId="53" fillId="15" borderId="0" pivotButton="0" quotePrefix="0" xfId="0"/>
    <xf numFmtId="0" fontId="21" fillId="10" borderId="13" applyAlignment="1" applyProtection="1" pivotButton="0" quotePrefix="0" xfId="0">
      <alignment horizontal="center" vertical="center"/>
      <protection locked="0" hidden="0"/>
    </xf>
    <xf numFmtId="166" fontId="21" fillId="10" borderId="14" applyAlignment="1" applyProtection="1" pivotButton="0" quotePrefix="0" xfId="0">
      <alignment horizontal="left" vertical="center"/>
      <protection locked="0" hidden="0"/>
    </xf>
    <xf numFmtId="166" fontId="23" fillId="0" borderId="15" applyAlignment="1" applyProtection="1" pivotButton="0" quotePrefix="0" xfId="0">
      <alignment horizontal="left" vertical="center" wrapText="1"/>
      <protection locked="0" hidden="0"/>
    </xf>
    <xf numFmtId="0" fontId="24" fillId="10" borderId="0" applyAlignment="1" applyProtection="1" pivotButton="0" quotePrefix="0" xfId="0">
      <alignment vertical="center" wrapText="1"/>
      <protection locked="0" hidden="0"/>
    </xf>
    <xf numFmtId="0" fontId="25" fillId="10" borderId="0" applyProtection="1" pivotButton="0" quotePrefix="0" xfId="0">
      <protection locked="0" hidden="0"/>
    </xf>
    <xf numFmtId="0" fontId="25" fillId="10" borderId="16" applyProtection="1" pivotButton="0" quotePrefix="0" xfId="0">
      <protection locked="0" hidden="0"/>
    </xf>
    <xf numFmtId="0" fontId="23" fillId="0" borderId="17" applyAlignment="1" applyProtection="1" pivotButton="0" quotePrefix="0" xfId="0">
      <alignment horizontal="left" vertical="center" wrapText="1"/>
      <protection locked="0" hidden="0"/>
    </xf>
    <xf numFmtId="0" fontId="25" fillId="10" borderId="18" applyProtection="1" pivotButton="0" quotePrefix="0" xfId="0">
      <protection locked="0" hidden="0"/>
    </xf>
    <xf numFmtId="0" fontId="22" fillId="11" borderId="12" applyAlignment="1" applyProtection="1" pivotButton="0" quotePrefix="0" xfId="0">
      <alignment horizontal="center" vertical="center" wrapText="1"/>
      <protection locked="0" hidden="0"/>
    </xf>
    <xf numFmtId="0" fontId="24" fillId="10" borderId="0" applyAlignment="1" applyProtection="1" pivotButton="0" quotePrefix="0" xfId="0">
      <alignment horizontal="left" vertical="center"/>
      <protection locked="0" hidden="0"/>
    </xf>
    <xf numFmtId="0" fontId="25" fillId="10" borderId="19" applyProtection="1" pivotButton="0" quotePrefix="0" xfId="0">
      <protection locked="0" hidden="0"/>
    </xf>
    <xf numFmtId="0" fontId="24" fillId="10" borderId="0" applyAlignment="1" applyProtection="1" pivotButton="0" quotePrefix="0" xfId="0">
      <alignment horizontal="left" vertical="center" wrapText="1"/>
      <protection locked="0" hidden="0"/>
    </xf>
    <xf numFmtId="0" fontId="18" fillId="10" borderId="0" applyAlignment="1" applyProtection="1" pivotButton="0" quotePrefix="0" xfId="0">
      <alignment horizontal="left" vertical="center" wrapText="1"/>
      <protection locked="0" hidden="0"/>
    </xf>
    <xf numFmtId="0" fontId="26" fillId="10" borderId="0" applyAlignment="1" applyProtection="1" pivotButton="0" quotePrefix="0" xfId="0">
      <alignment horizontal="left" vertical="center" wrapText="1"/>
      <protection locked="0" hidden="0"/>
    </xf>
    <xf numFmtId="0" fontId="0" fillId="10" borderId="0" applyProtection="1" pivotButton="0" quotePrefix="0" xfId="0">
      <protection locked="0" hidden="0"/>
    </xf>
    <xf numFmtId="0" fontId="0" fillId="10" borderId="18" applyProtection="1" pivotButton="0" quotePrefix="0" xfId="0">
      <protection locked="0" hidden="0"/>
    </xf>
    <xf numFmtId="0" fontId="22" fillId="11" borderId="12" applyAlignment="1" applyProtection="1" pivotButton="0" quotePrefix="0" xfId="0">
      <alignment vertical="center" wrapText="1"/>
      <protection locked="0" hidden="0"/>
    </xf>
    <xf numFmtId="0" fontId="22" fillId="11" borderId="20" applyAlignment="1" applyProtection="1" pivotButton="0" quotePrefix="0" xfId="0">
      <alignment vertical="center" wrapText="1"/>
      <protection locked="0" hidden="0"/>
    </xf>
    <xf numFmtId="0" fontId="0" fillId="0" borderId="12" applyAlignment="1" applyProtection="1" pivotButton="0" quotePrefix="0" xfId="0">
      <alignment horizontal="right" vertical="center"/>
      <protection locked="0" hidden="0"/>
    </xf>
    <xf numFmtId="0" fontId="0" fillId="0" borderId="12" applyAlignment="1" applyProtection="1" pivotButton="0" quotePrefix="0" xfId="0">
      <alignment horizontal="left" vertical="center" wrapText="1"/>
      <protection locked="0" hidden="0"/>
    </xf>
    <xf numFmtId="0" fontId="0" fillId="0" borderId="12" applyAlignment="1" applyProtection="1" pivotButton="0" quotePrefix="0" xfId="0">
      <alignment vertical="center"/>
      <protection locked="0" hidden="0"/>
    </xf>
    <xf numFmtId="167" fontId="27" fillId="10" borderId="12" applyAlignment="1" applyProtection="1" pivotButton="0" quotePrefix="0" xfId="0">
      <alignment horizontal="center" vertical="center" wrapText="1"/>
      <protection locked="0" hidden="0"/>
    </xf>
    <xf numFmtId="0" fontId="27" fillId="10" borderId="12" applyAlignment="1" applyProtection="1" pivotButton="0" quotePrefix="0" xfId="0">
      <alignment horizontal="left" vertical="center" wrapText="1"/>
      <protection locked="0" hidden="0"/>
    </xf>
    <xf numFmtId="0" fontId="0" fillId="0" borderId="12" applyAlignment="1" applyProtection="1" pivotButton="0" quotePrefix="0" xfId="0">
      <alignment wrapText="1"/>
      <protection locked="0" hidden="0"/>
    </xf>
    <xf numFmtId="0" fontId="0" fillId="0" borderId="6" applyAlignment="1" applyProtection="1" pivotButton="0" quotePrefix="0" xfId="0">
      <alignment wrapText="1"/>
      <protection locked="0" hidden="0"/>
    </xf>
    <xf numFmtId="0" fontId="0" fillId="0" borderId="7" applyAlignment="1" applyProtection="1" pivotButton="0" quotePrefix="0" xfId="0">
      <alignment wrapText="1"/>
      <protection locked="0" hidden="0"/>
    </xf>
    <xf numFmtId="164" fontId="0" fillId="0" borderId="7" applyAlignment="1" applyProtection="1" pivotButton="0" quotePrefix="0" xfId="0">
      <alignment wrapText="1"/>
      <protection locked="0" hidden="0"/>
    </xf>
    <xf numFmtId="0" fontId="0" fillId="0" borderId="8" applyAlignment="1" applyProtection="1" pivotButton="0" quotePrefix="0" xfId="0">
      <alignment wrapText="1"/>
      <protection locked="0" hidden="0"/>
    </xf>
    <xf numFmtId="0" fontId="0" fillId="0" borderId="9" applyAlignment="1" applyProtection="1" pivotButton="0" quotePrefix="0" xfId="0">
      <alignment wrapText="1"/>
      <protection locked="0" hidden="0"/>
    </xf>
    <xf numFmtId="0" fontId="0" fillId="0" borderId="10" applyAlignment="1" applyProtection="1" pivotButton="0" quotePrefix="0" xfId="0">
      <alignment wrapText="1"/>
      <protection locked="0" hidden="0"/>
    </xf>
    <xf numFmtId="164" fontId="0" fillId="0" borderId="10" applyAlignment="1" applyProtection="1" pivotButton="0" quotePrefix="0" xfId="0">
      <alignment wrapText="1"/>
      <protection locked="0" hidden="0"/>
    </xf>
    <xf numFmtId="0" fontId="0" fillId="0" borderId="11" applyAlignment="1" applyProtection="1" pivotButton="0" quotePrefix="0" xfId="0">
      <alignment wrapText="1"/>
      <protection locked="0" hidden="0"/>
    </xf>
    <xf numFmtId="1" fontId="28" fillId="12" borderId="7" applyAlignment="1" applyProtection="1" pivotButton="0" quotePrefix="0" xfId="0">
      <alignment wrapText="1"/>
      <protection locked="0" hidden="0"/>
    </xf>
    <xf numFmtId="164" fontId="28" fillId="12" borderId="7" applyAlignment="1" applyProtection="1" pivotButton="0" quotePrefix="0" xfId="0">
      <alignment wrapText="1"/>
      <protection locked="0" hidden="0"/>
    </xf>
    <xf numFmtId="0" fontId="28" fillId="12" borderId="7" applyAlignment="1" applyProtection="1" pivotButton="0" quotePrefix="0" xfId="0">
      <alignment wrapText="1"/>
      <protection locked="0" hidden="0"/>
    </xf>
    <xf numFmtId="1" fontId="28" fillId="12" borderId="10" applyAlignment="1" applyProtection="1" pivotButton="0" quotePrefix="0" xfId="0">
      <alignment wrapText="1"/>
      <protection locked="0" hidden="0"/>
    </xf>
    <xf numFmtId="164" fontId="28" fillId="12" borderId="10" applyAlignment="1" applyProtection="1" pivotButton="0" quotePrefix="0" xfId="0">
      <alignment wrapText="1"/>
      <protection locked="0" hidden="0"/>
    </xf>
    <xf numFmtId="0" fontId="28" fillId="12" borderId="10" applyAlignment="1" applyProtection="1" pivotButton="0" quotePrefix="0" xfId="0">
      <alignment wrapText="1"/>
      <protection locked="0" hidden="0"/>
    </xf>
    <xf numFmtId="164" fontId="34" fillId="0" borderId="22" applyAlignment="1" applyProtection="1" pivotButton="0" quotePrefix="0" xfId="0">
      <alignment horizontal="center" vertical="center" wrapText="1"/>
      <protection locked="0" hidden="0"/>
    </xf>
    <xf numFmtId="0" fontId="32" fillId="0" borderId="22" applyAlignment="1" applyProtection="1" pivotButton="0" quotePrefix="0" xfId="0">
      <alignment horizontal="left" vertical="center" wrapText="1"/>
      <protection locked="0" hidden="0"/>
    </xf>
    <xf numFmtId="164" fontId="34" fillId="3" borderId="22" applyAlignment="1" applyProtection="1" pivotButton="0" quotePrefix="0" xfId="0">
      <alignment horizontal="center" vertical="center" wrapText="1"/>
      <protection locked="0" hidden="0"/>
    </xf>
    <xf numFmtId="0" fontId="32" fillId="3" borderId="22" applyAlignment="1" applyProtection="1" pivotButton="0" quotePrefix="0" xfId="0">
      <alignment horizontal="left" vertical="center" wrapText="1"/>
      <protection locked="0" hidden="0"/>
    </xf>
    <xf numFmtId="0" fontId="0" fillId="0" borderId="0" applyProtection="1" pivotButton="0" quotePrefix="0" xfId="0">
      <protection locked="0" hidden="0"/>
    </xf>
    <xf numFmtId="164" fontId="0" fillId="0" borderId="0" applyProtection="1" pivotButton="0" quotePrefix="0" xfId="0">
      <protection locked="0" hidden="0"/>
    </xf>
    <xf numFmtId="164" fontId="36" fillId="0" borderId="8" applyProtection="1" pivotButton="0" quotePrefix="0" xfId="0">
      <protection locked="0" hidden="0"/>
    </xf>
    <xf numFmtId="164" fontId="36" fillId="0" borderId="11" applyProtection="1" pivotButton="0" quotePrefix="0" xfId="0">
      <protection locked="0" hidden="0"/>
    </xf>
    <xf numFmtId="0" fontId="0" fillId="12" borderId="0" applyProtection="1" pivotButton="0" quotePrefix="0" xfId="0">
      <protection locked="0" hidden="0"/>
    </xf>
    <xf numFmtId="0" fontId="28" fillId="12" borderId="0" applyProtection="1" pivotButton="0" quotePrefix="0" xfId="0">
      <protection locked="0" hidden="0"/>
    </xf>
    <xf numFmtId="1" fontId="28" fillId="12" borderId="0" applyProtection="1" pivotButton="0" quotePrefix="0" xfId="0">
      <protection locked="0" hidden="0"/>
    </xf>
    <xf numFmtId="164" fontId="28" fillId="12" borderId="0" applyProtection="1" pivotButton="0" quotePrefix="0" xfId="0">
      <protection locked="0" hidden="0"/>
    </xf>
    <xf numFmtId="0" fontId="5" fillId="0" borderId="0" applyAlignment="1" pivotButton="0" quotePrefix="0" xfId="0">
      <alignment horizontal="left" vertical="top" wrapText="1"/>
    </xf>
    <xf numFmtId="0" fontId="0" fillId="0" borderId="0" pivotButton="0" quotePrefix="0" xfId="0"/>
    <xf numFmtId="0" fontId="1" fillId="0" borderId="0" applyAlignment="1" pivotButton="0" quotePrefix="0" xfId="0">
      <alignment horizontal="center" vertical="center" wrapText="1"/>
    </xf>
    <xf numFmtId="0" fontId="9" fillId="4" borderId="1" applyAlignment="1" pivotButton="0" quotePrefix="0" xfId="0">
      <alignment horizontal="center" vertical="center"/>
    </xf>
    <xf numFmtId="0" fontId="0" fillId="0" borderId="55" pivotButton="0" quotePrefix="0" xfId="0"/>
    <xf numFmtId="0" fontId="0" fillId="0" borderId="56" pivotButton="0" quotePrefix="0" xfId="0"/>
    <xf numFmtId="0" fontId="4" fillId="0" borderId="0" applyAlignment="1" pivotButton="0" quotePrefix="0" xfId="0">
      <alignment horizontal="center" vertical="center" wrapText="1"/>
    </xf>
    <xf numFmtId="0" fontId="3" fillId="2" borderId="0" applyAlignment="1" pivotButton="0" quotePrefix="0" xfId="0">
      <alignment horizontal="center" vertical="center"/>
    </xf>
    <xf numFmtId="0" fontId="11" fillId="0" borderId="0" applyAlignment="1" pivotButton="0" quotePrefix="0" xfId="0">
      <alignment horizontal="center" vertical="top" wrapText="1"/>
    </xf>
    <xf numFmtId="0" fontId="2" fillId="2" borderId="0" applyAlignment="1" pivotButton="0" quotePrefix="0" xfId="0">
      <alignment horizontal="center" vertical="center" wrapText="1"/>
    </xf>
    <xf numFmtId="0" fontId="7" fillId="0" borderId="0" applyAlignment="1" pivotButton="0" quotePrefix="0" xfId="0">
      <alignment horizontal="left" vertical="top" wrapText="1"/>
    </xf>
    <xf numFmtId="0" fontId="6" fillId="2" borderId="0" applyAlignment="1" pivotButton="0" quotePrefix="0" xfId="0">
      <alignment horizontal="center" vertical="center" wrapText="1"/>
    </xf>
    <xf numFmtId="0" fontId="10" fillId="4" borderId="2" applyAlignment="1" pivotButton="0" quotePrefix="0" xfId="0">
      <alignment horizontal="left" vertical="top" wrapText="1"/>
    </xf>
    <xf numFmtId="0" fontId="0" fillId="0" borderId="58" pivotButton="0" quotePrefix="0" xfId="0"/>
    <xf numFmtId="0" fontId="0" fillId="0" borderId="57" pivotButton="0" quotePrefix="0" xfId="0"/>
    <xf numFmtId="0" fontId="0" fillId="0" borderId="59" pivotButton="0" quotePrefix="0" xfId="0"/>
    <xf numFmtId="0" fontId="0" fillId="0" borderId="60" pivotButton="0" quotePrefix="0" xfId="0"/>
    <xf numFmtId="0" fontId="0" fillId="0" borderId="61" pivotButton="0" quotePrefix="0" xfId="0"/>
    <xf numFmtId="0" fontId="5" fillId="0" borderId="0" applyAlignment="1" pivotButton="0" quotePrefix="0" xfId="0">
      <alignment horizontal="center" vertical="center" wrapText="1"/>
    </xf>
    <xf numFmtId="0" fontId="13" fillId="5" borderId="0" applyAlignment="1" pivotButton="0" quotePrefix="0" xfId="0">
      <alignment wrapText="1"/>
    </xf>
    <xf numFmtId="0" fontId="12" fillId="2" borderId="0" applyAlignment="1" pivotButton="0" quotePrefix="0" xfId="0">
      <alignment vertical="center"/>
    </xf>
    <xf numFmtId="0" fontId="22" fillId="10" borderId="0" applyAlignment="1" applyProtection="1" pivotButton="0" quotePrefix="0" xfId="0">
      <alignment horizontal="left" vertical="center" wrapText="1"/>
      <protection locked="0" hidden="0"/>
    </xf>
    <xf numFmtId="0" fontId="0" fillId="0" borderId="0" applyProtection="1" pivotButton="0" quotePrefix="0" xfId="0">
      <protection locked="0" hidden="0"/>
    </xf>
    <xf numFmtId="0" fontId="20" fillId="10" borderId="12" applyAlignment="1" applyProtection="1" pivotButton="0" quotePrefix="0" xfId="0">
      <alignment horizontal="justify" vertical="center" wrapText="1"/>
      <protection locked="0" hidden="0"/>
    </xf>
    <xf numFmtId="0" fontId="0" fillId="0" borderId="62" applyProtection="1" pivotButton="0" quotePrefix="0" xfId="0">
      <protection locked="0" hidden="0"/>
    </xf>
    <xf numFmtId="0" fontId="0" fillId="0" borderId="14" applyProtection="1" pivotButton="0" quotePrefix="0" xfId="0">
      <protection locked="0" hidden="0"/>
    </xf>
    <xf numFmtId="0" fontId="22" fillId="11" borderId="12" applyAlignment="1" applyProtection="1" pivotButton="0" quotePrefix="0" xfId="0">
      <alignment horizontal="center" vertical="center" wrapText="1"/>
      <protection locked="0" hidden="0"/>
    </xf>
    <xf numFmtId="0" fontId="19" fillId="10" borderId="20" applyAlignment="1" applyProtection="1" pivotButton="0" quotePrefix="0" xfId="0">
      <alignment horizontal="left" vertical="center" wrapText="1"/>
      <protection locked="0" hidden="0"/>
    </xf>
    <xf numFmtId="0" fontId="0" fillId="0" borderId="15" applyProtection="1" pivotButton="0" quotePrefix="0" xfId="0">
      <protection locked="0" hidden="0"/>
    </xf>
    <xf numFmtId="0" fontId="0" fillId="0" borderId="19" applyProtection="1" pivotButton="0" quotePrefix="0" xfId="0">
      <protection locked="0" hidden="0"/>
    </xf>
    <xf numFmtId="0" fontId="22" fillId="10" borderId="21" applyAlignment="1" applyProtection="1" pivotButton="0" quotePrefix="0" xfId="0">
      <alignment horizontal="left" vertical="center" wrapText="1"/>
      <protection locked="0" hidden="0"/>
    </xf>
    <xf numFmtId="0" fontId="0" fillId="0" borderId="16" applyProtection="1" pivotButton="0" quotePrefix="0" xfId="0">
      <protection locked="0" hidden="0"/>
    </xf>
    <xf numFmtId="0" fontId="0" fillId="0" borderId="63" applyProtection="1" pivotButton="0" quotePrefix="0" xfId="0">
      <protection locked="0" hidden="0"/>
    </xf>
    <xf numFmtId="0" fontId="0" fillId="0" borderId="17" applyProtection="1" pivotButton="0" quotePrefix="0" xfId="0">
      <protection locked="0" hidden="0"/>
    </xf>
    <xf numFmtId="0" fontId="0" fillId="0" borderId="18" applyProtection="1" pivotButton="0" quotePrefix="0" xfId="0">
      <protection locked="0" hidden="0"/>
    </xf>
    <xf numFmtId="0" fontId="18" fillId="10" borderId="12" applyAlignment="1" applyProtection="1" pivotButton="0" quotePrefix="0" xfId="0">
      <alignment horizontal="center" vertical="center" wrapText="1"/>
      <protection locked="0" hidden="0"/>
    </xf>
    <xf numFmtId="0" fontId="19" fillId="11" borderId="12" applyAlignment="1" applyProtection="1" pivotButton="0" quotePrefix="0" xfId="0">
      <alignment horizontal="center" vertical="center" wrapText="1"/>
      <protection locked="0" hidden="0"/>
    </xf>
    <xf numFmtId="0" fontId="31" fillId="0" borderId="0" applyAlignment="1" pivotButton="0" quotePrefix="0" xfId="0">
      <alignment horizontal="left" vertical="center" wrapText="1"/>
    </xf>
    <xf numFmtId="0" fontId="30" fillId="0" borderId="0" pivotButton="0" quotePrefix="0" xfId="0"/>
    <xf numFmtId="0" fontId="46" fillId="0" borderId="31" applyAlignment="1" pivotButton="0" quotePrefix="0" xfId="0">
      <alignment horizontal="left" vertical="center" wrapText="1"/>
    </xf>
    <xf numFmtId="0" fontId="0" fillId="0" borderId="32" pivotButton="0" quotePrefix="0" xfId="0"/>
    <xf numFmtId="0" fontId="48" fillId="0" borderId="45" applyAlignment="1" pivotButton="0" quotePrefix="0" xfId="0">
      <alignment horizontal="center" vertical="center" wrapText="1"/>
    </xf>
    <xf numFmtId="0" fontId="0" fillId="0" borderId="51" pivotButton="0" quotePrefix="0" xfId="0"/>
    <xf numFmtId="0" fontId="0" fillId="0" borderId="29" pivotButton="0" quotePrefix="0" xfId="0"/>
    <xf numFmtId="0" fontId="0" fillId="0" borderId="35" pivotButton="0" quotePrefix="0" xfId="0"/>
    <xf numFmtId="0" fontId="0" fillId="0" borderId="54" pivotButton="0" quotePrefix="0" xfId="0"/>
    <xf numFmtId="0" fontId="0" fillId="0" borderId="50" pivotButton="0" quotePrefix="0" xfId="0"/>
    <xf numFmtId="164" fontId="26" fillId="13" borderId="30" applyAlignment="1" pivotButton="0" quotePrefix="0" xfId="0">
      <alignment horizontal="center" vertical="center"/>
    </xf>
    <xf numFmtId="0" fontId="0" fillId="0" borderId="44" pivotButton="0" quotePrefix="0" xfId="0"/>
    <xf numFmtId="0" fontId="26" fillId="13" borderId="30" applyAlignment="1" pivotButton="0" quotePrefix="0" xfId="0">
      <alignment horizontal="left" vertical="center" wrapText="1"/>
    </xf>
    <xf numFmtId="164" fontId="18" fillId="0" borderId="28" applyAlignment="1" pivotButton="0" quotePrefix="0" xfId="0">
      <alignment horizontal="center" vertical="center"/>
    </xf>
    <xf numFmtId="0" fontId="0" fillId="0" borderId="24" pivotButton="0" quotePrefix="0" xfId="0"/>
    <xf numFmtId="0" fontId="0" fillId="0" borderId="27" pivotButton="0" quotePrefix="0" xfId="0"/>
    <xf numFmtId="164" fontId="26" fillId="0" borderId="35" applyAlignment="1" pivotButton="0" quotePrefix="0" xfId="0">
      <alignment horizontal="right" vertical="center"/>
    </xf>
    <xf numFmtId="0" fontId="18" fillId="0" borderId="23" applyAlignment="1" pivotButton="0" quotePrefix="0" xfId="0">
      <alignment horizontal="center" vertical="center"/>
    </xf>
    <xf numFmtId="0" fontId="0" fillId="0" borderId="25" pivotButton="0" quotePrefix="0" xfId="0"/>
    <xf numFmtId="165" fontId="47" fillId="13" borderId="38" applyAlignment="1" pivotButton="0" quotePrefix="0" xfId="0">
      <alignment horizontal="center" vertical="center"/>
    </xf>
    <xf numFmtId="0" fontId="0" fillId="0" borderId="40" pivotButton="0" quotePrefix="0" xfId="0"/>
    <xf numFmtId="164" fontId="26" fillId="0" borderId="40" applyAlignment="1" pivotButton="0" quotePrefix="0" xfId="0">
      <alignment horizontal="right" vertical="center"/>
    </xf>
    <xf numFmtId="164" fontId="26" fillId="0" borderId="25" applyAlignment="1" pivotButton="0" quotePrefix="0" xfId="0">
      <alignment horizontal="center" vertical="center" wrapText="1"/>
    </xf>
    <xf numFmtId="164" fontId="18" fillId="13" borderId="39" applyAlignment="1" pivotButton="0" quotePrefix="0" xfId="0">
      <alignment horizontal="right" vertical="center"/>
    </xf>
    <xf numFmtId="164" fontId="46" fillId="13" borderId="35" applyAlignment="1" pivotButton="0" quotePrefix="0" xfId="0">
      <alignment horizontal="right" vertical="center"/>
    </xf>
    <xf numFmtId="0" fontId="50" fillId="0" borderId="23" applyAlignment="1" pivotButton="0" quotePrefix="0" xfId="0">
      <alignment horizontal="center" vertical="center"/>
    </xf>
    <xf numFmtId="0" fontId="0" fillId="0" borderId="41" pivotButton="0" quotePrefix="0" xfId="0"/>
    <xf numFmtId="0" fontId="18" fillId="0" borderId="30" applyAlignment="1" pivotButton="0" quotePrefix="0" xfId="0">
      <alignment horizontal="left" vertical="top" wrapText="1"/>
    </xf>
    <xf numFmtId="164" fontId="18" fillId="13" borderId="42" applyAlignment="1" pivotButton="0" quotePrefix="0" xfId="0">
      <alignment horizontal="right" vertical="center"/>
    </xf>
    <xf numFmtId="0" fontId="0" fillId="0" borderId="42" pivotButton="0" quotePrefix="0" xfId="0"/>
    <xf numFmtId="0" fontId="47" fillId="0" borderId="33" applyAlignment="1" pivotButton="0" quotePrefix="0" xfId="0">
      <alignment horizontal="center" vertical="center" wrapText="1"/>
    </xf>
    <xf numFmtId="0" fontId="0" fillId="0" borderId="38" pivotButton="0" quotePrefix="0" xfId="0"/>
    <xf numFmtId="0" fontId="0" fillId="0" borderId="64" pivotButton="0" quotePrefix="0" xfId="0"/>
    <xf numFmtId="0" fontId="46" fillId="0" borderId="47" applyAlignment="1" pivotButton="0" quotePrefix="0" xfId="0">
      <alignment horizontal="left" vertical="center" wrapText="1"/>
    </xf>
    <xf numFmtId="0" fontId="0" fillId="0" borderId="47" pivotButton="0" quotePrefix="0" xfId="0"/>
    <xf numFmtId="164" fontId="45" fillId="0" borderId="50" applyAlignment="1" pivotButton="0" quotePrefix="0" xfId="0">
      <alignment horizontal="right" vertical="center"/>
    </xf>
    <xf numFmtId="0" fontId="45" fillId="0" borderId="23" applyAlignment="1" pivotButton="0" quotePrefix="0" xfId="0">
      <alignment horizontal="center" vertical="center"/>
    </xf>
    <xf numFmtId="0" fontId="46" fillId="0" borderId="25" applyAlignment="1" pivotButton="0" quotePrefix="0" xfId="0">
      <alignment horizontal="center" vertical="center"/>
    </xf>
    <xf numFmtId="164" fontId="45" fillId="0" borderId="41" applyAlignment="1" pivotButton="0" quotePrefix="0" xfId="0">
      <alignment horizontal="right" vertical="center"/>
    </xf>
    <xf numFmtId="0" fontId="26" fillId="13" borderId="38" applyAlignment="1" pivotButton="0" quotePrefix="0" xfId="0">
      <alignment horizontal="left" vertical="center" wrapText="1"/>
    </xf>
    <xf numFmtId="0" fontId="18" fillId="13" borderId="40" applyAlignment="1" pivotButton="0" quotePrefix="0" xfId="0">
      <alignment horizontal="left" vertical="center" wrapText="1"/>
    </xf>
    <xf numFmtId="164" fontId="18" fillId="0" borderId="30" applyAlignment="1" pivotButton="0" quotePrefix="0" xfId="0">
      <alignment horizontal="right" vertical="center"/>
    </xf>
    <xf numFmtId="0" fontId="45" fillId="0" borderId="0" applyAlignment="1" pivotButton="0" quotePrefix="0" xfId="0">
      <alignment horizontal="left" vertical="center" wrapText="1"/>
    </xf>
    <xf numFmtId="164" fontId="18" fillId="13" borderId="38" applyAlignment="1" pivotButton="0" quotePrefix="0" xfId="0">
      <alignment horizontal="right" vertical="center"/>
    </xf>
    <xf numFmtId="0" fontId="46" fillId="0" borderId="38" applyAlignment="1" pivotButton="0" quotePrefix="0" xfId="0">
      <alignment horizontal="left" vertical="center" wrapText="1"/>
    </xf>
    <xf numFmtId="0" fontId="26" fillId="13" borderId="23" applyAlignment="1" pivotButton="0" quotePrefix="0" xfId="0">
      <alignment horizontal="left" vertical="center"/>
    </xf>
    <xf numFmtId="0" fontId="18" fillId="13" borderId="30" applyAlignment="1" pivotButton="0" quotePrefix="0" xfId="0">
      <alignment horizontal="left" vertical="center" wrapText="1"/>
    </xf>
    <xf numFmtId="0" fontId="50" fillId="0" borderId="32" applyAlignment="1" pivotButton="0" quotePrefix="0" xfId="0">
      <alignment horizontal="center" vertical="top" wrapText="1"/>
    </xf>
    <xf numFmtId="0" fontId="46" fillId="14" borderId="40" applyAlignment="1" pivotButton="0" quotePrefix="0" xfId="0">
      <alignment horizontal="right" vertical="center"/>
    </xf>
    <xf numFmtId="164" fontId="26" fillId="0" borderId="28" applyAlignment="1" pivotButton="0" quotePrefix="0" xfId="0">
      <alignment horizontal="center"/>
    </xf>
    <xf numFmtId="0" fontId="46" fillId="0" borderId="28" applyAlignment="1" pivotButton="0" quotePrefix="0" xfId="0">
      <alignment horizontal="left" vertical="center"/>
    </xf>
    <xf numFmtId="0" fontId="26" fillId="0" borderId="40" applyAlignment="1" pivotButton="0" quotePrefix="0" xfId="0">
      <alignment horizontal="left" vertical="center" wrapText="1"/>
    </xf>
    <xf numFmtId="0" fontId="18" fillId="0" borderId="30" applyAlignment="1" pivotButton="0" quotePrefix="0" xfId="0">
      <alignment horizontal="right" vertical="center"/>
    </xf>
    <xf numFmtId="0" fontId="45" fillId="13" borderId="28" applyAlignment="1" pivotButton="0" quotePrefix="0" xfId="0">
      <alignment horizontal="left" vertical="center" wrapText="1"/>
    </xf>
    <xf numFmtId="164" fontId="18" fillId="0" borderId="40" applyAlignment="1" pivotButton="0" quotePrefix="0" xfId="0">
      <alignment horizontal="right" vertical="center"/>
    </xf>
    <xf numFmtId="0" fontId="45" fillId="0" borderId="23" applyAlignment="1" pivotButton="0" quotePrefix="0" xfId="0">
      <alignment horizontal="left" vertical="center" wrapText="1"/>
    </xf>
    <xf numFmtId="0" fontId="46" fillId="14" borderId="41" applyAlignment="1" pivotButton="0" quotePrefix="0" xfId="0">
      <alignment horizontal="right" vertical="center"/>
    </xf>
    <xf numFmtId="164" fontId="26" fillId="13" borderId="42" applyAlignment="1" pivotButton="0" quotePrefix="0" xfId="0">
      <alignment horizontal="right" vertical="center"/>
    </xf>
    <xf numFmtId="164" fontId="46" fillId="0" borderId="53" applyAlignment="1" pivotButton="0" quotePrefix="0" xfId="0">
      <alignment horizontal="right" vertical="center"/>
    </xf>
    <xf numFmtId="0" fontId="0" fillId="0" borderId="53" pivotButton="0" quotePrefix="0" xfId="0"/>
    <xf numFmtId="0" fontId="38" fillId="0" borderId="0" applyAlignment="1" pivotButton="0" quotePrefix="0" xfId="0">
      <alignment vertical="center" wrapText="1"/>
    </xf>
    <xf numFmtId="0" fontId="26" fillId="0" borderId="0" applyAlignment="1" pivotButton="0" quotePrefix="0" xfId="0">
      <alignment horizontal="left" vertical="center" wrapText="1"/>
    </xf>
    <xf numFmtId="0" fontId="26" fillId="0" borderId="23" applyAlignment="1" pivotButton="0" quotePrefix="0" xfId="0">
      <alignment horizontal="center" vertical="center" wrapText="1"/>
    </xf>
    <xf numFmtId="164" fontId="18" fillId="13" borderId="44" applyAlignment="1" pivotButton="0" quotePrefix="0" xfId="0">
      <alignment horizontal="right" vertical="center"/>
    </xf>
    <xf numFmtId="0" fontId="46" fillId="0" borderId="0" applyAlignment="1" pivotButton="0" quotePrefix="0" xfId="0">
      <alignment horizontal="left" vertical="center" wrapText="1"/>
    </xf>
    <xf numFmtId="164" fontId="18" fillId="13" borderId="38" applyAlignment="1" pivotButton="0" quotePrefix="0" xfId="0">
      <alignment horizontal="center" vertical="center"/>
    </xf>
    <xf numFmtId="164" fontId="46" fillId="13" borderId="51" applyAlignment="1" pivotButton="0" quotePrefix="0" xfId="0">
      <alignment horizontal="right" vertical="center"/>
    </xf>
    <xf numFmtId="0" fontId="45" fillId="0" borderId="38" applyAlignment="1" pivotButton="0" quotePrefix="0" xfId="0">
      <alignment horizontal="left" vertical="center" wrapText="1"/>
    </xf>
    <xf numFmtId="164" fontId="18" fillId="13" borderId="0" applyAlignment="1" pivotButton="0" quotePrefix="0" xfId="0">
      <alignment horizontal="right" vertical="center"/>
    </xf>
    <xf numFmtId="164" fontId="26" fillId="0" borderId="38" applyAlignment="1" pivotButton="0" quotePrefix="0" xfId="0">
      <alignment horizontal="right" vertical="center"/>
    </xf>
    <xf numFmtId="165" fontId="47" fillId="13" borderId="0" applyAlignment="1" pivotButton="0" quotePrefix="0" xfId="0">
      <alignment horizontal="center" vertical="center"/>
    </xf>
    <xf numFmtId="164" fontId="18" fillId="13" borderId="35" applyAlignment="1" pivotButton="0" quotePrefix="0" xfId="0">
      <alignment horizontal="right" vertical="center"/>
    </xf>
    <xf numFmtId="165" fontId="47" fillId="13" borderId="30" applyAlignment="1" pivotButton="0" quotePrefix="0" xfId="0">
      <alignment horizontal="center" vertical="center"/>
    </xf>
    <xf numFmtId="0" fontId="45" fillId="0" borderId="41" applyAlignment="1" pivotButton="0" quotePrefix="0" xfId="0">
      <alignment horizontal="left" vertical="center" wrapText="1"/>
    </xf>
    <xf numFmtId="0" fontId="42" fillId="0" borderId="23" applyAlignment="1" pivotButton="0" quotePrefix="0" xfId="0">
      <alignment horizontal="center" vertical="center"/>
    </xf>
    <xf numFmtId="164" fontId="26" fillId="13" borderId="37" applyAlignment="1" pivotButton="0" quotePrefix="0" xfId="0">
      <alignment horizontal="right" vertical="center"/>
    </xf>
    <xf numFmtId="0" fontId="0" fillId="0" borderId="65" pivotButton="0" quotePrefix="0" xfId="0"/>
    <xf numFmtId="164" fontId="26" fillId="0" borderId="0" applyAlignment="1" pivotButton="0" quotePrefix="0" xfId="0">
      <alignment horizontal="right" vertical="center"/>
    </xf>
    <xf numFmtId="164" fontId="45" fillId="13" borderId="35" applyAlignment="1" pivotButton="0" quotePrefix="0" xfId="0">
      <alignment horizontal="right" vertical="center"/>
    </xf>
    <xf numFmtId="164" fontId="26" fillId="0" borderId="23" applyAlignment="1" pivotButton="0" quotePrefix="0" xfId="0">
      <alignment horizontal="right" vertical="center"/>
    </xf>
    <xf numFmtId="164" fontId="26" fillId="13" borderId="36" applyAlignment="1" pivotButton="0" quotePrefix="0" xfId="0">
      <alignment horizontal="right" vertical="center"/>
    </xf>
    <xf numFmtId="164" fontId="45" fillId="0" borderId="45" applyAlignment="1" pivotButton="0" quotePrefix="0" xfId="0">
      <alignment horizontal="right" vertical="center"/>
    </xf>
    <xf numFmtId="0" fontId="26" fillId="0" borderId="32" applyAlignment="1" pivotButton="0" quotePrefix="0" xfId="0">
      <alignment horizontal="left" vertical="center" wrapText="1"/>
    </xf>
    <xf numFmtId="0" fontId="45" fillId="13" borderId="23" applyAlignment="1" pivotButton="0" quotePrefix="0" xfId="0">
      <alignment horizontal="left" vertical="center" wrapText="1"/>
    </xf>
    <xf numFmtId="0" fontId="41" fillId="13" borderId="23" applyAlignment="1" pivotButton="0" quotePrefix="0" xfId="0">
      <alignment horizontal="center" vertical="center" wrapText="1"/>
    </xf>
    <xf numFmtId="0" fontId="46" fillId="0" borderId="30" applyAlignment="1" pivotButton="0" quotePrefix="0" xfId="0">
      <alignment horizontal="left" vertical="center" wrapText="1"/>
    </xf>
    <xf numFmtId="0" fontId="18" fillId="0" borderId="23" applyAlignment="1" pivotButton="0" quotePrefix="0" xfId="0">
      <alignment horizontal="center" vertical="center" wrapText="1"/>
    </xf>
    <xf numFmtId="0" fontId="45" fillId="13" borderId="38" applyAlignment="1" pivotButton="0" quotePrefix="0" xfId="0">
      <alignment horizontal="left" vertical="center" wrapText="1"/>
    </xf>
    <xf numFmtId="0" fontId="46" fillId="13" borderId="0" applyAlignment="1" pivotButton="0" quotePrefix="0" xfId="0">
      <alignment horizontal="left" vertical="center" wrapText="1"/>
    </xf>
    <xf numFmtId="0" fontId="49" fillId="0" borderId="25" applyAlignment="1" pivotButton="0" quotePrefix="0" xfId="0">
      <alignment horizontal="center" vertical="center" wrapText="1"/>
    </xf>
    <xf numFmtId="0" fontId="33" fillId="0" borderId="0" pivotButton="0" quotePrefix="0" xfId="0"/>
    <xf numFmtId="164" fontId="26" fillId="0" borderId="31" applyAlignment="1" pivotButton="0" quotePrefix="0" xfId="0">
      <alignment horizontal="center" vertical="center"/>
    </xf>
    <xf numFmtId="164" fontId="46" fillId="0" borderId="40" applyAlignment="1" pivotButton="0" quotePrefix="0" xfId="0">
      <alignment horizontal="right" vertical="center"/>
    </xf>
    <xf numFmtId="165" fontId="47" fillId="13" borderId="40" applyAlignment="1" pivotButton="0" quotePrefix="0" xfId="0">
      <alignment horizontal="center" vertical="center"/>
    </xf>
    <xf numFmtId="164" fontId="26" fillId="0" borderId="38" applyAlignment="1" pivotButton="0" quotePrefix="0" xfId="0">
      <alignment horizontal="center" vertical="center"/>
    </xf>
    <xf numFmtId="0" fontId="45" fillId="13" borderId="30" applyAlignment="1" pivotButton="0" quotePrefix="0" xfId="0">
      <alignment horizontal="left" vertical="center"/>
    </xf>
    <xf numFmtId="164" fontId="26" fillId="0" borderId="23" applyAlignment="1" pivotButton="0" quotePrefix="0" xfId="0">
      <alignment horizontal="center" vertical="center" wrapText="1"/>
    </xf>
    <xf numFmtId="0" fontId="26" fillId="13" borderId="23" applyAlignment="1" pivotButton="0" quotePrefix="0" xfId="0">
      <alignment horizontal="left" vertical="center" wrapText="1"/>
    </xf>
    <xf numFmtId="165" fontId="47" fillId="13" borderId="40" applyAlignment="1" pivotButton="0" quotePrefix="0" xfId="0">
      <alignment horizontal="left" vertical="center" wrapText="1"/>
    </xf>
    <xf numFmtId="0" fontId="45" fillId="0" borderId="30" applyAlignment="1" pivotButton="0" quotePrefix="0" xfId="0">
      <alignment horizontal="left" vertical="center" wrapText="1"/>
    </xf>
    <xf numFmtId="0" fontId="44" fillId="0" borderId="30" applyAlignment="1" pivotButton="0" quotePrefix="0" xfId="0">
      <alignment horizontal="center" vertical="center"/>
    </xf>
    <xf numFmtId="0" fontId="39" fillId="0" borderId="25" applyAlignment="1" pivotButton="0" quotePrefix="0" xfId="0">
      <alignment horizontal="center" vertical="center" wrapText="1"/>
    </xf>
    <xf numFmtId="0" fontId="46" fillId="13" borderId="34" applyAlignment="1" pivotButton="0" quotePrefix="0" xfId="0">
      <alignment horizontal="left" vertical="center"/>
    </xf>
    <xf numFmtId="164" fontId="46" fillId="0" borderId="23" applyAlignment="1" pivotButton="0" quotePrefix="0" xfId="0">
      <alignment horizontal="center" vertical="center" wrapText="1"/>
    </xf>
    <xf numFmtId="164" fontId="26" fillId="13" borderId="40" applyAlignment="1" pivotButton="0" quotePrefix="0" xfId="0">
      <alignment horizontal="right" vertical="center"/>
    </xf>
    <xf numFmtId="0" fontId="39" fillId="0" borderId="27" applyAlignment="1" pivotButton="0" quotePrefix="0" xfId="0">
      <alignment horizontal="center" vertical="center" wrapText="1"/>
    </xf>
    <xf numFmtId="0" fontId="26" fillId="0" borderId="38" applyAlignment="1" pivotButton="0" quotePrefix="0" xfId="0">
      <alignment horizontal="left" vertical="center" wrapText="1"/>
    </xf>
    <xf numFmtId="0" fontId="26" fillId="0" borderId="24" applyAlignment="1" pivotButton="0" quotePrefix="0" xfId="0">
      <alignment horizontal="left" vertical="center" wrapText="1"/>
    </xf>
    <xf numFmtId="164" fontId="46" fillId="13" borderId="38" applyAlignment="1" pivotButton="0" quotePrefix="0" xfId="0">
      <alignment horizontal="right" vertical="center"/>
    </xf>
    <xf numFmtId="164" fontId="45" fillId="13" borderId="43" applyAlignment="1" pivotButton="0" quotePrefix="0" xfId="0">
      <alignment horizontal="right" vertical="center"/>
    </xf>
    <xf numFmtId="0" fontId="0" fillId="0" borderId="66" pivotButton="0" quotePrefix="0" xfId="0"/>
    <xf numFmtId="0" fontId="0" fillId="0" borderId="43" pivotButton="0" quotePrefix="0" xfId="0"/>
    <xf numFmtId="164" fontId="26" fillId="13" borderId="49" applyAlignment="1" pivotButton="0" quotePrefix="0" xfId="0">
      <alignment horizontal="right" vertical="center"/>
    </xf>
    <xf numFmtId="0" fontId="0" fillId="0" borderId="49" pivotButton="0" quotePrefix="0" xfId="0"/>
    <xf numFmtId="164" fontId="26" fillId="13" borderId="39" applyAlignment="1" pivotButton="0" quotePrefix="0" xfId="0">
      <alignment horizontal="right" vertical="center"/>
    </xf>
    <xf numFmtId="164" fontId="18" fillId="0" borderId="44" applyAlignment="1" pivotButton="0" quotePrefix="0" xfId="0">
      <alignment horizontal="right" vertical="center"/>
    </xf>
    <xf numFmtId="164" fontId="26" fillId="13" borderId="0" applyAlignment="1" pivotButton="0" quotePrefix="0" xfId="0">
      <alignment horizontal="right" vertical="center"/>
    </xf>
    <xf numFmtId="164" fontId="18" fillId="13" borderId="30" applyAlignment="1" pivotButton="0" quotePrefix="0" xfId="0">
      <alignment horizontal="center" vertical="center"/>
    </xf>
    <xf numFmtId="164" fontId="46" fillId="0" borderId="35" applyAlignment="1" pivotButton="0" quotePrefix="0" xfId="0">
      <alignment horizontal="right" vertical="center"/>
    </xf>
    <xf numFmtId="0" fontId="18" fillId="0" borderId="25" applyAlignment="1" pivotButton="0" quotePrefix="0" xfId="0">
      <alignment horizontal="left" vertical="center" wrapText="1"/>
    </xf>
    <xf numFmtId="0" fontId="46" fillId="0" borderId="38" applyAlignment="1" pivotButton="0" quotePrefix="0" xfId="0">
      <alignment horizontal="left" vertical="center"/>
    </xf>
    <xf numFmtId="0" fontId="37" fillId="0" borderId="0" applyAlignment="1" pivotButton="0" quotePrefix="0" xfId="0">
      <alignment horizontal="center"/>
    </xf>
    <xf numFmtId="164" fontId="22" fillId="13" borderId="30" applyAlignment="1" pivotButton="0" quotePrefix="0" xfId="0">
      <alignment horizontal="center"/>
    </xf>
    <xf numFmtId="164" fontId="45" fillId="13" borderId="0" applyAlignment="1" pivotButton="0" quotePrefix="0" xfId="0">
      <alignment horizontal="right" vertical="center"/>
    </xf>
    <xf numFmtId="164" fontId="26" fillId="13" borderId="38" applyAlignment="1" pivotButton="0" quotePrefix="0" xfId="0">
      <alignment horizontal="right" vertical="center"/>
    </xf>
    <xf numFmtId="164" fontId="46" fillId="13" borderId="52" applyAlignment="1" pivotButton="0" quotePrefix="0" xfId="0">
      <alignment horizontal="right" vertical="center"/>
    </xf>
    <xf numFmtId="0" fontId="43" fillId="0" borderId="29" applyAlignment="1" pivotButton="0" quotePrefix="0" xfId="0">
      <alignment horizontal="center"/>
    </xf>
    <xf numFmtId="0" fontId="26" fillId="0" borderId="23" applyAlignment="1" pivotButton="0" quotePrefix="0" xfId="0">
      <alignment horizontal="left" vertical="top" wrapText="1"/>
    </xf>
    <xf numFmtId="0" fontId="0" fillId="0" borderId="30" pivotButton="0" quotePrefix="0" xfId="0"/>
    <xf numFmtId="164" fontId="46" fillId="13" borderId="40" applyAlignment="1" pivotButton="0" quotePrefix="0" xfId="0">
      <alignment horizontal="right" vertical="center"/>
    </xf>
    <xf numFmtId="164" fontId="26" fillId="0" borderId="30" applyAlignment="1" pivotButton="0" quotePrefix="0" xfId="0">
      <alignment horizontal="right" vertical="center"/>
    </xf>
    <xf numFmtId="0" fontId="18" fillId="13" borderId="38" applyAlignment="1" pivotButton="0" quotePrefix="0" xfId="0">
      <alignment horizontal="left" vertical="center" wrapText="1"/>
    </xf>
    <xf numFmtId="164" fontId="26" fillId="13" borderId="23" applyAlignment="1" pivotButton="0" quotePrefix="0" xfId="0">
      <alignment horizontal="right" vertical="center" wrapText="1"/>
    </xf>
    <xf numFmtId="0" fontId="26" fillId="0" borderId="23" applyAlignment="1" pivotButton="0" quotePrefix="0" xfId="0">
      <alignment horizontal="center" wrapText="1"/>
    </xf>
    <xf numFmtId="0" fontId="49" fillId="0" borderId="27" applyAlignment="1" pivotButton="0" quotePrefix="0" xfId="0">
      <alignment horizontal="center" vertical="center" wrapText="1"/>
    </xf>
    <xf numFmtId="164" fontId="18" fillId="0" borderId="41" applyAlignment="1" pivotButton="0" quotePrefix="0" xfId="0">
      <alignment horizontal="right" vertical="center"/>
    </xf>
    <xf numFmtId="0" fontId="45" fillId="0" borderId="33" applyAlignment="1" pivotButton="0" quotePrefix="0" xfId="0">
      <alignment horizontal="center" vertical="center"/>
    </xf>
    <xf numFmtId="164" fontId="26" fillId="13" borderId="38" applyAlignment="1" pivotButton="0" quotePrefix="0" xfId="0">
      <alignment horizontal="center" vertical="center"/>
    </xf>
    <xf numFmtId="0" fontId="45" fillId="13" borderId="38" applyAlignment="1" pivotButton="0" quotePrefix="0" xfId="0">
      <alignment horizontal="left" vertical="center"/>
    </xf>
    <xf numFmtId="0" fontId="18" fillId="13" borderId="23" applyAlignment="1" pivotButton="0" quotePrefix="0" xfId="0">
      <alignment horizontal="left" vertical="center" wrapText="1"/>
    </xf>
    <xf numFmtId="164" fontId="18" fillId="13" borderId="40" applyAlignment="1" pivotButton="0" quotePrefix="0" xfId="0">
      <alignment horizontal="right" vertical="center"/>
    </xf>
    <xf numFmtId="164" fontId="26" fillId="13" borderId="52" applyAlignment="1" pivotButton="0" quotePrefix="0" xfId="0">
      <alignment horizontal="center" vertical="center"/>
    </xf>
    <xf numFmtId="0" fontId="26" fillId="0" borderId="23" applyAlignment="1" pivotButton="0" quotePrefix="0" xfId="0">
      <alignment horizontal="left" vertical="center" wrapText="1"/>
    </xf>
    <xf numFmtId="0" fontId="26" fillId="14" borderId="0" applyAlignment="1" pivotButton="0" quotePrefix="0" xfId="0">
      <alignment horizontal="right" vertical="center"/>
    </xf>
    <xf numFmtId="164" fontId="26" fillId="13" borderId="45" applyAlignment="1" pivotButton="0" quotePrefix="0" xfId="0">
      <alignment horizontal="right" vertical="center"/>
    </xf>
    <xf numFmtId="164" fontId="26" fillId="0" borderId="27" applyAlignment="1" pivotButton="0" quotePrefix="0" xfId="0">
      <alignment horizontal="right" vertical="center"/>
    </xf>
    <xf numFmtId="0" fontId="45" fillId="13" borderId="0" applyAlignment="1" pivotButton="0" quotePrefix="0" xfId="0">
      <alignment horizontal="left" vertical="center" wrapText="1"/>
    </xf>
    <xf numFmtId="0" fontId="46" fillId="0" borderId="23" applyAlignment="1" pivotButton="0" quotePrefix="0" xfId="0">
      <alignment horizontal="left" vertical="center" wrapText="1"/>
    </xf>
    <xf numFmtId="0" fontId="23" fillId="0" borderId="33" applyAlignment="1" pivotButton="0" quotePrefix="0" xfId="0">
      <alignment horizontal="center" vertical="center" wrapText="1"/>
    </xf>
    <xf numFmtId="0" fontId="39" fillId="0" borderId="28" applyAlignment="1" pivotButton="0" quotePrefix="0" xfId="0">
      <alignment horizontal="center" vertical="center" wrapText="1"/>
    </xf>
    <xf numFmtId="164" fontId="18" fillId="13" borderId="30" applyAlignment="1" pivotButton="0" quotePrefix="0" xfId="0">
      <alignment horizontal="right" vertical="center"/>
    </xf>
    <xf numFmtId="0" fontId="46" fillId="13" borderId="28" applyAlignment="1" pivotButton="0" quotePrefix="0" xfId="0">
      <alignment horizontal="left" vertical="center" wrapText="1"/>
    </xf>
    <xf numFmtId="164" fontId="45" fillId="0" borderId="23" applyAlignment="1" pivotButton="0" quotePrefix="0" xfId="0">
      <alignment horizontal="center" vertical="center"/>
    </xf>
    <xf numFmtId="0" fontId="46" fillId="13" borderId="46" applyAlignment="1" pivotButton="0" quotePrefix="0" xfId="0">
      <alignment horizontal="left" vertical="center" wrapText="1"/>
    </xf>
    <xf numFmtId="0" fontId="0" fillId="0" borderId="67" pivotButton="0" quotePrefix="0" xfId="0"/>
    <xf numFmtId="0" fontId="45" fillId="14" borderId="0" applyAlignment="1" pivotButton="0" quotePrefix="0" xfId="0">
      <alignment horizontal="center" vertical="center"/>
    </xf>
    <xf numFmtId="0" fontId="46" fillId="14" borderId="0" applyAlignment="1" pivotButton="0" quotePrefix="0" xfId="0">
      <alignment horizontal="right" vertical="center"/>
    </xf>
    <xf numFmtId="164" fontId="46" fillId="13" borderId="0" applyAlignment="1" pivotButton="0" quotePrefix="0" xfId="0">
      <alignment horizontal="right" vertical="center"/>
    </xf>
    <xf numFmtId="164" fontId="45" fillId="0" borderId="35" applyAlignment="1" pivotButton="0" quotePrefix="0" xfId="0">
      <alignment horizontal="right" vertical="center"/>
    </xf>
    <xf numFmtId="164" fontId="45" fillId="13" borderId="40" applyAlignment="1" pivotButton="0" quotePrefix="0" xfId="0">
      <alignment horizontal="right" vertical="center"/>
    </xf>
    <xf numFmtId="0" fontId="26" fillId="0" borderId="28" applyAlignment="1" pivotButton="0" quotePrefix="0" xfId="0">
      <alignment horizontal="left" vertical="center" wrapText="1"/>
    </xf>
    <xf numFmtId="0" fontId="46" fillId="13" borderId="23" applyAlignment="1" pivotButton="0" quotePrefix="0" xfId="0">
      <alignment horizontal="center" vertical="center" wrapText="1"/>
    </xf>
    <xf numFmtId="0" fontId="46" fillId="0" borderId="23" applyAlignment="1" pivotButton="0" quotePrefix="0" xfId="0">
      <alignment horizontal="center" vertical="center"/>
    </xf>
    <xf numFmtId="0" fontId="52" fillId="0" borderId="26" applyAlignment="1" pivotButton="0" quotePrefix="0" xfId="0">
      <alignment horizontal="center" vertical="top"/>
    </xf>
    <xf numFmtId="164" fontId="26" fillId="0" borderId="39" applyAlignment="1" pivotButton="0" quotePrefix="0" xfId="0">
      <alignment horizontal="right" vertical="center"/>
    </xf>
    <xf numFmtId="164" fontId="26" fillId="13" borderId="35" applyAlignment="1" pivotButton="0" quotePrefix="0" xfId="0">
      <alignment horizontal="right" vertical="center"/>
    </xf>
    <xf numFmtId="0" fontId="26" fillId="13" borderId="40" applyAlignment="1" pivotButton="0" quotePrefix="0" xfId="0">
      <alignment horizontal="left" vertical="center" wrapText="1"/>
    </xf>
    <xf numFmtId="0" fontId="26" fillId="14" borderId="41" applyAlignment="1" pivotButton="0" quotePrefix="0" xfId="0">
      <alignment horizontal="right" vertical="center"/>
    </xf>
    <xf numFmtId="0" fontId="26" fillId="0" borderId="23" applyAlignment="1" pivotButton="0" quotePrefix="0" xfId="0">
      <alignment horizontal="center"/>
    </xf>
    <xf numFmtId="164" fontId="18" fillId="0" borderId="0" applyAlignment="1" pivotButton="0" quotePrefix="0" xfId="0">
      <alignment horizontal="right" vertical="center"/>
    </xf>
    <xf numFmtId="0" fontId="26" fillId="13" borderId="35" applyAlignment="1" pivotButton="0" quotePrefix="0" xfId="0">
      <alignment horizontal="left" vertical="center" wrapText="1"/>
    </xf>
    <xf numFmtId="0" fontId="46" fillId="13" borderId="38" applyAlignment="1" pivotButton="0" quotePrefix="0" xfId="0">
      <alignment horizontal="left" vertical="center" wrapText="1"/>
    </xf>
    <xf numFmtId="0" fontId="18" fillId="0" borderId="27" applyAlignment="1" pivotButton="0" quotePrefix="0" xfId="0">
      <alignment horizontal="left" vertical="center" wrapText="1"/>
    </xf>
    <xf numFmtId="0" fontId="46" fillId="13" borderId="23" applyAlignment="1" pivotButton="0" quotePrefix="0" xfId="0">
      <alignment horizontal="left" vertical="center" wrapText="1"/>
    </xf>
    <xf numFmtId="0" fontId="44" fillId="0" borderId="32" applyAlignment="1" pivotButton="0" quotePrefix="0" xfId="0">
      <alignment horizontal="center" vertical="center"/>
    </xf>
    <xf numFmtId="0" fontId="51" fillId="13" borderId="29" applyAlignment="1" pivotButton="0" quotePrefix="0" xfId="0">
      <alignment horizontal="center" vertical="center"/>
    </xf>
    <xf numFmtId="164" fontId="26" fillId="0" borderId="28" applyAlignment="1" pivotButton="0" quotePrefix="0" xfId="0">
      <alignment horizontal="center" vertical="center" wrapText="1"/>
    </xf>
    <xf numFmtId="164" fontId="46" fillId="13" borderId="23" applyAlignment="1" pivotButton="0" quotePrefix="0" xfId="0">
      <alignment horizontal="center" vertical="center" wrapText="1"/>
    </xf>
    <xf numFmtId="0" fontId="26" fillId="0" borderId="26" applyAlignment="1" pivotButton="0" quotePrefix="0" xfId="0">
      <alignment horizontal="left" vertical="center" wrapText="1"/>
    </xf>
    <xf numFmtId="0" fontId="26" fillId="0" borderId="28" applyAlignment="1" pivotButton="0" quotePrefix="0" xfId="0">
      <alignment horizontal="left" vertical="center"/>
    </xf>
    <xf numFmtId="0" fontId="48" fillId="0" borderId="30" applyAlignment="1" pivotButton="0" quotePrefix="0" xfId="0">
      <alignment horizontal="center" vertical="center" wrapText="1"/>
    </xf>
    <xf numFmtId="164" fontId="46" fillId="13" borderId="27" applyAlignment="1" pivotButton="0" quotePrefix="0" xfId="0">
      <alignment horizontal="right" vertical="center"/>
    </xf>
    <xf numFmtId="164" fontId="18" fillId="0" borderId="48" applyAlignment="1" pivotButton="0" quotePrefix="0" xfId="0">
      <alignment horizontal="right" vertical="center"/>
    </xf>
    <xf numFmtId="0" fontId="0" fillId="0" borderId="68" pivotButton="0" quotePrefix="0" xfId="0"/>
    <xf numFmtId="164" fontId="46" fillId="0" borderId="0" applyAlignment="1" pivotButton="0" quotePrefix="0" xfId="0">
      <alignment horizontal="right" vertical="center"/>
    </xf>
    <xf numFmtId="166" fontId="21" fillId="10" borderId="14" applyAlignment="1" applyProtection="1" pivotButton="0" quotePrefix="0" xfId="0">
      <alignment horizontal="left" vertical="center"/>
      <protection locked="0" hidden="0"/>
    </xf>
    <xf numFmtId="166" fontId="23" fillId="0" borderId="15" applyAlignment="1" applyProtection="1" pivotButton="0" quotePrefix="0" xfId="0">
      <alignment horizontal="left" vertical="center" wrapText="1"/>
      <protection locked="0" hidden="0"/>
    </xf>
    <xf numFmtId="167" fontId="27" fillId="10" borderId="12" applyAlignment="1" applyProtection="1" pivotButton="0" quotePrefix="0" xfId="0">
      <alignment horizontal="center" vertical="center" wrapText="1"/>
      <protection locked="0" hidden="0"/>
    </xf>
    <xf numFmtId="164" fontId="0" fillId="0" borderId="7" applyAlignment="1" applyProtection="1" pivotButton="0" quotePrefix="0" xfId="0">
      <alignment wrapText="1"/>
      <protection locked="0" hidden="0"/>
    </xf>
    <xf numFmtId="164" fontId="0" fillId="0" borderId="10" applyAlignment="1" applyProtection="1" pivotButton="0" quotePrefix="0" xfId="0">
      <alignment wrapText="1"/>
      <protection locked="0" hidden="0"/>
    </xf>
    <xf numFmtId="164" fontId="0" fillId="0" borderId="7" applyAlignment="1" pivotButton="0" quotePrefix="0" xfId="0">
      <alignment wrapText="1"/>
    </xf>
    <xf numFmtId="164" fontId="28" fillId="12" borderId="7" applyAlignment="1" applyProtection="1" pivotButton="0" quotePrefix="0" xfId="0">
      <alignment wrapText="1"/>
      <protection locked="0" hidden="0"/>
    </xf>
    <xf numFmtId="164" fontId="0" fillId="0" borderId="0" pivotButton="0" quotePrefix="0" xfId="0"/>
    <xf numFmtId="164" fontId="0" fillId="0" borderId="10" applyAlignment="1" pivotButton="0" quotePrefix="0" xfId="0">
      <alignment wrapText="1"/>
    </xf>
    <xf numFmtId="164" fontId="28" fillId="12" borderId="10" applyAlignment="1" applyProtection="1" pivotButton="0" quotePrefix="0" xfId="0">
      <alignment wrapText="1"/>
      <protection locked="0" hidden="0"/>
    </xf>
    <xf numFmtId="164" fontId="34" fillId="0" borderId="22" applyAlignment="1" applyProtection="1" pivotButton="0" quotePrefix="0" xfId="0">
      <alignment horizontal="center" vertical="center" wrapText="1"/>
      <protection locked="0" hidden="0"/>
    </xf>
    <xf numFmtId="164" fontId="35" fillId="0" borderId="22" applyAlignment="1" pivotButton="0" quotePrefix="0" xfId="0">
      <alignment horizontal="center" vertical="center" wrapText="1"/>
    </xf>
    <xf numFmtId="164" fontId="34" fillId="3" borderId="22" applyAlignment="1" applyProtection="1" pivotButton="0" quotePrefix="0" xfId="0">
      <alignment horizontal="center" vertical="center" wrapText="1"/>
      <protection locked="0" hidden="0"/>
    </xf>
    <xf numFmtId="164" fontId="35" fillId="3" borderId="22" applyAlignment="1" pivotButton="0" quotePrefix="0" xfId="0">
      <alignment horizontal="center" vertical="center" wrapText="1"/>
    </xf>
    <xf numFmtId="164" fontId="0" fillId="0" borderId="0" applyProtection="1" pivotButton="0" quotePrefix="0" xfId="0">
      <protection locked="0" hidden="0"/>
    </xf>
    <xf numFmtId="164" fontId="0" fillId="0" borderId="7" pivotButton="0" quotePrefix="0" xfId="0"/>
    <xf numFmtId="164" fontId="0" fillId="0" borderId="8" pivotButton="0" quotePrefix="0" xfId="0"/>
    <xf numFmtId="164" fontId="36" fillId="0" borderId="8" applyProtection="1" pivotButton="0" quotePrefix="0" xfId="0">
      <protection locked="0" hidden="0"/>
    </xf>
    <xf numFmtId="164" fontId="0" fillId="0" borderId="10" pivotButton="0" quotePrefix="0" xfId="0"/>
    <xf numFmtId="164" fontId="0" fillId="0" borderId="11" pivotButton="0" quotePrefix="0" xfId="0"/>
    <xf numFmtId="164" fontId="36" fillId="0" borderId="11" applyProtection="1" pivotButton="0" quotePrefix="0" xfId="0">
      <protection locked="0" hidden="0"/>
    </xf>
    <xf numFmtId="164" fontId="28" fillId="12" borderId="7" applyAlignment="1" pivotButton="0" quotePrefix="0" xfId="0">
      <alignment wrapText="1"/>
    </xf>
    <xf numFmtId="164" fontId="26" fillId="0" borderId="25" applyAlignment="1" pivotButton="0" quotePrefix="0" xfId="0">
      <alignment horizontal="center" vertical="center" wrapText="1"/>
    </xf>
    <xf numFmtId="164" fontId="46" fillId="0" borderId="23" applyAlignment="1" pivotButton="0" quotePrefix="0" xfId="0">
      <alignment horizontal="center" vertical="center" wrapText="1"/>
    </xf>
    <xf numFmtId="164" fontId="26" fillId="0" borderId="23" applyAlignment="1" pivotButton="0" quotePrefix="0" xfId="0">
      <alignment horizontal="center" vertical="center" wrapText="1"/>
    </xf>
    <xf numFmtId="164" fontId="46" fillId="13" borderId="27" applyAlignment="1" pivotButton="0" quotePrefix="0" xfId="0">
      <alignment horizontal="right" vertical="center"/>
    </xf>
    <xf numFmtId="164" fontId="26" fillId="13" borderId="36" applyAlignment="1" pivotButton="0" quotePrefix="0" xfId="0">
      <alignment horizontal="right" vertical="center"/>
    </xf>
    <xf numFmtId="164" fontId="26" fillId="13" borderId="37" applyAlignment="1" pivotButton="0" quotePrefix="0" xfId="0">
      <alignment horizontal="right" vertical="center"/>
    </xf>
    <xf numFmtId="164" fontId="26" fillId="0" borderId="38" applyAlignment="1" pivotButton="0" quotePrefix="0" xfId="0">
      <alignment horizontal="right" vertical="center"/>
    </xf>
    <xf numFmtId="164" fontId="46" fillId="13" borderId="38" applyAlignment="1" pivotButton="0" quotePrefix="0" xfId="0">
      <alignment horizontal="right" vertical="center"/>
    </xf>
    <xf numFmtId="164" fontId="26" fillId="13" borderId="39" applyAlignment="1" pivotButton="0" quotePrefix="0" xfId="0">
      <alignment horizontal="right" vertical="center"/>
    </xf>
    <xf numFmtId="164" fontId="26" fillId="13" borderId="38" applyAlignment="1" pivotButton="0" quotePrefix="0" xfId="0">
      <alignment horizontal="right" vertical="center"/>
    </xf>
    <xf numFmtId="164" fontId="26" fillId="0" borderId="39" applyAlignment="1" pivotButton="0" quotePrefix="0" xfId="0">
      <alignment horizontal="right" vertical="center"/>
    </xf>
    <xf numFmtId="164" fontId="45" fillId="13" borderId="40" applyAlignment="1" pivotButton="0" quotePrefix="0" xfId="0">
      <alignment horizontal="right" vertical="center"/>
    </xf>
    <xf numFmtId="164" fontId="18" fillId="13" borderId="39" applyAlignment="1" pivotButton="0" quotePrefix="0" xfId="0">
      <alignment horizontal="right" vertical="center"/>
    </xf>
    <xf numFmtId="164" fontId="18" fillId="13" borderId="38" applyAlignment="1" pivotButton="0" quotePrefix="0" xfId="0">
      <alignment horizontal="right" vertical="center"/>
    </xf>
    <xf numFmtId="164" fontId="26" fillId="0" borderId="30" applyAlignment="1" pivotButton="0" quotePrefix="0" xfId="0">
      <alignment horizontal="right" vertical="center"/>
    </xf>
    <xf numFmtId="164" fontId="46" fillId="13" borderId="40" applyAlignment="1" pivotButton="0" quotePrefix="0" xfId="0">
      <alignment horizontal="right" vertical="center"/>
    </xf>
    <xf numFmtId="164" fontId="26" fillId="13" borderId="42" applyAlignment="1" pivotButton="0" quotePrefix="0" xfId="0">
      <alignment horizontal="right" vertical="center"/>
    </xf>
    <xf numFmtId="164" fontId="46" fillId="0" borderId="40" applyAlignment="1" pivotButton="0" quotePrefix="0" xfId="0">
      <alignment horizontal="right" vertical="center"/>
    </xf>
    <xf numFmtId="164" fontId="26" fillId="0" borderId="0" applyAlignment="1" pivotButton="0" quotePrefix="0" xfId="0">
      <alignment horizontal="right" vertical="center"/>
    </xf>
    <xf numFmtId="164" fontId="45" fillId="13" borderId="43" applyAlignment="1" pivotButton="0" quotePrefix="0" xfId="0">
      <alignment horizontal="right" vertical="center"/>
    </xf>
    <xf numFmtId="164" fontId="18" fillId="13" borderId="44" applyAlignment="1" pivotButton="0" quotePrefix="0" xfId="0">
      <alignment horizontal="right" vertical="center"/>
    </xf>
    <xf numFmtId="164" fontId="18" fillId="13" borderId="30" applyAlignment="1" pivotButton="0" quotePrefix="0" xfId="0">
      <alignment horizontal="right" vertical="center"/>
    </xf>
    <xf numFmtId="164" fontId="46" fillId="0" borderId="0" applyAlignment="1" pivotButton="0" quotePrefix="0" xfId="0">
      <alignment horizontal="right" vertical="center"/>
    </xf>
    <xf numFmtId="164" fontId="26" fillId="0" borderId="40" applyAlignment="1" pivotButton="0" quotePrefix="0" xfId="0">
      <alignment horizontal="right" vertical="center"/>
    </xf>
    <xf numFmtId="164" fontId="26" fillId="0" borderId="27" applyAlignment="1" pivotButton="0" quotePrefix="0" xfId="0">
      <alignment horizontal="right" vertical="center"/>
    </xf>
    <xf numFmtId="164" fontId="46" fillId="13" borderId="0" applyAlignment="1" pivotButton="0" quotePrefix="0" xfId="0">
      <alignment horizontal="right" vertical="center"/>
    </xf>
    <xf numFmtId="164" fontId="26" fillId="13" borderId="40" applyAlignment="1" pivotButton="0" quotePrefix="0" xfId="0">
      <alignment horizontal="right" vertical="center"/>
    </xf>
    <xf numFmtId="164" fontId="26" fillId="13" borderId="0" applyAlignment="1" pivotButton="0" quotePrefix="0" xfId="0">
      <alignment horizontal="right" vertical="center"/>
    </xf>
    <xf numFmtId="164" fontId="45" fillId="0" borderId="41" applyAlignment="1" pivotButton="0" quotePrefix="0" xfId="0">
      <alignment horizontal="right" vertical="center"/>
    </xf>
    <xf numFmtId="164" fontId="18" fillId="0" borderId="44" applyAlignment="1" pivotButton="0" quotePrefix="0" xfId="0">
      <alignment horizontal="right" vertical="center"/>
    </xf>
    <xf numFmtId="164" fontId="18" fillId="0" borderId="41" applyAlignment="1" pivotButton="0" quotePrefix="0" xfId="0">
      <alignment horizontal="right" vertical="center"/>
    </xf>
    <xf numFmtId="164" fontId="45" fillId="13" borderId="0" applyAlignment="1" pivotButton="0" quotePrefix="0" xfId="0">
      <alignment horizontal="right" vertical="center"/>
    </xf>
    <xf numFmtId="164" fontId="18" fillId="13" borderId="42" applyAlignment="1" pivotButton="0" quotePrefix="0" xfId="0">
      <alignment horizontal="right" vertical="center"/>
    </xf>
    <xf numFmtId="164" fontId="18" fillId="0" borderId="40" applyAlignment="1" pivotButton="0" quotePrefix="0" xfId="0">
      <alignment horizontal="right" vertical="center"/>
    </xf>
    <xf numFmtId="164" fontId="18" fillId="0" borderId="0" applyAlignment="1" pivotButton="0" quotePrefix="0" xfId="0">
      <alignment horizontal="right" vertical="center"/>
    </xf>
    <xf numFmtId="164" fontId="18" fillId="13" borderId="40" applyAlignment="1" pivotButton="0" quotePrefix="0" xfId="0">
      <alignment horizontal="right" vertical="center"/>
    </xf>
    <xf numFmtId="164" fontId="18" fillId="13" borderId="0" applyAlignment="1" pivotButton="0" quotePrefix="0" xfId="0">
      <alignment horizontal="right" vertical="center"/>
    </xf>
    <xf numFmtId="164" fontId="45" fillId="0" borderId="23" applyAlignment="1" pivotButton="0" quotePrefix="0" xfId="0">
      <alignment horizontal="center" vertical="center"/>
    </xf>
    <xf numFmtId="164" fontId="45" fillId="0" borderId="45" applyAlignment="1" pivotButton="0" quotePrefix="0" xfId="0">
      <alignment horizontal="right" vertical="center"/>
    </xf>
    <xf numFmtId="164" fontId="18" fillId="0" borderId="28" applyAlignment="1" pivotButton="0" quotePrefix="0" xfId="0">
      <alignment horizontal="center" vertical="center"/>
    </xf>
    <xf numFmtId="164" fontId="26" fillId="0" borderId="23" applyAlignment="1" pivotButton="0" quotePrefix="0" xfId="0">
      <alignment horizontal="right" vertical="center"/>
    </xf>
    <xf numFmtId="164" fontId="46" fillId="13" borderId="23" applyAlignment="1" pivotButton="0" quotePrefix="0" xfId="0">
      <alignment horizontal="center" vertical="center" wrapText="1"/>
    </xf>
    <xf numFmtId="164" fontId="26" fillId="13" borderId="45" applyAlignment="1" pivotButton="0" quotePrefix="0" xfId="0">
      <alignment horizontal="right" vertical="center"/>
    </xf>
    <xf numFmtId="164" fontId="18" fillId="13" borderId="30" applyAlignment="1" pivotButton="0" quotePrefix="0" xfId="0">
      <alignment horizontal="center" vertical="center"/>
    </xf>
    <xf numFmtId="164" fontId="26" fillId="13" borderId="23" applyAlignment="1" pivotButton="0" quotePrefix="0" xfId="0">
      <alignment horizontal="right" vertical="center" wrapText="1"/>
    </xf>
    <xf numFmtId="164" fontId="46" fillId="0" borderId="35" applyAlignment="1" pivotButton="0" quotePrefix="0" xfId="0">
      <alignment horizontal="right" vertical="center"/>
    </xf>
    <xf numFmtId="164" fontId="18" fillId="0" borderId="48" applyAlignment="1" pivotButton="0" quotePrefix="0" xfId="0">
      <alignment horizontal="right" vertical="center"/>
    </xf>
    <xf numFmtId="164" fontId="46" fillId="13" borderId="35" applyAlignment="1" pivotButton="0" quotePrefix="0" xfId="0">
      <alignment horizontal="right" vertical="center"/>
    </xf>
    <xf numFmtId="164" fontId="26" fillId="13" borderId="49" applyAlignment="1" pivotButton="0" quotePrefix="0" xfId="0">
      <alignment horizontal="right" vertical="center"/>
    </xf>
    <xf numFmtId="164" fontId="45" fillId="0" borderId="35" applyAlignment="1" pivotButton="0" quotePrefix="0" xfId="0">
      <alignment horizontal="right" vertical="center"/>
    </xf>
    <xf numFmtId="164" fontId="26" fillId="0" borderId="35" applyAlignment="1" pivotButton="0" quotePrefix="0" xfId="0">
      <alignment horizontal="right" vertical="center"/>
    </xf>
    <xf numFmtId="164" fontId="26" fillId="13" borderId="35" applyAlignment="1" pivotButton="0" quotePrefix="0" xfId="0">
      <alignment horizontal="right" vertical="center"/>
    </xf>
    <xf numFmtId="164" fontId="45" fillId="0" borderId="50" applyAlignment="1" pivotButton="0" quotePrefix="0" xfId="0">
      <alignment horizontal="right" vertical="center"/>
    </xf>
    <xf numFmtId="164" fontId="46" fillId="13" borderId="51" applyAlignment="1" pivotButton="0" quotePrefix="0" xfId="0">
      <alignment horizontal="right" vertical="center"/>
    </xf>
    <xf numFmtId="164" fontId="18" fillId="13" borderId="35" applyAlignment="1" pivotButton="0" quotePrefix="0" xfId="0">
      <alignment horizontal="right" vertical="center"/>
    </xf>
    <xf numFmtId="164" fontId="26" fillId="0" borderId="28" applyAlignment="1" pivotButton="0" quotePrefix="0" xfId="0">
      <alignment horizontal="center" vertical="center" wrapText="1"/>
    </xf>
    <xf numFmtId="164" fontId="26" fillId="0" borderId="28" applyAlignment="1" pivotButton="0" quotePrefix="0" xfId="0">
      <alignment horizontal="center"/>
    </xf>
    <xf numFmtId="164" fontId="45" fillId="13" borderId="35" applyAlignment="1" pivotButton="0" quotePrefix="0" xfId="0">
      <alignment horizontal="right" vertical="center"/>
    </xf>
    <xf numFmtId="164" fontId="26" fillId="13" borderId="30" applyAlignment="1" pivotButton="0" quotePrefix="0" xfId="0">
      <alignment horizontal="center" vertical="center"/>
    </xf>
    <xf numFmtId="164" fontId="22" fillId="13" borderId="30" applyAlignment="1" pivotButton="0" quotePrefix="0" xfId="0">
      <alignment horizontal="center"/>
    </xf>
    <xf numFmtId="164" fontId="18" fillId="13" borderId="38" applyAlignment="1" pivotButton="0" quotePrefix="0" xfId="0">
      <alignment horizontal="center" vertical="center"/>
    </xf>
    <xf numFmtId="164" fontId="26" fillId="0" borderId="38" applyAlignment="1" pivotButton="0" quotePrefix="0" xfId="0">
      <alignment horizontal="center" vertical="center"/>
    </xf>
    <xf numFmtId="164" fontId="46" fillId="13" borderId="52" applyAlignment="1" pivotButton="0" quotePrefix="0" xfId="0">
      <alignment horizontal="right" vertical="center"/>
    </xf>
    <xf numFmtId="164" fontId="46" fillId="0" borderId="53" applyAlignment="1" pivotButton="0" quotePrefix="0" xfId="0">
      <alignment horizontal="right" vertical="center"/>
    </xf>
    <xf numFmtId="164" fontId="26" fillId="13" borderId="38" applyAlignment="1" pivotButton="0" quotePrefix="0" xfId="0">
      <alignment horizontal="center" vertical="center"/>
    </xf>
    <xf numFmtId="164" fontId="26" fillId="13" borderId="52" applyAlignment="1" pivotButton="0" quotePrefix="0" xfId="0">
      <alignment horizontal="center" vertical="center"/>
    </xf>
    <xf numFmtId="164" fontId="18" fillId="0" borderId="30" applyAlignment="1" pivotButton="0" quotePrefix="0" xfId="0">
      <alignment horizontal="right" vertical="center"/>
    </xf>
    <xf numFmtId="164" fontId="26" fillId="0" borderId="31" applyAlignment="1" pivotButton="0" quotePrefix="0" xfId="0">
      <alignment horizontal="center" vertical="center"/>
    </xf>
    <xf numFmtId="164" fontId="18" fillId="0" borderId="32" applyAlignment="1" pivotButton="0" quotePrefix="0" xfId="0">
      <alignment horizontal="right" vertical="center"/>
    </xf>
    <xf numFmtId="165" fontId="47" fillId="13" borderId="38" applyAlignment="1" pivotButton="0" quotePrefix="0" xfId="0">
      <alignment horizontal="center" vertical="center"/>
    </xf>
    <xf numFmtId="165" fontId="47" fillId="13" borderId="40" applyAlignment="1" pivotButton="0" quotePrefix="0" xfId="0">
      <alignment horizontal="left" vertical="center" wrapText="1"/>
    </xf>
    <xf numFmtId="165" fontId="47" fillId="13" borderId="54" applyAlignment="1" pivotButton="0" quotePrefix="0" xfId="0">
      <alignment vertical="center"/>
    </xf>
    <xf numFmtId="165" fontId="47" fillId="13" borderId="41" applyAlignment="1" pivotButton="0" quotePrefix="0" xfId="0">
      <alignment vertical="center"/>
    </xf>
    <xf numFmtId="165" fontId="47" fillId="13" borderId="44" applyAlignment="1" pivotButton="0" quotePrefix="0" xfId="0">
      <alignment vertical="center"/>
    </xf>
    <xf numFmtId="165" fontId="47" fillId="13" borderId="29" applyAlignment="1" pivotButton="0" quotePrefix="0" xfId="0">
      <alignment vertical="center"/>
    </xf>
    <xf numFmtId="165" fontId="47" fillId="13" borderId="0" applyAlignment="1" pivotButton="0" quotePrefix="0" xfId="0">
      <alignment vertical="center"/>
    </xf>
    <xf numFmtId="165" fontId="47" fillId="13" borderId="40" applyAlignment="1" pivotButton="0" quotePrefix="0" xfId="0">
      <alignment vertical="center"/>
    </xf>
    <xf numFmtId="165" fontId="47" fillId="13" borderId="0" applyAlignment="1" pivotButton="0" quotePrefix="0" xfId="0">
      <alignment horizontal="center" vertical="center"/>
    </xf>
    <xf numFmtId="165" fontId="47" fillId="13" borderId="40" applyAlignment="1" pivotButton="0" quotePrefix="0" xfId="0">
      <alignment horizontal="center" vertical="center"/>
    </xf>
    <xf numFmtId="165" fontId="47" fillId="13" borderId="29" applyAlignment="1" pivotButton="0" quotePrefix="0" xfId="0">
      <alignment horizontal="center" vertical="center"/>
    </xf>
    <xf numFmtId="165" fontId="47" fillId="13" borderId="30" applyAlignment="1" pivotButton="0" quotePrefix="0" xfId="0">
      <alignment horizontal="center" vertical="center"/>
    </xf>
    <xf numFmtId="0" fontId="54" fillId="0" borderId="0" pivotButton="0" quotePrefix="0" xfId="0"/>
    <xf numFmtId="164" fontId="28" fillId="12" borderId="0" pivotButton="0" quotePrefix="0" xfId="0"/>
    <xf numFmtId="164" fontId="28" fillId="12" borderId="0" applyProtection="1" pivotButton="0" quotePrefix="0" xfId="0">
      <protection locked="0" hidden="0"/>
    </xf>
  </cellXfs>
  <cellStyles count="6">
    <cellStyle name="Normal" xfId="0" builtinId="0"/>
    <cellStyle name="Comma" xfId="1"/>
    <cellStyle name="Comma [0]" xfId="2"/>
    <cellStyle name="Currency" xfId="3"/>
    <cellStyle name="Currency [0]" xfId="4"/>
    <cellStyle name="Percent" xfId="5"/>
  </cellStyles>
  <dxfs count="18">
    <dxf>
      <font>
        <b val="1"/>
        <color rgb="FF7A4A00"/>
      </font>
      <fill>
        <patternFill>
          <bgColor rgb="FFFFF4D6"/>
        </patternFill>
      </fill>
    </dxf>
    <dxf>
      <font>
        <b val="1"/>
        <color rgb="FFB42318"/>
      </font>
      <fill>
        <patternFill>
          <bgColor rgb="FFFDE8E7"/>
        </patternFill>
      </fill>
    </dxf>
    <dxf>
      <font>
        <b val="1"/>
        <color rgb="FF6D28D9"/>
      </font>
      <fill>
        <patternFill>
          <bgColor rgb="FFF1EAFE"/>
        </patternFill>
      </fill>
    </dxf>
    <dxf>
      <font>
        <b val="1"/>
        <color rgb="FF1F7A4D"/>
      </font>
      <fill>
        <patternFill>
          <bgColor rgb="FFE7F5EC"/>
        </patternFill>
      </fill>
    </dxf>
    <dxf>
      <font>
        <b val="1"/>
        <color rgb="FFB42318"/>
      </font>
      <fill>
        <patternFill>
          <bgColor rgb="FFFDE8E7"/>
        </patternFill>
      </fill>
    </dxf>
    <dxf>
      <font>
        <b val="1"/>
        <color rgb="FF7A4A00"/>
      </font>
      <fill>
        <patternFill>
          <bgColor rgb="FFFFF4D6"/>
        </patternFill>
      </fill>
    </dxf>
    <dxf>
      <font>
        <b val="1"/>
        <color rgb="FF667085"/>
      </font>
      <fill>
        <patternFill>
          <bgColor rgb="FFF4F7F9"/>
        </patternFill>
      </fill>
    </dxf>
    <dxf>
      <font>
        <b val="1"/>
        <color rgb="FF7A4A00"/>
      </font>
      <fill>
        <patternFill>
          <bgColor rgb="FFFFF4D6"/>
        </patternFill>
      </fill>
    </dxf>
    <dxf>
      <font>
        <b val="1"/>
        <color rgb="FF1F7A4D"/>
      </font>
      <fill>
        <patternFill>
          <bgColor rgb="FFE7F5EC"/>
        </patternFill>
      </fill>
    </dxf>
    <dxf>
      <font>
        <b val="1"/>
        <color rgb="FFB42318"/>
      </font>
      <fill>
        <patternFill>
          <bgColor rgb="FFFDE8E7"/>
        </patternFill>
      </fill>
    </dxf>
    <dxf>
      <font>
        <b val="1"/>
        <color rgb="FFCC0000"/>
      </font>
      <fill>
        <patternFill>
          <bgColor rgb="FFFFFF00"/>
        </patternFill>
      </fill>
    </dxf>
    <dxf>
      <font>
        <b val="1"/>
        <color rgb="FF7A4A00"/>
      </font>
      <fill>
        <patternFill>
          <bgColor rgb="FFFFF4D6"/>
        </patternFill>
      </fill>
    </dxf>
    <dxf>
      <font>
        <b val="1"/>
        <color rgb="FF1F7A4D"/>
      </font>
      <fill>
        <patternFill>
          <bgColor rgb="FFE7F5EC"/>
        </patternFill>
      </fill>
    </dxf>
    <dxf>
      <font>
        <b val="1"/>
        <color rgb="FF7A4A00"/>
      </font>
      <fill>
        <patternFill>
          <bgColor rgb="FFFFF4D6"/>
        </patternFill>
      </fill>
    </dxf>
    <dxf>
      <font>
        <b val="1"/>
        <color rgb="FFB42318"/>
      </font>
      <fill>
        <patternFill>
          <bgColor rgb="FFFDE8E7"/>
        </patternFill>
      </fill>
    </dxf>
    <dxf>
      <font>
        <i val="1"/>
        <color rgb="FF808080"/>
      </font>
    </dxf>
    <dxf>
      <font>
        <b val="1"/>
        <color rgb="FFB35900"/>
      </font>
      <fill>
        <patternFill>
          <bgColor rgb="FFFFDAB3"/>
        </patternFill>
      </fill>
    </dxf>
    <dxf>
      <font>
        <b val="1"/>
        <color rgb="FFB35900"/>
      </font>
      <fill>
        <patternFill>
          <bgColor rgb="FFFFDAB3"/>
        </patternFill>
      </fill>
    </dxf>
  </dxfs>
  <tableStyles count="0" defaultTableStyle="TableStyleMedium2" defaultPivotStyle="PivotStyleLight16"/>
  <colors>
    <indexedColors>
      <rgbColor rgb="FF000000"/>
      <rgbColor rgb="FFFFFFFF"/>
      <rgbColor rgb="FFCC0000"/>
      <rgbColor rgb="FF00FF00"/>
      <rgbColor rgb="FF0000FF"/>
      <rgbColor rgb="FFFFFF00"/>
      <rgbColor rgb="FFFF00FF"/>
      <rgbColor rgb="FFF7F9FB"/>
      <rgbColor rgb="FFC00000"/>
      <rgbColor rgb="FF008B28"/>
      <rgbColor rgb="FF1F3864"/>
      <rgbColor rgb="FF7A5C00"/>
      <rgbColor rgb="FF6D28D9"/>
      <rgbColor rgb="FF0F766E"/>
      <rgbColor rgb="FFBFBFBF"/>
      <rgbColor rgb="FF808080"/>
      <rgbColor rgb="FF888888"/>
      <rgbColor rgb="FF7A4A00"/>
      <rgbColor rgb="FFFFF4D6"/>
      <rgbColor rgb="FFDDF4F1"/>
      <rgbColor rgb="FF44546A"/>
      <rgbColor rgb="FFF1EAFE"/>
      <rgbColor rgb="FF0070C0"/>
      <rgbColor rgb="FFCCCCCC"/>
      <rgbColor rgb="FF2F5597"/>
      <rgbColor rgb="FFFF00FF"/>
      <rgbColor rgb="FFFFFCE8"/>
      <rgbColor rgb="FF00FFFF"/>
      <rgbColor rgb="FF800080"/>
      <rgbColor rgb="FF800000"/>
      <rgbColor rgb="FF1F7A4D"/>
      <rgbColor rgb="FF0000FF"/>
      <rgbColor rgb="FF00CCFF"/>
      <rgbColor rgb="FFE7F5EC"/>
      <rgbColor rgb="FFDEEBF7"/>
      <rgbColor rgb="FFFFF3CD"/>
      <rgbColor rgb="FFC1E5F5"/>
      <rgbColor rgb="FFFDE8E7"/>
      <rgbColor rgb="FFD8E0E6"/>
      <rgbColor rgb="FFD9D9D9"/>
      <rgbColor rgb="FF2563EB"/>
      <rgbColor rgb="FFF4F7F9"/>
      <rgbColor rgb="FFF2F2F2"/>
      <rgbColor rgb="FFE8EEF2"/>
      <rgbColor rgb="FFB8860B"/>
      <rgbColor rgb="FFE97132"/>
      <rgbColor rgb="FF667085"/>
      <rgbColor rgb="FF8B8B8B"/>
      <rgbColor rgb="FF123047"/>
      <rgbColor rgb="FF156082"/>
      <rgbColor rgb="FF18323F"/>
      <rgbColor rgb="FF5C4400"/>
      <rgbColor rgb="FFB42318"/>
      <rgbColor rgb="FF666666"/>
      <rgbColor rgb="FF203864"/>
      <rgbColor rgb="FF333333"/>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charts/chart1.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r>
              <a:rPr lang="es-CO" sz="1800" b="1">
                <a:solidFill>
                  <a:srgbClr val="000000"/>
                </a:solidFill>
                <a:latin typeface="Calibri"/>
                <a:ea typeface="Calibri"/>
                <a:cs typeface="Calibri"/>
              </a:rPr>
              <a:t>Valor reportado vs tope AG 2025 ($)</a:t>
            </a:r>
          </a:p>
        </rich>
      </tx>
      <overlay val="1"/>
    </title>
    <plotArea>
      <layout/>
      <barChart>
        <barDir val="col"/>
        <grouping val="clustered"/>
        <varyColors val="0"/>
        <ser>
          <idx val="0"/>
          <order val="0"/>
          <tx>
            <v>Valor reportado</v>
          </tx>
          <spPr>
            <a:solidFill xmlns:a="http://schemas.openxmlformats.org/drawingml/2006/main">
              <a:srgbClr val="156082"/>
            </a:solidFill>
            <a:ln xmlns:a="http://schemas.openxmlformats.org/drawingml/2006/main" w="0">
              <a:noFill/>
              <a:prstDash val="solid"/>
            </a:ln>
          </spPr>
          <invertIfNegative val="1"/>
          <dLbls>
            <spPr>
              <a:noFill xmlns:a="http://schemas.openxmlformats.org/drawingml/2006/main"/>
              <a:ln xmlns:a="http://schemas.openxmlformats.org/drawingml/2006/main">
                <a:noFill/>
                <a:prstDash val="solid"/>
              </a:ln>
            </spPr>
            <txPr>
              <a:bodyPr xmlns:a="http://schemas.openxmlformats.org/drawingml/2006/main" anchorCtr="1"/>
              <a:lstStyle xmlns:a="http://schemas.openxmlformats.org/drawingml/2006/main"/>
              <a:p xmlns:a="http://schemas.openxmlformats.org/drawingml/2006/main">
                <a:pPr>
                  <a:defRPr sz="1000" b="0">
                    <a:solidFill>
                      <a:srgbClr val="000000"/>
                    </a:solidFill>
                    <a:latin typeface="Calibri"/>
                    <a:ea typeface="Calibri"/>
                    <a:cs typeface="Calibri"/>
                  </a:defRPr>
                </a:pPr>
                <a:r>
                  <a:t>None</a:t>
                </a:r>
                <a:endParaRPr lang="es-CO"/>
              </a:p>
            </txPr>
            <dLblPos val="outEnd"/>
            <showLegendKey val="0"/>
            <showVal val="0"/>
            <showCatName val="0"/>
            <showSerName val="0"/>
            <showPercent val="0"/>
            <showBubbleSize val="1"/>
            <showLeaderLines val="0"/>
          </dLbls>
          <cat>
            <strRef>
              <f>Topes!$B$6:$B$10</f>
              <strCache>
                <ptCount val="5"/>
                <pt idx="0">
                  <v>Patrimonio bruto</v>
                </pt>
                <pt idx="1">
                  <v>Ingresos brutos</v>
                </pt>
                <pt idx="2">
                  <v>Consumos tarjeta</v>
                </pt>
                <pt idx="3">
                  <v>Compras y consumos</v>
                </pt>
                <pt idx="4">
                  <v>Consignaciones / inversiones</v>
                </pt>
              </strCache>
            </strRef>
          </cat>
          <val>
            <numRef>
              <f>Topes!$C$6:$C$10</f>
              <numCache>
                <formatCode>\$#,##0;[Red]"-$"#,##0</formatCode>
                <ptCount val="5"/>
                <pt idx="0">
                  <v>0</v>
                </pt>
                <pt idx="1">
                  <v>0</v>
                </pt>
                <pt idx="2">
                  <v>0</v>
                </pt>
                <pt idx="3">
                  <v>0</v>
                </pt>
                <pt idx="4">
                  <v>0</v>
                </pt>
              </numCache>
            </numRef>
          </val>
        </ser>
        <ser>
          <idx val="1"/>
          <order val="1"/>
          <tx>
            <v>Tope AG 2025</v>
          </tx>
          <spPr>
            <a:solidFill xmlns:a="http://schemas.openxmlformats.org/drawingml/2006/main">
              <a:srgbClr val="E97132"/>
            </a:solidFill>
            <a:ln xmlns:a="http://schemas.openxmlformats.org/drawingml/2006/main" w="0">
              <a:noFill/>
              <a:prstDash val="solid"/>
            </a:ln>
          </spPr>
          <invertIfNegative val="1"/>
          <dLbls>
            <spPr>
              <a:noFill xmlns:a="http://schemas.openxmlformats.org/drawingml/2006/main"/>
              <a:ln xmlns:a="http://schemas.openxmlformats.org/drawingml/2006/main">
                <a:noFill/>
                <a:prstDash val="solid"/>
              </a:ln>
            </spPr>
            <txPr>
              <a:bodyPr xmlns:a="http://schemas.openxmlformats.org/drawingml/2006/main" anchorCtr="1"/>
              <a:lstStyle xmlns:a="http://schemas.openxmlformats.org/drawingml/2006/main"/>
              <a:p xmlns:a="http://schemas.openxmlformats.org/drawingml/2006/main">
                <a:pPr>
                  <a:defRPr sz="1000" b="0">
                    <a:solidFill>
                      <a:srgbClr val="000000"/>
                    </a:solidFill>
                    <a:latin typeface="Calibri"/>
                    <a:ea typeface="Calibri"/>
                    <a:cs typeface="Calibri"/>
                  </a:defRPr>
                </a:pPr>
                <a:r>
                  <a:t>None</a:t>
                </a:r>
                <a:endParaRPr lang="es-CO"/>
              </a:p>
            </txPr>
            <dLblPos val="outEnd"/>
            <showLegendKey val="0"/>
            <showVal val="0"/>
            <showCatName val="0"/>
            <showSerName val="0"/>
            <showPercent val="0"/>
            <showBubbleSize val="1"/>
            <showLeaderLines val="0"/>
          </dLbls>
          <cat>
            <strRef>
              <f>Topes!$B$6:$B$10</f>
              <strCache>
                <ptCount val="5"/>
                <pt idx="0">
                  <v>Patrimonio bruto</v>
                </pt>
                <pt idx="1">
                  <v>Ingresos brutos</v>
                </pt>
                <pt idx="2">
                  <v>Consumos tarjeta</v>
                </pt>
                <pt idx="3">
                  <v>Compras y consumos</v>
                </pt>
                <pt idx="4">
                  <v>Consignaciones / inversiones</v>
                </pt>
              </strCache>
            </strRef>
          </cat>
          <val>
            <numRef>
              <f>Topes!$D$6:$D$10</f>
              <numCache>
                <formatCode>\$#,##0;[Red]"-$"#,##0</formatCode>
                <ptCount val="5"/>
                <pt idx="0">
                  <v>224096000</v>
                </pt>
                <pt idx="1">
                  <v>69719000</v>
                </pt>
                <pt idx="2">
                  <v>69719000</v>
                </pt>
                <pt idx="3">
                  <v>69719000</v>
                </pt>
                <pt idx="4">
                  <v>69719000</v>
                </pt>
              </numCache>
            </numRef>
          </val>
        </ser>
        <dLbls>
          <showLegendKey val="0"/>
          <showVal val="0"/>
          <showCatName val="0"/>
          <showSerName val="0"/>
          <showPercent val="0"/>
          <showBubbleSize val="0"/>
        </dLbls>
        <gapWidth val="150"/>
        <axId val="34480700"/>
        <axId val="37134298"/>
      </barChart>
      <catAx>
        <axId val="34480700"/>
        <scaling>
          <orientation val="minMax"/>
        </scaling>
        <delete val="0"/>
        <axPos val="b"/>
        <majorGridlines>
          <spPr>
            <a:ln xmlns:a="http://schemas.openxmlformats.org/drawingml/2006/main" w="9360">
              <a:solidFill>
                <a:srgbClr val="CCCCCC"/>
              </a:solidFill>
              <a:prstDash val="dash"/>
            </a:ln>
          </spPr>
        </majorGridlines>
        <numFmt formatCode="General" sourceLinked="0"/>
        <majorTickMark val="none"/>
        <minorTickMark val="none"/>
        <tickLblPos val="nextTo"/>
        <spPr>
          <a:ln xmlns:a="http://schemas.openxmlformats.org/drawingml/2006/main" w="12600">
            <a:solidFill>
              <a:srgbClr val="8B8B8B"/>
            </a:solidFill>
            <a:prstDash val="solid"/>
          </a:ln>
        </spPr>
        <txPr>
          <a:bodyPr xmlns:a="http://schemas.openxmlformats.org/drawingml/2006/main" anchorCtr="1"/>
          <a:lstStyle xmlns:a="http://schemas.openxmlformats.org/drawingml/2006/main"/>
          <a:p xmlns:a="http://schemas.openxmlformats.org/drawingml/2006/main">
            <a:pPr>
              <a:defRPr sz="1000" b="0">
                <a:solidFill>
                  <a:srgbClr val="000000"/>
                </a:solidFill>
                <a:latin typeface="Calibri"/>
                <a:ea typeface="Calibri"/>
                <a:cs typeface="Calibri"/>
              </a:defRPr>
            </a:pPr>
            <a:r>
              <a:t>None</a:t>
            </a:r>
            <a:endParaRPr lang="es-CO"/>
          </a:p>
        </txPr>
        <crossAx val="37134298"/>
        <crosses val="autoZero"/>
        <auto val="1"/>
        <lblAlgn val="ctr"/>
        <lblOffset val="100"/>
        <noMultiLvlLbl val="0"/>
      </catAx>
      <valAx>
        <axId val="37134298"/>
        <scaling>
          <orientation val="minMax"/>
        </scaling>
        <delete val="0"/>
        <axPos val="l"/>
        <majorGridlines>
          <spPr>
            <a:ln xmlns:a="http://schemas.openxmlformats.org/drawingml/2006/main" w="9360">
              <a:solidFill>
                <a:srgbClr val="CCCCCC"/>
              </a:solidFill>
              <a:prstDash val="dash"/>
            </a:ln>
          </spPr>
        </majorGridlines>
        <numFmt formatCode="\$#,##0" sourceLinked="0"/>
        <majorTickMark val="none"/>
        <minorTickMark val="none"/>
        <tickLblPos val="nextTo"/>
        <spPr>
          <a:ln xmlns:a="http://schemas.openxmlformats.org/drawingml/2006/main" w="12600">
            <a:solidFill>
              <a:srgbClr val="8B8B8B"/>
            </a:solidFill>
            <a:prstDash val="solid"/>
          </a:ln>
        </spPr>
        <txPr>
          <a:bodyPr xmlns:a="http://schemas.openxmlformats.org/drawingml/2006/main" anchorCtr="1"/>
          <a:lstStyle xmlns:a="http://schemas.openxmlformats.org/drawingml/2006/main"/>
          <a:p xmlns:a="http://schemas.openxmlformats.org/drawingml/2006/main">
            <a:pPr>
              <a:defRPr sz="1000" b="0">
                <a:solidFill>
                  <a:srgbClr val="000000"/>
                </a:solidFill>
                <a:latin typeface="Calibri"/>
                <a:ea typeface="Calibri"/>
                <a:cs typeface="Calibri"/>
              </a:defRPr>
            </a:pPr>
            <a:r>
              <a:t>None</a:t>
            </a:r>
            <a:endParaRPr lang="es-CO"/>
          </a:p>
        </txPr>
        <crossAx val="34480700"/>
        <crosses val="autoZero"/>
        <crossBetween val="between"/>
      </valAx>
    </plotArea>
    <legend>
      <legendPos val="b"/>
      <overlay val="0"/>
      <spPr>
        <a:noFill xmlns:a="http://schemas.openxmlformats.org/drawingml/2006/main"/>
        <a:ln xmlns:a="http://schemas.openxmlformats.org/drawingml/2006/main">
          <a:prstDash val="solid"/>
        </a:ln>
      </spPr>
      <txPr>
        <a:bodyPr xmlns:a="http://schemas.openxmlformats.org/drawingml/2006/main" anchorCtr="1"/>
        <a:lstStyle xmlns:a="http://schemas.openxmlformats.org/drawingml/2006/main"/>
        <a:p xmlns:a="http://schemas.openxmlformats.org/drawingml/2006/main">
          <a:pPr>
            <a:defRPr sz="1000" b="0">
              <a:solidFill>
                <a:srgbClr val="000000"/>
              </a:solidFill>
              <a:latin typeface="Calibri"/>
              <a:ea typeface="Calibri"/>
              <a:cs typeface="Calibri"/>
            </a:defRPr>
          </a:pPr>
          <a:r>
            <a:t>None</a:t>
          </a:r>
          <a:endParaRPr lang="es-CO"/>
        </a:p>
      </txPr>
    </legend>
    <plotVisOnly val="1"/>
    <dispBlanksAs val="gap"/>
  </chart>
  <spPr>
    <a:solidFill xmlns:a="http://schemas.openxmlformats.org/drawingml/2006/main">
      <a:srgbClr val="FFFFFF"/>
    </a:solidFill>
    <a:ln xmlns:a="http://schemas.openxmlformats.org/drawingml/2006/main" w="9360">
      <a:solidFill>
        <a:srgbClr val="D9D9D9"/>
      </a:solidFill>
      <a:prstDash val="solid"/>
    </a:ln>
  </spPr>
</chartSpace>
</file>

<file path=xl/comments/comment1.xml><?xml version="1.0" encoding="utf-8"?>
<comments xmlns="http://schemas.openxmlformats.org/spreadsheetml/2006/main">
  <authors>
    <author>Unknown Author</author>
  </authors>
  <commentList>
    <comment ref="J5" authorId="0" shapeId="0">
      <text>
        <t>Por qué existe esta columna: Formulario_210 redondea los valores a miles antes de mostrarlos (columna G). Para Patrimonio (fila 6) e Ingresos (fila 7), el tope se compara aquí contra el valor EXACTO sin ese redondeo (recalculado directo desde Hoja_Trabajo y Entrada_Manual), para que un redondeo no cambie si se supera o no el tope. Las filas 8-10 (Consumo TC, Compras, Movimiento) no usan esta columna porque su valor de comparación (columna C) ya se toma directo de la Exógena o del valor manual, sin pasar por Formulario_210.</t>
      </text>
    </comment>
  </commentList>
</comments>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xdr:from>
      <xdr:col>0</xdr:col>
      <xdr:colOff>0</xdr:colOff>
      <xdr:row>13</xdr:row>
      <xdr:rowOff>0</xdr:rowOff>
    </xdr:from>
    <xdr:to>
      <xdr:col>8</xdr:col>
      <xdr:colOff>0</xdr:colOff>
      <xdr:row>28</xdr:row>
      <xdr:rowOff>0</xdr:rowOff>
    </xdr:to>
    <xdr:graphicFrame macro="">
      <xdr:nvGraphicFramePr>
        <xdr:cNvPr id="1" name="Chart 1"/>
        <xdr:cNvGraphicFramePr/>
      </xdr:nvGraphicFramePr>
      <xdr:xfrm>
        <a:off x="0" y="0"/>
        <a:ext cx="0" cy="0"/>
      </xdr:xfrm>
      <a:graphic>
        <a:graphicData uri="http://schemas.openxmlformats.org/drawingml/2006/chart">
          <c:chart xmlns:c="http://schemas.openxmlformats.org/drawingml/2006/chart" r:id="rId1"/>
        </a:graphicData>
      </a:graphic>
    </xdr:graphicFrame>
    <xdr:clientData/>
  </xdr:twoCellAnchor>
</xdr:wsDr>
</file>

<file path=xl/theme/theme1.xml><?xml version="1.0" encoding="utf-8"?>
<a:theme xmlns:a="http://schemas.openxmlformats.org/drawingml/2006/main"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gorcasco.com/" TargetMode="External" Id="rId1"/></Relationships>
</file>

<file path=xl/worksheets/_rels/sheet7.xml.rels><Relationships xmlns="http://schemas.openxmlformats.org/package/2006/relationships"><Relationship Type="http://schemas.openxmlformats.org/officeDocument/2006/relationships/drawing" Target="/xl/drawings/drawing1.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B2:F43"/>
  <sheetViews>
    <sheetView showGridLines="0" topLeftCell="A13" workbookViewId="0">
      <selection activeCell="A1" sqref="A1"/>
    </sheetView>
  </sheetViews>
  <sheetFormatPr baseColWidth="10" defaultColWidth="9" defaultRowHeight="15"/>
  <cols>
    <col width="4" customWidth="1" style="235" min="1" max="1"/>
    <col width="26" customWidth="1" style="235" min="2" max="6"/>
    <col width="4" customWidth="1" style="235" min="7" max="7"/>
  </cols>
  <sheetData>
    <row r="2" ht="31.5" customHeight="1" s="235">
      <c r="B2" s="236" t="inlineStr">
        <is>
          <t>GORCAS SAS</t>
        </is>
      </c>
      <c r="D2" s="243" t="inlineStr">
        <is>
          <t>GORCAS SAS</t>
        </is>
      </c>
    </row>
    <row r="3" ht="31.5" customHeight="1" s="235"/>
    <row r="4" ht="31.5" customHeight="1" s="235"/>
    <row r="5" ht="31.5" customHeight="1" s="235"/>
    <row r="6" ht="31.5" customHeight="1" s="235">
      <c r="D6" s="241" t="inlineStr">
        <is>
          <t>LA IMPORTANCIA DEL ENFOQUE</t>
        </is>
      </c>
    </row>
    <row r="7" ht="31.5" customHeight="1" s="235">
      <c r="D7" s="240" t="inlineStr">
        <is>
          <t>Gordillo &amp; Castañeda Auditores SAS</t>
        </is>
      </c>
    </row>
    <row r="8" ht="31.5" customHeight="1" s="235">
      <c r="D8" s="252" t="inlineStr">
        <is>
          <t>www.gorcasco.com   |   gorcas@gorcas.co   |   Bogotá, Colombia</t>
        </is>
      </c>
    </row>
    <row r="9" ht="31.5" customHeight="1" s="235"/>
    <row r="11" ht="30.75" customHeight="1" s="235">
      <c r="B11" s="245" t="inlineStr">
        <is>
          <t>LIQUIDADOR 210 — GORCAS SAS
Herramienta de apoyo para la preparación del Formulario 210 (Declaración de Renta Personas Naturales) — Año Gravable 2025</t>
        </is>
      </c>
    </row>
    <row r="12" ht="30.75" customHeight="1" s="235"/>
    <row r="14" ht="18" customHeight="1" s="235">
      <c r="B14" s="244" t="inlineStr">
        <is>
          <t>Esta herramienta organiza la información exógena de la DIAN, la concilia con los soportes del contribuyente y traslada los valores al Formulario 210, aplicando de manera automatizada los límites y reglas vigentes para el año gravable 2025 (art. 336 y 241 del Estatuto Tributario, entre otras). Incluye controles de trazabilidad, validaciones y alertas para reducir errores de digitación y de interpretación normativa.</t>
        </is>
      </c>
    </row>
    <row r="15" ht="18" customHeight="1" s="235"/>
    <row r="16" ht="18" customHeight="1" s="235"/>
    <row r="18" ht="19.5" customHeight="1" s="235">
      <c r="B18" s="241" t="inlineStr">
        <is>
          <t>CREADOR DE LA HERRAMIENTA</t>
        </is>
      </c>
    </row>
    <row r="19" ht="30" customHeight="1" s="235">
      <c r="B19" s="1" t="inlineStr">
        <is>
          <t>Nombre</t>
        </is>
      </c>
      <c r="C19" s="234" t="inlineStr">
        <is>
          <t>Hugo Alberto Gordillo Rodríguez</t>
        </is>
      </c>
    </row>
    <row r="20" ht="30" customHeight="1" s="235">
      <c r="B20" s="1" t="inlineStr">
        <is>
          <t>Profesión</t>
        </is>
      </c>
      <c r="C20" s="234" t="inlineStr">
        <is>
          <t>Contador Público — Universidad de La Salle (dic. 2002)</t>
        </is>
      </c>
    </row>
    <row r="21" ht="42" customHeight="1" s="235">
      <c r="B21" s="1" t="inlineStr">
        <is>
          <t>Especialización</t>
        </is>
      </c>
      <c r="C21" s="234" t="inlineStr">
        <is>
          <t>Auditoría Internacional y Aseguramiento de la Información — Universidad de La Salle (jun. 2016)</t>
        </is>
      </c>
    </row>
    <row r="22" ht="30" customHeight="1" s="235">
      <c r="B22" s="1" t="inlineStr">
        <is>
          <t>Certificaciones internacionales</t>
        </is>
      </c>
      <c r="C22" s="234" t="inlineStr">
        <is>
          <t>NIIF para PYMES (ICAEW); Auditoría Internacional (ACCA)</t>
        </is>
      </c>
    </row>
    <row r="23" ht="42" customHeight="1" s="235">
      <c r="B23" s="1" t="inlineStr">
        <is>
          <t>Cargo actual</t>
        </is>
      </c>
      <c r="C23" s="234" t="inlineStr">
        <is>
          <t>Socio fundador — Gordillo &amp; Castañeda Auditores SAS (GORCAS SAS), desde octubre de 2016</t>
        </is>
      </c>
    </row>
    <row r="24" ht="42" customHeight="1" s="235">
      <c r="B24" s="1" t="inlineStr">
        <is>
          <t>Experiencia</t>
        </is>
      </c>
      <c r="C24" s="234" t="inlineStr">
        <is>
          <t>Más de dos décadas en Revisoría Fiscal, auditoría interna y externa, NIIF, control interno (COSO) y prevención de LA/FT. Fue Coordinador de Inspectores en la Junta Central de Contadores (2018-2019).</t>
        </is>
      </c>
    </row>
    <row r="25" ht="30" customHeight="1" s="235">
      <c r="B25" s="1" t="inlineStr">
        <is>
          <t>Contacto</t>
        </is>
      </c>
      <c r="C25" s="234" t="inlineStr">
        <is>
          <t>jahu.gorcas@gmail.com — gorcas@gorcas.co</t>
        </is>
      </c>
    </row>
    <row r="27" ht="19.5" customHeight="1" s="235">
      <c r="B27" s="241" t="inlineStr">
        <is>
          <t>DISPONIBILIDAD AL PÚBLICO</t>
        </is>
      </c>
    </row>
    <row r="28" ht="18" customHeight="1" s="235">
      <c r="B28" s="244" t="inlineStr">
        <is>
          <t>Hugo Alberto Gordillo Rodríguez, en su calidad de creador, pone esta herramienta a disposición del público de manera libre y gratuita, como aporte al ejercicio profesional contable en Colombia. Puede usarse, copiarse y adaptarse libremente, manteniendo el crédito de autoría de GORCAS SAS y de su creador.</t>
        </is>
      </c>
    </row>
    <row r="29" ht="18" customHeight="1" s="235"/>
    <row r="30" ht="18" customHeight="1" s="235"/>
    <row r="31" ht="19.5" customHeight="1" s="235">
      <c r="B31" s="237" t="inlineStr">
        <is>
          <t>⚠ EXENCIÓN DE RESPONSABILIDAD — LEA ANTES DE USAR</t>
        </is>
      </c>
      <c r="C31" s="238" t="n"/>
      <c r="D31" s="238" t="n"/>
      <c r="E31" s="238" t="n"/>
      <c r="F31" s="239" t="n"/>
    </row>
    <row r="32" ht="18" customHeight="1" s="235">
      <c r="B32" s="246" t="inlineStr">
        <is>
          <t>Esta herramienta es un apoyo de cálculo y organización de información y NO constituye asesoría contable, tributaria ni legal. Se entrega "tal cual" (as is), sin garantías de ningún tipo, expresas o implícitas, sobre su exactitud, vigencia normativa o idoneidad para un caso particular.
El uso de esta herramienta es de exclusiva responsabilidad de quien la utiliza. GORCAS SAS, Gordillo &amp; Castañeda Auditores SAS y Hugo Alberto Gordillo Rodríguez, como creador, no asumen responsabilidad alguna por errores, omisiones, sanciones, intereses, glosas o cualquier perjuicio derivado del uso de esta herramienta, incluyendo diferencias frente a lo finalmente exigido por la DIAN.
Los resultados obtenidos DEBEN ser revisados y avalados por un Contador Público titulado antes de ser utilizados para preparar, firmar o presentar cualquier declaración tributaria. La responsabilidad legal de la declaración de renta es siempre del contribuyente y, cuando aplique, del contador público que la suscribe o revisa.</t>
        </is>
      </c>
      <c r="F32" s="247" t="n"/>
    </row>
    <row r="33" ht="18" customHeight="1" s="235">
      <c r="B33" s="248" t="n"/>
      <c r="F33" s="247" t="n"/>
    </row>
    <row r="34" ht="18" customHeight="1" s="235">
      <c r="B34" s="248" t="n"/>
      <c r="F34" s="247" t="n"/>
    </row>
    <row r="35" ht="18" customHeight="1" s="235">
      <c r="B35" s="248" t="n"/>
      <c r="F35" s="247" t="n"/>
    </row>
    <row r="36" ht="18" customHeight="1" s="235">
      <c r="B36" s="248" t="n"/>
      <c r="F36" s="247" t="n"/>
    </row>
    <row r="37" ht="18" customHeight="1" s="235">
      <c r="B37" s="248" t="n"/>
      <c r="F37" s="247" t="n"/>
    </row>
    <row r="38" ht="18" customHeight="1" s="235">
      <c r="B38" s="248" t="n"/>
      <c r="F38" s="247" t="n"/>
    </row>
    <row r="39" ht="18" customHeight="1" s="235">
      <c r="B39" s="248" t="n"/>
      <c r="F39" s="247" t="n"/>
    </row>
    <row r="40" ht="18" customHeight="1" s="235">
      <c r="B40" s="248" t="n"/>
      <c r="F40" s="247" t="n"/>
    </row>
    <row r="41" ht="18" customHeight="1" s="235">
      <c r="B41" s="249" t="n"/>
      <c r="C41" s="250" t="n"/>
      <c r="D41" s="250" t="n"/>
      <c r="E41" s="250" t="n"/>
      <c r="F41" s="251" t="n"/>
    </row>
    <row r="43" ht="15.75" customHeight="1" s="235">
      <c r="B43" s="242" t="inlineStr">
        <is>
          <t>GORCAS SAS — LA IMPORTANCIA DEL ENFOQUE   |   Liquidador 210 v1.12   |   Agosto 2026</t>
        </is>
      </c>
    </row>
  </sheetData>
  <sheetProtection selectLockedCells="0" selectUnlockedCells="0" sheet="1" objects="1" insertRows="1" insertHyperlinks="1" autoFilter="1" scenarios="1" formatColumns="0" deleteColumns="1" insertColumns="1" pivotTables="1" deleteRows="1" formatCells="1" formatRows="0" sort="1"/>
  <mergeCells count="20">
    <mergeCell ref="C23:F23"/>
    <mergeCell ref="B2:C9"/>
    <mergeCell ref="B31:F31"/>
    <mergeCell ref="D7:F7"/>
    <mergeCell ref="C19:F19"/>
    <mergeCell ref="B18:F18"/>
    <mergeCell ref="B27:F27"/>
    <mergeCell ref="B43:F43"/>
    <mergeCell ref="C24:F24"/>
    <mergeCell ref="D2:F5"/>
    <mergeCell ref="C20:F20"/>
    <mergeCell ref="B14:F16"/>
    <mergeCell ref="B28:F30"/>
    <mergeCell ref="C25:F25"/>
    <mergeCell ref="C22:F22"/>
    <mergeCell ref="B11:F12"/>
    <mergeCell ref="C21:F21"/>
    <mergeCell ref="B32:F41"/>
    <mergeCell ref="D6:F6"/>
    <mergeCell ref="D8:F9"/>
  </mergeCells>
  <hyperlinks>
    <hyperlink xmlns:r="http://schemas.openxmlformats.org/officeDocument/2006/relationships" ref="D8" r:id="rId1"/>
  </hyperlinks>
  <pageMargins left="0.7" right="0.7" top="0.75" bottom="0.75" header="0.3" footer="0.3"/>
</worksheet>
</file>

<file path=xl/worksheets/sheet10.xml><?xml version="1.0" encoding="utf-8"?>
<worksheet xmlns="http://schemas.openxmlformats.org/spreadsheetml/2006/main">
  <sheetPr>
    <outlinePr summaryBelow="1" summaryRight="1"/>
    <pageSetUpPr/>
  </sheetPr>
  <dimension ref="A1:J118"/>
  <sheetViews>
    <sheetView showGridLines="0" topLeftCell="A19" workbookViewId="0">
      <selection activeCell="A1" sqref="A1:J1"/>
    </sheetView>
  </sheetViews>
  <sheetFormatPr baseColWidth="10" defaultColWidth="9" defaultRowHeight="15"/>
  <cols>
    <col width="38" customWidth="1" style="235" min="1" max="1"/>
    <col width="24" customWidth="1" style="235" min="2" max="2"/>
    <col width="20" customWidth="1" style="235" min="3" max="3"/>
    <col width="30" customWidth="1" style="235" min="4" max="4"/>
    <col width="32" customWidth="1" style="235" min="5" max="5"/>
    <col width="34" customWidth="1" style="235" min="6" max="6"/>
    <col width="14" customWidth="1" style="235" min="8" max="8"/>
    <col width="10" customWidth="1" style="235" min="9" max="9"/>
    <col width="17" customWidth="1" style="235" min="10" max="10"/>
  </cols>
  <sheetData>
    <row r="1" ht="30" customHeight="1" s="235">
      <c r="A1" s="254" t="inlineStr">
        <is>
          <t>REGLAS Y PARÁMETROS — RENTA AG 2025</t>
        </is>
      </c>
    </row>
    <row r="2" ht="31.5" customHeight="1" s="235">
      <c r="A2" s="253" t="inlineStr">
        <is>
          <t>Celdas amarillas: parámetros editables. Reglas, fuentes y mapa de casillas visibles para auditoría.</t>
        </is>
      </c>
    </row>
    <row r="4" ht="15" customHeight="1" s="235">
      <c r="A4" s="2" t="inlineStr">
        <is>
          <t>Parámetro</t>
        </is>
      </c>
      <c r="B4" s="2" t="inlineStr">
        <is>
          <t>Valor</t>
        </is>
      </c>
      <c r="D4" s="2" t="inlineStr">
        <is>
          <t>Control</t>
        </is>
      </c>
      <c r="E4" s="2" t="inlineStr">
        <is>
          <t>Regla</t>
        </is>
      </c>
      <c r="F4" s="2" t="inlineStr">
        <is>
          <t>Tope pesos</t>
        </is>
      </c>
      <c r="H4" s="2" t="inlineStr">
        <is>
          <t>Token DIAN</t>
        </is>
      </c>
      <c r="I4" s="2" t="inlineStr">
        <is>
          <t>Casilla</t>
        </is>
      </c>
      <c r="J4" s="2" t="inlineStr">
        <is>
          <t>Traslado directo</t>
        </is>
      </c>
    </row>
    <row r="5" ht="14.25" customHeight="1" s="235">
      <c r="A5" t="inlineStr">
        <is>
          <t>Año gravable</t>
        </is>
      </c>
      <c r="B5" s="169" t="n">
        <v>2025</v>
      </c>
      <c r="D5" t="inlineStr">
        <is>
          <t>Patrimonio bruto</t>
        </is>
      </c>
      <c r="E5" t="inlineStr">
        <is>
          <t>&gt; 4.500 UVT</t>
        </is>
      </c>
      <c r="F5" s="463">
        <f>ROUND(4500*$B$6,-3)</f>
        <v/>
      </c>
      <c r="H5" s="170" t="inlineStr">
        <is>
          <t>R28</t>
        </is>
      </c>
      <c r="I5" s="171" t="n">
        <v>28</v>
      </c>
      <c r="J5" s="172" t="inlineStr">
        <is>
          <t>Sí</t>
        </is>
      </c>
    </row>
    <row r="6" ht="14.25" customHeight="1" s="235">
      <c r="A6" t="inlineStr">
        <is>
          <t>UVT 2025</t>
        </is>
      </c>
      <c r="B6" s="560" t="n">
        <v>49799</v>
      </c>
      <c r="D6" t="inlineStr">
        <is>
          <t>Ingresos brutos</t>
        </is>
      </c>
      <c r="E6" t="inlineStr">
        <is>
          <t>&gt;= 1.400 UVT</t>
        </is>
      </c>
      <c r="F6" s="463">
        <f>ROUND(1400*$B$6,-3)</f>
        <v/>
      </c>
      <c r="H6" s="174" t="inlineStr">
        <is>
          <t>R29</t>
        </is>
      </c>
      <c r="I6" s="175" t="n">
        <v>29</v>
      </c>
      <c r="J6" s="176" t="inlineStr">
        <is>
          <t>Sí</t>
        </is>
      </c>
    </row>
    <row r="7" ht="14.25" customHeight="1" s="235">
      <c r="A7" t="inlineStr">
        <is>
          <t>Responsable de IVA al 31/12/2025</t>
        </is>
      </c>
      <c r="B7" s="231" t="inlineStr">
        <is>
          <t>No confirmado</t>
        </is>
      </c>
      <c r="D7" t="inlineStr">
        <is>
          <t>Consumos tarjeta</t>
        </is>
      </c>
      <c r="E7" t="inlineStr">
        <is>
          <t>&gt; 1.400 UVT</t>
        </is>
      </c>
      <c r="F7" s="463">
        <f>ROUND(1400*$B$6,-3)</f>
        <v/>
      </c>
      <c r="H7" s="174" t="inlineStr">
        <is>
          <t>R30</t>
        </is>
      </c>
      <c r="I7" s="175" t="n">
        <v>30</v>
      </c>
      <c r="J7" s="176" t="inlineStr">
        <is>
          <t>Sí</t>
        </is>
      </c>
    </row>
    <row r="8" ht="14.25" customHeight="1" s="235">
      <c r="A8" t="inlineStr">
        <is>
          <t>Número de declaraciones previas</t>
        </is>
      </c>
      <c r="B8" s="232" t="n"/>
      <c r="D8" t="inlineStr">
        <is>
          <t>Compras y consumos</t>
        </is>
      </c>
      <c r="E8" t="inlineStr">
        <is>
          <t>&gt; 1.400 UVT</t>
        </is>
      </c>
      <c r="F8" s="463">
        <f>ROUND(1400*$B$6,-3)</f>
        <v/>
      </c>
      <c r="H8" s="174" t="inlineStr">
        <is>
          <t>R31</t>
        </is>
      </c>
      <c r="I8" s="175" t="n">
        <v>31</v>
      </c>
      <c r="J8" s="176" t="inlineStr">
        <is>
          <t>No</t>
        </is>
      </c>
    </row>
    <row r="9" ht="14.25" customHeight="1" s="235">
      <c r="A9" t="inlineStr">
        <is>
          <t>Impuesto neto año anterior (para método promedio del anticipo)</t>
        </is>
      </c>
      <c r="B9" s="561" t="n"/>
      <c r="D9" t="inlineStr">
        <is>
          <t>Consignaciones/depósitos/inversiones</t>
        </is>
      </c>
      <c r="E9" t="inlineStr">
        <is>
          <t>&gt; 1.400 UVT</t>
        </is>
      </c>
      <c r="F9" s="463">
        <f>ROUND(1400*$B$6,-3)</f>
        <v/>
      </c>
      <c r="H9" s="174" t="inlineStr">
        <is>
          <t>R32</t>
        </is>
      </c>
      <c r="I9" s="175" t="n">
        <v>32</v>
      </c>
      <c r="J9" s="176" t="inlineStr">
        <is>
          <t>Sí</t>
        </is>
      </c>
    </row>
    <row r="10" ht="14.25" customHeight="1" s="235">
      <c r="A10" t="inlineStr">
        <is>
          <t>(No usado desde la corrección del anticipo — ya no se necesitan dos años atrás)</t>
        </is>
      </c>
      <c r="B10" s="560" t="n"/>
      <c r="D10" t="inlineStr">
        <is>
          <t>Costos honorarios</t>
        </is>
      </c>
      <c r="E10" t="inlineStr">
        <is>
          <t>&gt; 60% requiere marcar casilla 140</t>
        </is>
      </c>
      <c r="F10" s="178" t="n">
        <v>0.6</v>
      </c>
      <c r="H10" s="174" t="inlineStr">
        <is>
          <t>R33</t>
        </is>
      </c>
      <c r="I10" s="175" t="n">
        <v>33</v>
      </c>
      <c r="J10" s="176" t="inlineStr">
        <is>
          <t>Sí</t>
        </is>
      </c>
    </row>
    <row r="11" ht="14.25" customHeight="1" s="235">
      <c r="A11" t="inlineStr">
        <is>
          <t>Método anticipo aplicado (informativo — ya no se elige manual, el sistema usa el menor)</t>
        </is>
      </c>
      <c r="B11" s="177" t="n"/>
      <c r="H11" s="174" t="inlineStr">
        <is>
          <t>R34</t>
        </is>
      </c>
      <c r="I11" s="175" t="n">
        <v>34</v>
      </c>
      <c r="J11" s="176" t="inlineStr">
        <is>
          <t>No</t>
        </is>
      </c>
    </row>
    <row r="12" ht="14.25" customHeight="1" s="235">
      <c r="A12" t="inlineStr">
        <is>
          <t>Límite general rentas exentas/deducciones (UVT)</t>
        </is>
      </c>
      <c r="B12" s="179" t="n">
        <v>1340</v>
      </c>
      <c r="H12" s="174" t="inlineStr">
        <is>
          <t>R35</t>
        </is>
      </c>
      <c r="I12" s="175" t="n">
        <v>35</v>
      </c>
      <c r="J12" s="176" t="inlineStr">
        <is>
          <t>Sí</t>
        </is>
      </c>
    </row>
    <row r="13" ht="14.25" customHeight="1" s="235">
      <c r="A13" t="inlineStr">
        <is>
          <t>Límite factura electrónica (UVT)</t>
        </is>
      </c>
      <c r="B13" s="179" t="n">
        <v>240</v>
      </c>
      <c r="H13" s="174" t="inlineStr">
        <is>
          <t>R36</t>
        </is>
      </c>
      <c r="I13" s="175" t="n">
        <v>36</v>
      </c>
      <c r="J13" s="176" t="inlineStr">
        <is>
          <t>Sí</t>
        </is>
      </c>
    </row>
    <row r="14" ht="14.25" customHeight="1" s="235">
      <c r="A14" t="inlineStr">
        <is>
          <t>Límite renta exenta 25% laboral (UVT anual)</t>
        </is>
      </c>
      <c r="B14" t="n">
        <v>790</v>
      </c>
      <c r="H14" s="174" t="inlineStr">
        <is>
          <t>R37</t>
        </is>
      </c>
      <c r="I14" s="175" t="n">
        <v>37</v>
      </c>
      <c r="J14" s="176" t="inlineStr">
        <is>
          <t>No</t>
        </is>
      </c>
    </row>
    <row r="15" ht="14.25" customHeight="1" s="235">
      <c r="H15" s="174" t="inlineStr">
        <is>
          <t>R38</t>
        </is>
      </c>
      <c r="I15" s="175" t="n">
        <v>38</v>
      </c>
      <c r="J15" s="176" t="inlineStr">
        <is>
          <t>Sí</t>
        </is>
      </c>
    </row>
    <row r="16" ht="15" customHeight="1" s="235">
      <c r="A16" s="2" t="inlineStr">
        <is>
          <t>Fuente</t>
        </is>
      </c>
      <c r="B16" s="2" t="inlineStr">
        <is>
          <t>URL</t>
        </is>
      </c>
      <c r="C16" s="2" t="inlineStr">
        <is>
          <t>Uso</t>
        </is>
      </c>
      <c r="D16" s="2" t="inlineStr">
        <is>
          <t>Fecha verificación</t>
        </is>
      </c>
      <c r="E16" s="2" t="inlineStr">
        <is>
          <t>Autoridad</t>
        </is>
      </c>
      <c r="F16" s="2" t="inlineStr">
        <is>
          <t>Nota</t>
        </is>
      </c>
      <c r="H16" s="174" t="inlineStr">
        <is>
          <t>R39</t>
        </is>
      </c>
      <c r="I16" s="175" t="n">
        <v>39</v>
      </c>
      <c r="J16" s="176" t="inlineStr">
        <is>
          <t>Sí</t>
        </is>
      </c>
    </row>
    <row r="17" ht="71.25" customHeight="1" s="235">
      <c r="A17" s="3" t="inlineStr">
        <is>
          <t>DIAN Renta AG 2025</t>
        </is>
      </c>
      <c r="B17" s="4" t="inlineStr">
        <is>
          <t>https://micrositios.dian.gov.co/renta-personas-naturales-ag-2025/todo-lo-que-usted-debe-saber-sobre-renta/</t>
        </is>
      </c>
      <c r="C17" s="4" t="inlineStr">
        <is>
          <t>Topes y UVT</t>
        </is>
      </c>
      <c r="D17" s="4" t="inlineStr">
        <is>
          <t>2026-07-13</t>
        </is>
      </c>
      <c r="E17" s="4" t="inlineStr">
        <is>
          <t>DIAN</t>
        </is>
      </c>
      <c r="F17" s="5" t="inlineStr">
        <is>
          <t>Topes oficiales publicados</t>
        </is>
      </c>
      <c r="H17" s="174" t="inlineStr">
        <is>
          <t>R40</t>
        </is>
      </c>
      <c r="I17" s="175" t="n">
        <v>40</v>
      </c>
      <c r="J17" s="176" t="inlineStr">
        <is>
          <t>No</t>
        </is>
      </c>
    </row>
    <row r="18" ht="57" customHeight="1" s="235">
      <c r="A18" s="6" t="inlineStr">
        <is>
          <t>Formulario 210 2026</t>
        </is>
      </c>
      <c r="B18" s="7" t="inlineStr">
        <is>
          <t>https://www.dian.gov.co/atencionciudadano/formulariosinstructivos/Formularios/2026/Formulario_210_2026.pdf</t>
        </is>
      </c>
      <c r="C18" s="7" t="inlineStr">
        <is>
          <t>Casillas e instructivo</t>
        </is>
      </c>
      <c r="D18" s="7" t="inlineStr">
        <is>
          <t>2026-07-13</t>
        </is>
      </c>
      <c r="E18" s="7" t="inlineStr">
        <is>
          <t>DIAN</t>
        </is>
      </c>
      <c r="F18" s="8" t="inlineStr">
        <is>
          <t>Año gravable 2023 y siguientes</t>
        </is>
      </c>
      <c r="H18" s="174" t="inlineStr">
        <is>
          <t>R41</t>
        </is>
      </c>
      <c r="I18" s="175" t="n">
        <v>41</v>
      </c>
      <c r="J18" s="176" t="inlineStr">
        <is>
          <t>No</t>
        </is>
      </c>
    </row>
    <row r="19" ht="57" customHeight="1" s="235">
      <c r="A19" s="6" t="inlineStr">
        <is>
          <t>Resolución 227 de 2025</t>
        </is>
      </c>
      <c r="B19" s="7" t="inlineStr">
        <is>
          <t>https://normograma.dian.gov.co/dian/compilacion/docs/resolucion_dian_0227_2025.htm</t>
        </is>
      </c>
      <c r="C19" s="7" t="inlineStr">
        <is>
          <t>Prescripción formulario</t>
        </is>
      </c>
      <c r="D19" s="7" t="inlineStr">
        <is>
          <t>2026-07-13</t>
        </is>
      </c>
      <c r="E19" s="7" t="inlineStr">
        <is>
          <t>DIAN</t>
        </is>
      </c>
      <c r="F19" s="8" t="inlineStr">
        <is>
          <t>Resolución única</t>
        </is>
      </c>
      <c r="H19" s="174" t="inlineStr">
        <is>
          <t>R42</t>
        </is>
      </c>
      <c r="I19" s="175" t="n">
        <v>42</v>
      </c>
      <c r="J19" s="176" t="inlineStr">
        <is>
          <t>No</t>
        </is>
      </c>
    </row>
    <row r="20" ht="42.75" customHeight="1" s="235">
      <c r="A20" s="6" t="inlineStr">
        <is>
          <t>Decreto 2229 de 2023</t>
        </is>
      </c>
      <c r="B20" s="7" t="inlineStr">
        <is>
          <t>https://normograma.dian.gov.co/dian/compilacion/docs/decreto_2229_2023.htm</t>
        </is>
      </c>
      <c r="C20" s="7" t="inlineStr">
        <is>
          <t>Condiciones no obligados</t>
        </is>
      </c>
      <c r="D20" s="7" t="inlineStr">
        <is>
          <t>2026-07-13</t>
        </is>
      </c>
      <c r="E20" s="7" t="inlineStr">
        <is>
          <t>DIAN</t>
        </is>
      </c>
      <c r="F20" s="8" t="inlineStr">
        <is>
          <t>Operadores de comparación</t>
        </is>
      </c>
      <c r="H20" s="174" t="inlineStr">
        <is>
          <t>R43</t>
        </is>
      </c>
      <c r="I20" s="175" t="n">
        <v>43</v>
      </c>
      <c r="J20" s="176" t="inlineStr">
        <is>
          <t>Sí</t>
        </is>
      </c>
    </row>
    <row r="21" ht="42.75" customHeight="1" s="235">
      <c r="A21" s="6" t="inlineStr">
        <is>
          <t>Calendario 2026</t>
        </is>
      </c>
      <c r="B21" s="7" t="inlineStr">
        <is>
          <t>https://www.dian.gov.co/Calendarios/Calendario_Tributario_2026.pdf</t>
        </is>
      </c>
      <c r="C21" s="7" t="inlineStr">
        <is>
          <t>Vencimientos</t>
        </is>
      </c>
      <c r="D21" s="7" t="inlineStr">
        <is>
          <t>2026-07-13</t>
        </is>
      </c>
      <c r="E21" s="7" t="inlineStr">
        <is>
          <t>DIAN</t>
        </is>
      </c>
      <c r="F21" s="8" t="inlineStr">
        <is>
          <t>12 agosto a 26 octubre de 2026</t>
        </is>
      </c>
      <c r="H21" s="174" t="inlineStr">
        <is>
          <t>R44</t>
        </is>
      </c>
      <c r="I21" s="175" t="n">
        <v>44</v>
      </c>
      <c r="J21" s="176" t="inlineStr">
        <is>
          <t>Sí</t>
        </is>
      </c>
    </row>
    <row r="22" ht="28.5" customHeight="1" s="235">
      <c r="A22" s="6" t="inlineStr">
        <is>
          <t>Nota profesional</t>
        </is>
      </c>
      <c r="B22" s="7" t="n"/>
      <c r="C22" s="7" t="inlineStr">
        <is>
          <t>Alcance</t>
        </is>
      </c>
      <c r="D22" s="7" t="inlineStr">
        <is>
          <t>2026-07-13</t>
        </is>
      </c>
      <c r="E22" s="7" t="n"/>
      <c r="F22" s="8" t="inlineStr">
        <is>
          <t>La exógena es indicio; no reemplaza realidad económica ni soportes</t>
        </is>
      </c>
      <c r="H22" s="174" t="inlineStr">
        <is>
          <t>R45</t>
        </is>
      </c>
      <c r="I22" s="175" t="n">
        <v>45</v>
      </c>
      <c r="J22" s="176" t="inlineStr">
        <is>
          <t>Sí</t>
        </is>
      </c>
    </row>
    <row r="23" ht="85.5" customHeight="1" s="235">
      <c r="A23" s="9" t="inlineStr">
        <is>
          <t>Control de versión</t>
        </is>
      </c>
      <c r="B23" s="10" t="n"/>
      <c r="C23" s="10" t="inlineStr">
        <is>
          <t>Herramienta</t>
        </is>
      </c>
      <c r="D23" s="10" t="inlineStr">
        <is>
          <t>2026-08-03</t>
        </is>
      </c>
      <c r="E23" s="10" t="n"/>
      <c r="F23" s="11" t="inlineStr">
        <is>
          <t>v1.12 (2026-08-03): Corregida la casilla 91; bloqueados topes y anticipo incompletos; reforzada la asignación múltiple, las validaciones de valores no negativos y la protección de entradas.</t>
        </is>
      </c>
      <c r="H23" s="174" t="inlineStr">
        <is>
          <t>R46</t>
        </is>
      </c>
      <c r="I23" s="175" t="n">
        <v>46</v>
      </c>
      <c r="J23" s="176" t="inlineStr">
        <is>
          <t>No</t>
        </is>
      </c>
    </row>
    <row r="24" ht="14.25" customHeight="1" s="235">
      <c r="H24" s="174" t="inlineStr">
        <is>
          <t>R47</t>
        </is>
      </c>
      <c r="I24" s="175" t="n">
        <v>47</v>
      </c>
      <c r="J24" s="176" t="inlineStr">
        <is>
          <t>Sí</t>
        </is>
      </c>
    </row>
    <row r="25" ht="14.25" customHeight="1" s="235">
      <c r="H25" s="174" t="inlineStr">
        <is>
          <t>R48</t>
        </is>
      </c>
      <c r="I25" s="175" t="n">
        <v>48</v>
      </c>
      <c r="J25" s="176" t="inlineStr">
        <is>
          <t>Sí</t>
        </is>
      </c>
    </row>
    <row r="26" ht="14.25" customHeight="1" s="235">
      <c r="H26" s="174" t="inlineStr">
        <is>
          <t>R49</t>
        </is>
      </c>
      <c r="I26" s="175" t="n">
        <v>49</v>
      </c>
      <c r="J26" s="176" t="inlineStr">
        <is>
          <t>No</t>
        </is>
      </c>
    </row>
    <row r="27" ht="14.25" customHeight="1" s="235">
      <c r="H27" s="174" t="inlineStr">
        <is>
          <t>R50</t>
        </is>
      </c>
      <c r="I27" s="175" t="n">
        <v>50</v>
      </c>
      <c r="J27" s="176" t="inlineStr">
        <is>
          <t>Sí</t>
        </is>
      </c>
    </row>
    <row r="28" ht="14.25" customHeight="1" s="235">
      <c r="H28" s="174" t="inlineStr">
        <is>
          <t>R51</t>
        </is>
      </c>
      <c r="I28" s="175" t="n">
        <v>51</v>
      </c>
      <c r="J28" s="176" t="inlineStr">
        <is>
          <t>Sí</t>
        </is>
      </c>
    </row>
    <row r="29" ht="14.25" customHeight="1" s="235">
      <c r="H29" s="174" t="inlineStr">
        <is>
          <t>R52</t>
        </is>
      </c>
      <c r="I29" s="175" t="n">
        <v>52</v>
      </c>
      <c r="J29" s="176" t="inlineStr">
        <is>
          <t>No</t>
        </is>
      </c>
    </row>
    <row r="30" ht="14.25" customHeight="1" s="235">
      <c r="H30" s="174" t="inlineStr">
        <is>
          <t>R53</t>
        </is>
      </c>
      <c r="I30" s="175" t="n">
        <v>53</v>
      </c>
      <c r="J30" s="176" t="inlineStr">
        <is>
          <t>No</t>
        </is>
      </c>
    </row>
    <row r="31" ht="14.25" customHeight="1" s="235">
      <c r="H31" s="174" t="inlineStr">
        <is>
          <t>R54</t>
        </is>
      </c>
      <c r="I31" s="175" t="n">
        <v>54</v>
      </c>
      <c r="J31" s="176" t="inlineStr">
        <is>
          <t>No</t>
        </is>
      </c>
    </row>
    <row r="32" ht="14.25" customHeight="1" s="235">
      <c r="H32" s="174" t="inlineStr">
        <is>
          <t>R55</t>
        </is>
      </c>
      <c r="I32" s="175" t="n">
        <v>55</v>
      </c>
      <c r="J32" s="176" t="inlineStr">
        <is>
          <t>No</t>
        </is>
      </c>
    </row>
    <row r="33" ht="14.25" customHeight="1" s="235">
      <c r="H33" s="174" t="inlineStr">
        <is>
          <t>R56</t>
        </is>
      </c>
      <c r="I33" s="175" t="n">
        <v>56</v>
      </c>
      <c r="J33" s="176" t="inlineStr">
        <is>
          <t>Sí</t>
        </is>
      </c>
    </row>
    <row r="34" ht="14.25" customHeight="1" s="235">
      <c r="H34" s="174" t="inlineStr">
        <is>
          <t>R57</t>
        </is>
      </c>
      <c r="I34" s="175" t="n">
        <v>57</v>
      </c>
      <c r="J34" s="176" t="inlineStr">
        <is>
          <t>No</t>
        </is>
      </c>
    </row>
    <row r="35" ht="14.25" customHeight="1" s="235">
      <c r="H35" s="174" t="inlineStr">
        <is>
          <t>R58</t>
        </is>
      </c>
      <c r="I35" s="175" t="n">
        <v>58</v>
      </c>
      <c r="J35" s="176" t="inlineStr">
        <is>
          <t>Sí</t>
        </is>
      </c>
    </row>
    <row r="36" ht="14.25" customHeight="1" s="235">
      <c r="H36" s="174" t="inlineStr">
        <is>
          <t>R59</t>
        </is>
      </c>
      <c r="I36" s="175" t="n">
        <v>59</v>
      </c>
      <c r="J36" s="176" t="inlineStr">
        <is>
          <t>Sí</t>
        </is>
      </c>
    </row>
    <row r="37" ht="14.25" customHeight="1" s="235">
      <c r="H37" s="174" t="inlineStr">
        <is>
          <t>R60</t>
        </is>
      </c>
      <c r="I37" s="175" t="n">
        <v>60</v>
      </c>
      <c r="J37" s="176" t="inlineStr">
        <is>
          <t>Sí</t>
        </is>
      </c>
    </row>
    <row r="38" ht="14.25" customHeight="1" s="235">
      <c r="H38" s="174" t="inlineStr">
        <is>
          <t>R61</t>
        </is>
      </c>
      <c r="I38" s="175" t="n">
        <v>61</v>
      </c>
      <c r="J38" s="176" t="inlineStr">
        <is>
          <t>No</t>
        </is>
      </c>
    </row>
    <row r="39" ht="14.25" customHeight="1" s="235">
      <c r="H39" s="174" t="inlineStr">
        <is>
          <t>R62</t>
        </is>
      </c>
      <c r="I39" s="175" t="n">
        <v>62</v>
      </c>
      <c r="J39" s="176" t="inlineStr">
        <is>
          <t>Sí</t>
        </is>
      </c>
    </row>
    <row r="40" ht="14.25" customHeight="1" s="235">
      <c r="H40" s="174" t="inlineStr">
        <is>
          <t>R63</t>
        </is>
      </c>
      <c r="I40" s="175" t="n">
        <v>63</v>
      </c>
      <c r="J40" s="176" t="inlineStr">
        <is>
          <t>Sí</t>
        </is>
      </c>
    </row>
    <row r="41" ht="14.25" customHeight="1" s="235">
      <c r="H41" s="174" t="inlineStr">
        <is>
          <t>R64</t>
        </is>
      </c>
      <c r="I41" s="175" t="n">
        <v>64</v>
      </c>
      <c r="J41" s="176" t="inlineStr">
        <is>
          <t>Sí</t>
        </is>
      </c>
    </row>
    <row r="42" ht="14.25" customHeight="1" s="235">
      <c r="H42" s="174" t="inlineStr">
        <is>
          <t>R65</t>
        </is>
      </c>
      <c r="I42" s="175" t="n">
        <v>65</v>
      </c>
      <c r="J42" s="176" t="inlineStr">
        <is>
          <t>No</t>
        </is>
      </c>
    </row>
    <row r="43" ht="14.25" customHeight="1" s="235">
      <c r="H43" s="174" t="inlineStr">
        <is>
          <t>R66</t>
        </is>
      </c>
      <c r="I43" s="175" t="n">
        <v>66</v>
      </c>
      <c r="J43" s="176" t="inlineStr">
        <is>
          <t>Sí</t>
        </is>
      </c>
    </row>
    <row r="44" ht="14.25" customHeight="1" s="235">
      <c r="H44" s="174" t="inlineStr">
        <is>
          <t>R67</t>
        </is>
      </c>
      <c r="I44" s="175" t="n">
        <v>67</v>
      </c>
      <c r="J44" s="176" t="inlineStr">
        <is>
          <t>Sí</t>
        </is>
      </c>
    </row>
    <row r="45" ht="14.25" customHeight="1" s="235">
      <c r="H45" s="174" t="inlineStr">
        <is>
          <t>R68</t>
        </is>
      </c>
      <c r="I45" s="175" t="n">
        <v>68</v>
      </c>
      <c r="J45" s="176" t="inlineStr">
        <is>
          <t>No</t>
        </is>
      </c>
    </row>
    <row r="46" ht="14.25" customHeight="1" s="235">
      <c r="H46" s="174" t="inlineStr">
        <is>
          <t>R69</t>
        </is>
      </c>
      <c r="I46" s="175" t="n">
        <v>69</v>
      </c>
      <c r="J46" s="176" t="inlineStr">
        <is>
          <t>No</t>
        </is>
      </c>
    </row>
    <row r="47" ht="14.25" customHeight="1" s="235">
      <c r="H47" s="174" t="inlineStr">
        <is>
          <t>R70</t>
        </is>
      </c>
      <c r="I47" s="175" t="n">
        <v>70</v>
      </c>
      <c r="J47" s="176" t="inlineStr">
        <is>
          <t>No</t>
        </is>
      </c>
    </row>
    <row r="48" ht="14.25" customHeight="1" s="235">
      <c r="H48" s="174" t="inlineStr">
        <is>
          <t>R71</t>
        </is>
      </c>
      <c r="I48" s="175" t="n">
        <v>71</v>
      </c>
      <c r="J48" s="176" t="inlineStr">
        <is>
          <t>No</t>
        </is>
      </c>
    </row>
    <row r="49" ht="14.25" customHeight="1" s="235">
      <c r="H49" s="174" t="inlineStr">
        <is>
          <t>R72</t>
        </is>
      </c>
      <c r="I49" s="175" t="n">
        <v>72</v>
      </c>
      <c r="J49" s="176" t="inlineStr">
        <is>
          <t>Sí</t>
        </is>
      </c>
    </row>
    <row r="50" ht="14.25" customHeight="1" s="235">
      <c r="H50" s="174" t="inlineStr">
        <is>
          <t>R73</t>
        </is>
      </c>
      <c r="I50" s="175" t="n">
        <v>73</v>
      </c>
      <c r="J50" s="176" t="inlineStr">
        <is>
          <t>No</t>
        </is>
      </c>
    </row>
    <row r="51" ht="14.25" customHeight="1" s="235">
      <c r="H51" s="174" t="inlineStr">
        <is>
          <t>R74</t>
        </is>
      </c>
      <c r="I51" s="175" t="n">
        <v>74</v>
      </c>
      <c r="J51" s="176" t="inlineStr">
        <is>
          <t>Sí</t>
        </is>
      </c>
    </row>
    <row r="52" ht="14.25" customHeight="1" s="235">
      <c r="H52" s="174" t="inlineStr">
        <is>
          <t>R75</t>
        </is>
      </c>
      <c r="I52" s="175" t="n">
        <v>75</v>
      </c>
      <c r="J52" s="176" t="inlineStr">
        <is>
          <t>Sí</t>
        </is>
      </c>
    </row>
    <row r="53" ht="14.25" customHeight="1" s="235">
      <c r="H53" s="174" t="inlineStr">
        <is>
          <t>R76</t>
        </is>
      </c>
      <c r="I53" s="175" t="n">
        <v>76</v>
      </c>
      <c r="J53" s="176" t="inlineStr">
        <is>
          <t>Sí</t>
        </is>
      </c>
    </row>
    <row r="54" ht="14.25" customHeight="1" s="235">
      <c r="H54" s="174" t="inlineStr">
        <is>
          <t>R77</t>
        </is>
      </c>
      <c r="I54" s="175" t="n">
        <v>77</v>
      </c>
      <c r="J54" s="176" t="inlineStr">
        <is>
          <t>Sí</t>
        </is>
      </c>
    </row>
    <row r="55" ht="14.25" customHeight="1" s="235">
      <c r="H55" s="174" t="inlineStr">
        <is>
          <t>R78</t>
        </is>
      </c>
      <c r="I55" s="175" t="n">
        <v>78</v>
      </c>
      <c r="J55" s="176" t="inlineStr">
        <is>
          <t>No</t>
        </is>
      </c>
    </row>
    <row r="56" ht="14.25" customHeight="1" s="235">
      <c r="H56" s="174" t="inlineStr">
        <is>
          <t>R79</t>
        </is>
      </c>
      <c r="I56" s="175" t="n">
        <v>79</v>
      </c>
      <c r="J56" s="176" t="inlineStr">
        <is>
          <t>Sí</t>
        </is>
      </c>
    </row>
    <row r="57" ht="14.25" customHeight="1" s="235">
      <c r="H57" s="174" t="inlineStr">
        <is>
          <t>R80</t>
        </is>
      </c>
      <c r="I57" s="175" t="n">
        <v>80</v>
      </c>
      <c r="J57" s="176" t="inlineStr">
        <is>
          <t>Sí</t>
        </is>
      </c>
    </row>
    <row r="58" ht="14.25" customHeight="1" s="235">
      <c r="H58" s="174" t="inlineStr">
        <is>
          <t>R81</t>
        </is>
      </c>
      <c r="I58" s="175" t="n">
        <v>81</v>
      </c>
      <c r="J58" s="176" t="inlineStr">
        <is>
          <t>Sí</t>
        </is>
      </c>
    </row>
    <row r="59" ht="14.25" customHeight="1" s="235">
      <c r="H59" s="174" t="inlineStr">
        <is>
          <t>R82</t>
        </is>
      </c>
      <c r="I59" s="175" t="n">
        <v>82</v>
      </c>
      <c r="J59" s="176" t="inlineStr">
        <is>
          <t>No</t>
        </is>
      </c>
    </row>
    <row r="60" ht="14.25" customHeight="1" s="235">
      <c r="H60" s="174" t="inlineStr">
        <is>
          <t>R83</t>
        </is>
      </c>
      <c r="I60" s="175" t="n">
        <v>83</v>
      </c>
      <c r="J60" s="176" t="inlineStr">
        <is>
          <t>Sí</t>
        </is>
      </c>
    </row>
    <row r="61" ht="14.25" customHeight="1" s="235">
      <c r="H61" s="174" t="inlineStr">
        <is>
          <t>R84</t>
        </is>
      </c>
      <c r="I61" s="175" t="n">
        <v>84</v>
      </c>
      <c r="J61" s="176" t="inlineStr">
        <is>
          <t>Sí</t>
        </is>
      </c>
    </row>
    <row r="62" ht="14.25" customHeight="1" s="235">
      <c r="H62" s="174" t="inlineStr">
        <is>
          <t>R85</t>
        </is>
      </c>
      <c r="I62" s="175" t="n">
        <v>85</v>
      </c>
      <c r="J62" s="176" t="inlineStr">
        <is>
          <t>No</t>
        </is>
      </c>
    </row>
    <row r="63" ht="14.25" customHeight="1" s="235">
      <c r="H63" s="174" t="inlineStr">
        <is>
          <t>R86</t>
        </is>
      </c>
      <c r="I63" s="175" t="n">
        <v>86</v>
      </c>
      <c r="J63" s="176" t="inlineStr">
        <is>
          <t>No</t>
        </is>
      </c>
    </row>
    <row r="64" ht="14.25" customHeight="1" s="235">
      <c r="H64" s="174" t="inlineStr">
        <is>
          <t>R87</t>
        </is>
      </c>
      <c r="I64" s="175" t="n">
        <v>87</v>
      </c>
      <c r="J64" s="176" t="inlineStr">
        <is>
          <t>No</t>
        </is>
      </c>
    </row>
    <row r="65" ht="14.25" customHeight="1" s="235">
      <c r="H65" s="174" t="inlineStr">
        <is>
          <t>R88</t>
        </is>
      </c>
      <c r="I65" s="175" t="n">
        <v>88</v>
      </c>
      <c r="J65" s="176" t="inlineStr">
        <is>
          <t>No</t>
        </is>
      </c>
    </row>
    <row r="66" ht="14.25" customHeight="1" s="235">
      <c r="H66" s="174" t="inlineStr">
        <is>
          <t>R89</t>
        </is>
      </c>
      <c r="I66" s="175" t="n">
        <v>89</v>
      </c>
      <c r="J66" s="176" t="inlineStr">
        <is>
          <t>Sí</t>
        </is>
      </c>
    </row>
    <row r="67" ht="14.25" customHeight="1" s="235">
      <c r="H67" s="174" t="inlineStr">
        <is>
          <t>R90</t>
        </is>
      </c>
      <c r="I67" s="175" t="n">
        <v>90</v>
      </c>
      <c r="J67" s="176" t="inlineStr">
        <is>
          <t>No</t>
        </is>
      </c>
    </row>
    <row r="68" ht="14.25" customHeight="1" s="235">
      <c r="H68" s="174" t="inlineStr">
        <is>
          <t>R91</t>
        </is>
      </c>
      <c r="I68" s="175" t="n">
        <v>91</v>
      </c>
      <c r="J68" s="176" t="inlineStr">
        <is>
          <t>No</t>
        </is>
      </c>
    </row>
    <row r="69" ht="14.25" customHeight="1" s="235">
      <c r="H69" s="174" t="inlineStr">
        <is>
          <t>R92</t>
        </is>
      </c>
      <c r="I69" s="175" t="n">
        <v>92</v>
      </c>
      <c r="J69" s="176" t="inlineStr">
        <is>
          <t>No</t>
        </is>
      </c>
    </row>
    <row r="70" ht="14.25" customHeight="1" s="235">
      <c r="H70" s="174" t="inlineStr">
        <is>
          <t>R93</t>
        </is>
      </c>
      <c r="I70" s="175" t="n">
        <v>93</v>
      </c>
      <c r="J70" s="176" t="inlineStr">
        <is>
          <t>No</t>
        </is>
      </c>
    </row>
    <row r="71" ht="14.25" customHeight="1" s="235">
      <c r="H71" s="174" t="inlineStr">
        <is>
          <t>R94</t>
        </is>
      </c>
      <c r="I71" s="175" t="n">
        <v>94</v>
      </c>
      <c r="J71" s="176" t="inlineStr">
        <is>
          <t>Sí</t>
        </is>
      </c>
    </row>
    <row r="72" ht="14.25" customHeight="1" s="235">
      <c r="H72" s="174" t="inlineStr">
        <is>
          <t>R95</t>
        </is>
      </c>
      <c r="I72" s="175" t="n">
        <v>95</v>
      </c>
      <c r="J72" s="176" t="inlineStr">
        <is>
          <t>Sí</t>
        </is>
      </c>
    </row>
    <row r="73" ht="14.25" customHeight="1" s="235">
      <c r="H73" s="174" t="inlineStr">
        <is>
          <t>R96</t>
        </is>
      </c>
      <c r="I73" s="175" t="n">
        <v>96</v>
      </c>
      <c r="J73" s="176" t="inlineStr">
        <is>
          <t>Sí</t>
        </is>
      </c>
    </row>
    <row r="74" ht="14.25" customHeight="1" s="235">
      <c r="H74" s="174" t="inlineStr">
        <is>
          <t>R97</t>
        </is>
      </c>
      <c r="I74" s="175" t="n">
        <v>97</v>
      </c>
      <c r="J74" s="176" t="inlineStr">
        <is>
          <t>No</t>
        </is>
      </c>
    </row>
    <row r="75" ht="14.25" customHeight="1" s="235">
      <c r="H75" s="174" t="inlineStr">
        <is>
          <t>R98</t>
        </is>
      </c>
      <c r="I75" s="175" t="n">
        <v>98</v>
      </c>
      <c r="J75" s="176" t="inlineStr">
        <is>
          <t>Sí</t>
        </is>
      </c>
    </row>
    <row r="76" ht="14.25" customHeight="1" s="235">
      <c r="H76" s="174" t="inlineStr">
        <is>
          <t>R99</t>
        </is>
      </c>
      <c r="I76" s="175" t="n">
        <v>99</v>
      </c>
      <c r="J76" s="176" t="inlineStr">
        <is>
          <t>Sí</t>
        </is>
      </c>
    </row>
    <row r="77" ht="14.25" customHeight="1" s="235">
      <c r="H77" s="174" t="inlineStr">
        <is>
          <t>R100</t>
        </is>
      </c>
      <c r="I77" s="175" t="n">
        <v>100</v>
      </c>
      <c r="J77" s="176" t="inlineStr">
        <is>
          <t>Sí</t>
        </is>
      </c>
    </row>
    <row r="78" ht="14.25" customHeight="1" s="235">
      <c r="H78" s="174" t="inlineStr">
        <is>
          <t>R101</t>
        </is>
      </c>
      <c r="I78" s="175" t="n">
        <v>101</v>
      </c>
      <c r="J78" s="176" t="inlineStr">
        <is>
          <t>No</t>
        </is>
      </c>
    </row>
    <row r="79" ht="14.25" customHeight="1" s="235">
      <c r="H79" s="174" t="inlineStr">
        <is>
          <t>R102</t>
        </is>
      </c>
      <c r="I79" s="175" t="n">
        <v>102</v>
      </c>
      <c r="J79" s="176" t="inlineStr">
        <is>
          <t>No</t>
        </is>
      </c>
    </row>
    <row r="80" ht="14.25" customHeight="1" s="235">
      <c r="H80" s="174" t="inlineStr">
        <is>
          <t>R103</t>
        </is>
      </c>
      <c r="I80" s="175" t="n">
        <v>103</v>
      </c>
      <c r="J80" s="176" t="inlineStr">
        <is>
          <t>No</t>
        </is>
      </c>
    </row>
    <row r="81" ht="14.25" customHeight="1" s="235">
      <c r="H81" s="174" t="inlineStr">
        <is>
          <t>R104</t>
        </is>
      </c>
      <c r="I81" s="175" t="n">
        <v>104</v>
      </c>
      <c r="J81" s="176" t="inlineStr">
        <is>
          <t>Sí</t>
        </is>
      </c>
    </row>
    <row r="82" ht="14.25" customHeight="1" s="235">
      <c r="H82" s="174" t="inlineStr">
        <is>
          <t>R105</t>
        </is>
      </c>
      <c r="I82" s="175" t="n">
        <v>105</v>
      </c>
      <c r="J82" s="176" t="inlineStr">
        <is>
          <t>Sí</t>
        </is>
      </c>
    </row>
    <row r="83" ht="14.25" customHeight="1" s="235">
      <c r="H83" s="174" t="inlineStr">
        <is>
          <t>R106</t>
        </is>
      </c>
      <c r="I83" s="175" t="n">
        <v>106</v>
      </c>
      <c r="J83" s="176" t="inlineStr">
        <is>
          <t>No</t>
        </is>
      </c>
    </row>
    <row r="84" ht="14.25" customHeight="1" s="235">
      <c r="H84" s="174" t="inlineStr">
        <is>
          <t>R107</t>
        </is>
      </c>
      <c r="I84" s="175" t="n">
        <v>107</v>
      </c>
      <c r="J84" s="176" t="inlineStr">
        <is>
          <t>Sí</t>
        </is>
      </c>
    </row>
    <row r="85" ht="14.25" customHeight="1" s="235">
      <c r="H85" s="174" t="inlineStr">
        <is>
          <t>R108</t>
        </is>
      </c>
      <c r="I85" s="175" t="n">
        <v>108</v>
      </c>
      <c r="J85" s="176" t="inlineStr">
        <is>
          <t>Sí</t>
        </is>
      </c>
    </row>
    <row r="86" ht="14.25" customHeight="1" s="235">
      <c r="H86" s="174" t="inlineStr">
        <is>
          <t>R109</t>
        </is>
      </c>
      <c r="I86" s="175" t="n">
        <v>109</v>
      </c>
      <c r="J86" s="176" t="inlineStr">
        <is>
          <t>Sí</t>
        </is>
      </c>
    </row>
    <row r="87" ht="14.25" customHeight="1" s="235">
      <c r="H87" s="174" t="inlineStr">
        <is>
          <t>R110</t>
        </is>
      </c>
      <c r="I87" s="175" t="n">
        <v>110</v>
      </c>
      <c r="J87" s="176" t="inlineStr">
        <is>
          <t>Sí</t>
        </is>
      </c>
    </row>
    <row r="88" ht="14.25" customHeight="1" s="235">
      <c r="H88" s="174" t="inlineStr">
        <is>
          <t>R111</t>
        </is>
      </c>
      <c r="I88" s="175" t="n">
        <v>111</v>
      </c>
      <c r="J88" s="176" t="inlineStr">
        <is>
          <t>No</t>
        </is>
      </c>
    </row>
    <row r="89" ht="14.25" customHeight="1" s="235">
      <c r="H89" s="174" t="inlineStr">
        <is>
          <t>R112</t>
        </is>
      </c>
      <c r="I89" s="175" t="n">
        <v>112</v>
      </c>
      <c r="J89" s="176" t="inlineStr">
        <is>
          <t>Sí</t>
        </is>
      </c>
    </row>
    <row r="90" ht="14.25" customHeight="1" s="235">
      <c r="H90" s="174" t="inlineStr">
        <is>
          <t>R113</t>
        </is>
      </c>
      <c r="I90" s="175" t="n">
        <v>113</v>
      </c>
      <c r="J90" s="176" t="inlineStr">
        <is>
          <t>Sí</t>
        </is>
      </c>
    </row>
    <row r="91" ht="14.25" customHeight="1" s="235">
      <c r="H91" s="174" t="inlineStr">
        <is>
          <t>R114</t>
        </is>
      </c>
      <c r="I91" s="175" t="n">
        <v>114</v>
      </c>
      <c r="J91" s="176" t="inlineStr">
        <is>
          <t>Sí</t>
        </is>
      </c>
    </row>
    <row r="92" ht="14.25" customHeight="1" s="235">
      <c r="H92" s="174" t="inlineStr">
        <is>
          <t>R115</t>
        </is>
      </c>
      <c r="I92" s="175" t="n">
        <v>115</v>
      </c>
      <c r="J92" s="176" t="inlineStr">
        <is>
          <t>No</t>
        </is>
      </c>
    </row>
    <row r="93" ht="14.25" customHeight="1" s="235">
      <c r="H93" s="174" t="inlineStr">
        <is>
          <t>R116</t>
        </is>
      </c>
      <c r="I93" s="175" t="n">
        <v>116</v>
      </c>
      <c r="J93" s="176" t="inlineStr">
        <is>
          <t>No</t>
        </is>
      </c>
    </row>
    <row r="94" ht="14.25" customHeight="1" s="235">
      <c r="H94" s="174" t="inlineStr">
        <is>
          <t>R117</t>
        </is>
      </c>
      <c r="I94" s="175" t="n">
        <v>117</v>
      </c>
      <c r="J94" s="176" t="inlineStr">
        <is>
          <t>No</t>
        </is>
      </c>
    </row>
    <row r="95" ht="14.25" customHeight="1" s="235">
      <c r="H95" s="174" t="inlineStr">
        <is>
          <t>R118</t>
        </is>
      </c>
      <c r="I95" s="175" t="n">
        <v>118</v>
      </c>
      <c r="J95" s="176" t="inlineStr">
        <is>
          <t>Sí</t>
        </is>
      </c>
    </row>
    <row r="96" ht="14.25" customHeight="1" s="235">
      <c r="H96" s="174" t="inlineStr">
        <is>
          <t>R119</t>
        </is>
      </c>
      <c r="I96" s="175" t="n">
        <v>119</v>
      </c>
      <c r="J96" s="176" t="inlineStr">
        <is>
          <t>Sí</t>
        </is>
      </c>
    </row>
    <row r="97" ht="14.25" customHeight="1" s="235">
      <c r="H97" s="174" t="inlineStr">
        <is>
          <t>R120</t>
        </is>
      </c>
      <c r="I97" s="175" t="n">
        <v>120</v>
      </c>
      <c r="J97" s="176" t="inlineStr">
        <is>
          <t>Sí</t>
        </is>
      </c>
    </row>
    <row r="98" ht="14.25" customHeight="1" s="235">
      <c r="H98" s="174" t="inlineStr">
        <is>
          <t>R121</t>
        </is>
      </c>
      <c r="I98" s="175" t="n">
        <v>121</v>
      </c>
      <c r="J98" s="176" t="inlineStr">
        <is>
          <t>No</t>
        </is>
      </c>
    </row>
    <row r="99" ht="14.25" customHeight="1" s="235">
      <c r="H99" s="174" t="inlineStr">
        <is>
          <t>R122</t>
        </is>
      </c>
      <c r="I99" s="175" t="n">
        <v>122</v>
      </c>
      <c r="J99" s="176" t="inlineStr">
        <is>
          <t>Sí</t>
        </is>
      </c>
    </row>
    <row r="100" ht="14.25" customHeight="1" s="235">
      <c r="H100" s="174" t="inlineStr">
        <is>
          <t>R123</t>
        </is>
      </c>
      <c r="I100" s="175" t="n">
        <v>123</v>
      </c>
      <c r="J100" s="176" t="inlineStr">
        <is>
          <t>Sí</t>
        </is>
      </c>
    </row>
    <row r="101" ht="14.25" customHeight="1" s="235">
      <c r="H101" s="174" t="inlineStr">
        <is>
          <t>R124</t>
        </is>
      </c>
      <c r="I101" s="175" t="n">
        <v>124</v>
      </c>
      <c r="J101" s="176" t="inlineStr">
        <is>
          <t>Sí</t>
        </is>
      </c>
    </row>
    <row r="102" ht="14.25" customHeight="1" s="235">
      <c r="H102" s="174" t="inlineStr">
        <is>
          <t>R125</t>
        </is>
      </c>
      <c r="I102" s="175" t="n">
        <v>125</v>
      </c>
      <c r="J102" s="176" t="inlineStr">
        <is>
          <t>No</t>
        </is>
      </c>
    </row>
    <row r="103" ht="14.25" customHeight="1" s="235">
      <c r="H103" s="174" t="inlineStr">
        <is>
          <t>R126</t>
        </is>
      </c>
      <c r="I103" s="175" t="n">
        <v>126</v>
      </c>
      <c r="J103" s="176" t="inlineStr">
        <is>
          <t>No</t>
        </is>
      </c>
    </row>
    <row r="104" ht="14.25" customHeight="1" s="235">
      <c r="H104" s="174" t="inlineStr">
        <is>
          <t>R127</t>
        </is>
      </c>
      <c r="I104" s="175" t="n">
        <v>127</v>
      </c>
      <c r="J104" s="176" t="inlineStr">
        <is>
          <t>No</t>
        </is>
      </c>
    </row>
    <row r="105" ht="14.25" customHeight="1" s="235">
      <c r="H105" s="174" t="inlineStr">
        <is>
          <t>R128</t>
        </is>
      </c>
      <c r="I105" s="175" t="n">
        <v>128</v>
      </c>
      <c r="J105" s="176" t="inlineStr">
        <is>
          <t>Sí</t>
        </is>
      </c>
    </row>
    <row r="106" ht="14.25" customHeight="1" s="235">
      <c r="H106" s="174" t="inlineStr">
        <is>
          <t>R129</t>
        </is>
      </c>
      <c r="I106" s="175" t="n">
        <v>129</v>
      </c>
      <c r="J106" s="176" t="inlineStr">
        <is>
          <t>No</t>
        </is>
      </c>
    </row>
    <row r="107" ht="14.25" customHeight="1" s="235">
      <c r="H107" s="174" t="inlineStr">
        <is>
          <t>R130</t>
        </is>
      </c>
      <c r="I107" s="175" t="n">
        <v>130</v>
      </c>
      <c r="J107" s="176" t="inlineStr">
        <is>
          <t>Sí</t>
        </is>
      </c>
    </row>
    <row r="108" ht="14.25" customHeight="1" s="235">
      <c r="H108" s="174" t="inlineStr">
        <is>
          <t>R131</t>
        </is>
      </c>
      <c r="I108" s="175" t="n">
        <v>131</v>
      </c>
      <c r="J108" s="176" t="inlineStr">
        <is>
          <t>Sí</t>
        </is>
      </c>
    </row>
    <row r="109" ht="14.25" customHeight="1" s="235">
      <c r="H109" s="174" t="inlineStr">
        <is>
          <t>R132</t>
        </is>
      </c>
      <c r="I109" s="175" t="n">
        <v>132</v>
      </c>
      <c r="J109" s="176" t="inlineStr">
        <is>
          <t>Sí</t>
        </is>
      </c>
    </row>
    <row r="110" ht="14.25" customHeight="1" s="235">
      <c r="H110" s="174" t="inlineStr">
        <is>
          <t>R133</t>
        </is>
      </c>
      <c r="I110" s="175" t="n">
        <v>133</v>
      </c>
      <c r="J110" s="176" t="inlineStr">
        <is>
          <t>No</t>
        </is>
      </c>
    </row>
    <row r="111" ht="14.25" customHeight="1" s="235">
      <c r="H111" s="174" t="inlineStr">
        <is>
          <t>R134</t>
        </is>
      </c>
      <c r="I111" s="175" t="n">
        <v>134</v>
      </c>
      <c r="J111" s="176" t="inlineStr">
        <is>
          <t>No</t>
        </is>
      </c>
    </row>
    <row r="112" ht="14.25" customHeight="1" s="235">
      <c r="H112" s="174" t="inlineStr">
        <is>
          <t>R135</t>
        </is>
      </c>
      <c r="I112" s="175" t="n">
        <v>135</v>
      </c>
      <c r="J112" s="176" t="inlineStr">
        <is>
          <t>Sí</t>
        </is>
      </c>
    </row>
    <row r="113" ht="14.25" customHeight="1" s="235">
      <c r="H113" s="174" t="inlineStr">
        <is>
          <t>R136</t>
        </is>
      </c>
      <c r="I113" s="175" t="n">
        <v>136</v>
      </c>
      <c r="J113" s="176" t="inlineStr">
        <is>
          <t>No</t>
        </is>
      </c>
    </row>
    <row r="114" ht="14.25" customHeight="1" s="235">
      <c r="H114" s="174" t="inlineStr">
        <is>
          <t>R137</t>
        </is>
      </c>
      <c r="I114" s="175" t="n">
        <v>137</v>
      </c>
      <c r="J114" s="176" t="inlineStr">
        <is>
          <t>No</t>
        </is>
      </c>
    </row>
    <row r="115" ht="14.25" customHeight="1" s="235">
      <c r="H115" s="174" t="inlineStr">
        <is>
          <t>R138</t>
        </is>
      </c>
      <c r="I115" s="175" t="n">
        <v>138</v>
      </c>
      <c r="J115" s="176" t="inlineStr">
        <is>
          <t>Sí</t>
        </is>
      </c>
    </row>
    <row r="116" ht="14.25" customHeight="1" s="235">
      <c r="H116" s="174" t="inlineStr">
        <is>
          <t>R139</t>
        </is>
      </c>
      <c r="I116" s="175" t="n">
        <v>139</v>
      </c>
      <c r="J116" s="176" t="inlineStr">
        <is>
          <t>No</t>
        </is>
      </c>
    </row>
    <row r="117" ht="14.25" customHeight="1" s="235">
      <c r="H117" s="174" t="inlineStr">
        <is>
          <t>R140</t>
        </is>
      </c>
      <c r="I117" s="175" t="n">
        <v>140</v>
      </c>
      <c r="J117" s="176" t="inlineStr">
        <is>
          <t>No</t>
        </is>
      </c>
    </row>
    <row r="118" ht="14.25" customHeight="1" s="235">
      <c r="H118" s="180" t="inlineStr">
        <is>
          <t>R141</t>
        </is>
      </c>
      <c r="I118" s="181" t="n">
        <v>141</v>
      </c>
      <c r="J118" s="182" t="inlineStr">
        <is>
          <t>Sí</t>
        </is>
      </c>
    </row>
  </sheetData>
  <sheetProtection selectLockedCells="0" selectUnlockedCells="0" sheet="1" objects="1" insertRows="1" insertHyperlinks="1" autoFilter="1" scenarios="1" formatColumns="0" deleteColumns="1" insertColumns="1" pivotTables="1" deleteRows="1" formatCells="1" formatRows="0" sort="1"/>
  <mergeCells count="2">
    <mergeCell ref="A1:J1"/>
    <mergeCell ref="A2:J2"/>
  </mergeCells>
  <dataValidations count="4">
    <dataValidation sqref="B7" showDropDown="0" showInputMessage="0" showErrorMessage="0" allowBlank="0" type="list">
      <formula1>"Sí,No,No confirmado"</formula1>
      <formula2>0</formula2>
    </dataValidation>
    <dataValidation sqref="B11" showDropDown="0" showInputMessage="0" showErrorMessage="0" allowBlank="0" type="list">
      <formula1>"Impuesto actual,Promedio 2 años"</formula1>
      <formula2>0</formula2>
    </dataValidation>
    <dataValidation sqref="B8" showDropDown="0" showInputMessage="0" showErrorMessage="0" allowBlank="0" type="whole" operator="greaterThanOrEqual">
      <formula1>0</formula1>
    </dataValidation>
    <dataValidation sqref="B9" showDropDown="0" showInputMessage="0" showErrorMessage="0" allowBlank="0" type="decimal" operator="greaterThanOrEqual">
      <formula1>0</formula1>
    </dataValidation>
  </dataValidations>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H43"/>
  <sheetViews>
    <sheetView showGridLines="0" workbookViewId="0">
      <selection activeCell="A1" sqref="A1:H1"/>
    </sheetView>
  </sheetViews>
  <sheetFormatPr baseColWidth="10" defaultColWidth="9" defaultRowHeight="15"/>
  <cols>
    <col width="30" customWidth="1" style="235" min="1" max="1"/>
    <col width="10" customWidth="1" style="235" min="2" max="2"/>
    <col width="12" customWidth="1" style="235" min="3" max="3"/>
    <col width="10" customWidth="1" style="235" min="4" max="4"/>
    <col width="16" customWidth="1" style="235" min="5" max="5"/>
    <col width="56" customWidth="1" style="235" min="6" max="6"/>
    <col width="14" customWidth="1" style="235" min="7" max="7"/>
    <col width="48" customWidth="1" style="235" min="8" max="8"/>
  </cols>
  <sheetData>
    <row r="1" ht="30" customHeight="1" s="235">
      <c r="A1" s="254" t="inlineStr">
        <is>
          <t>MAPEO Y AUDITORÍA DE LOS ARCHIVOS FUENTE</t>
        </is>
      </c>
    </row>
    <row r="2" ht="31.5" customHeight="1" s="235">
      <c r="A2" s="253" t="inlineStr">
        <is>
          <t>Hallazgos observables en estructura, fórmulas, vínculos y riesgos de uso.</t>
        </is>
      </c>
    </row>
    <row r="3"/>
    <row r="4" ht="30" customHeight="1" s="235">
      <c r="A4" s="25" t="inlineStr">
        <is>
          <t>Archivo</t>
        </is>
      </c>
      <c r="B4" s="27" t="inlineStr">
        <is>
          <t>Hojas</t>
        </is>
      </c>
      <c r="C4" s="27" t="inlineStr">
        <is>
          <t>Fórmulas</t>
        </is>
      </c>
      <c r="D4" s="27" t="inlineStr">
        <is>
          <t>VBA</t>
        </is>
      </c>
      <c r="E4" s="27" t="inlineStr">
        <is>
          <t>Vínculos externos</t>
        </is>
      </c>
      <c r="F4" s="27" t="inlineStr">
        <is>
          <t>Hallazgo</t>
        </is>
      </c>
      <c r="G4" s="27" t="inlineStr">
        <is>
          <t>Severidad</t>
        </is>
      </c>
      <c r="H4" s="26" t="inlineStr">
        <is>
          <t>Tratamiento en esta herramienta</t>
        </is>
      </c>
    </row>
    <row r="5" ht="28.5" customHeight="1" s="235">
      <c r="A5" s="47" t="inlineStr">
        <is>
          <t>VA26 Formulario 210 AG2025</t>
        </is>
      </c>
      <c r="B5" s="48" t="n">
        <v>15</v>
      </c>
      <c r="C5" s="48" t="n">
        <v>902</v>
      </c>
      <c r="D5" s="48" t="inlineStr">
        <is>
          <t>No</t>
        </is>
      </c>
      <c r="E5" s="48" t="n">
        <v>9</v>
      </c>
      <c r="F5" s="48" t="inlineStr">
        <is>
          <t>Modelo amplio y útil, pero con vínculos externos, números incorporados en fórmulas y datos de ejemplo en zonas de cálculo.</t>
        </is>
      </c>
      <c r="G5" s="48" t="inlineStr">
        <is>
          <t>MEDIA</t>
        </is>
      </c>
      <c r="H5" s="50" t="inlineStr">
        <is>
          <t>Reglas visibles, sin vínculos externos y con separación fuente/decisión/salida.</t>
        </is>
      </c>
    </row>
    <row r="6" ht="28.5" customHeight="1" s="235">
      <c r="A6" s="47" t="inlineStr">
        <is>
          <t>VA26 Formulario 210 AG2025</t>
        </is>
      </c>
      <c r="B6" s="48" t="n">
        <v>15</v>
      </c>
      <c r="C6" s="48" t="n">
        <v>902</v>
      </c>
      <c r="D6" s="48" t="inlineStr">
        <is>
          <t>No</t>
        </is>
      </c>
      <c r="E6" s="48" t="n">
        <v>9</v>
      </c>
      <c r="F6" s="48" t="inlineStr">
        <is>
          <t>La casilla 28 usa UVT 49.799 y límites dentro de la fórmula; dificulta actualización y auditoría.</t>
        </is>
      </c>
      <c r="G6" s="48" t="inlineStr">
        <is>
          <t>MEDIA</t>
        </is>
      </c>
      <c r="H6" s="50" t="inlineStr">
        <is>
          <t>UVT y límites parametrizados en hoja Reglas.</t>
        </is>
      </c>
    </row>
    <row r="7" ht="28.5" customHeight="1" s="235">
      <c r="A7" s="47" t="inlineStr">
        <is>
          <t>AyudaRenta 2025 V1.0</t>
        </is>
      </c>
      <c r="B7" s="48" t="n">
        <v>191</v>
      </c>
      <c r="C7" s="48" t="n">
        <v>8923</v>
      </c>
      <c r="D7" s="48" t="inlineStr">
        <is>
          <t>Sí</t>
        </is>
      </c>
      <c r="E7" s="48" t="n">
        <v>5</v>
      </c>
      <c r="F7" s="48" t="inlineStr">
        <is>
          <t>Arquitectura opaca: una sola hoja visible y 190 ocultas o muy ocultas.</t>
        </is>
      </c>
      <c r="G7" s="48" t="inlineStr">
        <is>
          <t>ALTA</t>
        </is>
      </c>
      <c r="H7" s="50" t="inlineStr">
        <is>
          <t>Nueve hojas visibles y flujo explícito.</t>
        </is>
      </c>
    </row>
    <row r="8" ht="28.5" customHeight="1" s="235">
      <c r="A8" s="47" t="inlineStr">
        <is>
          <t>AyudaRenta 2025 V1.0</t>
        </is>
      </c>
      <c r="B8" s="48" t="n">
        <v>191</v>
      </c>
      <c r="C8" s="48" t="n">
        <v>8923</v>
      </c>
      <c r="D8" s="48" t="inlineStr">
        <is>
          <t>Sí</t>
        </is>
      </c>
      <c r="E8" s="48" t="n">
        <v>5</v>
      </c>
      <c r="F8" s="48" t="inlineStr">
        <is>
          <t>Fórmulas con #REF! observadas en 'costos y deduc'!N247/X247 y 'Formulario'!EL91.</t>
        </is>
      </c>
      <c r="G8" s="48" t="inlineStr">
        <is>
          <t>CRÍTICA</t>
        </is>
      </c>
      <c r="H8" s="50" t="inlineStr">
        <is>
          <t>No se reutilizan fórmulas rotas; motor nuevo y controles de error.</t>
        </is>
      </c>
    </row>
    <row r="9" ht="28.5" customHeight="1" s="235">
      <c r="A9" s="47" t="inlineStr">
        <is>
          <t>AyudaRenta 2025 V1.0</t>
        </is>
      </c>
      <c r="B9" s="48" t="n">
        <v>191</v>
      </c>
      <c r="C9" s="48" t="n">
        <v>8923</v>
      </c>
      <c r="D9" s="48" t="inlineStr">
        <is>
          <t>Sí</t>
        </is>
      </c>
      <c r="E9" s="48" t="n">
        <v>5</v>
      </c>
      <c r="F9" s="48" t="inlineStr">
        <is>
          <t>Referencia externa directa en 'DeduccimpuHonCom'!AA2 y múltiples #N/A de control.</t>
        </is>
      </c>
      <c r="G9" s="48" t="inlineStr">
        <is>
          <t>ALTA</t>
        </is>
      </c>
      <c r="H9" s="50" t="inlineStr">
        <is>
          <t>Libro independiente, sin referencias externas.</t>
        </is>
      </c>
    </row>
    <row r="10" ht="28.5" customHeight="1" s="235">
      <c r="A10" s="47" t="inlineStr">
        <is>
          <t>AyudaRenta 2025 V1.0</t>
        </is>
      </c>
      <c r="B10" s="48" t="n">
        <v>191</v>
      </c>
      <c r="C10" s="48" t="n">
        <v>8923</v>
      </c>
      <c r="D10" s="48" t="inlineStr">
        <is>
          <t>Sí</t>
        </is>
      </c>
      <c r="E10" s="48" t="n">
        <v>5</v>
      </c>
      <c r="F10" s="48" t="inlineStr">
        <is>
          <t>Rangos usados hasta fila 1.048.576 y 'Formulario' hasta XFD65593: riesgo de lentitud y mantenimiento.</t>
        </is>
      </c>
      <c r="G10" s="48" t="inlineStr">
        <is>
          <t>ALTA</t>
        </is>
      </c>
      <c r="H10" s="50" t="inlineStr">
        <is>
          <t>Rangos acotados a 500 registros de trabajo y 114 casillas.</t>
        </is>
      </c>
    </row>
    <row r="11" ht="28.5" customHeight="1" s="235">
      <c r="A11" s="47" t="inlineStr">
        <is>
          <t>reporteExogena2024 (4) y (5)</t>
        </is>
      </c>
      <c r="B11" s="48" t="n">
        <v>1</v>
      </c>
      <c r="C11" s="48" t="n">
        <v>0</v>
      </c>
      <c r="D11" s="48" t="inlineStr">
        <is>
          <t>No</t>
        </is>
      </c>
      <c r="E11" s="48" t="n">
        <v>0</v>
      </c>
      <c r="F11" s="48" t="inlineStr">
        <is>
          <t>Ambos usan 8 columnas y cabecera en fila 14, pero contienen 85 y 29 registros: la longitud no es fija.</t>
        </is>
      </c>
      <c r="G11" s="48" t="inlineStr">
        <is>
          <t>MEDIA</t>
        </is>
      </c>
      <c r="H11" s="50" t="inlineStr">
        <is>
          <t>Zona de carga limpia y capacidad de 500 registros con detección automática.</t>
        </is>
      </c>
    </row>
    <row r="12" ht="28.5" customHeight="1" s="235">
      <c r="A12" s="51" t="inlineStr">
        <is>
          <t>reporteExogena2024 (4) y (5)</t>
        </is>
      </c>
      <c r="B12" s="52" t="n">
        <v>1</v>
      </c>
      <c r="C12" s="52" t="n">
        <v>0</v>
      </c>
      <c r="D12" s="52" t="inlineStr">
        <is>
          <t>No</t>
        </is>
      </c>
      <c r="E12" s="52" t="n">
        <v>0</v>
      </c>
      <c r="F12" s="52" t="inlineStr">
        <is>
          <t>Un registro puede sugerir varias casillas y el reporte de otro año no debe alimentar AG 2025.</t>
        </is>
      </c>
      <c r="G12" s="52" t="inlineStr">
        <is>
          <t>CRÍTICA</t>
        </is>
      </c>
      <c r="H12" s="54" t="inlineStr">
        <is>
          <t>Bloqueo por año; casilla múltiple queda en blanco hasta elección del usuario.</t>
        </is>
      </c>
    </row>
    <row r="13" ht="57" customHeight="1" s="235">
      <c r="A13" s="47" t="inlineStr">
        <is>
          <t>Renta Clara 210 AG2025 v1.0 (autorrevisión)</t>
        </is>
      </c>
      <c r="B13" s="48" t="n">
        <v>10</v>
      </c>
      <c r="C13" s="48" t="n">
        <v>9463</v>
      </c>
      <c r="D13" s="48" t="inlineStr">
        <is>
          <t>No</t>
        </is>
      </c>
      <c r="E13" s="48" t="n">
        <v>0</v>
      </c>
      <c r="F13" s="48" t="inlineStr">
        <is>
          <t>Casilla 92 (Formulario_210!G70) incluía el beneficio del 1% de compras con factura electrónica (casilla 28) DENTRO del límite combinado del 40%/1.340 UVT de rentas exentas y deducciones.</t>
        </is>
      </c>
      <c r="G13" s="48" t="inlineStr">
        <is>
          <t>ALTA</t>
        </is>
      </c>
      <c r="H13" s="50" t="inlineStr">
        <is>
          <t>Corregido: el beneficio se suma aparte del MIN(), sin tope combinado (art. 336 núm. 5 ET). Se agregó nota de incompatibilidad: las mismas compras no pueden usarse también como costo/deducción en otra cédula.</t>
        </is>
      </c>
    </row>
    <row r="14" ht="71.25" customHeight="1" s="235">
      <c r="A14" s="47" t="inlineStr">
        <is>
          <t>Renta Clara 210 AG2025 v1.0 (autorrevisión)</t>
        </is>
      </c>
      <c r="B14" s="48" t="n">
        <v>10</v>
      </c>
      <c r="C14" s="48" t="n">
        <v>9463</v>
      </c>
      <c r="D14" s="48" t="inlineStr">
        <is>
          <t>No</t>
        </is>
      </c>
      <c r="E14" s="48" t="n">
        <v>0</v>
      </c>
      <c r="F14" s="48" t="inlineStr">
        <is>
          <t>Hoja Topes: el SUMIF/comparación de topes buscaba una etiqueta literal ("Tope 1 - Ingresos", etc.) en el reporte Exógena pegado; si el reporte de un contribuyente no traía esa etiqueta exacta, el resultado mostraba "NO SUPERA" sin ninguna advertencia (falso negativo silencioso).</t>
        </is>
      </c>
      <c r="G14" s="48" t="inlineStr">
        <is>
          <t>ALTA</t>
        </is>
      </c>
      <c r="H14" s="50" t="inlineStr">
        <is>
          <t>Corregido: se agregó columna de coincidencias (COUNTIF) y un estado explícito "SIN COINCIDENCIAS — VERIFICAR ETIQUETA" para no confundir ausencia de dato con no superación del tope, ya que el formato del reporte puede variar según la persona.</t>
        </is>
      </c>
    </row>
    <row r="15" ht="85.5" customHeight="1" s="235">
      <c r="A15" s="47" t="inlineStr">
        <is>
          <t>Renta Clara 210 AG2025 v1.1</t>
        </is>
      </c>
      <c r="B15" s="48" t="n">
        <v>10</v>
      </c>
      <c r="C15" s="48" t="n">
        <v>9463</v>
      </c>
      <c r="D15" s="48" t="inlineStr">
        <is>
          <t>No</t>
        </is>
      </c>
      <c r="E15" s="48" t="n">
        <v>0</v>
      </c>
      <c r="F15" s="48" t="inlineStr">
        <is>
          <t>Usuario aportó un formato visual real (réplica del Formulario 210) para evaluar si incluirlo; traía UVT de AG2024, cifras sueltas dentro de fórmulas y un límite de subcédula (5.040 UVT) ajeno a la norma vigente.</t>
        </is>
      </c>
      <c r="G15" s="48" t="inlineStr">
        <is>
          <t>MEDIA</t>
        </is>
      </c>
      <c r="H15" s="50" t="inlineStr">
        <is>
          <t>Se creó Formulario_210_Visual (hoja de estilo propio, no una réplica del formulario real): cada celda traía el valor por referencia desde Formulario_210!G mediante INDEX directo (sin MATCH), sin fórmulas propias ni cifras fijas. NOTA: esta hoja fue reemplazada en v1.3 por Formulario_210_Oficial; ya no existe en el libro.</t>
        </is>
      </c>
    </row>
    <row r="16" ht="14.25" customHeight="1" s="235">
      <c r="B16" t="n">
        <v>10</v>
      </c>
      <c r="C16" t="n">
        <v>9463</v>
      </c>
      <c r="E16" t="n">
        <v>0</v>
      </c>
      <c r="H16" t="inlineStr">
        <is>
          <t>Se reemplazó por Formulario_210_Oficial: mismo layout, celdas combinadas y casillas del archivo real (columnas A:AA), cada valor traído por INDEX directo (sin MATCH) desde Formulario_210. Se eliminaron las columnas de notas personales (AD-AI) y los dos valores sueltos de un caso anterior (A23, V51).</t>
        </is>
      </c>
    </row>
    <row r="17" ht="114" customHeight="1" s="235">
      <c r="A17" s="47" t="inlineStr">
        <is>
          <t>Renta Clara 210 AG2025 v1.3</t>
        </is>
      </c>
      <c r="B17" s="48" t="n">
        <v>10</v>
      </c>
      <c r="C17" s="48" t="n">
        <v>9463</v>
      </c>
      <c r="D17" s="48" t="inlineStr">
        <is>
          <t>No</t>
        </is>
      </c>
      <c r="E17" s="48" t="n">
        <v>0</v>
      </c>
      <c r="F17" s="48" t="inlineStr">
        <is>
          <t>Revisión de Codex sobre v1.3: Formulario_210_Oficial no estaba protegida, IFERROR ocultaba errores futuros, casillas 138/140 heredaron formato moneda, colores de tema se veían distintos al original por diferencia de theme.xml entre libros, faltaba área/ajuste de impresión, Auditoria traía conteos de fórmulas/vínculos desactualizados (copiados del hallazgo original), y el libro no forzaba recálculo completo al abrir.</t>
        </is>
      </c>
      <c r="G17" s="48" t="inlineStr">
        <is>
          <t>MEDIA</t>
        </is>
      </c>
      <c r="H17" s="50" t="inlineStr">
        <is>
          <t>Corregido: se protegió la hoja (solo lectura), se quitó el IFERROR de las 114 fórmulas de casilla, se corrigió formato de 138 (entero) y 140 (texto/X), se resolvieron los colores de tema del archivo original a RGB explícito, se agregó área de impresión/orientación horizontal/ajuste a 1 página de ancho, se recalcularon los conteos de esta hoja y se activó recálculo completo al abrir.</t>
        </is>
      </c>
    </row>
    <row r="18" ht="185.25" customHeight="1" s="235">
      <c r="A18" s="47" t="inlineStr">
        <is>
          <t>Renta Clara 210 AG2025 v1.4</t>
        </is>
      </c>
      <c r="B18" s="48" t="n">
        <v>11</v>
      </c>
      <c r="C18" s="48" t="n">
        <v>9702</v>
      </c>
      <c r="D18" s="48" t="inlineStr">
        <is>
          <t>No</t>
        </is>
      </c>
      <c r="E18" s="48" t="n">
        <v>0</v>
      </c>
      <c r="F18" s="48" t="inlineStr">
        <is>
          <t>El usuario pidió una forma de usar la herramienta sin el reporte Exógena de la DIAN, partiendo de una clasificación guiada (como Hoja_Trabajo) en vez de escribir directo en Formulario_210.</t>
        </is>
      </c>
      <c r="G18" s="48" t="inlineStr">
        <is>
          <t>MEDIA</t>
        </is>
      </c>
      <c r="H18" s="50" t="inlineStr">
        <is>
          <t>Se creó Entrada_Manual: 80 rubros guiados (saldo en bancos, salario, honorarios, arriendos, deudas, etc.) ya asociados a su casilla, cubriendo las 64 casillas tipo Manual/Sugerido. Formulario_210 (64 fórmulas de "Valor sugerido") ahora suma Hoja_Trabajo + Entrada_Manual sin duplicar. Topes: patrimonio bruto e ingresos brutos se calculan desde Formulario_210 (ya no dependen de la etiqueta Exógena); consumos tarjeta, compras y consignaciones (sin casilla equivalente) got columna de valor manual. Inicio: nuevo indicador "Modo de trabajo" (Exógena/Manual/Mixto/Sin iniciar) para que el panel deje de mostrar "SIN DATOS" cuando el usuario ya diligenció todo a mano.</t>
        </is>
      </c>
    </row>
    <row r="19" ht="185.25" customHeight="1" s="235">
      <c r="A19" s="47" t="inlineStr">
        <is>
          <t>Renta Clara 210 AG2025 v1.6</t>
        </is>
      </c>
      <c r="B19" s="48" t="n">
        <v>11</v>
      </c>
      <c r="C19" s="48" t="n">
        <v>10204</v>
      </c>
      <c r="D19" s="48" t="inlineStr">
        <is>
          <t>No</t>
        </is>
      </c>
      <c r="E19" s="48" t="n">
        <v>0</v>
      </c>
      <c r="F19" s="48" t="inlineStr">
        <is>
          <t>El usuario cargó el reporte Exógena AG2025 real (julio 2026) para validar la estructura contra el diseño original (basado en 2024). Se confirmaron 8 columnas, cabecera en fila 14 y etiquetas de Tope A6:A10 sin cambios, pero: (1) el campo Año (Exogena_RAW!C4) llega como TEXTO al pegar desde el archivo real de la DIAN, no como número, lo que rompía las 1.073 comparaciones de año (Exogena_RAW!C4 = Reglas!B5) en Hoja_Trabajo, Formulario_210, Topes e Inicio, bloqueando falsamente con "BLOQUEADO: AÑO" un reporte correcto; (2) los predios se reportan DOS VECES (avalúo catastral y valor base del impuesto predial) con el mismo valor bajo el mismo token R29, y la DIAN indica tomar el mayor, no sumar — sin aviso, un usuario podría duplicar el patrimonio.</t>
        </is>
      </c>
      <c r="G19" s="48" t="inlineStr">
        <is>
          <t>ALTA</t>
        </is>
      </c>
      <c r="H19" s="50" t="inlineStr">
        <is>
          <t>Corregido: se agregó una celda normalizada (Exogena_RAW!K10 = IFERROR(VALUE(C4),"")) y se redirigieron las 1.073 comparaciones de año hacia esa celda, funcionando igual si el año llega como texto o como número; Inicio!B6 también se redirigió a K10 (afectaba H5 y B12). Se agregó una alerta automática (Hoja_Trabajo columna W) que marca coincidencias exactas de valor en casilla 29, con nota ampliada en Formulario_210!I7 e indicador nuevo en Inicio!B14. Verificado con LibreOffice (0 celdas de error, libro vacío y con datos de prueba) y con una prueba sintética que simula C4 como texto "2025" (Inicio!H5 pasó de "BLOQUEADO" a "OK").</t>
        </is>
      </c>
    </row>
    <row r="20" ht="409.5" customHeight="1" s="235">
      <c r="A20" s="47" t="inlineStr">
        <is>
          <t>Renta Clara 210 AG2025 v1.4 BETA (post-auditoría)</t>
        </is>
      </c>
      <c r="B20" s="48" t="n">
        <v>11</v>
      </c>
      <c r="C20" s="48" t="n">
        <v>12785</v>
      </c>
      <c r="D20" s="48" t="inlineStr">
        <is>
          <t>No</t>
        </is>
      </c>
      <c r="E20" s="48" t="n">
        <v>0</v>
      </c>
      <c r="F20" s="48" t="inlineStr">
        <is>
          <t>Auditoría externa (informe ChatGPT + revisión Codex) sobre v1.6, con verificación cruzada contra el instructivo vigente del Formulario 210 (Resolución DIAN 000120 de 2024) y contra el archivo real del contribuyente. Hallazgos críticos confirmados: (1) casilla 111 (Formulario_210!E89) omitía la casilla 108 (dividendos gravados) y no restaba la 118 (impuesto sobre esos dividendos), subestimando la base del art. 241; (2) el límite del 40%/1.340 UVT (art. 336 ET) se aplicaba una sola vez de forma agregada en la casilla 92, sin distribuir secuencialmente el saldo entre las casillas 41, 53, 69 y 86 en el orden que exige el instructivo (trabajo, honorarios, capital, no laboral), dejando esas casillas sin reducir y sin cuadrar con la 92 al transcribir a MUISCA; además la base de ese límite usaba incorrectamente la casilla 91 (ya neta de costos) en vez de ingresos brutos menos INCRNGO, y no incorporaba las casillas ocultas 268/269 (ingresos pasivos ECE) ni las rentas exentas que la ley excluye del límite (CAN, militares, jueces); (3) Entrada_Manual confirmaba dependientes (138) y aporte voluntario (141), pero Formulario_210 los llevaba a cero porque G116/G119 solo leían el ajuste manual F, nunca la sugerencia E (y adicionalmente E116 redondeaba a miles un conteo de personas, borrando cualquier valor entre 1 y 4). También se identificó: registros de la exógena con varias casillas sugeridas que solo permitían elegir una (sin repartir el valor), y la alerta de duplicado de casilla 29 que advertía pero no bloqueaba la aprobación.</t>
        </is>
      </c>
      <c r="G20" s="48" t="inlineStr">
        <is>
          <t>CRÍTICA</t>
        </is>
      </c>
      <c r="H20" s="50" t="inlineStr">
        <is>
          <t>Corregido sobre copia BETA (RentaClara210_v1.4_BETA_Auditoria_AG2025.xlsx), archivo original intacto. E89 ahora = MAX(97,98)+103+107+108-118. Nuevo panel de control (Formulario_210 filas 121-135) con base límite = ingresos brutos 32+43+58+74 + ECE 268/269 (validados contra 62/79 y con confirmación obligatoria) menos INCRNGO 33+44+59+76; rentas no sujetas al límite por subcédula (126-129) con fundamento legal obligatorio y validación individual contra las casillas 36/48/64/81; límite ordinario (40%/1.340 UVT) más no sujetas = techo global; distribución secuencial trabajo→honorarios→capital→no laboral con MAX(0,...) contra saldos negativos (G19/G31/G47/G64); G70=suma+28+139. G116/G119 ahora usan E cuando F está vacío; E116 ya no redondea a miles. Hoja_Trabajo: nuevas columnas de trazabilidad (X:AB) para resolver registros multi-casilla vía Entrada_Manual (filas 88-107, con ID fuente y justificación); columna W de duplicados ahora exige tercero+valor combinados y bloquea el valor aceptado (P) hasta decisión expresa "Aprobar (verificado, no duplicado)". Nuevo indicador Inicio!B15 "Apto para traslado" que bloquea la salida ante cualquier condición sin resolver. Validado con LibreOffice (0 errores, 0 referencias circulares) y 10 escenarios sintéticos aislados que reproducen exactamente los ejemplos numéricos del informe de auditoría. Pendiente: validación final en Microsoft Excel de escritorio y frente al servicio de diligenciamiento DIAN (no disponibles en este entorno); A-02 en su alcance de detección+bloqueo, no de rediseño completo del modelo de datos; M-01 a M-05 no se tocaron en esta ronda (fuera del alcance autorizado).</t>
        </is>
      </c>
    </row>
    <row r="21" ht="409.5" customHeight="1" s="235">
      <c r="A21" s="47" t="inlineStr">
        <is>
          <t>Renta Clara 210 AG2025 v1.5 BETA (segunda ronda post-auditoría)</t>
        </is>
      </c>
      <c r="B21" s="48" t="n">
        <v>11</v>
      </c>
      <c r="C21" s="48" t="n">
        <v>12787</v>
      </c>
      <c r="D21" s="48" t="inlineStr">
        <is>
          <t>No</t>
        </is>
      </c>
      <c r="E21" s="48" t="n">
        <v>0</v>
      </c>
      <c r="F21" s="48" t="inlineStr">
        <is>
          <t>Segunda revisión de Codex sobre v1.4 BETA: el motor tributario (C-01/C-02/A-06/C-03) quedó correcto, pero persistían huecos de trazabilidad y control: (1) Inicio!B15 ("apto para traslado") no verificaba casillas en revisión especial (B11), el estado general de preparación (B12/B13) ni las asignaciones sin ID/justificación en Entrada_Manual (F108); (2) una asignación múltiple con un ID de fuente inexistente, o que no correspondía a un registro que realmente requiriera reparto, entraba igual al Formulario 210 sin ningún control; (3) B15 quedaba bloqueado para siempre por un duplicado ya resuelto, porque contaba la alerta informativa de la columna W en vez del estado real de la decisión (Q/AB); (4) faltaban validaciones numéricas en el panel del límite art. 336 y en Entrada_Manual, y la validación de Hoja_Trabajo!K6:K505 no tenía un atributo "type" en el XML, por lo que no era un control real aunque parecía existir; (5) la limpieza entre contribuyentes (A-01) seguía sin cubrir Entrada_Manual ni Topes!I8:I10; (6) los topes de patrimonio e ingresos (A-05) seguían comparándose con las cifras ya redondeadas a miles de Formulario_210; (7) el Instructivo todavía indicaba resolver "VARIAS CASILLAS" eligiendo una sola casilla en K, contradiciendo el nuevo mecanismo de asignación múltiple.</t>
        </is>
      </c>
      <c r="G21" s="48" t="inlineStr">
        <is>
          <t>ALTA</t>
        </is>
      </c>
      <c r="H21" s="50" t="inlineStr">
        <is>
          <t>Corregido sobre nueva copia BETA v1.5 (v1.4 queda intacto, sin sobrescribir). Entrada_Manual!F88:F107 ahora valida, antes de contar cualquier valor: que el ID fuente exista exactamente una vez en Hoja_Trabajo!A, que esa fuente esté en estado "REQUIERE ASIGNACIÓN MANUAL (VARIAS CASILLAS)", y que la suma acumulada de asignaciones para ese ID (total de filas anteriores en la misma sección, sin referencia circular) no exceda el valor original (Hoja_Trabajo!X); cualquier fallo pone el valor aceptado en 0 y la columna H explica la causa exacta (ID inexistente, fuente no requiere asignación, incompleto, o excede el original). Entrada_Manual quedó protegida: solo C, D, E, I, J editables; F, G, H bloqueadas. Inicio!B15 ahora también bloquea por B11&gt;0, B12&lt;&gt;"LISTA PARA REVISIÓN FINAL", B13="SIN INICIAR" y Entrada_Manual!F108&gt;0; se eliminó el bloqueo por la alerta cruda de la columna W (ahora solo informativa) y se dejó únicamente el bloqueo por el estado real (Q="BLOQUEADO: POSIBLE DUPLICADO"). Se agregó validación numérica no negativa a F122, F123 y F126:F129, y se corrigió Hoja_Trabajo!K6:K505 con un data validation type="whole" real (antes no tenía tipo en el XML y no restringía nada). A-01: Macro_VBA ahora también limpia Entrada_Manual (D5:E84, C88:E107, I88:J107 — nunca F88:H107, que son fórmulas) y Topes!I8:I10; se agregó el mismo checklist manual y preciso en Instructivo para quien no convierta el archivo a .xlsm (el archivo sigue siendo .xlsx; Macro_VBA es texto de referencia, no automatización activa, como se aclara ahora explícitamente en la hoja). A-05: Topes!J6:J7 calcula patrimonio bruto e ingresos brutos SIN redondear (capa exacta), y F6/F7 comparan contra esas cifras exactas en vez de las redondeadas a miles de Formulario_210!G. Instructivo actualizado: "VARIAS CASILLAS" ahora se resuelve en Entrada_Manual con ID fuente, no eligiendo una casilla en K. Verificado con 10 pruebas sintéticas (ID inexistente, ID que no requiere distribución, asignación incompleta, suma parcial, suma que excede el original, distribución completa correcta, duplicado bloqueado y luego resuelto, casilla en revisión especial, archivo sin datos, y limpieza entre dos contribuyentes verificada byte a byte contra el archivo pristino) — las 10 con el resultado esperado, 0 errores de fórmula y 0 referencias circulares en LibreOffice. Durante la verificación de limpieza se corrigió además un error propio: el rango de borrado C88:J107 incluía las columnas F/G/H (fórmulas), que nunca deben limpiarse.</t>
        </is>
      </c>
    </row>
    <row r="22" ht="14.25" customHeight="1" s="235">
      <c r="A22" t="inlineStr">
        <is>
          <t>Renta Clara 210 AG2025 v1.6 BETA (tercera ronda post-auditoría)</t>
        </is>
      </c>
      <c r="B22" t="n">
        <v>11</v>
      </c>
      <c r="C22" t="n">
        <v>13027</v>
      </c>
      <c r="D22" t="inlineStr">
        <is>
          <t>No</t>
        </is>
      </c>
      <c r="E22" t="n">
        <v>0</v>
      </c>
    </row>
    <row r="23" ht="14.25" customHeight="1" s="235">
      <c r="A23" t="inlineStr">
        <is>
          <t>Renta Clara 210 AG2025 v1.7 BETA (cuarta ronda post-auditoría)</t>
        </is>
      </c>
      <c r="B23" t="n">
        <v>11</v>
      </c>
      <c r="C23" t="n">
        <v>13027</v>
      </c>
      <c r="D23" t="inlineStr">
        <is>
          <t>No</t>
        </is>
      </c>
      <c r="E23" t="n">
        <v>0</v>
      </c>
    </row>
    <row r="24" ht="14.25" customHeight="1" s="235">
      <c r="A24" t="inlineStr">
        <is>
          <t>Renta Clara 210 AG2025 v1.8 BETA (quinta ronda, ajuste cosmético)</t>
        </is>
      </c>
      <c r="B24" t="n">
        <v>11</v>
      </c>
      <c r="C24" t="n">
        <v>13027</v>
      </c>
      <c r="D24" t="inlineStr">
        <is>
          <t>No</t>
        </is>
      </c>
      <c r="E24" t="n">
        <v>0</v>
      </c>
    </row>
    <row r="25" ht="14.25" customHeight="1" s="235">
      <c r="A25" t="inlineStr">
        <is>
          <t>Liquidador 210 GORCAS SAS v1.0 (release de presentación, base v1.8 BETA)</t>
        </is>
      </c>
      <c r="B25" t="n">
        <v>12</v>
      </c>
      <c r="C25" t="n">
        <v>13027</v>
      </c>
      <c r="D25" t="inlineStr">
        <is>
          <t>No</t>
        </is>
      </c>
      <c r="E25" t="n">
        <v>0</v>
      </c>
    </row>
    <row r="26" ht="14.25" customHeight="1" s="235">
      <c r="A26" t="inlineStr">
        <is>
          <t>Liquidador 210 GORCAS SAS v1.1 (usabilidad: freeze panes, portada, Topes!J5)</t>
        </is>
      </c>
      <c r="B26" t="n">
        <v>12</v>
      </c>
      <c r="C26" t="n">
        <v>13027</v>
      </c>
      <c r="D26" t="inlineStr">
        <is>
          <t>No</t>
        </is>
      </c>
      <c r="E26" t="n">
        <v>0</v>
      </c>
    </row>
    <row r="27" ht="14.25" customHeight="1" s="235">
      <c r="A27" t="inlineStr">
        <is>
          <t>Liquidador 210 GORCAS SAS v1.2 (rediseño Hoja_Trabajo: columna única + alerta visual)</t>
        </is>
      </c>
      <c r="B27" t="n">
        <v>12</v>
      </c>
      <c r="C27" t="n">
        <v>13527</v>
      </c>
      <c r="D27" t="inlineStr">
        <is>
          <t>No</t>
        </is>
      </c>
      <c r="E27" t="n">
        <v>0</v>
      </c>
    </row>
    <row r="28" ht="14.25" customHeight="1" s="235">
      <c r="A28" t="inlineStr">
        <is>
          <t>2026-07-20</t>
        </is>
      </c>
      <c r="B28" t="inlineStr">
        <is>
          <t>v1.11</t>
        </is>
      </c>
      <c r="C28" t="inlineStr">
        <is>
          <t>Corrección solicitada por el usuario: al borrar el valor duplicado en 'Valor a declarar' (O), la alerta de Hoja_Trabajo!W seguía mostrándose — porque la fórmula anterior comparaba contra el dato ORIGINAL de la DIAN (columnas C/F), no contra si el usuario ya había resuelto el duplicado en O. Rediseño: el conteo de duplicados ahora solo cuenta filas con O no vacío ($O$6:$O$505,"&lt;&gt;"), de modo que al borrar O en una fila, esa fila deja de contar y la alerta se recalcula/desaparece automáticamente en las filas restantes. Además, el mensaje ahora indica explícitamente la celda a borrar (usando ROW() para referenciar la propia fila, p. ej. 'seleccione la celda O50'), y distingue la fila a CONSERVAR (aparición 1) de las que hay que borrar. Probado con un caso simulado de 3 duplicados: al borrar el valor de la aparición 2, su alerta desaparece y las demás se re-numeran correctamente (1 de 3 → 1 de 2, 3 de 3 → 2 de 2). Base: v1.2 limpia, mismo patrón de v1.9/v1.10 (literales de texto &lt;255 caracteres, dibujo reescrito al final).</t>
        </is>
      </c>
      <c r="D28" t="inlineStr">
        <is>
          <t>Claude, a pedido de Hugo Alberto Gordillo Rodríguez</t>
        </is>
      </c>
    </row>
    <row r="29">
      <c r="A29" t="inlineStr">
        <is>
          <t>2026-07-22</t>
        </is>
      </c>
      <c r="B29" t="inlineStr">
        <is>
          <t>V1.11 (plantilla maestra)</t>
        </is>
      </c>
      <c r="C29" t="inlineStr">
        <is>
          <t>Replicado desde el piloto probado en el archivo de Harvey Gordillo: automatización del 25% de renta exenta laboral (art. 206 núm. 10 ET, tope 790 UVT/año AG2025). Formulario_210!E14 (casilla 36) calcula MIN(25%*MAX(casilla32-casilla33-casilla40-casilla35,0), 790*UVT). Aplica SOLO a rentas de trabajo con relación laboral (casilla 32) — NO a honorarios (casilla 43), que mantiene su propio tratamiento manual sin cambios. Nuevo parámetro Reglas!A14/B14 (790 UVT). Entrada_Manual!B23 aclarado para evitar duplicar el 25% manualmente. Verificado: 6 celdas modificadas, igual que en el piloto; recálculo sin errores.</t>
        </is>
      </c>
      <c r="D29" t="inlineStr">
        <is>
          <t>Claude, a pedido de Hugo Alberto Gordillo Rodríguez</t>
        </is>
      </c>
    </row>
    <row r="30">
      <c r="A30" t="inlineStr">
        <is>
          <t>2026-07-22</t>
        </is>
      </c>
      <c r="B30" t="inlineStr">
        <is>
          <t>V1.11 (plantilla maestra)</t>
        </is>
      </c>
      <c r="C30" t="inlineStr">
        <is>
          <t>Automatización del anticipo de renta (art. 807 ET), casilla 133 (fila 111 en la hoja). Antes usaba porcentajes incorrectos (25/50/75%) y requería que el usuario eligiera manualmente el método (Reglas!B11). Corregido: se calculan AMBOS métodos —ordinario (% sobre impuesto neto del año actual, casilla 126) y promedio (% sobre promedio de impuesto neto de los últimos 2 años, Reglas!B9/B10)— y se toma automáticamente el MENOR (más favorable al declarante); si da cero, queda en cero. Porcentajes corregidos según Reglas!B8 (número de declaraciones previas): 0=primera (0%, no genera anticipo), 1=segunda (25%), 2 o más=tercera en adelante (50%). Se resta la retención del año (casilla 132) y se aplica piso de cero. Reglas!B11 pasó de ser una entrada manual (dropdown) a un campo informativo sin uso — ya no se necesita elegir método, el sistema decide. Probado con 3 escenarios (0, 1 y 2+ declaraciones previas): resultados exactos según cálculo manual esperado (0, 750.000 y 1.750.000 respectivamente, con impuesto actual 6.000.000, año anterior 5.000.000, dos años atrás 4.000.000, retenciones 500.000).</t>
        </is>
      </c>
      <c r="D30" t="inlineStr">
        <is>
          <t>Claude, a pedido de Hugo Alberto Gordillo Rodríguez</t>
        </is>
      </c>
    </row>
    <row r="31">
      <c r="A31" t="inlineStr">
        <is>
          <t>2026-07-22</t>
        </is>
      </c>
      <c r="B31" t="inlineStr">
        <is>
          <t>V1.11 (plantilla maestra)</t>
        </is>
      </c>
      <c r="C31" t="inlineStr">
        <is>
          <t>CORRECCIÓN a la entrada anterior sobre el anticipo (art. 807 ET): la entrada previa de esta bitácora describía porcentajes y base de promedio INCORRECTOS (0/25/50% y promedio de los años B9/B10). La fórmula realmente aplicada en E111 usa los porcentajes correctos del art. 807 ET: 25% (primera declaración, Reglas!B8=0), 50% (segunda, B8=1), 75% (tercera o más, B8=2+). El método promedio compara el impuesto neto del año actual (G104) con el promedio entre el año actual y el INMEDIATAMENTE anterior (Reglas!B9) — ya no se usa Reglas!B10 (dos años atrás). Se toma el MENOR entre método ordinario y promedio, se resta la retención (G110) y se aplica piso de cero. Verificado con ejemplo numérico externo (gerencie.com): B8=2, B9=8.000.000, G104=10.000.000, G110=4.000.000 -&gt; E111=2.750.000, coincide exacto.</t>
        </is>
      </c>
      <c r="D31" t="inlineStr">
        <is>
          <t>Claude, a pedido de Hugo Alberto Gordillo Rodríguez</t>
        </is>
      </c>
    </row>
    <row r="32">
      <c r="A32" t="inlineStr">
        <is>
          <t>2026-07-22</t>
        </is>
      </c>
      <c r="B32" t="inlineStr">
        <is>
          <t>V1.11 (plantilla maestra)</t>
        </is>
      </c>
      <c r="C32" t="inlineStr">
        <is>
          <t>BUG CRÍTICO CORREGIDO: la hoja Entrada_Manual tenía protección de hoja con selectLockedCells=1 y selectUnlockedCells=1 simultáneamente, lo cual en Excel bloquea la SELECCIÓN de cualquier celda (bloqueada o no) en toda la hoja — impedía escribir cualquier valor manual, incluida la columna Valor. Este bug era invisible en LibreOffice/recálculo automático porque solo afecta el comportamiento interactivo del mouse en Excel real, no el cálculo. Reportado por el usuario con video de pantalla mostrando que el clic no movía el cursor de celda. Corregido: selectLockedCells=0 y selectUnlockedCells=0 (se mantiene la protección general de la hoja, solo se permite seleccionar y editar las celdas desbloqueadas como antes se pretendía). Verificado: recálculo sin errores en ambos archivos.</t>
        </is>
      </c>
      <c r="D32" t="inlineStr">
        <is>
          <t>Claude, a pedido de Hugo Alberto Gordillo Rodríguez</t>
        </is>
      </c>
    </row>
    <row r="33">
      <c r="A33" t="inlineStr">
        <is>
          <t>2026-07-22</t>
        </is>
      </c>
      <c r="B33" t="inlineStr">
        <is>
          <t>V1.11 (plantilla maestra)</t>
        </is>
      </c>
      <c r="C33" t="inlineStr">
        <is>
          <t>Se retiró la imagen del logo en Portada!B2:C9 (xl/media/image1.png) y se reemplazó por un membrete de texto ("G&amp;C", fondo navy FF123047, texto blanco 40pt negrita, mismo estilo que el banner "GORCAS SAS" de D2:F5) para eliminar la fragilidad del dibujo de imagen al guardar con openpyxl (riesgo de "contenido no legible" en Excel). Se conservó intacto el gráfico de barras de la hoja Topes (xl/charts/chart1.xml) — solo se vació ws._images, nunca ws._charts. Al quedar un solo drawing en el libro, openpyxl renombró el drawing del gráfico a drawing1.xml; se reescribió ese archivo con namespaces canónicos xdr:/a: (mismo tratamiento que antes se aplicaba al logo) porque el gráfico presentaba el mismo patrón no canónico que causó reparaciones en el pasado. Verificado: único cambio de celda es Portada!B2 (antes vacío, ahora "G&amp;C"); xl/media/ ya no existe; xl/charts/chart1.xml presente; recálculo LibreOffice 0 errores; openpyxl abre el archivo sin advertencias. De aquí en adelante, ediciones futuras de esta plantilla YA NO requieren el parche manual de drawing1.xml por logo (no hay imagen), pero sí deben seguir revisando/canonizando el drawing del gráfico si se vuelve a guardar con openpyxl.</t>
        </is>
      </c>
      <c r="D33" t="inlineStr">
        <is>
          <t>Claude, a pedido de Hugo Alberto Gordillo Rodríguez</t>
        </is>
      </c>
    </row>
    <row r="34">
      <c r="A34" t="inlineStr">
        <is>
          <t>2026-07-23</t>
        </is>
      </c>
      <c r="B34" t="inlineStr">
        <is>
          <t>V1.11 (plantilla maestra)</t>
        </is>
      </c>
      <c r="C34" t="inlineStr">
        <is>
          <t>A pedido del usuario, se reconstruyó la plantilla maestra a partir del archivo de trabajo real de Miguel Montañez (Liquidador_210_GORCAS SAS_V1.11 - MIGUEL.xlsx), como verificación independiente de que la maestra vigente estaba completa. Se comparó celda por celda contra la maestra ya existente (post 25%/anticipo/protección/logo) y se encontraron 851 celdas distintas, TODAS datos propios de Miguel (identificación NIT/nombre en Exogena_RAW y Formulario_210_Oficial, reporte Exógena pegado, valores aceptados en Hoja_Trabajo!O, entradas en Entrada_Manual, parámetros Reglas!B7-B11) o restos obsoletos ya limpiados en la maestra (Reglas!B11 dropdown de método de anticipo, ya no usado). Se restauraron esas 851 celdas al estado de la maestra (blanco/fórmula original según corresponda). Verificado: 0 diferencias contra la maestra tras la limpieza, sin imágenes, gráfico de Topes intacto, protección de Entrada_Manual correcta, recálculo LibreOffice 0 errores. Este archivo reemplaza a Liquidador_210_GORCAS SAS_V1.11.xlsx en Downloads.</t>
        </is>
      </c>
      <c r="D34" t="inlineStr">
        <is>
          <t>Claude, a pedido de Hugo Alberto Gordillo Rodríguez</t>
        </is>
      </c>
    </row>
    <row r="35">
      <c r="A35" t="inlineStr">
        <is>
          <t>2026-07-23</t>
        </is>
      </c>
      <c r="B35" t="inlineStr">
        <is>
          <t>V1.11 (plantilla maestra)</t>
        </is>
      </c>
      <c r="C35" t="inlineStr">
        <is>
          <t>A pedido del usuario (se le pasó por alto un caso "VARIAS CASILLAS" en Hoja_Trabajo al revisar visualmente), se agregó formato condicional para resaltar en naranja los renglones donde la columna I (Clasificación) = "VARIAS CASILLAS": la propia celda I y también la celda G (Uso DIAN, donde vienen los códigos DIAN en conflicto, ej. "R58 ... | R59 ...") de la misma fila. Antes solo existía color por columna Q (Estado) y por columna W (alertas de duplicado); no había ninguna señal visual para las filas que requieren elegir manualmente entre varias casillas posibles en la columna K. Verificado: 0 celdas de datos/fórmulas cambiadas, recálculo 0 errores, gráfico de Topes intacto.</t>
        </is>
      </c>
      <c r="D35" t="inlineStr">
        <is>
          <t>Claude, a pedido de Hugo Alberto Gordillo Rodríguez</t>
        </is>
      </c>
    </row>
    <row r="36">
      <c r="A36" t="inlineStr">
        <is>
          <t>2026-08-03</t>
        </is>
      </c>
      <c r="B36" t="inlineStr">
        <is>
          <t>Liquidador 210 GORCAS SAS V1.12</t>
        </is>
      </c>
      <c r="C36" t="inlineStr">
        <is>
          <t>Corrección y endurecimiento de controles</t>
        </is>
      </c>
      <c r="D36" t="inlineStr">
        <is>
          <t>Codex, a solicitud de Hugo Alberto Gordillo Rodríguez</t>
        </is>
      </c>
      <c r="F36" t="inlineStr">
        <is>
          <t>Casilla 91 corregida; topes y anticipo bloqueantes; asignación múltiple no eludible; entradas validadas y protegidas.</t>
        </is>
      </c>
      <c r="H36" t="inlineStr">
        <is>
          <t>Validación estructural, tributaria y visual pendiente de cierre en esta misma construcción.</t>
        </is>
      </c>
    </row>
    <row r="37">
      <c r="A37" t="inlineStr">
        <is>
          <t>2026-08-05</t>
        </is>
      </c>
      <c r="B37" t="inlineStr">
        <is>
          <t>V1.12 (plantilla maestra)</t>
        </is>
      </c>
      <c r="C37" t="inlineStr">
        <is>
          <t>Se revirtió un cambio de comportamiento introducido por Codex en V1.12: en Hoja_Trabajo, las filas con "VARIAS CASILLAS" (más de un código DIAN candidato en el mismo renglón, ej. R58/R59) habían quedado bloqueadas para resolverse mediante la columna K (Casilla elegida) — aunque el usuario llenara K, la fila quedaba en cero y el mensaje indicaba "Repartir en Entrada_Manual; no usar K". A pedido del usuario, se restauró el comportamiento de V1.11: si el usuario elige una casilla en K, esa fila SÍ se traslada normalmente. Se revirtieron 2.500 celdas (columnas L, M, P, Q, V; 500 filas, 6-505) a la fórmula de V1.11. El resto de mejoras de Codex en V1.12 (corrección casilla 91, validaciones de ajuste manual/entrada manual "BLOQUEADO: AJUSTE INVÁLIDO", endurecimiento del anticipo) se conservan intactas.</t>
        </is>
      </c>
      <c r="D37" t="inlineStr">
        <is>
          <t>Claude, a pedido de Hugo Alberto Gordillo Rodríguez</t>
        </is>
      </c>
    </row>
    <row r="38">
      <c r="A38" t="inlineStr">
        <is>
          <t>2026-08-05</t>
        </is>
      </c>
      <c r="B38" t="inlineStr">
        <is>
          <t>V1.12</t>
        </is>
      </c>
      <c r="C38" t="inlineStr">
        <is>
          <t>CORRECCIÓN de una corrección previa (fila 38 de esta bitácora): el filtro anterior excluía cualquier fila que contuviera "Concepto: 2276", pero ese código identifica TODO el Formato 2276 de información laboral de la DIAN (salario, viáticos, prestaciones, cesantías, AFC, aportes obligatorios, etc.), no solo el dato informativo. Aquella versión anulaba por error salarios y otros ingresos reales. Corregido: ahora el filtro busca el texto específico "ingreso laboral promedio de los últimos seis meses", que es el único subconcepto realmente informativo (promedio de referencia, no un pago). Aplica a Hoja_Trabajo!J6:J505. Verificado con datos reales: los renglones de salario, viáticos, prestaciones, AFC y aportes obligatorios bajo Concepto 2276 se resuelven normalmente; solo el promedio informativo queda excluido.</t>
        </is>
      </c>
    </row>
    <row r="39">
      <c r="A39" t="inlineStr">
        <is>
          <t>2026-08-05</t>
        </is>
      </c>
      <c r="B39" t="inlineStr">
        <is>
          <t>V1.12</t>
        </is>
      </c>
      <c r="C39" t="inlineStr">
        <is>
          <t>CORRECCIÓN: Formulario_210_Oficial no llevaba el nombre ni el NIT del declarante (celdas D10, M10, P10, T10, X10 quedaban vacías, sin fórmula ni vínculo a ningún dato). Se agregaron fórmulas que toman el NIT y el nombre/razón social directamente de Exogena_RAW (columnas C y D de la primera fila de datos, filas 20-24, ya que esos datos vienen duplicados en cada renglón del reporte DIAN), y dividen el nombre completo en primer apellido / segundo apellido / primer nombre / otros nombres siguiendo la convención estándar de 4 palabras (APELLIDO1 APELLIDO2 NOMBRE1 NOMBRE2...). Se agregó un bloque auxiliar en Formulario_210_Oficial!A61:B66 (fuera del área del formulario, con letra gris pequeña) donde vive el cálculo; no debe borrarse. LIMITACIÓN CONOCIDA: apellidos compuestos (ej. 'DE LA CRUZ') no se separan correctamente de forma automática — en esos casos el contador debe corregir manualmente sobrescribiendo la celda correspondiente en la fila 10 (deja de ser fórmula para ese archivo puntual, sin afectar la plantilla). Verificado con 3 casos de prueba (4, 3 y 6 palabras) vía LibreOffice, sin errores.</t>
        </is>
      </c>
    </row>
    <row r="40">
      <c r="A40" t="inlineStr">
        <is>
          <t>2026-08-05</t>
        </is>
      </c>
      <c r="B40" t="inlineStr">
        <is>
          <t>V1.12</t>
        </is>
      </c>
      <c r="C40" t="inlineStr">
        <is>
          <t>MEJORA: se activó el permiso 'formatColumns'/'formatRows' en la protección de las 12 hojas, para que se puedan ampliar/ajustar el ancho de columnas y alto de filas sin necesidad de desproteger la hoja. El resto de la protección queda intacta: celdas con fórmulas siguen bloqueadas para edición, y la selección de celdas (locked/unlocked) sigue permitida como se corrigió previamente. No se desprotegió ninguna hoja.</t>
        </is>
      </c>
    </row>
    <row r="41"/>
    <row r="42"/>
    <row r="43"/>
  </sheetData>
  <sheetProtection selectLockedCells="0" selectUnlockedCells="0" sheet="1" objects="1" insertRows="1" insertHyperlinks="1" autoFilter="1" scenarios="1" formatColumns="0" deleteColumns="1" insertColumns="1" pivotTables="1" deleteRows="1" formatCells="1" formatRows="0" sort="1"/>
  <mergeCells count="2">
    <mergeCell ref="A2:H2"/>
    <mergeCell ref="A1:H1"/>
  </mergeCells>
  <conditionalFormatting sqref="G5:G12">
    <cfRule type="containsText" priority="2" operator="containsText" dxfId="1" text="CRÍTICA">
      <formula>NOT(ISERROR(SEARCH("CRÍTICA",G5)))</formula>
    </cfRule>
    <cfRule type="containsText" priority="3" operator="containsText" dxfId="0" text="ALTA">
      <formula>NOT(ISERROR(SEARCH("ALTA",G5)))</formula>
    </cfRule>
  </conditionalFormatting>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J71"/>
  <sheetViews>
    <sheetView showGridLines="0" workbookViewId="0">
      <selection activeCell="A1" sqref="A1"/>
    </sheetView>
  </sheetViews>
  <sheetFormatPr baseColWidth="10" defaultColWidth="9" defaultRowHeight="15"/>
  <cols>
    <col width="8" customWidth="1" style="235" min="1" max="1"/>
    <col width="110" customWidth="1" style="235" min="2" max="2"/>
  </cols>
  <sheetData>
    <row r="1" ht="30" customHeight="1" s="235">
      <c r="A1" s="254" t="inlineStr">
        <is>
          <t>MACRO DE IMPORTACIÓN — TEXTO PARA COPIAR (NO ES AUTOMATIZACIÓN EJECUTABLE EN ESTE ARCHIVO .xlsx)</t>
        </is>
      </c>
    </row>
    <row r="2" ht="31.5" customHeight="1" s="235">
      <c r="A2" s="253" t="inlineStr">
        <is>
          <t>Este archivo es .xlsx: NO contiene un proyecto VBA activo y este botón/código NO se ejecuta desde aquí. Es únicamente texto de referencia. Para que funcione de verdad, copie manualmente el código (columna B desde la fila 12) en un módulo VBA y guarde una copia como .xlsm. Mientras tanto, use el checklist manual del Instructivo para iniciar un caso nuevo sin mezclar contribuyentes.</t>
        </is>
      </c>
    </row>
    <row r="4" ht="15" customHeight="1" s="235">
      <c r="A4" s="2" t="inlineStr">
        <is>
          <t>Paso</t>
        </is>
      </c>
      <c r="B4" s="2" t="inlineStr">
        <is>
          <t>Instrucción</t>
        </is>
      </c>
    </row>
    <row r="5" ht="14.25" customHeight="1" s="235">
      <c r="A5" t="n">
        <v>1</v>
      </c>
      <c r="B5" t="inlineStr">
        <is>
          <t>Abra el editor VBA con Alt+F11 y elija Insertar &gt; Módulo.</t>
        </is>
      </c>
    </row>
    <row r="6" ht="14.25" customHeight="1" s="235">
      <c r="A6" t="n">
        <v>2</v>
      </c>
      <c r="B6" t="inlineStr">
        <is>
          <t>Copie todas las líneas de la columna B desde la fila 12.</t>
        </is>
      </c>
    </row>
    <row r="7" ht="14.25" customHeight="1" s="235">
      <c r="A7" t="n">
        <v>3</v>
      </c>
      <c r="B7" t="inlineStr">
        <is>
          <t>Guarde el libro como .xlsm y ejecute ImportarReporteExogena.</t>
        </is>
      </c>
    </row>
    <row r="8" ht="14.25" customHeight="1" s="235">
      <c r="A8" t="n">
        <v>4</v>
      </c>
      <c r="B8" t="inlineStr">
        <is>
          <t>La macro no aprueba datos: solo importa y deja todo Pendiente.</t>
        </is>
      </c>
    </row>
    <row r="12" ht="14.25" customHeight="1" s="235">
      <c r="B12" s="183" t="inlineStr">
        <is>
          <t>Option Explicit</t>
        </is>
      </c>
    </row>
    <row r="13" ht="14.25" customHeight="1" s="235">
      <c r="B13" s="183" t="n"/>
    </row>
    <row r="14" ht="14.25" customHeight="1" s="235">
      <c r="B14" s="183" t="inlineStr">
        <is>
          <t>Public Sub ImportarReporteExogena()</t>
        </is>
      </c>
    </row>
    <row r="15" ht="14.25" customHeight="1" s="235">
      <c r="B15" s="183" t="inlineStr">
        <is>
          <t xml:space="preserve">    Dim archivo As Variant, wbSrc As Workbook, wsSrc As Worksheet</t>
        </is>
      </c>
    </row>
    <row r="16" ht="14.25" customHeight="1" s="235">
      <c r="B16" s="183" t="inlineStr">
        <is>
          <t xml:space="preserve">    Dim wsRaw As Worksheet, wsWT As Worksheet, wsForm As Worksheet, wsReglas As Worksheet, wsEM As Worksheet, wsTopes As Worksheet</t>
        </is>
      </c>
    </row>
    <row r="17" ht="14.25" customHeight="1" s="235">
      <c r="B17" s="183" t="inlineStr">
        <is>
          <t xml:space="preserve">    Dim filaCab As Long, ultima As Long, r As Long</t>
        </is>
      </c>
    </row>
    <row r="18" ht="14.25" customHeight="1" s="235">
      <c r="B18" s="183" t="inlineStr">
        <is>
          <t xml:space="preserve">    On Error GoTo ControlError</t>
        </is>
      </c>
    </row>
    <row r="19" ht="14.25" customHeight="1" s="235">
      <c r="B19" s="183" t="inlineStr">
        <is>
          <t xml:space="preserve">    Application.ScreenUpdating = False</t>
        </is>
      </c>
    </row>
    <row r="20" ht="14.25" customHeight="1" s="235">
      <c r="B20" s="183" t="inlineStr">
        <is>
          <t xml:space="preserve">    Application.EnableEvents = False</t>
        </is>
      </c>
    </row>
    <row r="21" ht="14.25" customHeight="1" s="235">
      <c r="B21" s="183" t="inlineStr">
        <is>
          <t xml:space="preserve">    archivo = Application.GetOpenFilename("Archivos Excel (*.xlsx;*.xls),*.xlsx;*.xls", , "Seleccione reporte Exógena DIAN")</t>
        </is>
      </c>
    </row>
    <row r="22" ht="14.25" customHeight="1" s="235">
      <c r="B22" s="183" t="inlineStr">
        <is>
          <t xml:space="preserve">    If archivo = False Then GoTo Salida</t>
        </is>
      </c>
    </row>
    <row r="23" ht="14.25" customHeight="1" s="235">
      <c r="B23" s="183" t="inlineStr">
        <is>
          <t xml:space="preserve">    If MsgBox("Esto BORRA por completo el caso actual (Exógena, Hoja_Trabajo, Entrada_Manual, panel de control, Topes manuales) antes de cargar el nuevo reporte. ¿Continuar?", vbYesNo + vbExclamation, "Nuevo caso") = vbNo Then GoTo Salida</t>
        </is>
      </c>
    </row>
    <row r="24" ht="14.25" customHeight="1" s="235">
      <c r="B24" s="183" t="inlineStr">
        <is>
          <t xml:space="preserve">    Set wbSrc = Workbooks.Open(CStr(archivo), ReadOnly:=True, UpdateLinks:=False)</t>
        </is>
      </c>
    </row>
    <row r="25" ht="14.25" customHeight="1" s="235">
      <c r="B25" s="183" t="inlineStr">
        <is>
          <t xml:space="preserve">    Set wsSrc = wbSrc.Worksheets(1)</t>
        </is>
      </c>
    </row>
    <row r="26" ht="14.25" customHeight="1" s="235">
      <c r="B26" s="183" t="inlineStr">
        <is>
          <t xml:space="preserve">    For r = 1 To 50</t>
        </is>
      </c>
    </row>
    <row r="27" ht="14.25" customHeight="1" s="235">
      <c r="B27" s="183" t="inlineStr">
        <is>
          <t xml:space="preserve">        If UCase$(Trim$(CStr(wsSrc.Cells(r, 5).Value))) = "DETALLE" And UCase$(Trim$(CStr(wsSrc.Cells(r, 6).Value))) = "VALOR" Then filaCab = r: Exit For</t>
        </is>
      </c>
    </row>
    <row r="28" ht="14.25" customHeight="1" s="235">
      <c r="B28" s="183" t="inlineStr">
        <is>
          <t xml:space="preserve">    Next r</t>
        </is>
      </c>
    </row>
    <row r="29" ht="14.25" customHeight="1" s="235">
      <c r="B29" s="183" t="inlineStr">
        <is>
          <t xml:space="preserve">    If filaCab = 0 Then Err.Raise vbObjectError + 210, , "No se encontró la cabecera DIAN (Detalle / Valor)."</t>
        </is>
      </c>
    </row>
    <row r="30" ht="14.25" customHeight="1" s="235">
      <c r="B30" s="183" t="inlineStr">
        <is>
          <t xml:space="preserve">    ultima = wsSrc.Cells(wsSrc.Rows.Count, 5).End(xlUp).Row</t>
        </is>
      </c>
    </row>
    <row r="31" ht="14.25" customHeight="1" s="235">
      <c r="B31" s="183" t="inlineStr">
        <is>
          <t xml:space="preserve">    If ultima - filaCab &gt; 500 Then Err.Raise vbObjectError + 211, , "El reporte supera 500 registros. Amplíe el rango de trabajo antes de importar."</t>
        </is>
      </c>
    </row>
    <row r="32" ht="14.25" customHeight="1" s="235">
      <c r="B32" s="183" t="inlineStr">
        <is>
          <t xml:space="preserve">    Set wsRaw = ThisWorkbook.Worksheets("Exogena_RAW")</t>
        </is>
      </c>
    </row>
    <row r="33" ht="14.25" customHeight="1" s="235">
      <c r="B33" s="183" t="inlineStr">
        <is>
          <t xml:space="preserve">    Set wsWT = ThisWorkbook.Worksheets("Hoja_Trabajo")</t>
        </is>
      </c>
    </row>
    <row r="34" ht="14.25" customHeight="1" s="235">
      <c r="B34" s="183" t="inlineStr">
        <is>
          <t xml:space="preserve">    Set wsForm = ThisWorkbook.Worksheets("Formulario_210")</t>
        </is>
      </c>
    </row>
    <row r="35" ht="14.25" customHeight="1" s="235">
      <c r="B35" s="183" t="inlineStr">
        <is>
          <t xml:space="preserve">    Set wsReglas = ThisWorkbook.Worksheets("Reglas")</t>
        </is>
      </c>
    </row>
    <row r="36" ht="14.25" customHeight="1" s="235">
      <c r="B36" s="183" t="inlineStr">
        <is>
          <t xml:space="preserve">    Set wsEM = ThisWorkbook.Worksheets("Entrada_Manual")</t>
        </is>
      </c>
    </row>
    <row r="37" ht="14.25" customHeight="1" s="235">
      <c r="B37" s="183" t="inlineStr">
        <is>
          <t xml:space="preserve">    Set wsTopes = ThisWorkbook.Worksheets("Topes")</t>
        </is>
      </c>
    </row>
    <row r="38" ht="14.25" customHeight="1" s="235">
      <c r="B38" s="183" t="inlineStr">
        <is>
          <t xml:space="preserve">    ' --- LIMPIEZA INTEGRAL DEL CASO ANTERIOR (A-01) ---</t>
        </is>
      </c>
    </row>
    <row r="39" ht="14.25" customHeight="1" s="235">
      <c r="B39" s="183" t="inlineStr">
        <is>
          <t xml:space="preserve">    wsRaw.Range("A1:H514").ClearContents</t>
        </is>
      </c>
    </row>
    <row r="40" ht="14.25" customHeight="1" s="235">
      <c r="B40" s="183" t="inlineStr">
        <is>
          <t xml:space="preserve">    wsWT.Range("K6:K505").ClearContents</t>
        </is>
      </c>
    </row>
    <row r="41" ht="14.25" customHeight="1" s="235">
      <c r="B41" s="183" t="inlineStr">
        <is>
          <t xml:space="preserve">    wsWT.Range("O6:O505").Formula = "=IF(A6="""",""""",IF(M6=0,"""",M6))"</t>
        </is>
      </c>
    </row>
    <row r="42" ht="14.25" customHeight="1" s="235">
      <c r="B42" s="183" t="inlineStr">
        <is>
          <t xml:space="preserve">    wsWT.Range("R6:R505").ClearContents</t>
        </is>
      </c>
    </row>
    <row r="43" ht="14.25" customHeight="1" s="235">
      <c r="B43" s="183" t="inlineStr">
        <is>
          <t xml:space="preserve">    wsForm.Range("F6:F119").ClearContents</t>
        </is>
      </c>
    </row>
    <row r="44" ht="14.25" customHeight="1" s="235">
      <c r="B44" s="183" t="inlineStr">
        <is>
          <t xml:space="preserve">    wsForm.Range("F122:F124").ClearContents</t>
        </is>
      </c>
    </row>
    <row r="45" ht="14.25" customHeight="1" s="235">
      <c r="B45" s="183" t="inlineStr">
        <is>
          <t xml:space="preserve">    wsForm.Range("F126:F129").ClearContents</t>
        </is>
      </c>
    </row>
    <row r="46" ht="14.25" customHeight="1" s="235">
      <c r="B46" s="183" t="inlineStr">
        <is>
          <t xml:space="preserve">    wsForm.Range("H126:H129").ClearContents</t>
        </is>
      </c>
    </row>
    <row r="47" ht="14.25" customHeight="1" s="235">
      <c r="B47" s="183" t="inlineStr">
        <is>
          <t xml:space="preserve">    wsEM.Range("D5:E84").ClearContents</t>
        </is>
      </c>
    </row>
    <row r="48" ht="14.25" customHeight="1" s="235">
      <c r="B48" s="183" t="inlineStr">
        <is>
          <t xml:space="preserve">    wsEM.Range("C88:E187").ClearContents</t>
        </is>
      </c>
    </row>
    <row r="49" ht="14.25" customHeight="1" s="235">
      <c r="B49" t="inlineStr">
        <is>
          <t xml:space="preserve">    wsEM.Range("I88:J187").ClearContents</t>
        </is>
      </c>
    </row>
    <row r="50" ht="14.25" customHeight="1" s="235">
      <c r="B50" s="183" t="inlineStr">
        <is>
          <t xml:space="preserve">    wsTopes.Range("I8:I10").ClearContents</t>
        </is>
      </c>
    </row>
    <row r="51" ht="14.25" customHeight="1" s="235">
      <c r="B51" s="183" t="inlineStr">
        <is>
          <t xml:space="preserve">    wsReglas.Range("B7").Value = "No confirmado"</t>
        </is>
      </c>
    </row>
    <row r="52" ht="14.25" customHeight="1" s="235">
      <c r="B52" s="183" t="inlineStr">
        <is>
          <t xml:space="preserve">    wsReglas.Range("B8:B10").ClearContents</t>
        </is>
      </c>
    </row>
    <row r="53" ht="14.25" customHeight="1" s="235">
      <c r="B53" s="183" t="inlineStr">
        <is>
          <t xml:space="preserve">    wsReglas.Range("B11").Value = "Impuesto actual"</t>
        </is>
      </c>
    </row>
    <row r="54" ht="14.25" customHeight="1" s="235">
      <c r="B54" s="183" t="inlineStr">
        <is>
          <t xml:space="preserve">    ' --- FIN LIMPIEZA, CARGA DEL NUEVO REPORTE ---</t>
        </is>
      </c>
    </row>
    <row r="55" ht="14.25" customHeight="1" s="235">
      <c r="B55" s="183" t="inlineStr">
        <is>
          <t xml:space="preserve">    wsRaw.Range("A1").Resize(ultima, 8).Value = wsSrc.Cells(1, 1).Resize(ultima, 8).Value</t>
        </is>
      </c>
    </row>
    <row r="56" ht="14.25" customHeight="1" s="235">
      <c r="B56" s="183" t="inlineStr">
        <is>
          <t xml:space="preserve">    Application.CalculateFull</t>
        </is>
      </c>
    </row>
    <row r="57" ht="14.25" customHeight="1" s="235">
      <c r="B57" s="183" t="inlineStr">
        <is>
          <t xml:space="preserve">    ' (v1.2: ya no se marca Decisión; O se autocompleta con el valor sugerido en gris)</t>
        </is>
      </c>
    </row>
    <row r="58" ht="14.25" customHeight="1" s="235">
      <c r="B58" s="183" t="n"/>
    </row>
    <row r="59" ht="14.25" customHeight="1" s="235">
      <c r="B59" s="183" t="n"/>
    </row>
    <row r="60" ht="14.25" customHeight="1" s="235">
      <c r="B60" s="183" t="inlineStr">
        <is>
          <t xml:space="preserve">    wbSrc.Close SaveChanges:=False</t>
        </is>
      </c>
    </row>
    <row r="61" ht="14.25" customHeight="1" s="235">
      <c r="B61" t="inlineStr">
        <is>
          <t xml:space="preserve">    Application.CalculateFull</t>
        </is>
      </c>
    </row>
    <row r="62" ht="14.25" customHeight="1" s="235">
      <c r="B62" t="inlineStr">
        <is>
          <t>MsgBox "Reporte completo importado y caso anterior limpiado. Revise en Hoja_Trabajo cada valor en gris (columna Valor a declarar): déjelo, corríjalo o bórrelo según corresponda.", vbInformation</t>
        </is>
      </c>
    </row>
    <row r="63" ht="14.25" customHeight="1" s="235">
      <c r="B63" t="inlineStr">
        <is>
          <t>Salida:</t>
        </is>
      </c>
    </row>
    <row r="64" ht="14.25" customHeight="1" s="235">
      <c r="B64" t="inlineStr">
        <is>
          <t xml:space="preserve">    Application.EnableEvents = True</t>
        </is>
      </c>
    </row>
    <row r="65" ht="14.25" customHeight="1" s="235">
      <c r="B65" t="inlineStr">
        <is>
          <t xml:space="preserve">    Application.ScreenUpdating = True</t>
        </is>
      </c>
    </row>
    <row r="66" ht="14.25" customHeight="1" s="235">
      <c r="B66" t="inlineStr">
        <is>
          <t xml:space="preserve">    Exit Sub</t>
        </is>
      </c>
    </row>
    <row r="67" ht="14.25" customHeight="1" s="235">
      <c r="B67" t="inlineStr">
        <is>
          <t>ControlError:</t>
        </is>
      </c>
    </row>
    <row r="68" ht="14.25" customHeight="1" s="235">
      <c r="B68" t="inlineStr">
        <is>
          <t xml:space="preserve">    If Not wbSrc Is Nothing Then wbSrc.Close SaveChanges:=False</t>
        </is>
      </c>
    </row>
    <row r="69" ht="14.25" customHeight="1" s="235">
      <c r="B69" t="inlineStr">
        <is>
          <t xml:space="preserve">    MsgBox "Importación detenida: " &amp; Err.Description, vbCritical</t>
        </is>
      </c>
    </row>
    <row r="70" ht="14.25" customHeight="1" s="235">
      <c r="B70" t="inlineStr">
        <is>
          <t xml:space="preserve">    Resume Salida</t>
        </is>
      </c>
    </row>
    <row r="71" ht="14.25" customHeight="1" s="235">
      <c r="B71" t="inlineStr">
        <is>
          <t>End Sub</t>
        </is>
      </c>
    </row>
  </sheetData>
  <sheetProtection selectLockedCells="0" selectUnlockedCells="0" sheet="1" objects="1" insertRows="1" insertHyperlinks="1" autoFilter="1" scenarios="1" formatColumns="0" deleteColumns="1" insertColumns="1" pivotTables="1" deleteRows="1" formatCells="1" formatRows="0" sort="1"/>
  <mergeCells count="2">
    <mergeCell ref="A1:J1"/>
    <mergeCell ref="A2:J2"/>
  </mergeCell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H24"/>
  <sheetViews>
    <sheetView showGridLines="0" workbookViewId="0">
      <selection activeCell="B12" sqref="B12"/>
    </sheetView>
  </sheetViews>
  <sheetFormatPr baseColWidth="10" defaultColWidth="9" defaultRowHeight="15"/>
  <cols>
    <col width="23.42578125" customWidth="1" style="235" min="1" max="1"/>
    <col width="72" customWidth="1" style="235" min="2" max="2"/>
    <col width="20" customWidth="1" style="235" min="3" max="3"/>
    <col width="52" customWidth="1" style="235" min="4" max="4"/>
    <col width="4" customWidth="1" style="235" min="5" max="8"/>
  </cols>
  <sheetData>
    <row r="1" ht="30" customHeight="1" s="235">
      <c r="A1" s="254" t="inlineStr">
        <is>
          <t>INSTRUCTIVO — CARGAR Y REVISAR EL REPORTE DIAN</t>
        </is>
      </c>
    </row>
    <row r="2" ht="31.5" customHeight="1" s="235">
      <c r="A2" s="253" t="inlineStr">
        <is>
          <t>La herramienta se entrega limpia. El reporte DIAN se copia como valores y nunca se considera automáticamente correcto.</t>
        </is>
      </c>
    </row>
    <row r="4" ht="30" customHeight="1" s="235">
      <c r="A4" s="2" t="inlineStr">
        <is>
          <t>Paso</t>
        </is>
      </c>
      <c r="B4" s="2" t="inlineStr">
        <is>
          <t>Qué debe hacer</t>
        </is>
      </c>
      <c r="C4" s="2" t="inlineStr">
        <is>
          <t>Dónde</t>
        </is>
      </c>
      <c r="D4" s="2" t="inlineStr">
        <is>
          <t>Control esperado</t>
        </is>
      </c>
      <c r="E4" s="2" t="n"/>
      <c r="F4" s="2" t="n"/>
      <c r="G4" s="2" t="n"/>
      <c r="H4" s="2" t="n"/>
    </row>
    <row r="5" ht="30" customHeight="1" s="235">
      <c r="A5" s="3" t="n">
        <v>1</v>
      </c>
      <c r="B5" s="4" t="inlineStr">
        <is>
          <t>Abra el archivo de información reportada por terceros descargado de la DIAN.</t>
        </is>
      </c>
      <c r="C5" s="4" t="inlineStr">
        <is>
          <t>Archivo DIAN</t>
        </is>
      </c>
      <c r="D5" s="4" t="inlineStr">
        <is>
          <t>Debe corresponder al mismo año gravable de la herramienta.</t>
        </is>
      </c>
      <c r="E5" s="4" t="n"/>
      <c r="F5" s="4" t="n"/>
      <c r="G5" s="4" t="n"/>
      <c r="H5" s="5" t="n"/>
    </row>
    <row r="6" ht="30" customHeight="1" s="235">
      <c r="A6" s="6" t="n">
        <v>2</v>
      </c>
      <c r="B6" s="7" t="inlineStr">
        <is>
          <t>Seleccione el reporte completo desde A1 hasta la última fila de la columna H, incluyendo datos generales y encabezados.</t>
        </is>
      </c>
      <c r="C6" s="7" t="inlineStr">
        <is>
          <t>Archivo DIAN</t>
        </is>
      </c>
      <c r="D6" s="7" t="inlineStr">
        <is>
          <t>La cabecera normalmente aparece en la fila 14 y contiene Detalle / Valor.</t>
        </is>
      </c>
      <c r="E6" s="7" t="n"/>
      <c r="F6" s="7" t="n"/>
      <c r="G6" s="7" t="n"/>
      <c r="H6" s="8" t="n"/>
    </row>
    <row r="7" ht="30" customHeight="1" s="235">
      <c r="A7" s="6" t="n">
        <v>3</v>
      </c>
      <c r="B7" s="7" t="inlineStr">
        <is>
          <t>Copie el rango seleccionado.</t>
        </is>
      </c>
      <c r="C7" s="7" t="inlineStr">
        <is>
          <t>Archivo DIAN</t>
        </is>
      </c>
      <c r="D7" s="7" t="inlineStr">
        <is>
          <t>No cambie el orden de las 8 columnas.</t>
        </is>
      </c>
      <c r="E7" s="7" t="n"/>
      <c r="F7" s="7" t="n"/>
      <c r="G7" s="7" t="n"/>
      <c r="H7" s="8" t="n"/>
    </row>
    <row r="8" ht="30" customHeight="1" s="235">
      <c r="A8" s="6" t="n">
        <v>4</v>
      </c>
      <c r="B8" s="7" t="inlineStr">
        <is>
          <t>En esta herramienta abra Exogena_RAW, seleccione A1 y use Pegado especial &gt; Valores.</t>
        </is>
      </c>
      <c r="C8" s="7" t="inlineStr">
        <is>
          <t>Exogena_RAW</t>
        </is>
      </c>
      <c r="D8" s="7" t="inlineStr">
        <is>
          <t>El reporte debe ocupar A1:H...; no pegue columnas adicionales.</t>
        </is>
      </c>
      <c r="E8" s="7" t="n"/>
      <c r="F8" s="7" t="n"/>
      <c r="G8" s="7" t="n"/>
      <c r="H8" s="8" t="n"/>
    </row>
    <row r="9" ht="30" customHeight="1" s="235">
      <c r="A9" s="6" t="n">
        <v>5</v>
      </c>
      <c r="B9" s="7" t="inlineStr">
        <is>
          <t>Regrese a Inicio y confirme: año, formato reconocido y alertas de topes.</t>
        </is>
      </c>
      <c r="C9" s="7" t="inlineStr">
        <is>
          <t>Inicio</t>
        </is>
      </c>
      <c r="D9" s="7" t="inlineStr">
        <is>
          <t>Si aparece BLOQUEADO o FORMATO NO RECONOCIDO, no continúe.</t>
        </is>
      </c>
      <c r="E9" s="7" t="n"/>
      <c r="F9" s="7" t="n"/>
      <c r="G9" s="7" t="n"/>
      <c r="H9" s="8" t="n"/>
    </row>
    <row r="10" ht="30" customHeight="1" s="235">
      <c r="A10" s="6" t="n">
        <v>6</v>
      </c>
      <c r="B10" s="7" t="inlineStr">
        <is>
          <t>Revise Hoja_Trabajo. Cada registro con casilla directa llega con el valor de la DIAN ya puesto en la columna "Valor a declarar", en letra gris — es un borrador, no una decisión suya. Si lo deja así, ESE valor se traslada al Formulario 210 tal cual. Si no corresponde, escríbalo de nuevo con el valor correcto (la letra vuelve a color normal) o bórrelo con Supr para excluirlo (no se declara nada de esa fuente). Si aparece "REQUIERE ASIGNACIÓN MANUAL (VARIAS CASILLAS)", NO escriba una sola casilla en K: vaya a Entrada_Manual, sección "ASIGNACIÓN MÚLTIPLE" (filas 88 en adelante) y reparta el valor entre las casillas que correspondan, con el ID de la fuente (columna A de Hoja_Trabajo), la casilla, el valor de esa porción y la justificación.</t>
        </is>
      </c>
      <c r="C10" s="7" t="inlineStr">
        <is>
          <t>Hoja_Trabajo</t>
        </is>
      </c>
      <c r="D10" s="7" t="inlineStr">
        <is>
          <t>El valor gris (borrador DIAN) SÍ se traslada si no se toca — revíselo con cuidado antes de dejarlo pasar. Si la fila tiene alerta (columna Alerta, fondo amarillo y letra roja), revísela: la herramienta no bloquea el traslado, la decisión de corregir o dejarlo es suya.</t>
        </is>
      </c>
      <c r="E10" s="7" t="n"/>
      <c r="F10" s="7" t="n"/>
      <c r="G10" s="7" t="n"/>
      <c r="H10" s="8" t="n"/>
    </row>
    <row r="11" ht="30" customHeight="1" s="235">
      <c r="A11" t="inlineStr">
        <is>
          <t>6 (detalle)</t>
        </is>
      </c>
      <c r="B11" t="inlineStr">
        <is>
          <t>Cómo funciona la columna "Valor a declarar": letra GRIS = sigue siendo el valor sugerido por la DIAN, sin que usted lo haya revisado o cambiado. Letra NORMAL (negra) = usted escribió ese valor a mano, ya sea igual o distinto al sugerido. Celda VACÍA = usted la borró a propósito; esa fuente no se declara. No hay que marcar "Aprobar" ni elegir ninguna opción: el color y el contenido de la celda son la decisión.</t>
        </is>
      </c>
      <c r="C11" t="inlineStr">
        <is>
          <t>Hoja_Trabajo</t>
        </is>
      </c>
      <c r="D11" t="inlineStr">
        <is>
          <t>Antes de generar el Formulario 210, revise que no queden celdas en gris sin haber verificado el valor.</t>
        </is>
      </c>
    </row>
    <row r="12" ht="30" customHeight="1" s="235">
      <c r="A12" s="9" t="n">
        <v>7</v>
      </c>
      <c r="B12" s="10" t="inlineStr">
        <is>
          <t>Complete los parámetros amarillos que correspondan y las casillas manuales o de revisión especial.</t>
        </is>
      </c>
      <c r="C12" s="10" t="inlineStr">
        <is>
          <t>Reglas y Formulario_210</t>
        </is>
      </c>
      <c r="D12" s="10" t="inlineStr">
        <is>
          <t>Los ceros pueden confirmarse escribiendo 0; una celda vacía significa que no se diligenció ajuste.</t>
        </is>
      </c>
      <c r="E12" s="10" t="n"/>
      <c r="F12" s="10" t="n"/>
      <c r="G12" s="10" t="n"/>
      <c r="H12" s="11" t="n"/>
    </row>
    <row r="13" ht="30" customHeight="1" s="235">
      <c r="A13" s="9" t="inlineStr">
        <is>
          <t>7 (alternativa)</t>
        </is>
      </c>
      <c r="B13" s="10" t="inlineStr">
        <is>
          <t>Si NO tiene el reporte de la DIAN: vaya directo a la hoja Entrada_Manual y escriba el valor de cada rubro que le aplique (saldo en bancos, salario, honorarios, arriendos, deudas, etc.). No necesita saber el número de casilla, ya está asignado. Se puede combinar con Exógena sin duplicar.</t>
        </is>
      </c>
      <c r="C13" s="10" t="inlineStr">
        <is>
          <t>Entrada_Manual</t>
        </is>
      </c>
      <c r="D13" s="10" t="inlineStr">
        <is>
          <t>Cada rubro sin usar puede quedar en blanco; solo diligencie lo que le aplique.</t>
        </is>
      </c>
    </row>
    <row r="14" ht="30" customHeight="1" s="235">
      <c r="A14" s="12" t="inlineStr">
        <is>
          <t>Regla de seguridad</t>
        </is>
      </c>
      <c r="B14" s="12" t="inlineStr">
        <is>
          <t>Aplicación</t>
        </is>
      </c>
      <c r="C14" s="12" t="n"/>
      <c r="D14" s="12" t="n"/>
      <c r="E14" s="12" t="n"/>
      <c r="F14" s="12" t="n"/>
      <c r="G14" s="12" t="n"/>
      <c r="H14" s="12" t="n"/>
    </row>
    <row r="15" ht="30" customHeight="1" s="235">
      <c r="A15" s="13" t="inlineStr">
        <is>
          <t>La Exógena es un indicio, no la declaración.</t>
        </is>
      </c>
      <c r="B15" s="14" t="inlineStr">
        <is>
          <t>Conciliar contra certificados, extractos, facturación, RUT y realidad económica.</t>
        </is>
      </c>
      <c r="C15" s="14" t="n"/>
      <c r="D15" s="14" t="n"/>
      <c r="E15" s="14" t="n"/>
      <c r="F15" s="14" t="n"/>
      <c r="G15" s="14" t="n"/>
      <c r="H15" s="15" t="n"/>
    </row>
    <row r="16" ht="30" customHeight="1" s="235">
      <c r="A16" s="16" t="inlineStr">
        <is>
          <t>Varias casillas sugeridas</t>
        </is>
      </c>
      <c r="B16" s="17" t="inlineStr">
        <is>
          <t>Un concepto DIAN puede sugerir más de una casilla (columna S &gt; 1 en Hoja_Trabajo). Desde v1.5 esto ya NO se resuelve escribiendo una sola casilla en K: el registro queda bloqueado con estado "REQUIERE ASIGNACIÓN MANUAL (VARIAS CASILLAS)" y su valor aceptado permanece en cero hasta que se reparta en Entrada_Manual (sección de asignación múltiple, con ID de la fuente). Así se conserva la trazabilidad de cuánto fue a cada casilla, sin duplicar ni perder valor.</t>
        </is>
      </c>
      <c r="C16" s="17" t="n"/>
      <c r="D16" s="17" t="n"/>
      <c r="E16" s="17" t="n"/>
      <c r="F16" s="17" t="n"/>
      <c r="G16" s="17" t="n"/>
      <c r="H16" s="18" t="n"/>
    </row>
    <row r="17" ht="30" customHeight="1" s="235">
      <c r="A17" s="16" t="inlineStr">
        <is>
          <t>Copropiedad o titularidad compartida</t>
        </is>
      </c>
      <c r="B17" s="17" t="inlineStr">
        <is>
          <t>Modificar el valor según porcentaje y regla de valoración fiscal soportada.</t>
        </is>
      </c>
      <c r="C17" s="17" t="n"/>
      <c r="D17" s="17" t="n"/>
      <c r="E17" s="17" t="n"/>
      <c r="F17" s="17" t="n"/>
      <c r="G17" s="17" t="n"/>
      <c r="H17" s="18" t="n"/>
    </row>
    <row r="18" ht="30" customHeight="1" s="235">
      <c r="A18" s="16" t="inlineStr">
        <is>
          <t>Año diferente</t>
        </is>
      </c>
      <c r="B18" s="17" t="inlineStr">
        <is>
          <t>La herramienta bloquea el traslado; cargue el reporte del año correcto.</t>
        </is>
      </c>
      <c r="C18" s="17" t="n"/>
      <c r="D18" s="17" t="n"/>
      <c r="E18" s="17" t="n"/>
      <c r="F18" s="17" t="n"/>
      <c r="G18" s="17" t="n"/>
      <c r="H18" s="18" t="n"/>
    </row>
    <row r="19" ht="30" customHeight="1" s="235">
      <c r="A19" s="19" t="inlineStr">
        <is>
          <t>Capacidad</t>
        </is>
      </c>
      <c r="B19" s="20" t="inlineStr">
        <is>
          <t>Hasta 500 registros con la estructura DIAN de 8 columnas. Los ejemplos revisados traían 29 y 85 registros.</t>
        </is>
      </c>
      <c r="C19" s="20" t="n"/>
      <c r="D19" s="20" t="n"/>
      <c r="E19" s="20" t="n"/>
      <c r="F19" s="20" t="n"/>
      <c r="G19" s="20" t="n"/>
      <c r="H19" s="21" t="n"/>
    </row>
    <row r="20" ht="30" customHeight="1" s="235"/>
    <row r="21" ht="30" customHeight="1" s="235">
      <c r="A21" s="22" t="inlineStr">
        <is>
          <t>Cómo iniciar un caso nuevo (sin macro)</t>
        </is>
      </c>
      <c r="B21" t="inlineStr">
        <is>
          <t>Antes de reutilizar el archivo para OTRO contribuyente, borre manualmente: Exogena_RAW!A1:H514; Hoja_Trabajo!K6:K505, R6:R505; Formulario_210!F6:F119, F122:F124, F126:F129, H126:H129; Entrada_Manual!D5:E84 y C88:E187 e I88:J187 (NUNCA borre F88:H187, son fórmulas); Topes!I8:I10; y en Reglas, deje B7 en "No confirmado" y borre B8:B10. IMPORTANTE — columna "Valor a declarar" (Hoja_Trabajo!O): NO borre su contenido con Supr, porque es una fórmula y quedaría rota para el próximo caso. En su lugar, copie la celda O6 y péguela sobre todo el rango O6:O505 (Ctrl+C en O6, seleccionar O6:O505, Ctrl+V); así se restaura la fórmula en todas las filas, incluidas las que haya editado a mano, dejando la columna lista para autocompletarse con el próximo reporte. Si convierte el archivo a .xlsm y copia el módulo de Macro_VBA, el botón ImportarReporteExogena hace esta misma limpieza automáticamente antes de cargar el nuevo reporte.</t>
        </is>
      </c>
    </row>
    <row r="22" ht="30" customHeight="1" s="235">
      <c r="A22" s="23" t="inlineStr">
        <is>
          <t>Flujo resumido</t>
        </is>
      </c>
      <c r="B22" s="24" t="inlineStr">
        <is>
          <t>1. Pegar reporte → 2. Validar año/formato → 3. Revisar Hoja_Trabajo (dejar, editar o borrar cada valor sugerido) → 4. Completar casillas manuales / asignación múltiple → 5. Revisar topes → 6. Conciliar con borrador DIAN</t>
        </is>
      </c>
      <c r="C22" s="24" t="n"/>
      <c r="D22" s="24" t="n"/>
      <c r="E22" s="24" t="n"/>
      <c r="F22" s="24" t="n"/>
      <c r="G22" s="24" t="n"/>
      <c r="H22" s="24" t="n"/>
    </row>
    <row r="23" ht="30" customHeight="1" s="235">
      <c r="A23" s="23" t="inlineStr">
        <is>
          <t>Carga opcional con macro</t>
        </is>
      </c>
      <c r="B23" s="24" t="inlineStr">
        <is>
          <t>La hoja Macro_VBA contiene el código. La carga manual por Pegado especial &gt; Valores funciona sin macros.</t>
        </is>
      </c>
      <c r="C23" s="24" t="n"/>
      <c r="D23" s="24" t="n"/>
      <c r="E23" s="24" t="n"/>
      <c r="F23" s="24" t="n"/>
      <c r="G23" s="24" t="n"/>
      <c r="H23" s="24" t="n"/>
    </row>
    <row r="24" ht="29.25" customHeight="1" s="235">
      <c r="A24" s="23" t="inlineStr">
        <is>
          <t>Importante</t>
        </is>
      </c>
      <c r="B24" s="24" t="inlineStr">
        <is>
          <t>No copie datos de un contribuyente anterior para iniciar otro caso. Limpie Exogena_RAW y las decisiones antes de reutilizar el archivo.</t>
        </is>
      </c>
      <c r="C24" s="24" t="n"/>
      <c r="D24" s="24" t="n"/>
      <c r="E24" s="24" t="n"/>
      <c r="F24" s="24" t="n"/>
      <c r="G24" s="24" t="n"/>
      <c r="H24" s="24" t="n"/>
    </row>
  </sheetData>
  <sheetProtection selectLockedCells="0" selectUnlockedCells="0" sheet="1" objects="1" insertRows="1" insertHyperlinks="1" autoFilter="1" scenarios="1" formatColumns="0" deleteColumns="1" insertColumns="1" pivotTables="1" deleteRows="1" formatCells="1" formatRows="0" sort="1"/>
  <mergeCells count="2">
    <mergeCell ref="A2:H2"/>
    <mergeCell ref="A1:H1"/>
  </mergeCells>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H18"/>
  <sheetViews>
    <sheetView showGridLines="0" workbookViewId="0">
      <selection activeCell="A1" sqref="A1:H1"/>
    </sheetView>
  </sheetViews>
  <sheetFormatPr baseColWidth="10" defaultColWidth="9" defaultRowHeight="15"/>
  <cols>
    <col width="30" customWidth="1" style="235" min="1" max="1"/>
    <col width="32" customWidth="1" style="235" min="2" max="2"/>
    <col width="3" customWidth="1" style="235" min="3" max="3"/>
    <col width="10" customWidth="1" style="235" min="4" max="4"/>
    <col width="38" customWidth="1" style="235" min="5" max="5"/>
    <col width="37" customWidth="1" style="235" min="6" max="6"/>
    <col width="18" customWidth="1" style="235" min="7" max="7"/>
    <col width="20" customWidth="1" style="235" min="8" max="8"/>
  </cols>
  <sheetData>
    <row r="1" ht="30" customHeight="1" s="235">
      <c r="A1" s="254" t="inlineStr">
        <is>
          <t>RENTA CLARA 210 — AG 2025</t>
        </is>
      </c>
    </row>
    <row r="2" ht="31.5" customHeight="1" s="235">
      <c r="A2" s="253" t="inlineStr">
        <is>
          <t>Flujo: importar o pegar Exógena → revisar hoja de trabajo → aprobar/modificar → completar casillas → atender alertas.</t>
        </is>
      </c>
    </row>
    <row r="4" ht="15" customHeight="1" s="235">
      <c r="A4" s="25" t="inlineStr">
        <is>
          <t>Indicador</t>
        </is>
      </c>
      <c r="B4" s="26" t="inlineStr">
        <is>
          <t>Resultado</t>
        </is>
      </c>
      <c r="D4" s="25" t="inlineStr">
        <is>
          <t>Paso</t>
        </is>
      </c>
      <c r="E4" s="27" t="inlineStr">
        <is>
          <t>Acción</t>
        </is>
      </c>
      <c r="F4" s="27" t="inlineStr">
        <is>
          <t>Control</t>
        </is>
      </c>
      <c r="G4" s="27" t="inlineStr">
        <is>
          <t>Responsable</t>
        </is>
      </c>
      <c r="H4" s="26" t="inlineStr">
        <is>
          <t>Estado</t>
        </is>
      </c>
    </row>
    <row r="5" ht="14.25" customHeight="1" s="235">
      <c r="A5" s="28" t="inlineStr">
        <is>
          <t>Año herramienta</t>
        </is>
      </c>
      <c r="B5" s="29">
        <f>Reglas!$B$5</f>
        <v/>
      </c>
      <c r="D5" s="28" t="n">
        <v>1</v>
      </c>
      <c r="E5" s="30" t="inlineStr">
        <is>
          <t>Cargar/pegar reporte Exógena, o diligenciar Entrada_Manual si no lo tiene</t>
        </is>
      </c>
      <c r="F5" s="30" t="inlineStr">
        <is>
          <t>Año debe coincidir con AG 2025</t>
        </is>
      </c>
      <c r="G5" s="30" t="inlineStr">
        <is>
          <t>Usuario</t>
        </is>
      </c>
      <c r="H5" s="31">
        <f>IF(B13="SIN INICIAR","PENDIENTE CARGA",IF(B13="MANUAL","N/A — USANDO ENTRADA_MANUAL",IF(AND(B6=B5,B7="FORMATO RECONOCIDO"),"OK","BLOQUEADO")))</f>
        <v/>
      </c>
    </row>
    <row r="6" ht="14.25" customHeight="1" s="235">
      <c r="A6" s="28" t="inlineStr">
        <is>
          <t>Año reporte Exógena</t>
        </is>
      </c>
      <c r="B6" s="31">
        <f>IFERROR(Exogena_RAW!$K$10,"")</f>
        <v/>
      </c>
      <c r="D6" s="28" t="n">
        <v>2</v>
      </c>
      <c r="E6" s="30" t="inlineStr">
        <is>
          <t>Revisar Hoja_Trabajo</t>
        </is>
      </c>
      <c r="F6" s="30" t="inlineStr">
        <is>
          <t>Aprobar, modificar o excluir cada dato</t>
        </is>
      </c>
      <c r="G6" s="30" t="inlineStr">
        <is>
          <t>Usuario/contador</t>
        </is>
      </c>
      <c r="H6" s="31">
        <f>IF(B13="SIN INICIAR","PENDIENTE",IF(B10=0,"OK","PENDIENTE"))</f>
        <v/>
      </c>
    </row>
    <row r="7" ht="15" customHeight="1" s="235">
      <c r="A7" s="28" t="inlineStr">
        <is>
          <t>Validación de formato</t>
        </is>
      </c>
      <c r="B7" s="32">
        <f>IF(B6="","SIN DATOS",IF(AND(Exogena_RAW!$E$14="Detalle",Exogena_RAW!$F$14="Valor",COUNTA(Exogena_RAW!$A$14:$H$14)=8),"FORMATO RECONOCIDO","FORMATO NO RECONOCIDO"))</f>
        <v/>
      </c>
      <c r="D7" s="28" t="n">
        <v>3</v>
      </c>
      <c r="E7" s="30" t="inlineStr">
        <is>
          <t>Completar casillas manuales</t>
        </is>
      </c>
      <c r="F7" s="30" t="inlineStr">
        <is>
          <t>Adjuntar observación o soporte</t>
        </is>
      </c>
      <c r="G7" s="30" t="inlineStr">
        <is>
          <t>Contador</t>
        </is>
      </c>
      <c r="H7" s="31">
        <f>IF(B13="SIN INICIAR","PENDIENTE",IF(B11=0,"OK","PENDIENTE"))</f>
        <v/>
      </c>
    </row>
    <row r="8" ht="45" customHeight="1" s="235">
      <c r="A8" s="28" t="inlineStr">
        <is>
          <t>Conclusión topes</t>
        </is>
      </c>
      <c r="B8" s="32">
        <f>Topes!$B$15</f>
        <v/>
      </c>
      <c r="D8" s="28" t="n">
        <v>4</v>
      </c>
      <c r="E8" s="30" t="inlineStr">
        <is>
          <t>Atender topes y alertas</t>
        </is>
      </c>
      <c r="F8" s="30" t="inlineStr">
        <is>
          <t>No ignorar bloqueos rojos</t>
        </is>
      </c>
      <c r="G8" s="30" t="inlineStr">
        <is>
          <t>Contador</t>
        </is>
      </c>
      <c r="H8" s="31">
        <f>IF($B$13="SIN INICIAR","PENDIENTE",IF(OR(LEFT($B$8,9)="BLOQUEADO",COUNTIF($B$8,"REVISAR — ETIQUETAS*")&gt;0,$B$9="PENDIENTE CONFIRMACIÓN"),"PENDIENTE","OK"))</f>
        <v/>
      </c>
    </row>
    <row r="9" ht="15" customHeight="1" s="235">
      <c r="A9" s="28" t="inlineStr">
        <is>
          <t>Confirmación IVA</t>
        </is>
      </c>
      <c r="B9" s="32">
        <f>Topes!$C$14</f>
        <v/>
      </c>
      <c r="D9" s="28" t="n">
        <v>5</v>
      </c>
      <c r="E9" s="30" t="inlineStr">
        <is>
          <t>Conciliar con RUT y soportes</t>
        </is>
      </c>
      <c r="F9" s="30" t="inlineStr">
        <is>
          <t>Exógena no reemplaza evidencia</t>
        </is>
      </c>
      <c r="G9" s="30" t="inlineStr">
        <is>
          <t>Contribuyente</t>
        </is>
      </c>
      <c r="H9" s="31">
        <f>"PENDIENTE"</f>
        <v/>
      </c>
    </row>
    <row r="10" ht="15" customHeight="1" s="235">
      <c r="A10" s="28" t="inlineStr">
        <is>
          <t>Decisiones Exógena pendientes</t>
        </is>
      </c>
      <c r="B10" s="32">
        <f>IF(B6="",0,COUNTIF(Hoja_Trabajo!$Q$6:$Q$505,"PENDIENTE")+COUNTIF(Hoja_Trabajo!$Q$6:$Q$505,"BLOQUEADO:*"))</f>
        <v/>
      </c>
      <c r="D10" s="33" t="n">
        <v>6</v>
      </c>
      <c r="E10" s="34" t="inlineStr">
        <is>
          <t>Revisión final</t>
        </is>
      </c>
      <c r="F10" s="34" t="inlineStr">
        <is>
          <t>Comparar con borrador DIAN</t>
        </is>
      </c>
      <c r="G10" s="34" t="inlineStr">
        <is>
          <t>Contador</t>
        </is>
      </c>
      <c r="H10" s="35">
        <f>"PENDIENTE"</f>
        <v/>
      </c>
    </row>
    <row r="11" ht="15" customHeight="1" s="235">
      <c r="A11" s="28" t="inlineStr">
        <is>
          <t>Casillas pendientes</t>
        </is>
      </c>
      <c r="B11" s="32">
        <f>COUNTIF(Formulario_210!$H$6:$H$119,"REVISIÓN ESPECIAL")+COUNTIF(Formulario_210!$H$6:$H$119,"FALTA PARÁMETRO*")+COUNTIF(Formulario_210!$H$6:$H$119,"PARÁMETRO INVÁLIDO*")+COUNTIF(Formulario_210!$H$6:$H$119,"BLOQUEADO:*")</f>
        <v/>
      </c>
    </row>
    <row r="12" ht="45" customHeight="1" s="235">
      <c r="A12" s="33" t="inlineStr">
        <is>
          <t>Estado de preparación</t>
        </is>
      </c>
      <c r="B12" s="36">
        <f>IF($B$13="SIN INICIAR","SIN DATOS — INICIE EN INSTRUCTIVO O EN ENTRADA_MANUAL",IF(AND($B$13&lt;&gt;"MANUAL",$B$7&lt;&gt;"FORMATO RECONOCIDO"),"NO LISTA — FORMATO NO RECONOCIDO",IF(OR(AND($B$13&lt;&gt;"MANUAL",$B$6&lt;&gt;$B$5),LEFT($B$8,9)="BLOQUEADO",COUNTIF($B$8,"REVISAR — ETIQUETAS*")&gt;0,$B$9="PENDIENTE CONFIRMACIÓN",$B$10&gt;0,$B$11&gt;0),"NO LISTA — REVISAR BLOQUEOS","LISTA PARA REVISIÓN FINAL")))</f>
        <v/>
      </c>
    </row>
    <row r="13" ht="15" customHeight="1" s="235">
      <c r="A13" s="28" t="inlineStr">
        <is>
          <t>Modo de trabajo</t>
        </is>
      </c>
      <c r="B13" s="32">
        <f>IF(AND(Exogena_RAW!$C$4="",COUNT(Entrada_Manual!$D$5:$D$187)=0),"SIN INICIAR",IF(AND(Exogena_RAW!$C$4&lt;&gt;"",COUNT(Entrada_Manual!$D$5:$D$187)&gt;0),"MIXTO (Exógena + Manual)",IF(Exogena_RAW!$C$4&lt;&gt;"","EXÓGENA","MANUAL")))</f>
        <v/>
      </c>
      <c r="D13" s="2" t="inlineStr">
        <is>
          <t>Alerta</t>
        </is>
      </c>
      <c r="E13" s="2" t="inlineStr">
        <is>
          <t>Motivo</t>
        </is>
      </c>
      <c r="F13" s="2" t="inlineStr">
        <is>
          <t>Acción</t>
        </is>
      </c>
      <c r="G13" s="2" t="inlineStr">
        <is>
          <t>Prioridad</t>
        </is>
      </c>
      <c r="H13" s="2" t="inlineStr">
        <is>
          <t>Estado</t>
        </is>
      </c>
    </row>
    <row r="14" ht="28.5" customHeight="1" s="235">
      <c r="A14" s="28" t="inlineStr">
        <is>
          <t>Alertas de posible duplicado (casilla 29)</t>
        </is>
      </c>
      <c r="B14" s="32">
        <f>COUNTIF(Hoja_Trabajo!$W$6:$W$505,"?*")</f>
        <v/>
      </c>
      <c r="D14" s="37" t="inlineStr">
        <is>
          <t>Carga inicial</t>
        </is>
      </c>
      <c r="E14" s="38" t="inlineStr">
        <is>
          <t>La herramienta se entrega deliberadamente sin datos</t>
        </is>
      </c>
      <c r="F14" s="38" t="inlineStr">
        <is>
          <t>Comience en Instructivo y pegue el reporte completo en Exogena_RAW</t>
        </is>
      </c>
      <c r="G14" s="38" t="n">
        <v>1</v>
      </c>
      <c r="H14" s="39" t="inlineStr">
        <is>
          <t>INFORMATIVO</t>
        </is>
      </c>
    </row>
    <row r="15" ht="28.5" customHeight="1" s="235">
      <c r="A15" t="inlineStr">
        <is>
          <t>Apto para traslado (control v1.12)</t>
        </is>
      </c>
      <c r="B15" s="40">
        <f>IF(OR(Formulario_210!$I$124="BLOQUEADO: FALTA CONFIRMACIÓN ECE",Formulario_210!$I$122&lt;&gt;"",Formulario_210!$I$123&lt;&gt;"",Formulario_210!$I$131="BLOQUEADO: REVISAR FILAS 126-129",Formulario_210!$I$135="ERROR: EXCEDE TECHO GLOBAL",COUNTIF(Hoja_Trabajo!$Q$6:$Q$505,"BLOQUEADO: POSIBLE DUPLICADO*")&gt;0,COUNTIF(Hoja_Trabajo!$AB$6:$AB$505,"PENDIENTE*")&gt;0,COUNTIF(Hoja_Trabajo!$AB$6:$AB$505,"PARCIAL*")&gt;0,Entrada_Manual!$F$188&gt;0,$B$10&gt;0,$B$11&gt;0,$B$12&lt;&gt;"LISTA PARA REVISIÓN FINAL",$B$13="SIN INICIAR"),"NO APTO — REVISAR BLOQUEOS DE CONTROL v1.12","APTO PARA TRASLADO (sujeto a revisión final en Excel/DIAN)")</f>
        <v/>
      </c>
      <c r="D15" s="41" t="inlineStr">
        <is>
          <t>Año/formato</t>
        </is>
      </c>
      <c r="E15" s="42" t="inlineStr">
        <is>
          <t>El reporte debe coincidir con AG 2025 y conservar las 8 columnas DIAN</t>
        </is>
      </c>
      <c r="F15" s="42" t="inlineStr">
        <is>
          <t>Detenerse si Inicio muestra BLOQUEADO o FORMATO NO RECONOCIDO</t>
        </is>
      </c>
      <c r="G15" s="42" t="n">
        <v>1</v>
      </c>
      <c r="H15" s="43" t="inlineStr">
        <is>
          <t>BLOQUEANTE</t>
        </is>
      </c>
    </row>
    <row r="16" ht="28.5" customHeight="1" s="235">
      <c r="D16" s="41" t="inlineStr">
        <is>
          <t>Varias casillas</t>
        </is>
      </c>
      <c r="E16" s="42" t="inlineStr">
        <is>
          <t>Un concepto DIAN puede sugerir más de un renglón</t>
        </is>
      </c>
      <c r="F16" s="42" t="inlineStr">
        <is>
          <t>Analizar y diligenciar manualmente; no duplicar el valor</t>
        </is>
      </c>
      <c r="G16" s="42" t="n">
        <v>1</v>
      </c>
      <c r="H16" s="43" t="inlineStr">
        <is>
          <t>BLOQUEANTE</t>
        </is>
      </c>
    </row>
    <row r="17" ht="28.5" customHeight="1" s="235">
      <c r="D17" s="41" t="inlineStr">
        <is>
          <t>Titularidad/duplicidad</t>
        </is>
      </c>
      <c r="E17" s="42" t="inlineStr">
        <is>
          <t>La Exógena puede contener valores totales o repetidos</t>
        </is>
      </c>
      <c r="F17" s="42" t="inlineStr">
        <is>
          <t>Conciliar participación, certificados y realidad económica (revise la columna W de Hoja_Trabajo, que marca automáticamente coincidencias exactas de valor en casilla 29)</t>
        </is>
      </c>
      <c r="G17" s="42" t="n">
        <v>1</v>
      </c>
      <c r="H17" s="43" t="inlineStr">
        <is>
          <t>BLOQUEANTE</t>
        </is>
      </c>
    </row>
    <row r="18" ht="28.5" customHeight="1" s="235">
      <c r="D18" s="44" t="inlineStr">
        <is>
          <t>Macro opcional</t>
        </is>
      </c>
      <c r="E18" s="45" t="inlineStr">
        <is>
          <t>La carga manual funciona sin macro</t>
        </is>
      </c>
      <c r="F18" s="45" t="inlineStr">
        <is>
          <t>Si lo desea, copie el módulo y guarde como .xlsm</t>
        </is>
      </c>
      <c r="G18" s="45" t="n">
        <v>3</v>
      </c>
      <c r="H18" s="46" t="inlineStr">
        <is>
          <t>OPCIONAL</t>
        </is>
      </c>
    </row>
  </sheetData>
  <sheetProtection selectLockedCells="0" selectUnlockedCells="0" sheet="1" objects="1" insertRows="1" insertHyperlinks="1" autoFilter="1" scenarios="1" formatColumns="0" deleteColumns="1" insertColumns="1" pivotTables="1" deleteRows="1" formatCells="1" formatRows="0" sort="1"/>
  <mergeCells count="2">
    <mergeCell ref="A2:H2"/>
    <mergeCell ref="A1:H1"/>
  </mergeCells>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M514"/>
  <sheetViews>
    <sheetView showGridLines="0" workbookViewId="0">
      <selection activeCell="A1" sqref="A1:B1"/>
    </sheetView>
  </sheetViews>
  <sheetFormatPr baseColWidth="10" defaultColWidth="9" defaultRowHeight="15"/>
  <cols>
    <col width="16" customWidth="1" style="235" min="1" max="1"/>
    <col width="30" customWidth="1" style="235" min="2" max="2"/>
    <col width="16" customWidth="1" style="235" min="3" max="3"/>
    <col width="32" customWidth="1" style="235" min="4" max="4"/>
    <col width="46" customWidth="1" style="235" min="5" max="5"/>
    <col width="17" customWidth="1" style="235" min="6" max="6"/>
    <col width="48" customWidth="1" style="235" min="7" max="7"/>
    <col width="46" customWidth="1" style="235" min="8" max="8"/>
    <col width="3" customWidth="1" style="235" min="9" max="9"/>
    <col width="23" customWidth="1" style="235" min="10" max="10"/>
    <col width="36" customWidth="1" style="235" min="11" max="11"/>
    <col width="4" customWidth="1" style="235" min="12" max="13"/>
  </cols>
  <sheetData>
    <row r="1" ht="30" customHeight="1" s="235">
      <c r="A1" s="269" t="n"/>
      <c r="B1" s="259" t="n"/>
      <c r="C1" s="270" t="n"/>
      <c r="D1" s="258" t="n"/>
      <c r="E1" s="258" t="n"/>
      <c r="F1" s="258" t="n"/>
      <c r="G1" s="258" t="n"/>
      <c r="H1" s="259" t="n"/>
      <c r="J1" s="254" t="inlineStr">
        <is>
          <t>ZONA DE CARGA DIAN</t>
        </is>
      </c>
    </row>
    <row r="2" ht="31.5" customHeight="1" s="235">
      <c r="A2" s="257" t="n"/>
      <c r="B2" s="258" t="n"/>
      <c r="C2" s="258" t="n"/>
      <c r="D2" s="258" t="n"/>
      <c r="E2" s="258" t="n"/>
      <c r="F2" s="259" t="n"/>
      <c r="G2" s="184" t="n"/>
      <c r="H2" s="456" t="n"/>
      <c r="J2" s="253" t="inlineStr">
        <is>
          <t>Seleccione A1 y use Pegado especial &gt; Valores. No cambie el orden de las 8 columnas.</t>
        </is>
      </c>
    </row>
    <row r="3" ht="15.75" customHeight="1" s="235">
      <c r="A3" s="255" t="n"/>
      <c r="B3" s="256" t="n"/>
      <c r="C3" s="457" t="n"/>
      <c r="D3" s="187" t="n"/>
      <c r="E3" s="187" t="n"/>
      <c r="F3" s="187" t="n"/>
      <c r="G3" s="188" t="n"/>
      <c r="H3" s="189" t="n"/>
    </row>
    <row r="4" ht="15" customHeight="1" s="235">
      <c r="A4" s="255" t="n"/>
      <c r="B4" s="256" t="n"/>
      <c r="C4" s="190" t="n"/>
      <c r="D4" s="187" t="n"/>
      <c r="E4" s="187" t="n"/>
      <c r="F4" s="187" t="n"/>
      <c r="G4" s="188" t="n"/>
      <c r="H4" s="191" t="n"/>
      <c r="J4" s="2" t="inlineStr">
        <is>
          <t>Control</t>
        </is>
      </c>
      <c r="K4" s="2" t="inlineStr">
        <is>
          <t>Resultado</t>
        </is>
      </c>
    </row>
    <row r="5" ht="15.75" customHeight="1" s="235">
      <c r="A5" s="260" t="n"/>
      <c r="B5" s="258" t="n"/>
      <c r="C5" s="258" t="n"/>
      <c r="D5" s="258" t="n"/>
      <c r="E5" s="258" t="n"/>
      <c r="F5" s="258" t="n"/>
      <c r="G5" s="258" t="n"/>
      <c r="H5" s="259" t="n"/>
      <c r="J5" t="inlineStr">
        <is>
          <t>Año detectado</t>
        </is>
      </c>
      <c r="K5">
        <f>IFERROR(C4,"")</f>
        <v/>
      </c>
    </row>
    <row r="6" ht="15.75" customHeight="1" s="235">
      <c r="A6" s="255" t="n"/>
      <c r="B6" s="256" t="n"/>
      <c r="C6" s="193" t="n"/>
      <c r="D6" s="187" t="n"/>
      <c r="E6" s="187" t="n"/>
      <c r="F6" s="187" t="n"/>
      <c r="G6" s="188" t="n"/>
      <c r="H6" s="194" t="n"/>
      <c r="J6" t="inlineStr">
        <is>
          <t>Cabecera Detalle</t>
        </is>
      </c>
      <c r="K6">
        <f>IF(C4="","SIN DATOS",IF(E14="Detalle","OK","NO RECONOCIDA"))</f>
        <v/>
      </c>
    </row>
    <row r="7" ht="15.75" customHeight="1" s="235">
      <c r="A7" s="255" t="n"/>
      <c r="B7" s="256" t="n"/>
      <c r="C7" s="195" t="n"/>
      <c r="D7" s="187" t="n"/>
      <c r="E7" s="187" t="n"/>
      <c r="F7" s="187" t="n"/>
      <c r="G7" s="188" t="n"/>
      <c r="H7" s="189" t="n"/>
      <c r="J7" t="inlineStr">
        <is>
          <t>Cabecera Valor</t>
        </is>
      </c>
      <c r="K7">
        <f>IF(C4="","SIN DATOS",IF(F14="Valor","OK","NO RECONOCIDA"))</f>
        <v/>
      </c>
    </row>
    <row r="8" ht="15.75" customHeight="1" s="235">
      <c r="A8" s="255" t="n"/>
      <c r="B8" s="256" t="n"/>
      <c r="C8" s="193" t="n"/>
      <c r="D8" s="187" t="n"/>
      <c r="E8" s="187" t="n"/>
      <c r="F8" s="187" t="n"/>
      <c r="G8" s="188" t="n"/>
      <c r="H8" s="189" t="n"/>
      <c r="J8" t="inlineStr">
        <is>
          <t>Registros detectados</t>
        </is>
      </c>
      <c r="K8">
        <f>COUNTIF(E15:E514,"?*")</f>
        <v/>
      </c>
    </row>
    <row r="9" ht="14.25" customHeight="1" s="235">
      <c r="A9" s="196" t="n"/>
      <c r="B9" s="196" t="n"/>
      <c r="C9" s="197" t="n"/>
      <c r="D9" s="197" t="n"/>
      <c r="E9" s="197" t="n"/>
      <c r="F9" s="197" t="n"/>
      <c r="G9" s="198" t="n"/>
      <c r="H9" s="199" t="n"/>
      <c r="J9" t="inlineStr">
        <is>
          <t>Estado de carga</t>
        </is>
      </c>
      <c r="K9">
        <f>IF(C4="","SIN DATOS — PEGUE EL REPORTE",IF(AND(K10=Reglas!$B$5,E14="Detalle",F14="Valor"),"CARGA RECONOCIDA",IF(K10&lt;&gt;Reglas!$B$5,"BLOQUEADO: AÑO DIFERENTE","FORMATO NO RECONOCIDO")))</f>
        <v/>
      </c>
    </row>
    <row r="10" ht="18" customHeight="1" s="235">
      <c r="A10" s="261" t="n"/>
      <c r="B10" s="262" t="n"/>
      <c r="C10" s="262" t="n"/>
      <c r="D10" s="262" t="n"/>
      <c r="E10" s="262" t="n"/>
      <c r="F10" s="262" t="n"/>
      <c r="G10" s="262" t="n"/>
      <c r="H10" s="263" t="n"/>
      <c r="J10" t="inlineStr">
        <is>
          <t>Año (normalizado, numérico)</t>
        </is>
      </c>
      <c r="K10">
        <f>IFERROR(VALUE(C4),"")</f>
        <v/>
      </c>
    </row>
    <row r="11" ht="43.5" customHeight="1" s="235">
      <c r="A11" s="264" t="n"/>
      <c r="B11" s="256" t="n"/>
      <c r="C11" s="256" t="n"/>
      <c r="D11" s="256" t="n"/>
      <c r="E11" s="256" t="n"/>
      <c r="F11" s="256" t="n"/>
      <c r="G11" s="256" t="n"/>
      <c r="H11" s="265" t="n"/>
      <c r="J11" s="23" t="inlineStr">
        <is>
          <t>Advertencia</t>
        </is>
      </c>
      <c r="K11" s="24" t="inlineStr">
        <is>
          <t>La información de terceros es un indicio; no reemplaza la realidad económica ni los soportes.</t>
        </is>
      </c>
      <c r="L11" s="24" t="n"/>
      <c r="M11" s="24" t="n"/>
    </row>
    <row r="12" ht="43.5" customHeight="1" s="235">
      <c r="A12" s="266" t="n"/>
      <c r="B12" s="267" t="n"/>
      <c r="C12" s="267" t="n"/>
      <c r="D12" s="267" t="n"/>
      <c r="E12" s="267" t="n"/>
      <c r="F12" s="267" t="n"/>
      <c r="G12" s="267" t="n"/>
      <c r="H12" s="268" t="n"/>
      <c r="J12" s="23" t="inlineStr">
        <is>
          <t>Varias casillas</t>
        </is>
      </c>
      <c r="K12" s="24" t="inlineStr">
        <is>
          <t>Si la DIAN menciona más de una casilla, elija una en Hoja_Trabajo; no duplique el valor.</t>
        </is>
      </c>
      <c r="L12" s="24" t="n"/>
      <c r="M12" s="24" t="n"/>
    </row>
    <row r="13" ht="29.25" customHeight="1" s="235">
      <c r="A13" s="260" t="n"/>
      <c r="B13" s="259" t="n"/>
      <c r="C13" s="260" t="n"/>
      <c r="D13" s="258" t="n"/>
      <c r="E13" s="258" t="n"/>
      <c r="F13" s="258" t="n"/>
      <c r="G13" s="258" t="n"/>
      <c r="H13" s="259" t="n"/>
      <c r="J13" s="23" t="inlineStr">
        <is>
          <t>Capacidad</t>
        </is>
      </c>
      <c r="K13" s="24" t="inlineStr">
        <is>
          <t>La plantilla admite hasta 500 registros. Use una copia limpia por contribuyente.</t>
        </is>
      </c>
      <c r="L13" s="24" t="n"/>
      <c r="M13" s="24" t="n"/>
    </row>
    <row r="14" ht="30" customHeight="1" s="235">
      <c r="A14" s="260" t="inlineStr">
        <is>
          <t>NIT</t>
        </is>
      </c>
      <c r="B14" s="200" t="inlineStr">
        <is>
          <t>Nombre / Razón Social</t>
        </is>
      </c>
      <c r="C14" s="200" t="inlineStr">
        <is>
          <t>NIT</t>
        </is>
      </c>
      <c r="D14" s="260" t="inlineStr">
        <is>
          <t>Nombre/Razón Social reportada por el tercero</t>
        </is>
      </c>
      <c r="E14" s="260" t="inlineStr">
        <is>
          <t>Detalle</t>
        </is>
      </c>
      <c r="F14" s="260" t="inlineStr">
        <is>
          <t>Valor</t>
        </is>
      </c>
      <c r="G14" s="201" t="inlineStr">
        <is>
          <t>Uso declaración Sugerida</t>
        </is>
      </c>
      <c r="H14" s="260" t="inlineStr">
        <is>
          <t>Información Adicional</t>
        </is>
      </c>
    </row>
    <row r="15" ht="15" customHeight="1" s="235">
      <c r="A15" s="202" t="n"/>
      <c r="B15" s="203" t="n"/>
      <c r="C15" s="204" t="n"/>
      <c r="D15" s="203" t="n"/>
      <c r="E15" s="203" t="n"/>
      <c r="F15" s="458" t="n"/>
      <c r="G15" s="206" t="n"/>
      <c r="H15" s="207" t="n"/>
    </row>
    <row r="16" ht="15" customHeight="1" s="235">
      <c r="A16" s="202" t="n"/>
      <c r="B16" s="203" t="n"/>
      <c r="C16" s="204" t="n"/>
      <c r="D16" s="203" t="n"/>
      <c r="E16" s="203" t="n"/>
      <c r="F16" s="458" t="n"/>
      <c r="G16" s="206" t="n"/>
      <c r="H16" s="207" t="n"/>
    </row>
    <row r="17" ht="15" customHeight="1" s="235">
      <c r="A17" s="202" t="n"/>
      <c r="B17" s="203" t="n"/>
      <c r="C17" s="204" t="n"/>
      <c r="D17" s="203" t="n"/>
      <c r="E17" s="203" t="n"/>
      <c r="F17" s="458" t="n"/>
      <c r="G17" s="206" t="n"/>
      <c r="H17" s="207" t="n"/>
    </row>
    <row r="18" ht="15" customHeight="1" s="235">
      <c r="A18" s="202" t="n"/>
      <c r="B18" s="203" t="n"/>
      <c r="C18" s="204" t="n"/>
      <c r="D18" s="203" t="n"/>
      <c r="E18" s="203" t="n"/>
      <c r="F18" s="458" t="n"/>
      <c r="G18" s="206" t="n"/>
      <c r="H18" s="207" t="n"/>
    </row>
    <row r="19" ht="15" customHeight="1" s="235">
      <c r="A19" s="202" t="n"/>
      <c r="B19" s="203" t="n"/>
      <c r="C19" s="204" t="n"/>
      <c r="D19" s="203" t="n"/>
      <c r="E19" s="203" t="n"/>
      <c r="F19" s="458" t="n"/>
      <c r="G19" s="206" t="n"/>
      <c r="H19" s="207" t="n"/>
    </row>
    <row r="20" ht="30" customHeight="1" s="235">
      <c r="A20" s="202" t="n"/>
      <c r="B20" s="203" t="n"/>
      <c r="C20" s="204" t="n"/>
      <c r="D20" s="203" t="n"/>
      <c r="E20" s="203" t="n"/>
      <c r="F20" s="458" t="n"/>
      <c r="G20" s="206" t="n"/>
      <c r="H20" s="207" t="n"/>
    </row>
    <row r="21" ht="30" customHeight="1" s="235">
      <c r="A21" s="202" t="n"/>
      <c r="B21" s="203" t="n"/>
      <c r="C21" s="204" t="n"/>
      <c r="D21" s="203" t="n"/>
      <c r="E21" s="203" t="n"/>
      <c r="F21" s="458" t="n"/>
      <c r="G21" s="206" t="n"/>
      <c r="H21" s="207" t="n"/>
    </row>
    <row r="22" ht="28.5" customHeight="1" s="235">
      <c r="A22" s="202" t="n"/>
      <c r="B22" s="203" t="n"/>
      <c r="C22" s="204" t="n"/>
      <c r="D22" s="203" t="n"/>
      <c r="E22" s="203" t="n"/>
      <c r="F22" s="458" t="n"/>
      <c r="G22" s="206" t="n"/>
      <c r="H22" s="207" t="n"/>
    </row>
    <row r="23" ht="60" customHeight="1" s="235">
      <c r="A23" s="202" t="n"/>
      <c r="B23" s="203" t="n"/>
      <c r="C23" s="204" t="n"/>
      <c r="D23" s="203" t="n"/>
      <c r="E23" s="203" t="n"/>
      <c r="F23" s="458" t="n"/>
      <c r="G23" s="206" t="n"/>
      <c r="H23" s="207" t="n"/>
    </row>
    <row r="24" ht="30" customHeight="1" s="235">
      <c r="A24" s="202" t="n"/>
      <c r="B24" s="203" t="n"/>
      <c r="C24" s="204" t="n"/>
      <c r="D24" s="203" t="n"/>
      <c r="E24" s="203" t="n"/>
      <c r="F24" s="458" t="n"/>
      <c r="G24" s="206" t="n"/>
      <c r="H24" s="207" t="n"/>
    </row>
    <row r="25" ht="30" customHeight="1" s="235">
      <c r="A25" s="202" t="n"/>
      <c r="B25" s="203" t="n"/>
      <c r="C25" s="204" t="n"/>
      <c r="D25" s="203" t="n"/>
      <c r="E25" s="203" t="n"/>
      <c r="F25" s="458" t="n"/>
      <c r="G25" s="206" t="n"/>
      <c r="H25" s="207" t="n"/>
    </row>
    <row r="26" ht="42.75" customHeight="1" s="235">
      <c r="A26" s="202" t="n"/>
      <c r="B26" s="203" t="n"/>
      <c r="C26" s="204" t="n"/>
      <c r="D26" s="203" t="n"/>
      <c r="E26" s="203" t="n"/>
      <c r="F26" s="458" t="n"/>
      <c r="G26" s="206" t="n"/>
      <c r="H26" s="207" t="n"/>
    </row>
    <row r="27" ht="28.5" customHeight="1" s="235">
      <c r="A27" s="202" t="n"/>
      <c r="B27" s="203" t="n"/>
      <c r="C27" s="204" t="n"/>
      <c r="D27" s="203" t="n"/>
      <c r="E27" s="203" t="n"/>
      <c r="F27" s="458" t="n"/>
      <c r="G27" s="206" t="n"/>
      <c r="H27" s="207" t="n"/>
    </row>
    <row r="28" ht="42.75" customHeight="1" s="235">
      <c r="A28" s="202" t="n"/>
      <c r="B28" s="203" t="n"/>
      <c r="C28" s="204" t="n"/>
      <c r="D28" s="203" t="n"/>
      <c r="E28" s="203" t="n"/>
      <c r="F28" s="458" t="n"/>
      <c r="G28" s="206" t="n"/>
      <c r="H28" s="207" t="n"/>
    </row>
    <row r="29" ht="42.75" customHeight="1" s="235">
      <c r="A29" s="202" t="n"/>
      <c r="B29" s="203" t="n"/>
      <c r="C29" s="204" t="n"/>
      <c r="D29" s="203" t="n"/>
      <c r="E29" s="203" t="n"/>
      <c r="F29" s="458" t="n"/>
      <c r="G29" s="206" t="n"/>
      <c r="H29" s="207" t="n"/>
    </row>
    <row r="30" ht="28.5" customHeight="1" s="235">
      <c r="A30" s="202" t="n"/>
      <c r="B30" s="203" t="n"/>
      <c r="C30" s="204" t="n"/>
      <c r="D30" s="203" t="n"/>
      <c r="E30" s="203" t="n"/>
      <c r="F30" s="458" t="n"/>
      <c r="G30" s="206" t="n"/>
      <c r="H30" s="207" t="n"/>
    </row>
    <row r="31" ht="30" customHeight="1" s="235">
      <c r="A31" s="202" t="n"/>
      <c r="B31" s="203" t="n"/>
      <c r="C31" s="204" t="n"/>
      <c r="D31" s="203" t="n"/>
      <c r="E31" s="203" t="n"/>
      <c r="F31" s="458" t="n"/>
      <c r="G31" s="206" t="n"/>
      <c r="H31" s="207" t="n"/>
    </row>
    <row r="32" ht="15" customHeight="1" s="235">
      <c r="A32" s="202" t="n"/>
      <c r="B32" s="203" t="n"/>
      <c r="C32" s="204" t="n"/>
      <c r="D32" s="203" t="n"/>
      <c r="E32" s="203" t="n"/>
      <c r="F32" s="458" t="n"/>
      <c r="G32" s="206" t="n"/>
      <c r="H32" s="207" t="n"/>
    </row>
    <row r="33" ht="28.5" customHeight="1" s="235">
      <c r="A33" s="202" t="n"/>
      <c r="B33" s="203" t="n"/>
      <c r="C33" s="204" t="n"/>
      <c r="D33" s="203" t="n"/>
      <c r="E33" s="203" t="n"/>
      <c r="F33" s="458" t="n"/>
      <c r="G33" s="206" t="n"/>
      <c r="H33" s="207" t="n"/>
    </row>
    <row r="34" ht="15" customHeight="1" s="235">
      <c r="A34" s="202" t="n"/>
      <c r="B34" s="203" t="n"/>
      <c r="C34" s="204" t="n"/>
      <c r="D34" s="203" t="n"/>
      <c r="E34" s="203" t="n"/>
      <c r="F34" s="458" t="n"/>
      <c r="G34" s="206" t="n"/>
      <c r="H34" s="207" t="n"/>
    </row>
    <row r="35" ht="30" customHeight="1" s="235">
      <c r="A35" s="202" t="n"/>
      <c r="B35" s="203" t="n"/>
      <c r="C35" s="204" t="n"/>
      <c r="D35" s="203" t="n"/>
      <c r="E35" s="203" t="n"/>
      <c r="F35" s="458" t="n"/>
      <c r="G35" s="206" t="n"/>
      <c r="H35" s="207" t="n"/>
    </row>
    <row r="36" ht="30" customHeight="1" s="235">
      <c r="A36" s="202" t="n"/>
      <c r="B36" s="203" t="n"/>
      <c r="C36" s="204" t="n"/>
      <c r="D36" s="203" t="n"/>
      <c r="E36" s="203" t="n"/>
      <c r="F36" s="458" t="n"/>
      <c r="G36" s="206" t="n"/>
      <c r="H36" s="207" t="n"/>
    </row>
    <row r="37" ht="15" customHeight="1" s="235">
      <c r="A37" s="202" t="n"/>
      <c r="B37" s="203" t="n"/>
      <c r="C37" s="204" t="n"/>
      <c r="D37" s="203" t="n"/>
      <c r="E37" s="203" t="n"/>
      <c r="F37" s="458" t="n"/>
      <c r="G37" s="206" t="n"/>
      <c r="H37" s="207" t="n"/>
    </row>
    <row r="38" ht="30" customHeight="1" s="235">
      <c r="A38" s="202" t="n"/>
      <c r="B38" s="203" t="n"/>
      <c r="C38" s="204" t="n"/>
      <c r="D38" s="203" t="n"/>
      <c r="E38" s="203" t="n"/>
      <c r="F38" s="458" t="n"/>
      <c r="G38" s="206" t="n"/>
      <c r="H38" s="207" t="n"/>
    </row>
    <row r="39" ht="28.5" customHeight="1" s="235">
      <c r="A39" s="202" t="n"/>
      <c r="B39" s="203" t="n"/>
      <c r="C39" s="204" t="n"/>
      <c r="D39" s="203" t="n"/>
      <c r="E39" s="203" t="n"/>
      <c r="F39" s="458" t="n"/>
      <c r="G39" s="206" t="n"/>
      <c r="H39" s="207" t="n"/>
    </row>
    <row r="40" ht="45" customHeight="1" s="235">
      <c r="A40" s="202" t="n"/>
      <c r="B40" s="203" t="n"/>
      <c r="C40" s="204" t="n"/>
      <c r="D40" s="203" t="n"/>
      <c r="E40" s="203" t="n"/>
      <c r="F40" s="458" t="n"/>
      <c r="G40" s="206" t="n"/>
      <c r="H40" s="207" t="n"/>
    </row>
    <row r="41" ht="30" customHeight="1" s="235">
      <c r="A41" s="202" t="n"/>
      <c r="B41" s="203" t="n"/>
      <c r="C41" s="204" t="n"/>
      <c r="D41" s="203" t="n"/>
      <c r="E41" s="203" t="n"/>
      <c r="F41" s="458" t="n"/>
      <c r="G41" s="206" t="n"/>
      <c r="H41" s="207" t="n"/>
    </row>
    <row r="42" ht="30" customHeight="1" s="235">
      <c r="A42" s="202" t="n"/>
      <c r="B42" s="203" t="n"/>
      <c r="C42" s="204" t="n"/>
      <c r="D42" s="203" t="n"/>
      <c r="E42" s="203" t="n"/>
      <c r="F42" s="458" t="n"/>
      <c r="G42" s="206" t="n"/>
      <c r="H42" s="207" t="n"/>
    </row>
    <row r="43" ht="28.5" customHeight="1" s="235">
      <c r="A43" s="202" t="n"/>
      <c r="B43" s="203" t="n"/>
      <c r="C43" s="204" t="n"/>
      <c r="D43" s="203" t="n"/>
      <c r="E43" s="203" t="n"/>
      <c r="F43" s="458" t="n"/>
      <c r="G43" s="206" t="n"/>
      <c r="H43" s="207" t="n"/>
    </row>
    <row r="44" ht="28.5" customHeight="1" s="235">
      <c r="A44" s="202" t="n"/>
      <c r="B44" s="203" t="n"/>
      <c r="C44" s="204" t="n"/>
      <c r="D44" s="203" t="n"/>
      <c r="E44" s="203" t="n"/>
      <c r="F44" s="458" t="n"/>
      <c r="G44" s="206" t="n"/>
      <c r="H44" s="207" t="n"/>
    </row>
    <row r="45" ht="15" customHeight="1" s="235">
      <c r="A45" s="202" t="n"/>
      <c r="B45" s="203" t="n"/>
      <c r="C45" s="204" t="n"/>
      <c r="D45" s="203" t="n"/>
      <c r="E45" s="203" t="n"/>
      <c r="F45" s="458" t="n"/>
      <c r="G45" s="206" t="n"/>
      <c r="H45" s="207" t="n"/>
    </row>
    <row r="46" ht="15" customHeight="1" s="235">
      <c r="A46" s="202" t="n"/>
      <c r="B46" s="203" t="n"/>
      <c r="C46" s="204" t="n"/>
      <c r="D46" s="203" t="n"/>
      <c r="E46" s="203" t="n"/>
      <c r="F46" s="458" t="n"/>
      <c r="G46" s="206" t="n"/>
      <c r="H46" s="207" t="n"/>
    </row>
    <row r="47" ht="30" customHeight="1" s="235">
      <c r="A47" s="202" t="n"/>
      <c r="B47" s="203" t="n"/>
      <c r="C47" s="204" t="n"/>
      <c r="D47" s="203" t="n"/>
      <c r="E47" s="203" t="n"/>
      <c r="F47" s="458" t="n"/>
      <c r="G47" s="206" t="n"/>
      <c r="H47" s="207" t="n"/>
    </row>
    <row r="48" ht="28.5" customHeight="1" s="235">
      <c r="A48" s="202" t="n"/>
      <c r="B48" s="203" t="n"/>
      <c r="C48" s="204" t="n"/>
      <c r="D48" s="203" t="n"/>
      <c r="E48" s="203" t="n"/>
      <c r="F48" s="458" t="n"/>
      <c r="G48" s="206" t="n"/>
      <c r="H48" s="207" t="n"/>
    </row>
    <row r="49" ht="28.5" customHeight="1" s="235">
      <c r="A49" s="202" t="n"/>
      <c r="B49" s="203" t="n"/>
      <c r="C49" s="204" t="n"/>
      <c r="D49" s="203" t="n"/>
      <c r="E49" s="203" t="n"/>
      <c r="F49" s="458" t="n"/>
      <c r="G49" s="206" t="n"/>
      <c r="H49" s="207" t="n"/>
    </row>
    <row r="50" ht="30" customHeight="1" s="235">
      <c r="A50" s="202" t="n"/>
      <c r="B50" s="203" t="n"/>
      <c r="C50" s="204" t="n"/>
      <c r="D50" s="203" t="n"/>
      <c r="E50" s="203" t="n"/>
      <c r="F50" s="458" t="n"/>
      <c r="G50" s="206" t="n"/>
      <c r="H50" s="207" t="n"/>
    </row>
    <row r="51" ht="30" customHeight="1" s="235">
      <c r="A51" s="202" t="n"/>
      <c r="B51" s="203" t="n"/>
      <c r="C51" s="204" t="n"/>
      <c r="D51" s="203" t="n"/>
      <c r="E51" s="203" t="n"/>
      <c r="F51" s="458" t="n"/>
      <c r="G51" s="206" t="n"/>
      <c r="H51" s="207" t="n"/>
    </row>
    <row r="52" ht="30" customHeight="1" s="235">
      <c r="A52" s="202" t="n"/>
      <c r="B52" s="203" t="n"/>
      <c r="C52" s="204" t="n"/>
      <c r="D52" s="203" t="n"/>
      <c r="E52" s="203" t="n"/>
      <c r="F52" s="458" t="n"/>
      <c r="G52" s="206" t="n"/>
      <c r="H52" s="207" t="n"/>
    </row>
    <row r="53" ht="30" customHeight="1" s="235">
      <c r="A53" s="202" t="n"/>
      <c r="B53" s="203" t="n"/>
      <c r="C53" s="204" t="n"/>
      <c r="D53" s="203" t="n"/>
      <c r="E53" s="203" t="n"/>
      <c r="F53" s="458" t="n"/>
      <c r="G53" s="206" t="n"/>
      <c r="H53" s="207" t="n"/>
    </row>
    <row r="54" ht="28.5" customHeight="1" s="235">
      <c r="A54" s="202" t="n"/>
      <c r="B54" s="203" t="n"/>
      <c r="C54" s="204" t="n"/>
      <c r="D54" s="203" t="n"/>
      <c r="E54" s="203" t="n"/>
      <c r="F54" s="458" t="n"/>
      <c r="G54" s="206" t="n"/>
      <c r="H54" s="207" t="n"/>
    </row>
    <row r="55" ht="30" customHeight="1" s="235">
      <c r="A55" s="202" t="n"/>
      <c r="B55" s="203" t="n"/>
      <c r="C55" s="204" t="n"/>
      <c r="D55" s="203" t="n"/>
      <c r="E55" s="203" t="n"/>
      <c r="F55" s="458" t="n"/>
      <c r="G55" s="206" t="n"/>
      <c r="H55" s="207" t="n"/>
    </row>
    <row r="56" ht="42.75" customHeight="1" s="235">
      <c r="A56" s="202" t="n"/>
      <c r="B56" s="203" t="n"/>
      <c r="C56" s="204" t="n"/>
      <c r="D56" s="203" t="n"/>
      <c r="E56" s="203" t="n"/>
      <c r="F56" s="458" t="n"/>
      <c r="G56" s="206" t="n"/>
      <c r="H56" s="207" t="n"/>
    </row>
    <row r="57" ht="28.5" customHeight="1" s="235">
      <c r="A57" s="202" t="n"/>
      <c r="B57" s="203" t="n"/>
      <c r="C57" s="204" t="n"/>
      <c r="D57" s="203" t="n"/>
      <c r="E57" s="203" t="n"/>
      <c r="F57" s="458" t="n"/>
      <c r="G57" s="206" t="n"/>
      <c r="H57" s="207" t="n"/>
    </row>
    <row r="58" ht="15" customHeight="1" s="235">
      <c r="A58" s="202" t="n"/>
      <c r="B58" s="203" t="n"/>
      <c r="C58" s="204" t="n"/>
      <c r="D58" s="203" t="n"/>
      <c r="E58" s="203" t="n"/>
      <c r="F58" s="458" t="n"/>
      <c r="G58" s="206" t="n"/>
      <c r="H58" s="207" t="n"/>
    </row>
    <row r="59" ht="28.5" customHeight="1" s="235">
      <c r="A59" s="202" t="n"/>
      <c r="B59" s="203" t="n"/>
      <c r="C59" s="204" t="n"/>
      <c r="D59" s="203" t="n"/>
      <c r="E59" s="203" t="n"/>
      <c r="F59" s="458" t="n"/>
      <c r="G59" s="206" t="n"/>
      <c r="H59" s="207" t="n"/>
    </row>
    <row r="60" ht="28.5" customHeight="1" s="235">
      <c r="A60" s="202" t="n"/>
      <c r="B60" s="203" t="n"/>
      <c r="C60" s="204" t="n"/>
      <c r="D60" s="203" t="n"/>
      <c r="E60" s="203" t="n"/>
      <c r="F60" s="458" t="n"/>
      <c r="G60" s="206" t="n"/>
      <c r="H60" s="207" t="n"/>
    </row>
    <row r="61" ht="30" customHeight="1" s="235">
      <c r="A61" s="202" t="n"/>
      <c r="B61" s="203" t="n"/>
      <c r="C61" s="204" t="n"/>
      <c r="D61" s="203" t="n"/>
      <c r="E61" s="203" t="n"/>
      <c r="F61" s="458" t="n"/>
      <c r="G61" s="206" t="n"/>
      <c r="H61" s="207" t="n"/>
    </row>
    <row r="62" ht="30" customHeight="1" s="235">
      <c r="A62" s="202" t="n"/>
      <c r="B62" s="203" t="n"/>
      <c r="C62" s="204" t="n"/>
      <c r="D62" s="203" t="n"/>
      <c r="E62" s="203" t="n"/>
      <c r="F62" s="458" t="n"/>
      <c r="G62" s="206" t="n"/>
      <c r="H62" s="207" t="n"/>
    </row>
    <row r="63" ht="15" customHeight="1" s="235">
      <c r="A63" s="202" t="n"/>
      <c r="B63" s="203" t="n"/>
      <c r="C63" s="204" t="n"/>
      <c r="D63" s="203" t="n"/>
      <c r="E63" s="203" t="n"/>
      <c r="F63" s="458" t="n"/>
      <c r="G63" s="206" t="n"/>
      <c r="H63" s="207" t="n"/>
    </row>
    <row r="64" ht="42.75" customHeight="1" s="235">
      <c r="A64" s="202" t="n"/>
      <c r="B64" s="203" t="n"/>
      <c r="C64" s="204" t="n"/>
      <c r="D64" s="203" t="n"/>
      <c r="E64" s="203" t="n"/>
      <c r="F64" s="458" t="n"/>
      <c r="G64" s="206" t="n"/>
      <c r="H64" s="207" t="n"/>
    </row>
    <row r="65" ht="75" customHeight="1" s="235">
      <c r="A65" s="202" t="n"/>
      <c r="B65" s="203" t="n"/>
      <c r="C65" s="204" t="n"/>
      <c r="D65" s="203" t="n"/>
      <c r="E65" s="203" t="n"/>
      <c r="F65" s="458" t="n"/>
      <c r="G65" s="206" t="n"/>
      <c r="H65" s="207" t="n"/>
    </row>
    <row r="66" ht="28.5" customHeight="1" s="235">
      <c r="A66" s="202" t="n"/>
      <c r="B66" s="203" t="n"/>
      <c r="C66" s="204" t="n"/>
      <c r="D66" s="203" t="n"/>
      <c r="E66" s="203" t="n"/>
      <c r="F66" s="458" t="n"/>
      <c r="G66" s="206" t="n"/>
      <c r="H66" s="207" t="n"/>
    </row>
    <row r="67" ht="45" customHeight="1" s="235">
      <c r="A67" s="202" t="n"/>
      <c r="B67" s="203" t="n"/>
      <c r="C67" s="204" t="n"/>
      <c r="D67" s="203" t="n"/>
      <c r="E67" s="203" t="n"/>
      <c r="F67" s="458" t="n"/>
      <c r="G67" s="206" t="n"/>
      <c r="H67" s="207" t="n"/>
    </row>
    <row r="68" ht="28.5" customHeight="1" s="235">
      <c r="A68" s="202" t="n"/>
      <c r="B68" s="203" t="n"/>
      <c r="C68" s="204" t="n"/>
      <c r="D68" s="203" t="n"/>
      <c r="E68" s="203" t="n"/>
      <c r="F68" s="458" t="n"/>
      <c r="G68" s="206" t="n"/>
      <c r="H68" s="207" t="n"/>
    </row>
    <row r="69" ht="15" customHeight="1" s="235">
      <c r="A69" s="202" t="n"/>
      <c r="B69" s="203" t="n"/>
      <c r="C69" s="204" t="n"/>
      <c r="D69" s="203" t="n"/>
      <c r="E69" s="203" t="n"/>
      <c r="F69" s="458" t="n"/>
      <c r="G69" s="206" t="n"/>
      <c r="H69" s="207" t="n"/>
    </row>
    <row r="70" ht="28.5" customHeight="1" s="235">
      <c r="A70" s="202" t="n"/>
      <c r="B70" s="203" t="n"/>
      <c r="C70" s="204" t="n"/>
      <c r="D70" s="203" t="n"/>
      <c r="E70" s="203" t="n"/>
      <c r="F70" s="458" t="n"/>
      <c r="G70" s="206" t="n"/>
      <c r="H70" s="207" t="n"/>
    </row>
    <row r="71" ht="15" customHeight="1" s="235">
      <c r="A71" s="202" t="n"/>
      <c r="B71" s="203" t="n"/>
      <c r="C71" s="204" t="n"/>
      <c r="D71" s="203" t="n"/>
      <c r="E71" s="203" t="n"/>
      <c r="F71" s="458" t="n"/>
      <c r="G71" s="206" t="n"/>
      <c r="H71" s="207" t="n"/>
    </row>
    <row r="72" ht="28.5" customHeight="1" s="235">
      <c r="A72" s="202" t="n"/>
      <c r="B72" s="203" t="n"/>
      <c r="C72" s="204" t="n"/>
      <c r="D72" s="203" t="n"/>
      <c r="E72" s="203" t="n"/>
      <c r="F72" s="458" t="n"/>
      <c r="G72" s="206" t="n"/>
      <c r="H72" s="207" t="n"/>
    </row>
    <row r="73" ht="30" customHeight="1" s="235">
      <c r="A73" s="202" t="n"/>
      <c r="B73" s="203" t="n"/>
      <c r="C73" s="204" t="n"/>
      <c r="D73" s="203" t="n"/>
      <c r="E73" s="203" t="n"/>
      <c r="F73" s="458" t="n"/>
      <c r="G73" s="206" t="n"/>
      <c r="H73" s="207" t="n"/>
    </row>
    <row r="74" ht="30" customHeight="1" s="235">
      <c r="A74" s="202" t="n"/>
      <c r="B74" s="203" t="n"/>
      <c r="C74" s="204" t="n"/>
      <c r="D74" s="203" t="n"/>
      <c r="E74" s="203" t="n"/>
      <c r="F74" s="458" t="n"/>
      <c r="G74" s="206" t="n"/>
      <c r="H74" s="207" t="n"/>
    </row>
    <row r="75" ht="15" customHeight="1" s="235">
      <c r="A75" s="202" t="n"/>
      <c r="B75" s="203" t="n"/>
      <c r="C75" s="204" t="n"/>
      <c r="D75" s="203" t="n"/>
      <c r="E75" s="203" t="n"/>
      <c r="F75" s="458" t="n"/>
      <c r="G75" s="206" t="n"/>
      <c r="H75" s="207" t="n"/>
    </row>
    <row r="76" ht="15" customHeight="1" s="235">
      <c r="A76" s="202" t="n"/>
      <c r="B76" s="203" t="n"/>
      <c r="C76" s="204" t="n"/>
      <c r="D76" s="203" t="n"/>
      <c r="E76" s="203" t="n"/>
      <c r="F76" s="458" t="n"/>
      <c r="G76" s="206" t="n"/>
      <c r="H76" s="207" t="n"/>
    </row>
    <row r="77" ht="28.5" customHeight="1" s="235">
      <c r="A77" s="202" t="n"/>
      <c r="B77" s="203" t="n"/>
      <c r="C77" s="204" t="n"/>
      <c r="D77" s="203" t="n"/>
      <c r="E77" s="203" t="n"/>
      <c r="F77" s="458" t="n"/>
      <c r="G77" s="206" t="n"/>
      <c r="H77" s="207" t="n"/>
    </row>
    <row r="78" ht="45" customHeight="1" s="235">
      <c r="A78" s="202" t="n"/>
      <c r="B78" s="203" t="n"/>
      <c r="C78" s="204" t="n"/>
      <c r="D78" s="203" t="n"/>
      <c r="E78" s="203" t="n"/>
      <c r="F78" s="458" t="n"/>
      <c r="G78" s="206" t="n"/>
      <c r="H78" s="207" t="n"/>
    </row>
    <row r="79" ht="15" customHeight="1" s="235">
      <c r="A79" s="202" t="n"/>
      <c r="B79" s="203" t="n"/>
      <c r="C79" s="204" t="n"/>
      <c r="D79" s="203" t="n"/>
      <c r="E79" s="203" t="n"/>
      <c r="F79" s="458" t="n"/>
      <c r="G79" s="206" t="n"/>
      <c r="H79" s="207" t="n"/>
    </row>
    <row r="80" ht="28.5" customHeight="1" s="235">
      <c r="A80" s="202" t="n"/>
      <c r="B80" s="203" t="n"/>
      <c r="C80" s="204" t="n"/>
      <c r="D80" s="203" t="n"/>
      <c r="E80" s="203" t="n"/>
      <c r="F80" s="458" t="n"/>
      <c r="G80" s="206" t="n"/>
      <c r="H80" s="207" t="n"/>
    </row>
    <row r="81" ht="30" customHeight="1" s="235">
      <c r="A81" s="202" t="n"/>
      <c r="B81" s="203" t="n"/>
      <c r="C81" s="204" t="n"/>
      <c r="D81" s="203" t="n"/>
      <c r="E81" s="203" t="n"/>
      <c r="F81" s="458" t="n"/>
      <c r="G81" s="206" t="n"/>
      <c r="H81" s="207" t="n"/>
    </row>
    <row r="82" ht="28.5" customHeight="1" s="235">
      <c r="A82" s="202" t="n"/>
      <c r="B82" s="203" t="n"/>
      <c r="C82" s="204" t="n"/>
      <c r="D82" s="203" t="n"/>
      <c r="E82" s="203" t="n"/>
      <c r="F82" s="458" t="n"/>
      <c r="G82" s="206" t="n"/>
      <c r="H82" s="207" t="n"/>
    </row>
    <row r="83" ht="30" customHeight="1" s="235">
      <c r="A83" s="202" t="n"/>
      <c r="B83" s="203" t="n"/>
      <c r="C83" s="204" t="n"/>
      <c r="D83" s="203" t="n"/>
      <c r="E83" s="203" t="n"/>
      <c r="F83" s="458" t="n"/>
      <c r="G83" s="206" t="n"/>
      <c r="H83" s="207" t="n"/>
    </row>
    <row r="84" ht="30" customHeight="1" s="235">
      <c r="A84" s="202" t="n"/>
      <c r="B84" s="203" t="n"/>
      <c r="C84" s="204" t="n"/>
      <c r="D84" s="203" t="n"/>
      <c r="E84" s="203" t="n"/>
      <c r="F84" s="458" t="n"/>
      <c r="G84" s="206" t="n"/>
      <c r="H84" s="207" t="n"/>
    </row>
    <row r="85" ht="28.5" customHeight="1" s="235">
      <c r="A85" s="202" t="n"/>
      <c r="B85" s="203" t="n"/>
      <c r="C85" s="204" t="n"/>
      <c r="D85" s="203" t="n"/>
      <c r="E85" s="203" t="n"/>
      <c r="F85" s="458" t="n"/>
      <c r="G85" s="206" t="n"/>
      <c r="H85" s="207" t="n"/>
    </row>
    <row r="86" ht="14.25" customHeight="1" s="235">
      <c r="A86" s="208" t="n"/>
      <c r="B86" s="209" t="n"/>
      <c r="C86" s="209" t="n"/>
      <c r="D86" s="209" t="n"/>
      <c r="E86" s="209" t="n"/>
      <c r="F86" s="459" t="n"/>
      <c r="G86" s="209" t="n"/>
      <c r="H86" s="211" t="n"/>
    </row>
    <row r="87" ht="14.25" customHeight="1" s="235">
      <c r="A87" s="208" t="n"/>
      <c r="B87" s="209" t="n"/>
      <c r="C87" s="209" t="n"/>
      <c r="D87" s="209" t="n"/>
      <c r="E87" s="209" t="n"/>
      <c r="F87" s="459" t="n"/>
      <c r="G87" s="209" t="n"/>
      <c r="H87" s="211" t="n"/>
    </row>
    <row r="88" ht="14.25" customHeight="1" s="235">
      <c r="A88" s="208" t="n"/>
      <c r="B88" s="209" t="n"/>
      <c r="C88" s="209" t="n"/>
      <c r="D88" s="209" t="n"/>
      <c r="E88" s="209" t="n"/>
      <c r="F88" s="459" t="n"/>
      <c r="G88" s="209" t="n"/>
      <c r="H88" s="211" t="n"/>
    </row>
    <row r="89" ht="14.25" customHeight="1" s="235">
      <c r="A89" s="208" t="n"/>
      <c r="B89" s="209" t="n"/>
      <c r="C89" s="209" t="n"/>
      <c r="D89" s="209" t="n"/>
      <c r="E89" s="209" t="n"/>
      <c r="F89" s="459" t="n"/>
      <c r="G89" s="209" t="n"/>
      <c r="H89" s="211" t="n"/>
    </row>
    <row r="90" ht="14.25" customHeight="1" s="235">
      <c r="A90" s="208" t="n"/>
      <c r="B90" s="209" t="n"/>
      <c r="C90" s="209" t="n"/>
      <c r="D90" s="209" t="n"/>
      <c r="E90" s="209" t="n"/>
      <c r="F90" s="459" t="n"/>
      <c r="G90" s="209" t="n"/>
      <c r="H90" s="211" t="n"/>
    </row>
    <row r="91" ht="14.25" customHeight="1" s="235">
      <c r="A91" s="208" t="n"/>
      <c r="B91" s="209" t="n"/>
      <c r="C91" s="209" t="n"/>
      <c r="D91" s="209" t="n"/>
      <c r="E91" s="209" t="n"/>
      <c r="F91" s="459" t="n"/>
      <c r="G91" s="209" t="n"/>
      <c r="H91" s="211" t="n"/>
    </row>
    <row r="92" ht="14.25" customHeight="1" s="235">
      <c r="A92" s="208" t="n"/>
      <c r="B92" s="209" t="n"/>
      <c r="C92" s="209" t="n"/>
      <c r="D92" s="209" t="n"/>
      <c r="E92" s="209" t="n"/>
      <c r="F92" s="459" t="n"/>
      <c r="G92" s="209" t="n"/>
      <c r="H92" s="211" t="n"/>
    </row>
    <row r="93" ht="14.25" customHeight="1" s="235">
      <c r="A93" s="208" t="n"/>
      <c r="B93" s="209" t="n"/>
      <c r="C93" s="209" t="n"/>
      <c r="D93" s="209" t="n"/>
      <c r="E93" s="209" t="n"/>
      <c r="F93" s="459" t="n"/>
      <c r="G93" s="209" t="n"/>
      <c r="H93" s="211" t="n"/>
    </row>
    <row r="94" ht="14.25" customHeight="1" s="235">
      <c r="A94" s="208" t="n"/>
      <c r="B94" s="209" t="n"/>
      <c r="C94" s="209" t="n"/>
      <c r="D94" s="209" t="n"/>
      <c r="E94" s="209" t="n"/>
      <c r="F94" s="459" t="n"/>
      <c r="G94" s="209" t="n"/>
      <c r="H94" s="211" t="n"/>
    </row>
    <row r="95" ht="14.25" customHeight="1" s="235">
      <c r="A95" s="208" t="n"/>
      <c r="B95" s="209" t="n"/>
      <c r="C95" s="209" t="n"/>
      <c r="D95" s="209" t="n"/>
      <c r="E95" s="209" t="n"/>
      <c r="F95" s="459" t="n"/>
      <c r="G95" s="209" t="n"/>
      <c r="H95" s="211" t="n"/>
    </row>
    <row r="96" ht="14.25" customHeight="1" s="235">
      <c r="A96" s="208" t="n"/>
      <c r="B96" s="209" t="n"/>
      <c r="C96" s="209" t="n"/>
      <c r="D96" s="209" t="n"/>
      <c r="E96" s="209" t="n"/>
      <c r="F96" s="459" t="n"/>
      <c r="G96" s="209" t="n"/>
      <c r="H96" s="211" t="n"/>
    </row>
    <row r="97" ht="14.25" customHeight="1" s="235">
      <c r="A97" s="208" t="n"/>
      <c r="B97" s="209" t="n"/>
      <c r="C97" s="209" t="n"/>
      <c r="D97" s="209" t="n"/>
      <c r="E97" s="209" t="n"/>
      <c r="F97" s="459" t="n"/>
      <c r="G97" s="209" t="n"/>
      <c r="H97" s="211" t="n"/>
    </row>
    <row r="98" ht="14.25" customHeight="1" s="235">
      <c r="A98" s="208" t="n"/>
      <c r="B98" s="209" t="n"/>
      <c r="C98" s="209" t="n"/>
      <c r="D98" s="209" t="n"/>
      <c r="E98" s="209" t="n"/>
      <c r="F98" s="459" t="n"/>
      <c r="G98" s="209" t="n"/>
      <c r="H98" s="211" t="n"/>
    </row>
    <row r="99" ht="14.25" customHeight="1" s="235">
      <c r="A99" s="208" t="n"/>
      <c r="B99" s="209" t="n"/>
      <c r="C99" s="209" t="n"/>
      <c r="D99" s="209" t="n"/>
      <c r="E99" s="209" t="n"/>
      <c r="F99" s="459" t="n"/>
      <c r="G99" s="209" t="n"/>
      <c r="H99" s="211" t="n"/>
    </row>
    <row r="100" ht="14.25" customHeight="1" s="235">
      <c r="A100" s="208" t="n"/>
      <c r="B100" s="209" t="n"/>
      <c r="C100" s="209" t="n"/>
      <c r="D100" s="209" t="n"/>
      <c r="E100" s="209" t="n"/>
      <c r="F100" s="459" t="n"/>
      <c r="G100" s="209" t="n"/>
      <c r="H100" s="211" t="n"/>
    </row>
    <row r="101" ht="14.25" customHeight="1" s="235">
      <c r="A101" s="208" t="n"/>
      <c r="B101" s="209" t="n"/>
      <c r="C101" s="209" t="n"/>
      <c r="D101" s="209" t="n"/>
      <c r="E101" s="209" t="n"/>
      <c r="F101" s="459" t="n"/>
      <c r="G101" s="209" t="n"/>
      <c r="H101" s="211" t="n"/>
    </row>
    <row r="102" ht="14.25" customHeight="1" s="235">
      <c r="A102" s="208" t="n"/>
      <c r="B102" s="209" t="n"/>
      <c r="C102" s="209" t="n"/>
      <c r="D102" s="209" t="n"/>
      <c r="E102" s="209" t="n"/>
      <c r="F102" s="459" t="n"/>
      <c r="G102" s="209" t="n"/>
      <c r="H102" s="211" t="n"/>
    </row>
    <row r="103" ht="14.25" customHeight="1" s="235">
      <c r="A103" s="208" t="n"/>
      <c r="B103" s="209" t="n"/>
      <c r="C103" s="209" t="n"/>
      <c r="D103" s="209" t="n"/>
      <c r="E103" s="209" t="n"/>
      <c r="F103" s="459" t="n"/>
      <c r="G103" s="209" t="n"/>
      <c r="H103" s="211" t="n"/>
    </row>
    <row r="104" ht="14.25" customHeight="1" s="235">
      <c r="A104" s="208" t="n"/>
      <c r="B104" s="209" t="n"/>
      <c r="C104" s="209" t="n"/>
      <c r="D104" s="209" t="n"/>
      <c r="E104" s="209" t="n"/>
      <c r="F104" s="459" t="n"/>
      <c r="G104" s="209" t="n"/>
      <c r="H104" s="211" t="n"/>
    </row>
    <row r="105" ht="14.25" customHeight="1" s="235">
      <c r="A105" s="208" t="n"/>
      <c r="B105" s="209" t="n"/>
      <c r="C105" s="209" t="n"/>
      <c r="D105" s="209" t="n"/>
      <c r="E105" s="209" t="n"/>
      <c r="F105" s="459" t="n"/>
      <c r="G105" s="209" t="n"/>
      <c r="H105" s="211" t="n"/>
    </row>
    <row r="106" ht="14.25" customHeight="1" s="235">
      <c r="A106" s="208" t="n"/>
      <c r="B106" s="209" t="n"/>
      <c r="C106" s="209" t="n"/>
      <c r="D106" s="209" t="n"/>
      <c r="E106" s="209" t="n"/>
      <c r="F106" s="459" t="n"/>
      <c r="G106" s="209" t="n"/>
      <c r="H106" s="211" t="n"/>
    </row>
    <row r="107" ht="14.25" customHeight="1" s="235">
      <c r="A107" s="208" t="n"/>
      <c r="B107" s="209" t="n"/>
      <c r="C107" s="209" t="n"/>
      <c r="D107" s="209" t="n"/>
      <c r="E107" s="209" t="n"/>
      <c r="F107" s="459" t="n"/>
      <c r="G107" s="209" t="n"/>
      <c r="H107" s="211" t="n"/>
    </row>
    <row r="108" ht="14.25" customHeight="1" s="235">
      <c r="A108" s="208" t="n"/>
      <c r="B108" s="209" t="n"/>
      <c r="C108" s="209" t="n"/>
      <c r="D108" s="209" t="n"/>
      <c r="E108" s="209" t="n"/>
      <c r="F108" s="459" t="n"/>
      <c r="G108" s="209" t="n"/>
      <c r="H108" s="211" t="n"/>
    </row>
    <row r="109" ht="14.25" customHeight="1" s="235">
      <c r="A109" s="208" t="n"/>
      <c r="B109" s="209" t="n"/>
      <c r="C109" s="209" t="n"/>
      <c r="D109" s="209" t="n"/>
      <c r="E109" s="209" t="n"/>
      <c r="F109" s="459" t="n"/>
      <c r="G109" s="209" t="n"/>
      <c r="H109" s="211" t="n"/>
    </row>
    <row r="110" ht="14.25" customHeight="1" s="235">
      <c r="A110" s="208" t="n"/>
      <c r="B110" s="209" t="n"/>
      <c r="C110" s="209" t="n"/>
      <c r="D110" s="209" t="n"/>
      <c r="E110" s="209" t="n"/>
      <c r="F110" s="459" t="n"/>
      <c r="G110" s="209" t="n"/>
      <c r="H110" s="211" t="n"/>
    </row>
    <row r="111" ht="14.25" customHeight="1" s="235">
      <c r="A111" s="208" t="n"/>
      <c r="B111" s="209" t="n"/>
      <c r="C111" s="209" t="n"/>
      <c r="D111" s="209" t="n"/>
      <c r="E111" s="209" t="n"/>
      <c r="F111" s="459" t="n"/>
      <c r="G111" s="209" t="n"/>
      <c r="H111" s="211" t="n"/>
    </row>
    <row r="112" ht="14.25" customHeight="1" s="235">
      <c r="A112" s="208" t="n"/>
      <c r="B112" s="209" t="n"/>
      <c r="C112" s="209" t="n"/>
      <c r="D112" s="209" t="n"/>
      <c r="E112" s="209" t="n"/>
      <c r="F112" s="459" t="n"/>
      <c r="G112" s="209" t="n"/>
      <c r="H112" s="211" t="n"/>
    </row>
    <row r="113" ht="14.25" customHeight="1" s="235">
      <c r="A113" s="208" t="n"/>
      <c r="B113" s="209" t="n"/>
      <c r="C113" s="209" t="n"/>
      <c r="D113" s="209" t="n"/>
      <c r="E113" s="209" t="n"/>
      <c r="F113" s="459" t="n"/>
      <c r="G113" s="209" t="n"/>
      <c r="H113" s="211" t="n"/>
    </row>
    <row r="114" ht="14.25" customHeight="1" s="235">
      <c r="A114" s="208" t="n"/>
      <c r="B114" s="209" t="n"/>
      <c r="C114" s="209" t="n"/>
      <c r="D114" s="209" t="n"/>
      <c r="E114" s="209" t="n"/>
      <c r="F114" s="459" t="n"/>
      <c r="G114" s="209" t="n"/>
      <c r="H114" s="211" t="n"/>
    </row>
    <row r="115" ht="14.25" customHeight="1" s="235">
      <c r="A115" s="208" t="n"/>
      <c r="B115" s="209" t="n"/>
      <c r="C115" s="209" t="n"/>
      <c r="D115" s="209" t="n"/>
      <c r="E115" s="209" t="n"/>
      <c r="F115" s="459" t="n"/>
      <c r="G115" s="209" t="n"/>
      <c r="H115" s="211" t="n"/>
    </row>
    <row r="116" ht="14.25" customHeight="1" s="235">
      <c r="A116" s="208" t="n"/>
      <c r="B116" s="209" t="n"/>
      <c r="C116" s="209" t="n"/>
      <c r="D116" s="209" t="n"/>
      <c r="E116" s="209" t="n"/>
      <c r="F116" s="459" t="n"/>
      <c r="G116" s="209" t="n"/>
      <c r="H116" s="211" t="n"/>
    </row>
    <row r="117" ht="14.25" customHeight="1" s="235">
      <c r="A117" s="208" t="n"/>
      <c r="B117" s="209" t="n"/>
      <c r="C117" s="209" t="n"/>
      <c r="D117" s="209" t="n"/>
      <c r="E117" s="209" t="n"/>
      <c r="F117" s="459" t="n"/>
      <c r="G117" s="209" t="n"/>
      <c r="H117" s="211" t="n"/>
    </row>
    <row r="118" ht="14.25" customHeight="1" s="235">
      <c r="A118" s="208" t="n"/>
      <c r="B118" s="209" t="n"/>
      <c r="C118" s="209" t="n"/>
      <c r="D118" s="209" t="n"/>
      <c r="E118" s="209" t="n"/>
      <c r="F118" s="459" t="n"/>
      <c r="G118" s="209" t="n"/>
      <c r="H118" s="211" t="n"/>
    </row>
    <row r="119" ht="14.25" customHeight="1" s="235">
      <c r="A119" s="208" t="n"/>
      <c r="B119" s="209" t="n"/>
      <c r="C119" s="209" t="n"/>
      <c r="D119" s="209" t="n"/>
      <c r="E119" s="209" t="n"/>
      <c r="F119" s="459" t="n"/>
      <c r="G119" s="209" t="n"/>
      <c r="H119" s="211" t="n"/>
    </row>
    <row r="120" ht="14.25" customHeight="1" s="235">
      <c r="A120" s="208" t="n"/>
      <c r="B120" s="209" t="n"/>
      <c r="C120" s="209" t="n"/>
      <c r="D120" s="209" t="n"/>
      <c r="E120" s="209" t="n"/>
      <c r="F120" s="459" t="n"/>
      <c r="G120" s="209" t="n"/>
      <c r="H120" s="211" t="n"/>
    </row>
    <row r="121" ht="14.25" customHeight="1" s="235">
      <c r="A121" s="208" t="n"/>
      <c r="B121" s="209" t="n"/>
      <c r="C121" s="209" t="n"/>
      <c r="D121" s="209" t="n"/>
      <c r="E121" s="209" t="n"/>
      <c r="F121" s="459" t="n"/>
      <c r="G121" s="209" t="n"/>
      <c r="H121" s="211" t="n"/>
    </row>
    <row r="122" ht="14.25" customHeight="1" s="235">
      <c r="A122" s="208" t="n"/>
      <c r="B122" s="209" t="n"/>
      <c r="C122" s="209" t="n"/>
      <c r="D122" s="209" t="n"/>
      <c r="E122" s="209" t="n"/>
      <c r="F122" s="459" t="n"/>
      <c r="G122" s="209" t="n"/>
      <c r="H122" s="211" t="n"/>
    </row>
    <row r="123" ht="14.25" customHeight="1" s="235">
      <c r="A123" s="208" t="n"/>
      <c r="B123" s="209" t="n"/>
      <c r="C123" s="209" t="n"/>
      <c r="D123" s="209" t="n"/>
      <c r="E123" s="209" t="n"/>
      <c r="F123" s="459" t="n"/>
      <c r="G123" s="209" t="n"/>
      <c r="H123" s="211" t="n"/>
    </row>
    <row r="124" ht="14.25" customHeight="1" s="235">
      <c r="A124" s="208" t="n"/>
      <c r="B124" s="209" t="n"/>
      <c r="C124" s="209" t="n"/>
      <c r="D124" s="209" t="n"/>
      <c r="E124" s="209" t="n"/>
      <c r="F124" s="459" t="n"/>
      <c r="G124" s="209" t="n"/>
      <c r="H124" s="211" t="n"/>
    </row>
    <row r="125" ht="14.25" customHeight="1" s="235">
      <c r="A125" s="208" t="n"/>
      <c r="B125" s="209" t="n"/>
      <c r="C125" s="209" t="n"/>
      <c r="D125" s="209" t="n"/>
      <c r="E125" s="209" t="n"/>
      <c r="F125" s="459" t="n"/>
      <c r="G125" s="209" t="n"/>
      <c r="H125" s="211" t="n"/>
    </row>
    <row r="126" ht="14.25" customHeight="1" s="235">
      <c r="A126" s="208" t="n"/>
      <c r="B126" s="209" t="n"/>
      <c r="C126" s="209" t="n"/>
      <c r="D126" s="209" t="n"/>
      <c r="E126" s="209" t="n"/>
      <c r="F126" s="459" t="n"/>
      <c r="G126" s="209" t="n"/>
      <c r="H126" s="211" t="n"/>
    </row>
    <row r="127" ht="14.25" customHeight="1" s="235">
      <c r="A127" s="208" t="n"/>
      <c r="B127" s="209" t="n"/>
      <c r="C127" s="209" t="n"/>
      <c r="D127" s="209" t="n"/>
      <c r="E127" s="209" t="n"/>
      <c r="F127" s="459" t="n"/>
      <c r="G127" s="209" t="n"/>
      <c r="H127" s="211" t="n"/>
    </row>
    <row r="128" ht="14.25" customHeight="1" s="235">
      <c r="A128" s="208" t="n"/>
      <c r="B128" s="209" t="n"/>
      <c r="C128" s="209" t="n"/>
      <c r="D128" s="209" t="n"/>
      <c r="E128" s="209" t="n"/>
      <c r="F128" s="459" t="n"/>
      <c r="G128" s="209" t="n"/>
      <c r="H128" s="211" t="n"/>
    </row>
    <row r="129" ht="14.25" customHeight="1" s="235">
      <c r="A129" s="208" t="n"/>
      <c r="B129" s="209" t="n"/>
      <c r="C129" s="209" t="n"/>
      <c r="D129" s="209" t="n"/>
      <c r="E129" s="209" t="n"/>
      <c r="F129" s="459" t="n"/>
      <c r="G129" s="209" t="n"/>
      <c r="H129" s="211" t="n"/>
    </row>
    <row r="130" ht="14.25" customHeight="1" s="235">
      <c r="A130" s="208" t="n"/>
      <c r="B130" s="209" t="n"/>
      <c r="C130" s="209" t="n"/>
      <c r="D130" s="209" t="n"/>
      <c r="E130" s="209" t="n"/>
      <c r="F130" s="459" t="n"/>
      <c r="G130" s="209" t="n"/>
      <c r="H130" s="211" t="n"/>
    </row>
    <row r="131" ht="14.25" customHeight="1" s="235">
      <c r="A131" s="208" t="n"/>
      <c r="B131" s="209" t="n"/>
      <c r="C131" s="209" t="n"/>
      <c r="D131" s="209" t="n"/>
      <c r="E131" s="209" t="n"/>
      <c r="F131" s="459" t="n"/>
      <c r="G131" s="209" t="n"/>
      <c r="H131" s="211" t="n"/>
    </row>
    <row r="132" ht="14.25" customHeight="1" s="235">
      <c r="A132" s="208" t="n"/>
      <c r="B132" s="209" t="n"/>
      <c r="C132" s="209" t="n"/>
      <c r="D132" s="209" t="n"/>
      <c r="E132" s="209" t="n"/>
      <c r="F132" s="459" t="n"/>
      <c r="G132" s="209" t="n"/>
      <c r="H132" s="211" t="n"/>
    </row>
    <row r="133" ht="14.25" customHeight="1" s="235">
      <c r="A133" s="208" t="n"/>
      <c r="B133" s="209" t="n"/>
      <c r="C133" s="209" t="n"/>
      <c r="D133" s="209" t="n"/>
      <c r="E133" s="209" t="n"/>
      <c r="F133" s="459" t="n"/>
      <c r="G133" s="209" t="n"/>
      <c r="H133" s="211" t="n"/>
    </row>
    <row r="134" ht="14.25" customHeight="1" s="235">
      <c r="A134" s="208" t="n"/>
      <c r="B134" s="209" t="n"/>
      <c r="C134" s="209" t="n"/>
      <c r="D134" s="209" t="n"/>
      <c r="E134" s="209" t="n"/>
      <c r="F134" s="459" t="n"/>
      <c r="G134" s="209" t="n"/>
      <c r="H134" s="211" t="n"/>
    </row>
    <row r="135" ht="14.25" customHeight="1" s="235">
      <c r="A135" s="208" t="n"/>
      <c r="B135" s="209" t="n"/>
      <c r="C135" s="209" t="n"/>
      <c r="D135" s="209" t="n"/>
      <c r="E135" s="209" t="n"/>
      <c r="F135" s="459" t="n"/>
      <c r="G135" s="209" t="n"/>
      <c r="H135" s="211" t="n"/>
    </row>
    <row r="136" ht="14.25" customHeight="1" s="235">
      <c r="A136" s="208" t="n"/>
      <c r="B136" s="209" t="n"/>
      <c r="C136" s="209" t="n"/>
      <c r="D136" s="209" t="n"/>
      <c r="E136" s="209" t="n"/>
      <c r="F136" s="459" t="n"/>
      <c r="G136" s="209" t="n"/>
      <c r="H136" s="211" t="n"/>
    </row>
    <row r="137" ht="14.25" customHeight="1" s="235">
      <c r="A137" s="208" t="n"/>
      <c r="B137" s="209" t="n"/>
      <c r="C137" s="209" t="n"/>
      <c r="D137" s="209" t="n"/>
      <c r="E137" s="209" t="n"/>
      <c r="F137" s="459" t="n"/>
      <c r="G137" s="209" t="n"/>
      <c r="H137" s="211" t="n"/>
    </row>
    <row r="138" ht="14.25" customHeight="1" s="235">
      <c r="A138" s="208" t="n"/>
      <c r="B138" s="209" t="n"/>
      <c r="C138" s="209" t="n"/>
      <c r="D138" s="209" t="n"/>
      <c r="E138" s="209" t="n"/>
      <c r="F138" s="459" t="n"/>
      <c r="G138" s="209" t="n"/>
      <c r="H138" s="211" t="n"/>
    </row>
    <row r="139" ht="14.25" customHeight="1" s="235">
      <c r="A139" s="208" t="n"/>
      <c r="B139" s="209" t="n"/>
      <c r="C139" s="209" t="n"/>
      <c r="D139" s="209" t="n"/>
      <c r="E139" s="209" t="n"/>
      <c r="F139" s="459" t="n"/>
      <c r="G139" s="209" t="n"/>
      <c r="H139" s="211" t="n"/>
    </row>
    <row r="140" ht="14.25" customHeight="1" s="235">
      <c r="A140" s="208" t="n"/>
      <c r="B140" s="209" t="n"/>
      <c r="C140" s="209" t="n"/>
      <c r="D140" s="209" t="n"/>
      <c r="E140" s="209" t="n"/>
      <c r="F140" s="459" t="n"/>
      <c r="G140" s="209" t="n"/>
      <c r="H140" s="211" t="n"/>
    </row>
    <row r="141" ht="14.25" customHeight="1" s="235">
      <c r="A141" s="208" t="n"/>
      <c r="B141" s="209" t="n"/>
      <c r="C141" s="209" t="n"/>
      <c r="D141" s="209" t="n"/>
      <c r="E141" s="209" t="n"/>
      <c r="F141" s="459" t="n"/>
      <c r="G141" s="209" t="n"/>
      <c r="H141" s="211" t="n"/>
    </row>
    <row r="142" ht="14.25" customHeight="1" s="235">
      <c r="A142" s="208" t="n"/>
      <c r="B142" s="209" t="n"/>
      <c r="C142" s="209" t="n"/>
      <c r="D142" s="209" t="n"/>
      <c r="E142" s="209" t="n"/>
      <c r="F142" s="459" t="n"/>
      <c r="G142" s="209" t="n"/>
      <c r="H142" s="211" t="n"/>
    </row>
    <row r="143" ht="14.25" customHeight="1" s="235">
      <c r="A143" s="208" t="n"/>
      <c r="B143" s="209" t="n"/>
      <c r="C143" s="209" t="n"/>
      <c r="D143" s="209" t="n"/>
      <c r="E143" s="209" t="n"/>
      <c r="F143" s="459" t="n"/>
      <c r="G143" s="209" t="n"/>
      <c r="H143" s="211" t="n"/>
    </row>
    <row r="144" ht="14.25" customHeight="1" s="235">
      <c r="A144" s="208" t="n"/>
      <c r="B144" s="209" t="n"/>
      <c r="C144" s="209" t="n"/>
      <c r="D144" s="209" t="n"/>
      <c r="E144" s="209" t="n"/>
      <c r="F144" s="459" t="n"/>
      <c r="G144" s="209" t="n"/>
      <c r="H144" s="211" t="n"/>
    </row>
    <row r="145" ht="14.25" customHeight="1" s="235">
      <c r="A145" s="208" t="n"/>
      <c r="B145" s="209" t="n"/>
      <c r="C145" s="209" t="n"/>
      <c r="D145" s="209" t="n"/>
      <c r="E145" s="209" t="n"/>
      <c r="F145" s="459" t="n"/>
      <c r="G145" s="209" t="n"/>
      <c r="H145" s="211" t="n"/>
    </row>
    <row r="146" ht="14.25" customHeight="1" s="235">
      <c r="A146" s="208" t="n"/>
      <c r="B146" s="209" t="n"/>
      <c r="C146" s="209" t="n"/>
      <c r="D146" s="209" t="n"/>
      <c r="E146" s="209" t="n"/>
      <c r="F146" s="459" t="n"/>
      <c r="G146" s="209" t="n"/>
      <c r="H146" s="211" t="n"/>
    </row>
    <row r="147" ht="14.25" customHeight="1" s="235">
      <c r="A147" s="208" t="n"/>
      <c r="B147" s="209" t="n"/>
      <c r="C147" s="209" t="n"/>
      <c r="D147" s="209" t="n"/>
      <c r="E147" s="209" t="n"/>
      <c r="F147" s="459" t="n"/>
      <c r="G147" s="209" t="n"/>
      <c r="H147" s="211" t="n"/>
    </row>
    <row r="148" ht="14.25" customHeight="1" s="235">
      <c r="A148" s="208" t="n"/>
      <c r="B148" s="209" t="n"/>
      <c r="C148" s="209" t="n"/>
      <c r="D148" s="209" t="n"/>
      <c r="E148" s="209" t="n"/>
      <c r="F148" s="459" t="n"/>
      <c r="G148" s="209" t="n"/>
      <c r="H148" s="211" t="n"/>
    </row>
    <row r="149" ht="14.25" customHeight="1" s="235">
      <c r="A149" s="208" t="n"/>
      <c r="B149" s="209" t="n"/>
      <c r="C149" s="209" t="n"/>
      <c r="D149" s="209" t="n"/>
      <c r="E149" s="209" t="n"/>
      <c r="F149" s="459" t="n"/>
      <c r="G149" s="209" t="n"/>
      <c r="H149" s="211" t="n"/>
    </row>
    <row r="150" ht="14.25" customHeight="1" s="235">
      <c r="A150" s="208" t="n"/>
      <c r="B150" s="209" t="n"/>
      <c r="C150" s="209" t="n"/>
      <c r="D150" s="209" t="n"/>
      <c r="E150" s="209" t="n"/>
      <c r="F150" s="459" t="n"/>
      <c r="G150" s="209" t="n"/>
      <c r="H150" s="211" t="n"/>
    </row>
    <row r="151" ht="14.25" customHeight="1" s="235">
      <c r="A151" s="208" t="n"/>
      <c r="B151" s="209" t="n"/>
      <c r="C151" s="209" t="n"/>
      <c r="D151" s="209" t="n"/>
      <c r="E151" s="209" t="n"/>
      <c r="F151" s="459" t="n"/>
      <c r="G151" s="209" t="n"/>
      <c r="H151" s="211" t="n"/>
    </row>
    <row r="152" ht="14.25" customHeight="1" s="235">
      <c r="A152" s="208" t="n"/>
      <c r="B152" s="209" t="n"/>
      <c r="C152" s="209" t="n"/>
      <c r="D152" s="209" t="n"/>
      <c r="E152" s="209" t="n"/>
      <c r="F152" s="459" t="n"/>
      <c r="G152" s="209" t="n"/>
      <c r="H152" s="211" t="n"/>
    </row>
    <row r="153" ht="14.25" customHeight="1" s="235">
      <c r="A153" s="208" t="n"/>
      <c r="B153" s="209" t="n"/>
      <c r="C153" s="209" t="n"/>
      <c r="D153" s="209" t="n"/>
      <c r="E153" s="209" t="n"/>
      <c r="F153" s="459" t="n"/>
      <c r="G153" s="209" t="n"/>
      <c r="H153" s="211" t="n"/>
    </row>
    <row r="154" ht="14.25" customHeight="1" s="235">
      <c r="A154" s="208" t="n"/>
      <c r="B154" s="209" t="n"/>
      <c r="C154" s="209" t="n"/>
      <c r="D154" s="209" t="n"/>
      <c r="E154" s="209" t="n"/>
      <c r="F154" s="459" t="n"/>
      <c r="G154" s="209" t="n"/>
      <c r="H154" s="211" t="n"/>
    </row>
    <row r="155" ht="14.25" customHeight="1" s="235">
      <c r="A155" s="208" t="n"/>
      <c r="B155" s="209" t="n"/>
      <c r="C155" s="209" t="n"/>
      <c r="D155" s="209" t="n"/>
      <c r="E155" s="209" t="n"/>
      <c r="F155" s="459" t="n"/>
      <c r="G155" s="209" t="n"/>
      <c r="H155" s="211" t="n"/>
    </row>
    <row r="156" ht="14.25" customHeight="1" s="235">
      <c r="A156" s="208" t="n"/>
      <c r="B156" s="209" t="n"/>
      <c r="C156" s="209" t="n"/>
      <c r="D156" s="209" t="n"/>
      <c r="E156" s="209" t="n"/>
      <c r="F156" s="459" t="n"/>
      <c r="G156" s="209" t="n"/>
      <c r="H156" s="211" t="n"/>
    </row>
    <row r="157" ht="14.25" customHeight="1" s="235">
      <c r="A157" s="208" t="n"/>
      <c r="B157" s="209" t="n"/>
      <c r="C157" s="209" t="n"/>
      <c r="D157" s="209" t="n"/>
      <c r="E157" s="209" t="n"/>
      <c r="F157" s="459" t="n"/>
      <c r="G157" s="209" t="n"/>
      <c r="H157" s="211" t="n"/>
    </row>
    <row r="158" ht="14.25" customHeight="1" s="235">
      <c r="A158" s="208" t="n"/>
      <c r="B158" s="209" t="n"/>
      <c r="C158" s="209" t="n"/>
      <c r="D158" s="209" t="n"/>
      <c r="E158" s="209" t="n"/>
      <c r="F158" s="459" t="n"/>
      <c r="G158" s="209" t="n"/>
      <c r="H158" s="211" t="n"/>
    </row>
    <row r="159" ht="14.25" customHeight="1" s="235">
      <c r="A159" s="208" t="n"/>
      <c r="B159" s="209" t="n"/>
      <c r="C159" s="209" t="n"/>
      <c r="D159" s="209" t="n"/>
      <c r="E159" s="209" t="n"/>
      <c r="F159" s="459" t="n"/>
      <c r="G159" s="209" t="n"/>
      <c r="H159" s="211" t="n"/>
    </row>
    <row r="160" ht="14.25" customHeight="1" s="235">
      <c r="A160" s="208" t="n"/>
      <c r="B160" s="209" t="n"/>
      <c r="C160" s="209" t="n"/>
      <c r="D160" s="209" t="n"/>
      <c r="E160" s="209" t="n"/>
      <c r="F160" s="459" t="n"/>
      <c r="G160" s="209" t="n"/>
      <c r="H160" s="211" t="n"/>
    </row>
    <row r="161" ht="14.25" customHeight="1" s="235">
      <c r="A161" s="208" t="n"/>
      <c r="B161" s="209" t="n"/>
      <c r="C161" s="209" t="n"/>
      <c r="D161" s="209" t="n"/>
      <c r="E161" s="209" t="n"/>
      <c r="F161" s="459" t="n"/>
      <c r="G161" s="209" t="n"/>
      <c r="H161" s="211" t="n"/>
    </row>
    <row r="162" ht="14.25" customHeight="1" s="235">
      <c r="A162" s="208" t="n"/>
      <c r="B162" s="209" t="n"/>
      <c r="C162" s="209" t="n"/>
      <c r="D162" s="209" t="n"/>
      <c r="E162" s="209" t="n"/>
      <c r="F162" s="459" t="n"/>
      <c r="G162" s="209" t="n"/>
      <c r="H162" s="211" t="n"/>
    </row>
    <row r="163" ht="14.25" customHeight="1" s="235">
      <c r="A163" s="208" t="n"/>
      <c r="B163" s="209" t="n"/>
      <c r="C163" s="209" t="n"/>
      <c r="D163" s="209" t="n"/>
      <c r="E163" s="209" t="n"/>
      <c r="F163" s="459" t="n"/>
      <c r="G163" s="209" t="n"/>
      <c r="H163" s="211" t="n"/>
    </row>
    <row r="164" ht="14.25" customHeight="1" s="235">
      <c r="A164" s="208" t="n"/>
      <c r="B164" s="209" t="n"/>
      <c r="C164" s="209" t="n"/>
      <c r="D164" s="209" t="n"/>
      <c r="E164" s="209" t="n"/>
      <c r="F164" s="459" t="n"/>
      <c r="G164" s="209" t="n"/>
      <c r="H164" s="211" t="n"/>
    </row>
    <row r="165" ht="14.25" customHeight="1" s="235">
      <c r="A165" s="208" t="n"/>
      <c r="B165" s="209" t="n"/>
      <c r="C165" s="209" t="n"/>
      <c r="D165" s="209" t="n"/>
      <c r="E165" s="209" t="n"/>
      <c r="F165" s="459" t="n"/>
      <c r="G165" s="209" t="n"/>
      <c r="H165" s="211" t="n"/>
    </row>
    <row r="166" ht="14.25" customHeight="1" s="235">
      <c r="A166" s="208" t="n"/>
      <c r="B166" s="209" t="n"/>
      <c r="C166" s="209" t="n"/>
      <c r="D166" s="209" t="n"/>
      <c r="E166" s="209" t="n"/>
      <c r="F166" s="459" t="n"/>
      <c r="G166" s="209" t="n"/>
      <c r="H166" s="211" t="n"/>
    </row>
    <row r="167" ht="14.25" customHeight="1" s="235">
      <c r="A167" s="208" t="n"/>
      <c r="B167" s="209" t="n"/>
      <c r="C167" s="209" t="n"/>
      <c r="D167" s="209" t="n"/>
      <c r="E167" s="209" t="n"/>
      <c r="F167" s="459" t="n"/>
      <c r="G167" s="209" t="n"/>
      <c r="H167" s="211" t="n"/>
    </row>
    <row r="168" ht="14.25" customHeight="1" s="235">
      <c r="A168" s="208" t="n"/>
      <c r="B168" s="209" t="n"/>
      <c r="C168" s="209" t="n"/>
      <c r="D168" s="209" t="n"/>
      <c r="E168" s="209" t="n"/>
      <c r="F168" s="459" t="n"/>
      <c r="G168" s="209" t="n"/>
      <c r="H168" s="211" t="n"/>
    </row>
    <row r="169" ht="14.25" customHeight="1" s="235">
      <c r="A169" s="208" t="n"/>
      <c r="B169" s="209" t="n"/>
      <c r="C169" s="209" t="n"/>
      <c r="D169" s="209" t="n"/>
      <c r="E169" s="209" t="n"/>
      <c r="F169" s="459" t="n"/>
      <c r="G169" s="209" t="n"/>
      <c r="H169" s="211" t="n"/>
    </row>
    <row r="170" ht="14.25" customHeight="1" s="235">
      <c r="A170" s="208" t="n"/>
      <c r="B170" s="209" t="n"/>
      <c r="C170" s="209" t="n"/>
      <c r="D170" s="209" t="n"/>
      <c r="E170" s="209" t="n"/>
      <c r="F170" s="459" t="n"/>
      <c r="G170" s="209" t="n"/>
      <c r="H170" s="211" t="n"/>
    </row>
    <row r="171" ht="14.25" customHeight="1" s="235">
      <c r="A171" s="208" t="n"/>
      <c r="B171" s="209" t="n"/>
      <c r="C171" s="209" t="n"/>
      <c r="D171" s="209" t="n"/>
      <c r="E171" s="209" t="n"/>
      <c r="F171" s="459" t="n"/>
      <c r="G171" s="209" t="n"/>
      <c r="H171" s="211" t="n"/>
    </row>
    <row r="172" ht="14.25" customHeight="1" s="235">
      <c r="A172" s="208" t="n"/>
      <c r="B172" s="209" t="n"/>
      <c r="C172" s="209" t="n"/>
      <c r="D172" s="209" t="n"/>
      <c r="E172" s="209" t="n"/>
      <c r="F172" s="459" t="n"/>
      <c r="G172" s="209" t="n"/>
      <c r="H172" s="211" t="n"/>
    </row>
    <row r="173" ht="14.25" customHeight="1" s="235">
      <c r="A173" s="208" t="n"/>
      <c r="B173" s="209" t="n"/>
      <c r="C173" s="209" t="n"/>
      <c r="D173" s="209" t="n"/>
      <c r="E173" s="209" t="n"/>
      <c r="F173" s="459" t="n"/>
      <c r="G173" s="209" t="n"/>
      <c r="H173" s="211" t="n"/>
    </row>
    <row r="174" ht="14.25" customHeight="1" s="235">
      <c r="A174" s="208" t="n"/>
      <c r="B174" s="209" t="n"/>
      <c r="C174" s="209" t="n"/>
      <c r="D174" s="209" t="n"/>
      <c r="E174" s="209" t="n"/>
      <c r="F174" s="459" t="n"/>
      <c r="G174" s="209" t="n"/>
      <c r="H174" s="211" t="n"/>
    </row>
    <row r="175" ht="14.25" customHeight="1" s="235">
      <c r="A175" s="208" t="n"/>
      <c r="B175" s="209" t="n"/>
      <c r="C175" s="209" t="n"/>
      <c r="D175" s="209" t="n"/>
      <c r="E175" s="209" t="n"/>
      <c r="F175" s="459" t="n"/>
      <c r="G175" s="209" t="n"/>
      <c r="H175" s="211" t="n"/>
    </row>
    <row r="176" ht="14.25" customHeight="1" s="235">
      <c r="A176" s="208" t="n"/>
      <c r="B176" s="209" t="n"/>
      <c r="C176" s="209" t="n"/>
      <c r="D176" s="209" t="n"/>
      <c r="E176" s="209" t="n"/>
      <c r="F176" s="459" t="n"/>
      <c r="G176" s="209" t="n"/>
      <c r="H176" s="211" t="n"/>
    </row>
    <row r="177" ht="14.25" customHeight="1" s="235">
      <c r="A177" s="208" t="n"/>
      <c r="B177" s="209" t="n"/>
      <c r="C177" s="209" t="n"/>
      <c r="D177" s="209" t="n"/>
      <c r="E177" s="209" t="n"/>
      <c r="F177" s="459" t="n"/>
      <c r="G177" s="209" t="n"/>
      <c r="H177" s="211" t="n"/>
    </row>
    <row r="178" ht="14.25" customHeight="1" s="235">
      <c r="A178" s="208" t="n"/>
      <c r="B178" s="209" t="n"/>
      <c r="C178" s="209" t="n"/>
      <c r="D178" s="209" t="n"/>
      <c r="E178" s="209" t="n"/>
      <c r="F178" s="459" t="n"/>
      <c r="G178" s="209" t="n"/>
      <c r="H178" s="211" t="n"/>
    </row>
    <row r="179" ht="14.25" customHeight="1" s="235">
      <c r="A179" s="208" t="n"/>
      <c r="B179" s="209" t="n"/>
      <c r="C179" s="209" t="n"/>
      <c r="D179" s="209" t="n"/>
      <c r="E179" s="209" t="n"/>
      <c r="F179" s="459" t="n"/>
      <c r="G179" s="209" t="n"/>
      <c r="H179" s="211" t="n"/>
    </row>
    <row r="180" ht="14.25" customHeight="1" s="235">
      <c r="A180" s="208" t="n"/>
      <c r="B180" s="209" t="n"/>
      <c r="C180" s="209" t="n"/>
      <c r="D180" s="209" t="n"/>
      <c r="E180" s="209" t="n"/>
      <c r="F180" s="459" t="n"/>
      <c r="G180" s="209" t="n"/>
      <c r="H180" s="211" t="n"/>
    </row>
    <row r="181" ht="14.25" customHeight="1" s="235">
      <c r="A181" s="208" t="n"/>
      <c r="B181" s="209" t="n"/>
      <c r="C181" s="209" t="n"/>
      <c r="D181" s="209" t="n"/>
      <c r="E181" s="209" t="n"/>
      <c r="F181" s="459" t="n"/>
      <c r="G181" s="209" t="n"/>
      <c r="H181" s="211" t="n"/>
    </row>
    <row r="182" ht="14.25" customHeight="1" s="235">
      <c r="A182" s="208" t="n"/>
      <c r="B182" s="209" t="n"/>
      <c r="C182" s="209" t="n"/>
      <c r="D182" s="209" t="n"/>
      <c r="E182" s="209" t="n"/>
      <c r="F182" s="459" t="n"/>
      <c r="G182" s="209" t="n"/>
      <c r="H182" s="211" t="n"/>
    </row>
    <row r="183" ht="14.25" customHeight="1" s="235">
      <c r="A183" s="208" t="n"/>
      <c r="B183" s="209" t="n"/>
      <c r="C183" s="209" t="n"/>
      <c r="D183" s="209" t="n"/>
      <c r="E183" s="209" t="n"/>
      <c r="F183" s="459" t="n"/>
      <c r="G183" s="209" t="n"/>
      <c r="H183" s="211" t="n"/>
    </row>
    <row r="184" ht="14.25" customHeight="1" s="235">
      <c r="A184" s="208" t="n"/>
      <c r="B184" s="209" t="n"/>
      <c r="C184" s="209" t="n"/>
      <c r="D184" s="209" t="n"/>
      <c r="E184" s="209" t="n"/>
      <c r="F184" s="459" t="n"/>
      <c r="G184" s="209" t="n"/>
      <c r="H184" s="211" t="n"/>
    </row>
    <row r="185" ht="14.25" customHeight="1" s="235">
      <c r="A185" s="208" t="n"/>
      <c r="B185" s="209" t="n"/>
      <c r="C185" s="209" t="n"/>
      <c r="D185" s="209" t="n"/>
      <c r="E185" s="209" t="n"/>
      <c r="F185" s="459" t="n"/>
      <c r="G185" s="209" t="n"/>
      <c r="H185" s="211" t="n"/>
    </row>
    <row r="186" ht="14.25" customHeight="1" s="235">
      <c r="A186" s="208" t="n"/>
      <c r="B186" s="209" t="n"/>
      <c r="C186" s="209" t="n"/>
      <c r="D186" s="209" t="n"/>
      <c r="E186" s="209" t="n"/>
      <c r="F186" s="459" t="n"/>
      <c r="G186" s="209" t="n"/>
      <c r="H186" s="211" t="n"/>
    </row>
    <row r="187" ht="14.25" customHeight="1" s="235">
      <c r="A187" s="208" t="n"/>
      <c r="B187" s="209" t="n"/>
      <c r="C187" s="209" t="n"/>
      <c r="D187" s="209" t="n"/>
      <c r="E187" s="209" t="n"/>
      <c r="F187" s="459" t="n"/>
      <c r="G187" s="209" t="n"/>
      <c r="H187" s="211" t="n"/>
    </row>
    <row r="188" ht="14.25" customHeight="1" s="235">
      <c r="A188" s="208" t="n"/>
      <c r="B188" s="209" t="n"/>
      <c r="C188" s="209" t="n"/>
      <c r="D188" s="209" t="n"/>
      <c r="E188" s="209" t="n"/>
      <c r="F188" s="459" t="n"/>
      <c r="G188" s="209" t="n"/>
      <c r="H188" s="211" t="n"/>
    </row>
    <row r="189" ht="14.25" customHeight="1" s="235">
      <c r="A189" s="208" t="n"/>
      <c r="B189" s="209" t="n"/>
      <c r="C189" s="209" t="n"/>
      <c r="D189" s="209" t="n"/>
      <c r="E189" s="209" t="n"/>
      <c r="F189" s="459" t="n"/>
      <c r="G189" s="209" t="n"/>
      <c r="H189" s="211" t="n"/>
    </row>
    <row r="190" ht="14.25" customHeight="1" s="235">
      <c r="A190" s="208" t="n"/>
      <c r="B190" s="209" t="n"/>
      <c r="C190" s="209" t="n"/>
      <c r="D190" s="209" t="n"/>
      <c r="E190" s="209" t="n"/>
      <c r="F190" s="459" t="n"/>
      <c r="G190" s="209" t="n"/>
      <c r="H190" s="211" t="n"/>
    </row>
    <row r="191" ht="14.25" customHeight="1" s="235">
      <c r="A191" s="208" t="n"/>
      <c r="B191" s="209" t="n"/>
      <c r="C191" s="209" t="n"/>
      <c r="D191" s="209" t="n"/>
      <c r="E191" s="209" t="n"/>
      <c r="F191" s="459" t="n"/>
      <c r="G191" s="209" t="n"/>
      <c r="H191" s="211" t="n"/>
    </row>
    <row r="192" ht="14.25" customHeight="1" s="235">
      <c r="A192" s="208" t="n"/>
      <c r="B192" s="209" t="n"/>
      <c r="C192" s="209" t="n"/>
      <c r="D192" s="209" t="n"/>
      <c r="E192" s="209" t="n"/>
      <c r="F192" s="459" t="n"/>
      <c r="G192" s="209" t="n"/>
      <c r="H192" s="211" t="n"/>
    </row>
    <row r="193" ht="14.25" customHeight="1" s="235">
      <c r="A193" s="208" t="n"/>
      <c r="B193" s="209" t="n"/>
      <c r="C193" s="209" t="n"/>
      <c r="D193" s="209" t="n"/>
      <c r="E193" s="209" t="n"/>
      <c r="F193" s="459" t="n"/>
      <c r="G193" s="209" t="n"/>
      <c r="H193" s="211" t="n"/>
    </row>
    <row r="194" ht="14.25" customHeight="1" s="235">
      <c r="A194" s="208" t="n"/>
      <c r="B194" s="209" t="n"/>
      <c r="C194" s="209" t="n"/>
      <c r="D194" s="209" t="n"/>
      <c r="E194" s="209" t="n"/>
      <c r="F194" s="459" t="n"/>
      <c r="G194" s="209" t="n"/>
      <c r="H194" s="211" t="n"/>
    </row>
    <row r="195" ht="14.25" customHeight="1" s="235">
      <c r="A195" s="208" t="n"/>
      <c r="B195" s="209" t="n"/>
      <c r="C195" s="209" t="n"/>
      <c r="D195" s="209" t="n"/>
      <c r="E195" s="209" t="n"/>
      <c r="F195" s="459" t="n"/>
      <c r="G195" s="209" t="n"/>
      <c r="H195" s="211" t="n"/>
    </row>
    <row r="196" ht="14.25" customHeight="1" s="235">
      <c r="A196" s="208" t="n"/>
      <c r="B196" s="209" t="n"/>
      <c r="C196" s="209" t="n"/>
      <c r="D196" s="209" t="n"/>
      <c r="E196" s="209" t="n"/>
      <c r="F196" s="459" t="n"/>
      <c r="G196" s="209" t="n"/>
      <c r="H196" s="211" t="n"/>
    </row>
    <row r="197" ht="14.25" customHeight="1" s="235">
      <c r="A197" s="208" t="n"/>
      <c r="B197" s="209" t="n"/>
      <c r="C197" s="209" t="n"/>
      <c r="D197" s="209" t="n"/>
      <c r="E197" s="209" t="n"/>
      <c r="F197" s="459" t="n"/>
      <c r="G197" s="209" t="n"/>
      <c r="H197" s="211" t="n"/>
    </row>
    <row r="198" ht="14.25" customHeight="1" s="235">
      <c r="A198" s="208" t="n"/>
      <c r="B198" s="209" t="n"/>
      <c r="C198" s="209" t="n"/>
      <c r="D198" s="209" t="n"/>
      <c r="E198" s="209" t="n"/>
      <c r="F198" s="459" t="n"/>
      <c r="G198" s="209" t="n"/>
      <c r="H198" s="211" t="n"/>
    </row>
    <row r="199" ht="14.25" customHeight="1" s="235">
      <c r="A199" s="208" t="n"/>
      <c r="B199" s="209" t="n"/>
      <c r="C199" s="209" t="n"/>
      <c r="D199" s="209" t="n"/>
      <c r="E199" s="209" t="n"/>
      <c r="F199" s="459" t="n"/>
      <c r="G199" s="209" t="n"/>
      <c r="H199" s="211" t="n"/>
    </row>
    <row r="200" ht="14.25" customHeight="1" s="235">
      <c r="A200" s="208" t="n"/>
      <c r="B200" s="209" t="n"/>
      <c r="C200" s="209" t="n"/>
      <c r="D200" s="209" t="n"/>
      <c r="E200" s="209" t="n"/>
      <c r="F200" s="459" t="n"/>
      <c r="G200" s="209" t="n"/>
      <c r="H200" s="211" t="n"/>
    </row>
    <row r="201" ht="14.25" customHeight="1" s="235">
      <c r="A201" s="208" t="n"/>
      <c r="B201" s="209" t="n"/>
      <c r="C201" s="209" t="n"/>
      <c r="D201" s="209" t="n"/>
      <c r="E201" s="209" t="n"/>
      <c r="F201" s="459" t="n"/>
      <c r="G201" s="209" t="n"/>
      <c r="H201" s="211" t="n"/>
    </row>
    <row r="202" ht="14.25" customHeight="1" s="235">
      <c r="A202" s="208" t="n"/>
      <c r="B202" s="209" t="n"/>
      <c r="C202" s="209" t="n"/>
      <c r="D202" s="209" t="n"/>
      <c r="E202" s="209" t="n"/>
      <c r="F202" s="459" t="n"/>
      <c r="G202" s="209" t="n"/>
      <c r="H202" s="211" t="n"/>
    </row>
    <row r="203" ht="14.25" customHeight="1" s="235">
      <c r="A203" s="208" t="n"/>
      <c r="B203" s="209" t="n"/>
      <c r="C203" s="209" t="n"/>
      <c r="D203" s="209" t="n"/>
      <c r="E203" s="209" t="n"/>
      <c r="F203" s="459" t="n"/>
      <c r="G203" s="209" t="n"/>
      <c r="H203" s="211" t="n"/>
    </row>
    <row r="204" ht="14.25" customHeight="1" s="235">
      <c r="A204" s="208" t="n"/>
      <c r="B204" s="209" t="n"/>
      <c r="C204" s="209" t="n"/>
      <c r="D204" s="209" t="n"/>
      <c r="E204" s="209" t="n"/>
      <c r="F204" s="459" t="n"/>
      <c r="G204" s="209" t="n"/>
      <c r="H204" s="211" t="n"/>
    </row>
    <row r="205" ht="14.25" customHeight="1" s="235">
      <c r="A205" s="208" t="n"/>
      <c r="B205" s="209" t="n"/>
      <c r="C205" s="209" t="n"/>
      <c r="D205" s="209" t="n"/>
      <c r="E205" s="209" t="n"/>
      <c r="F205" s="459" t="n"/>
      <c r="G205" s="209" t="n"/>
      <c r="H205" s="211" t="n"/>
    </row>
    <row r="206" ht="14.25" customHeight="1" s="235">
      <c r="A206" s="208" t="n"/>
      <c r="B206" s="209" t="n"/>
      <c r="C206" s="209" t="n"/>
      <c r="D206" s="209" t="n"/>
      <c r="E206" s="209" t="n"/>
      <c r="F206" s="459" t="n"/>
      <c r="G206" s="209" t="n"/>
      <c r="H206" s="211" t="n"/>
    </row>
    <row r="207" ht="14.25" customHeight="1" s="235">
      <c r="A207" s="208" t="n"/>
      <c r="B207" s="209" t="n"/>
      <c r="C207" s="209" t="n"/>
      <c r="D207" s="209" t="n"/>
      <c r="E207" s="209" t="n"/>
      <c r="F207" s="459" t="n"/>
      <c r="G207" s="209" t="n"/>
      <c r="H207" s="211" t="n"/>
    </row>
    <row r="208" ht="14.25" customHeight="1" s="235">
      <c r="A208" s="208" t="n"/>
      <c r="B208" s="209" t="n"/>
      <c r="C208" s="209" t="n"/>
      <c r="D208" s="209" t="n"/>
      <c r="E208" s="209" t="n"/>
      <c r="F208" s="459" t="n"/>
      <c r="G208" s="209" t="n"/>
      <c r="H208" s="211" t="n"/>
    </row>
    <row r="209" ht="14.25" customHeight="1" s="235">
      <c r="A209" s="208" t="n"/>
      <c r="B209" s="209" t="n"/>
      <c r="C209" s="209" t="n"/>
      <c r="D209" s="209" t="n"/>
      <c r="E209" s="209" t="n"/>
      <c r="F209" s="459" t="n"/>
      <c r="G209" s="209" t="n"/>
      <c r="H209" s="211" t="n"/>
    </row>
    <row r="210" ht="14.25" customHeight="1" s="235">
      <c r="A210" s="208" t="n"/>
      <c r="B210" s="209" t="n"/>
      <c r="C210" s="209" t="n"/>
      <c r="D210" s="209" t="n"/>
      <c r="E210" s="209" t="n"/>
      <c r="F210" s="459" t="n"/>
      <c r="G210" s="209" t="n"/>
      <c r="H210" s="211" t="n"/>
    </row>
    <row r="211" ht="14.25" customHeight="1" s="235">
      <c r="A211" s="208" t="n"/>
      <c r="B211" s="209" t="n"/>
      <c r="C211" s="209" t="n"/>
      <c r="D211" s="209" t="n"/>
      <c r="E211" s="209" t="n"/>
      <c r="F211" s="459" t="n"/>
      <c r="G211" s="209" t="n"/>
      <c r="H211" s="211" t="n"/>
    </row>
    <row r="212" ht="14.25" customHeight="1" s="235">
      <c r="A212" s="208" t="n"/>
      <c r="B212" s="209" t="n"/>
      <c r="C212" s="209" t="n"/>
      <c r="D212" s="209" t="n"/>
      <c r="E212" s="209" t="n"/>
      <c r="F212" s="459" t="n"/>
      <c r="G212" s="209" t="n"/>
      <c r="H212" s="211" t="n"/>
    </row>
    <row r="213" ht="14.25" customHeight="1" s="235">
      <c r="A213" s="208" t="n"/>
      <c r="B213" s="209" t="n"/>
      <c r="C213" s="209" t="n"/>
      <c r="D213" s="209" t="n"/>
      <c r="E213" s="209" t="n"/>
      <c r="F213" s="459" t="n"/>
      <c r="G213" s="209" t="n"/>
      <c r="H213" s="211" t="n"/>
    </row>
    <row r="214" ht="14.25" customHeight="1" s="235">
      <c r="A214" s="208" t="n"/>
      <c r="B214" s="209" t="n"/>
      <c r="C214" s="209" t="n"/>
      <c r="D214" s="209" t="n"/>
      <c r="E214" s="209" t="n"/>
      <c r="F214" s="459" t="n"/>
      <c r="G214" s="209" t="n"/>
      <c r="H214" s="211" t="n"/>
    </row>
    <row r="215" ht="14.25" customHeight="1" s="235">
      <c r="A215" s="208" t="n"/>
      <c r="B215" s="209" t="n"/>
      <c r="C215" s="209" t="n"/>
      <c r="D215" s="209" t="n"/>
      <c r="E215" s="209" t="n"/>
      <c r="F215" s="459" t="n"/>
      <c r="G215" s="209" t="n"/>
      <c r="H215" s="211" t="n"/>
    </row>
    <row r="216" ht="14.25" customHeight="1" s="235">
      <c r="A216" s="208" t="n"/>
      <c r="B216" s="209" t="n"/>
      <c r="C216" s="209" t="n"/>
      <c r="D216" s="209" t="n"/>
      <c r="E216" s="209" t="n"/>
      <c r="F216" s="459" t="n"/>
      <c r="G216" s="209" t="n"/>
      <c r="H216" s="211" t="n"/>
    </row>
    <row r="217" ht="14.25" customHeight="1" s="235">
      <c r="A217" s="208" t="n"/>
      <c r="B217" s="209" t="n"/>
      <c r="C217" s="209" t="n"/>
      <c r="D217" s="209" t="n"/>
      <c r="E217" s="209" t="n"/>
      <c r="F217" s="459" t="n"/>
      <c r="G217" s="209" t="n"/>
      <c r="H217" s="211" t="n"/>
    </row>
    <row r="218" ht="14.25" customHeight="1" s="235">
      <c r="A218" s="208" t="n"/>
      <c r="B218" s="209" t="n"/>
      <c r="C218" s="209" t="n"/>
      <c r="D218" s="209" t="n"/>
      <c r="E218" s="209" t="n"/>
      <c r="F218" s="459" t="n"/>
      <c r="G218" s="209" t="n"/>
      <c r="H218" s="211" t="n"/>
    </row>
    <row r="219" ht="14.25" customHeight="1" s="235">
      <c r="A219" s="208" t="n"/>
      <c r="B219" s="209" t="n"/>
      <c r="C219" s="209" t="n"/>
      <c r="D219" s="209" t="n"/>
      <c r="E219" s="209" t="n"/>
      <c r="F219" s="459" t="n"/>
      <c r="G219" s="209" t="n"/>
      <c r="H219" s="211" t="n"/>
    </row>
    <row r="220" ht="14.25" customHeight="1" s="235">
      <c r="A220" s="208" t="n"/>
      <c r="B220" s="209" t="n"/>
      <c r="C220" s="209" t="n"/>
      <c r="D220" s="209" t="n"/>
      <c r="E220" s="209" t="n"/>
      <c r="F220" s="459" t="n"/>
      <c r="G220" s="209" t="n"/>
      <c r="H220" s="211" t="n"/>
    </row>
    <row r="221" ht="14.25" customHeight="1" s="235">
      <c r="A221" s="208" t="n"/>
      <c r="B221" s="209" t="n"/>
      <c r="C221" s="209" t="n"/>
      <c r="D221" s="209" t="n"/>
      <c r="E221" s="209" t="n"/>
      <c r="F221" s="459" t="n"/>
      <c r="G221" s="209" t="n"/>
      <c r="H221" s="211" t="n"/>
    </row>
    <row r="222" ht="14.25" customHeight="1" s="235">
      <c r="A222" s="208" t="n"/>
      <c r="B222" s="209" t="n"/>
      <c r="C222" s="209" t="n"/>
      <c r="D222" s="209" t="n"/>
      <c r="E222" s="209" t="n"/>
      <c r="F222" s="459" t="n"/>
      <c r="G222" s="209" t="n"/>
      <c r="H222" s="211" t="n"/>
    </row>
    <row r="223" ht="14.25" customHeight="1" s="235">
      <c r="A223" s="208" t="n"/>
      <c r="B223" s="209" t="n"/>
      <c r="C223" s="209" t="n"/>
      <c r="D223" s="209" t="n"/>
      <c r="E223" s="209" t="n"/>
      <c r="F223" s="459" t="n"/>
      <c r="G223" s="209" t="n"/>
      <c r="H223" s="211" t="n"/>
    </row>
    <row r="224" ht="14.25" customHeight="1" s="235">
      <c r="A224" s="208" t="n"/>
      <c r="B224" s="209" t="n"/>
      <c r="C224" s="209" t="n"/>
      <c r="D224" s="209" t="n"/>
      <c r="E224" s="209" t="n"/>
      <c r="F224" s="459" t="n"/>
      <c r="G224" s="209" t="n"/>
      <c r="H224" s="211" t="n"/>
    </row>
    <row r="225" ht="14.25" customHeight="1" s="235">
      <c r="A225" s="208" t="n"/>
      <c r="B225" s="209" t="n"/>
      <c r="C225" s="209" t="n"/>
      <c r="D225" s="209" t="n"/>
      <c r="E225" s="209" t="n"/>
      <c r="F225" s="459" t="n"/>
      <c r="G225" s="209" t="n"/>
      <c r="H225" s="211" t="n"/>
    </row>
    <row r="226" ht="14.25" customHeight="1" s="235">
      <c r="A226" s="208" t="n"/>
      <c r="B226" s="209" t="n"/>
      <c r="C226" s="209" t="n"/>
      <c r="D226" s="209" t="n"/>
      <c r="E226" s="209" t="n"/>
      <c r="F226" s="459" t="n"/>
      <c r="G226" s="209" t="n"/>
      <c r="H226" s="211" t="n"/>
    </row>
    <row r="227" ht="14.25" customHeight="1" s="235">
      <c r="A227" s="208" t="n"/>
      <c r="B227" s="209" t="n"/>
      <c r="C227" s="209" t="n"/>
      <c r="D227" s="209" t="n"/>
      <c r="E227" s="209" t="n"/>
      <c r="F227" s="459" t="n"/>
      <c r="G227" s="209" t="n"/>
      <c r="H227" s="211" t="n"/>
    </row>
    <row r="228" ht="14.25" customHeight="1" s="235">
      <c r="A228" s="208" t="n"/>
      <c r="B228" s="209" t="n"/>
      <c r="C228" s="209" t="n"/>
      <c r="D228" s="209" t="n"/>
      <c r="E228" s="209" t="n"/>
      <c r="F228" s="459" t="n"/>
      <c r="G228" s="209" t="n"/>
      <c r="H228" s="211" t="n"/>
    </row>
    <row r="229" ht="14.25" customHeight="1" s="235">
      <c r="A229" s="208" t="n"/>
      <c r="B229" s="209" t="n"/>
      <c r="C229" s="209" t="n"/>
      <c r="D229" s="209" t="n"/>
      <c r="E229" s="209" t="n"/>
      <c r="F229" s="459" t="n"/>
      <c r="G229" s="209" t="n"/>
      <c r="H229" s="211" t="n"/>
    </row>
    <row r="230" ht="14.25" customHeight="1" s="235">
      <c r="A230" s="208" t="n"/>
      <c r="B230" s="209" t="n"/>
      <c r="C230" s="209" t="n"/>
      <c r="D230" s="209" t="n"/>
      <c r="E230" s="209" t="n"/>
      <c r="F230" s="459" t="n"/>
      <c r="G230" s="209" t="n"/>
      <c r="H230" s="211" t="n"/>
    </row>
    <row r="231" ht="14.25" customHeight="1" s="235">
      <c r="A231" s="208" t="n"/>
      <c r="B231" s="209" t="n"/>
      <c r="C231" s="209" t="n"/>
      <c r="D231" s="209" t="n"/>
      <c r="E231" s="209" t="n"/>
      <c r="F231" s="459" t="n"/>
      <c r="G231" s="209" t="n"/>
      <c r="H231" s="211" t="n"/>
    </row>
    <row r="232" ht="14.25" customHeight="1" s="235">
      <c r="A232" s="208" t="n"/>
      <c r="B232" s="209" t="n"/>
      <c r="C232" s="209" t="n"/>
      <c r="D232" s="209" t="n"/>
      <c r="E232" s="209" t="n"/>
      <c r="F232" s="459" t="n"/>
      <c r="G232" s="209" t="n"/>
      <c r="H232" s="211" t="n"/>
    </row>
    <row r="233" ht="14.25" customHeight="1" s="235">
      <c r="A233" s="208" t="n"/>
      <c r="B233" s="209" t="n"/>
      <c r="C233" s="209" t="n"/>
      <c r="D233" s="209" t="n"/>
      <c r="E233" s="209" t="n"/>
      <c r="F233" s="459" t="n"/>
      <c r="G233" s="209" t="n"/>
      <c r="H233" s="211" t="n"/>
    </row>
    <row r="234" ht="14.25" customHeight="1" s="235">
      <c r="A234" s="208" t="n"/>
      <c r="B234" s="209" t="n"/>
      <c r="C234" s="209" t="n"/>
      <c r="D234" s="209" t="n"/>
      <c r="E234" s="209" t="n"/>
      <c r="F234" s="459" t="n"/>
      <c r="G234" s="209" t="n"/>
      <c r="H234" s="211" t="n"/>
    </row>
    <row r="235" ht="14.25" customHeight="1" s="235">
      <c r="A235" s="208" t="n"/>
      <c r="B235" s="209" t="n"/>
      <c r="C235" s="209" t="n"/>
      <c r="D235" s="209" t="n"/>
      <c r="E235" s="209" t="n"/>
      <c r="F235" s="459" t="n"/>
      <c r="G235" s="209" t="n"/>
      <c r="H235" s="211" t="n"/>
    </row>
    <row r="236" ht="14.25" customHeight="1" s="235">
      <c r="A236" s="208" t="n"/>
      <c r="B236" s="209" t="n"/>
      <c r="C236" s="209" t="n"/>
      <c r="D236" s="209" t="n"/>
      <c r="E236" s="209" t="n"/>
      <c r="F236" s="459" t="n"/>
      <c r="G236" s="209" t="n"/>
      <c r="H236" s="211" t="n"/>
    </row>
    <row r="237" ht="14.25" customHeight="1" s="235">
      <c r="A237" s="208" t="n"/>
      <c r="B237" s="209" t="n"/>
      <c r="C237" s="209" t="n"/>
      <c r="D237" s="209" t="n"/>
      <c r="E237" s="209" t="n"/>
      <c r="F237" s="459" t="n"/>
      <c r="G237" s="209" t="n"/>
      <c r="H237" s="211" t="n"/>
    </row>
    <row r="238" ht="14.25" customHeight="1" s="235">
      <c r="A238" s="208" t="n"/>
      <c r="B238" s="209" t="n"/>
      <c r="C238" s="209" t="n"/>
      <c r="D238" s="209" t="n"/>
      <c r="E238" s="209" t="n"/>
      <c r="F238" s="459" t="n"/>
      <c r="G238" s="209" t="n"/>
      <c r="H238" s="211" t="n"/>
    </row>
    <row r="239" ht="14.25" customHeight="1" s="235">
      <c r="A239" s="208" t="n"/>
      <c r="B239" s="209" t="n"/>
      <c r="C239" s="209" t="n"/>
      <c r="D239" s="209" t="n"/>
      <c r="E239" s="209" t="n"/>
      <c r="F239" s="459" t="n"/>
      <c r="G239" s="209" t="n"/>
      <c r="H239" s="211" t="n"/>
    </row>
    <row r="240" ht="14.25" customHeight="1" s="235">
      <c r="A240" s="208" t="n"/>
      <c r="B240" s="209" t="n"/>
      <c r="C240" s="209" t="n"/>
      <c r="D240" s="209" t="n"/>
      <c r="E240" s="209" t="n"/>
      <c r="F240" s="459" t="n"/>
      <c r="G240" s="209" t="n"/>
      <c r="H240" s="211" t="n"/>
    </row>
    <row r="241" ht="14.25" customHeight="1" s="235">
      <c r="A241" s="208" t="n"/>
      <c r="B241" s="209" t="n"/>
      <c r="C241" s="209" t="n"/>
      <c r="D241" s="209" t="n"/>
      <c r="E241" s="209" t="n"/>
      <c r="F241" s="459" t="n"/>
      <c r="G241" s="209" t="n"/>
      <c r="H241" s="211" t="n"/>
    </row>
    <row r="242" ht="14.25" customHeight="1" s="235">
      <c r="A242" s="208" t="n"/>
      <c r="B242" s="209" t="n"/>
      <c r="C242" s="209" t="n"/>
      <c r="D242" s="209" t="n"/>
      <c r="E242" s="209" t="n"/>
      <c r="F242" s="459" t="n"/>
      <c r="G242" s="209" t="n"/>
      <c r="H242" s="211" t="n"/>
    </row>
    <row r="243" ht="14.25" customHeight="1" s="235">
      <c r="A243" s="208" t="n"/>
      <c r="B243" s="209" t="n"/>
      <c r="C243" s="209" t="n"/>
      <c r="D243" s="209" t="n"/>
      <c r="E243" s="209" t="n"/>
      <c r="F243" s="459" t="n"/>
      <c r="G243" s="209" t="n"/>
      <c r="H243" s="211" t="n"/>
    </row>
    <row r="244" ht="14.25" customHeight="1" s="235">
      <c r="A244" s="208" t="n"/>
      <c r="B244" s="209" t="n"/>
      <c r="C244" s="209" t="n"/>
      <c r="D244" s="209" t="n"/>
      <c r="E244" s="209" t="n"/>
      <c r="F244" s="459" t="n"/>
      <c r="G244" s="209" t="n"/>
      <c r="H244" s="211" t="n"/>
    </row>
    <row r="245" ht="14.25" customHeight="1" s="235">
      <c r="A245" s="208" t="n"/>
      <c r="B245" s="209" t="n"/>
      <c r="C245" s="209" t="n"/>
      <c r="D245" s="209" t="n"/>
      <c r="E245" s="209" t="n"/>
      <c r="F245" s="459" t="n"/>
      <c r="G245" s="209" t="n"/>
      <c r="H245" s="211" t="n"/>
    </row>
    <row r="246" ht="14.25" customHeight="1" s="235">
      <c r="A246" s="208" t="n"/>
      <c r="B246" s="209" t="n"/>
      <c r="C246" s="209" t="n"/>
      <c r="D246" s="209" t="n"/>
      <c r="E246" s="209" t="n"/>
      <c r="F246" s="459" t="n"/>
      <c r="G246" s="209" t="n"/>
      <c r="H246" s="211" t="n"/>
    </row>
    <row r="247" ht="14.25" customHeight="1" s="235">
      <c r="A247" s="208" t="n"/>
      <c r="B247" s="209" t="n"/>
      <c r="C247" s="209" t="n"/>
      <c r="D247" s="209" t="n"/>
      <c r="E247" s="209" t="n"/>
      <c r="F247" s="459" t="n"/>
      <c r="G247" s="209" t="n"/>
      <c r="H247" s="211" t="n"/>
    </row>
    <row r="248" ht="14.25" customHeight="1" s="235">
      <c r="A248" s="208" t="n"/>
      <c r="B248" s="209" t="n"/>
      <c r="C248" s="209" t="n"/>
      <c r="D248" s="209" t="n"/>
      <c r="E248" s="209" t="n"/>
      <c r="F248" s="459" t="n"/>
      <c r="G248" s="209" t="n"/>
      <c r="H248" s="211" t="n"/>
    </row>
    <row r="249" ht="14.25" customHeight="1" s="235">
      <c r="A249" s="208" t="n"/>
      <c r="B249" s="209" t="n"/>
      <c r="C249" s="209" t="n"/>
      <c r="D249" s="209" t="n"/>
      <c r="E249" s="209" t="n"/>
      <c r="F249" s="459" t="n"/>
      <c r="G249" s="209" t="n"/>
      <c r="H249" s="211" t="n"/>
    </row>
    <row r="250" ht="14.25" customHeight="1" s="235">
      <c r="A250" s="208" t="n"/>
      <c r="B250" s="209" t="n"/>
      <c r="C250" s="209" t="n"/>
      <c r="D250" s="209" t="n"/>
      <c r="E250" s="209" t="n"/>
      <c r="F250" s="459" t="n"/>
      <c r="G250" s="209" t="n"/>
      <c r="H250" s="211" t="n"/>
    </row>
    <row r="251" ht="14.25" customHeight="1" s="235">
      <c r="A251" s="208" t="n"/>
      <c r="B251" s="209" t="n"/>
      <c r="C251" s="209" t="n"/>
      <c r="D251" s="209" t="n"/>
      <c r="E251" s="209" t="n"/>
      <c r="F251" s="459" t="n"/>
      <c r="G251" s="209" t="n"/>
      <c r="H251" s="211" t="n"/>
    </row>
    <row r="252" ht="14.25" customHeight="1" s="235">
      <c r="A252" s="208" t="n"/>
      <c r="B252" s="209" t="n"/>
      <c r="C252" s="209" t="n"/>
      <c r="D252" s="209" t="n"/>
      <c r="E252" s="209" t="n"/>
      <c r="F252" s="459" t="n"/>
      <c r="G252" s="209" t="n"/>
      <c r="H252" s="211" t="n"/>
    </row>
    <row r="253" ht="14.25" customHeight="1" s="235">
      <c r="A253" s="208" t="n"/>
      <c r="B253" s="209" t="n"/>
      <c r="C253" s="209" t="n"/>
      <c r="D253" s="209" t="n"/>
      <c r="E253" s="209" t="n"/>
      <c r="F253" s="459" t="n"/>
      <c r="G253" s="209" t="n"/>
      <c r="H253" s="211" t="n"/>
    </row>
    <row r="254" ht="14.25" customHeight="1" s="235">
      <c r="A254" s="208" t="n"/>
      <c r="B254" s="209" t="n"/>
      <c r="C254" s="209" t="n"/>
      <c r="D254" s="209" t="n"/>
      <c r="E254" s="209" t="n"/>
      <c r="F254" s="459" t="n"/>
      <c r="G254" s="209" t="n"/>
      <c r="H254" s="211" t="n"/>
    </row>
    <row r="255" ht="14.25" customHeight="1" s="235">
      <c r="A255" s="208" t="n"/>
      <c r="B255" s="209" t="n"/>
      <c r="C255" s="209" t="n"/>
      <c r="D255" s="209" t="n"/>
      <c r="E255" s="209" t="n"/>
      <c r="F255" s="459" t="n"/>
      <c r="G255" s="209" t="n"/>
      <c r="H255" s="211" t="n"/>
    </row>
    <row r="256" ht="14.25" customHeight="1" s="235">
      <c r="A256" s="208" t="n"/>
      <c r="B256" s="209" t="n"/>
      <c r="C256" s="209" t="n"/>
      <c r="D256" s="209" t="n"/>
      <c r="E256" s="209" t="n"/>
      <c r="F256" s="459" t="n"/>
      <c r="G256" s="209" t="n"/>
      <c r="H256" s="211" t="n"/>
    </row>
    <row r="257" ht="14.25" customHeight="1" s="235">
      <c r="A257" s="208" t="n"/>
      <c r="B257" s="209" t="n"/>
      <c r="C257" s="209" t="n"/>
      <c r="D257" s="209" t="n"/>
      <c r="E257" s="209" t="n"/>
      <c r="F257" s="459" t="n"/>
      <c r="G257" s="209" t="n"/>
      <c r="H257" s="211" t="n"/>
    </row>
    <row r="258" ht="14.25" customHeight="1" s="235">
      <c r="A258" s="208" t="n"/>
      <c r="B258" s="209" t="n"/>
      <c r="C258" s="209" t="n"/>
      <c r="D258" s="209" t="n"/>
      <c r="E258" s="209" t="n"/>
      <c r="F258" s="459" t="n"/>
      <c r="G258" s="209" t="n"/>
      <c r="H258" s="211" t="n"/>
    </row>
    <row r="259" ht="14.25" customHeight="1" s="235">
      <c r="A259" s="208" t="n"/>
      <c r="B259" s="209" t="n"/>
      <c r="C259" s="209" t="n"/>
      <c r="D259" s="209" t="n"/>
      <c r="E259" s="209" t="n"/>
      <c r="F259" s="459" t="n"/>
      <c r="G259" s="209" t="n"/>
      <c r="H259" s="211" t="n"/>
    </row>
    <row r="260" ht="14.25" customHeight="1" s="235">
      <c r="A260" s="208" t="n"/>
      <c r="B260" s="209" t="n"/>
      <c r="C260" s="209" t="n"/>
      <c r="D260" s="209" t="n"/>
      <c r="E260" s="209" t="n"/>
      <c r="F260" s="459" t="n"/>
      <c r="G260" s="209" t="n"/>
      <c r="H260" s="211" t="n"/>
    </row>
    <row r="261" ht="14.25" customHeight="1" s="235">
      <c r="A261" s="208" t="n"/>
      <c r="B261" s="209" t="n"/>
      <c r="C261" s="209" t="n"/>
      <c r="D261" s="209" t="n"/>
      <c r="E261" s="209" t="n"/>
      <c r="F261" s="459" t="n"/>
      <c r="G261" s="209" t="n"/>
      <c r="H261" s="211" t="n"/>
    </row>
    <row r="262" ht="14.25" customHeight="1" s="235">
      <c r="A262" s="208" t="n"/>
      <c r="B262" s="209" t="n"/>
      <c r="C262" s="209" t="n"/>
      <c r="D262" s="209" t="n"/>
      <c r="E262" s="209" t="n"/>
      <c r="F262" s="459" t="n"/>
      <c r="G262" s="209" t="n"/>
      <c r="H262" s="211" t="n"/>
    </row>
    <row r="263" ht="14.25" customHeight="1" s="235">
      <c r="A263" s="208" t="n"/>
      <c r="B263" s="209" t="n"/>
      <c r="C263" s="209" t="n"/>
      <c r="D263" s="209" t="n"/>
      <c r="E263" s="209" t="n"/>
      <c r="F263" s="459" t="n"/>
      <c r="G263" s="209" t="n"/>
      <c r="H263" s="211" t="n"/>
    </row>
    <row r="264" ht="14.25" customHeight="1" s="235">
      <c r="A264" s="208" t="n"/>
      <c r="B264" s="209" t="n"/>
      <c r="C264" s="209" t="n"/>
      <c r="D264" s="209" t="n"/>
      <c r="E264" s="209" t="n"/>
      <c r="F264" s="459" t="n"/>
      <c r="G264" s="209" t="n"/>
      <c r="H264" s="211" t="n"/>
    </row>
    <row r="265" ht="14.25" customHeight="1" s="235">
      <c r="A265" s="208" t="n"/>
      <c r="B265" s="209" t="n"/>
      <c r="C265" s="209" t="n"/>
      <c r="D265" s="209" t="n"/>
      <c r="E265" s="209" t="n"/>
      <c r="F265" s="459" t="n"/>
      <c r="G265" s="209" t="n"/>
      <c r="H265" s="211" t="n"/>
    </row>
    <row r="266" ht="14.25" customHeight="1" s="235">
      <c r="A266" s="208" t="n"/>
      <c r="B266" s="209" t="n"/>
      <c r="C266" s="209" t="n"/>
      <c r="D266" s="209" t="n"/>
      <c r="E266" s="209" t="n"/>
      <c r="F266" s="459" t="n"/>
      <c r="G266" s="209" t="n"/>
      <c r="H266" s="211" t="n"/>
    </row>
    <row r="267" ht="14.25" customHeight="1" s="235">
      <c r="A267" s="208" t="n"/>
      <c r="B267" s="209" t="n"/>
      <c r="C267" s="209" t="n"/>
      <c r="D267" s="209" t="n"/>
      <c r="E267" s="209" t="n"/>
      <c r="F267" s="459" t="n"/>
      <c r="G267" s="209" t="n"/>
      <c r="H267" s="211" t="n"/>
    </row>
    <row r="268" ht="14.25" customHeight="1" s="235">
      <c r="A268" s="208" t="n"/>
      <c r="B268" s="209" t="n"/>
      <c r="C268" s="209" t="n"/>
      <c r="D268" s="209" t="n"/>
      <c r="E268" s="209" t="n"/>
      <c r="F268" s="459" t="n"/>
      <c r="G268" s="209" t="n"/>
      <c r="H268" s="211" t="n"/>
    </row>
    <row r="269" ht="14.25" customHeight="1" s="235">
      <c r="A269" s="208" t="n"/>
      <c r="B269" s="209" t="n"/>
      <c r="C269" s="209" t="n"/>
      <c r="D269" s="209" t="n"/>
      <c r="E269" s="209" t="n"/>
      <c r="F269" s="459" t="n"/>
      <c r="G269" s="209" t="n"/>
      <c r="H269" s="211" t="n"/>
    </row>
    <row r="270" ht="14.25" customHeight="1" s="235">
      <c r="A270" s="208" t="n"/>
      <c r="B270" s="209" t="n"/>
      <c r="C270" s="209" t="n"/>
      <c r="D270" s="209" t="n"/>
      <c r="E270" s="209" t="n"/>
      <c r="F270" s="459" t="n"/>
      <c r="G270" s="209" t="n"/>
      <c r="H270" s="211" t="n"/>
    </row>
    <row r="271" ht="14.25" customHeight="1" s="235">
      <c r="A271" s="208" t="n"/>
      <c r="B271" s="209" t="n"/>
      <c r="C271" s="209" t="n"/>
      <c r="D271" s="209" t="n"/>
      <c r="E271" s="209" t="n"/>
      <c r="F271" s="459" t="n"/>
      <c r="G271" s="209" t="n"/>
      <c r="H271" s="211" t="n"/>
    </row>
    <row r="272" ht="14.25" customHeight="1" s="235">
      <c r="A272" s="208" t="n"/>
      <c r="B272" s="209" t="n"/>
      <c r="C272" s="209" t="n"/>
      <c r="D272" s="209" t="n"/>
      <c r="E272" s="209" t="n"/>
      <c r="F272" s="459" t="n"/>
      <c r="G272" s="209" t="n"/>
      <c r="H272" s="211" t="n"/>
    </row>
    <row r="273" ht="14.25" customHeight="1" s="235">
      <c r="A273" s="208" t="n"/>
      <c r="B273" s="209" t="n"/>
      <c r="C273" s="209" t="n"/>
      <c r="D273" s="209" t="n"/>
      <c r="E273" s="209" t="n"/>
      <c r="F273" s="459" t="n"/>
      <c r="G273" s="209" t="n"/>
      <c r="H273" s="211" t="n"/>
    </row>
    <row r="274" ht="14.25" customHeight="1" s="235">
      <c r="A274" s="208" t="n"/>
      <c r="B274" s="209" t="n"/>
      <c r="C274" s="209" t="n"/>
      <c r="D274" s="209" t="n"/>
      <c r="E274" s="209" t="n"/>
      <c r="F274" s="459" t="n"/>
      <c r="G274" s="209" t="n"/>
      <c r="H274" s="211" t="n"/>
    </row>
    <row r="275" ht="14.25" customHeight="1" s="235">
      <c r="A275" s="208" t="n"/>
      <c r="B275" s="209" t="n"/>
      <c r="C275" s="209" t="n"/>
      <c r="D275" s="209" t="n"/>
      <c r="E275" s="209" t="n"/>
      <c r="F275" s="459" t="n"/>
      <c r="G275" s="209" t="n"/>
      <c r="H275" s="211" t="n"/>
    </row>
    <row r="276" ht="14.25" customHeight="1" s="235">
      <c r="A276" s="208" t="n"/>
      <c r="B276" s="209" t="n"/>
      <c r="C276" s="209" t="n"/>
      <c r="D276" s="209" t="n"/>
      <c r="E276" s="209" t="n"/>
      <c r="F276" s="459" t="n"/>
      <c r="G276" s="209" t="n"/>
      <c r="H276" s="211" t="n"/>
    </row>
    <row r="277" ht="14.25" customHeight="1" s="235">
      <c r="A277" s="208" t="n"/>
      <c r="B277" s="209" t="n"/>
      <c r="C277" s="209" t="n"/>
      <c r="D277" s="209" t="n"/>
      <c r="E277" s="209" t="n"/>
      <c r="F277" s="459" t="n"/>
      <c r="G277" s="209" t="n"/>
      <c r="H277" s="211" t="n"/>
    </row>
    <row r="278" ht="14.25" customHeight="1" s="235">
      <c r="A278" s="208" t="n"/>
      <c r="B278" s="209" t="n"/>
      <c r="C278" s="209" t="n"/>
      <c r="D278" s="209" t="n"/>
      <c r="E278" s="209" t="n"/>
      <c r="F278" s="459" t="n"/>
      <c r="G278" s="209" t="n"/>
      <c r="H278" s="211" t="n"/>
    </row>
    <row r="279" ht="14.25" customHeight="1" s="235">
      <c r="A279" s="208" t="n"/>
      <c r="B279" s="209" t="n"/>
      <c r="C279" s="209" t="n"/>
      <c r="D279" s="209" t="n"/>
      <c r="E279" s="209" t="n"/>
      <c r="F279" s="459" t="n"/>
      <c r="G279" s="209" t="n"/>
      <c r="H279" s="211" t="n"/>
    </row>
    <row r="280" ht="14.25" customHeight="1" s="235">
      <c r="A280" s="208" t="n"/>
      <c r="B280" s="209" t="n"/>
      <c r="C280" s="209" t="n"/>
      <c r="D280" s="209" t="n"/>
      <c r="E280" s="209" t="n"/>
      <c r="F280" s="459" t="n"/>
      <c r="G280" s="209" t="n"/>
      <c r="H280" s="211" t="n"/>
    </row>
    <row r="281" ht="14.25" customHeight="1" s="235">
      <c r="A281" s="208" t="n"/>
      <c r="B281" s="209" t="n"/>
      <c r="C281" s="209" t="n"/>
      <c r="D281" s="209" t="n"/>
      <c r="E281" s="209" t="n"/>
      <c r="F281" s="459" t="n"/>
      <c r="G281" s="209" t="n"/>
      <c r="H281" s="211" t="n"/>
    </row>
    <row r="282" ht="14.25" customHeight="1" s="235">
      <c r="A282" s="208" t="n"/>
      <c r="B282" s="209" t="n"/>
      <c r="C282" s="209" t="n"/>
      <c r="D282" s="209" t="n"/>
      <c r="E282" s="209" t="n"/>
      <c r="F282" s="459" t="n"/>
      <c r="G282" s="209" t="n"/>
      <c r="H282" s="211" t="n"/>
    </row>
    <row r="283" ht="14.25" customHeight="1" s="235">
      <c r="A283" s="208" t="n"/>
      <c r="B283" s="209" t="n"/>
      <c r="C283" s="209" t="n"/>
      <c r="D283" s="209" t="n"/>
      <c r="E283" s="209" t="n"/>
      <c r="F283" s="459" t="n"/>
      <c r="G283" s="209" t="n"/>
      <c r="H283" s="211" t="n"/>
    </row>
    <row r="284" ht="14.25" customHeight="1" s="235">
      <c r="A284" s="208" t="n"/>
      <c r="B284" s="209" t="n"/>
      <c r="C284" s="209" t="n"/>
      <c r="D284" s="209" t="n"/>
      <c r="E284" s="209" t="n"/>
      <c r="F284" s="459" t="n"/>
      <c r="G284" s="209" t="n"/>
      <c r="H284" s="211" t="n"/>
    </row>
    <row r="285" ht="14.25" customHeight="1" s="235">
      <c r="A285" s="208" t="n"/>
      <c r="B285" s="209" t="n"/>
      <c r="C285" s="209" t="n"/>
      <c r="D285" s="209" t="n"/>
      <c r="E285" s="209" t="n"/>
      <c r="F285" s="459" t="n"/>
      <c r="G285" s="209" t="n"/>
      <c r="H285" s="211" t="n"/>
    </row>
    <row r="286" ht="14.25" customHeight="1" s="235">
      <c r="A286" s="208" t="n"/>
      <c r="B286" s="209" t="n"/>
      <c r="C286" s="209" t="n"/>
      <c r="D286" s="209" t="n"/>
      <c r="E286" s="209" t="n"/>
      <c r="F286" s="459" t="n"/>
      <c r="G286" s="209" t="n"/>
      <c r="H286" s="211" t="n"/>
    </row>
    <row r="287" ht="14.25" customHeight="1" s="235">
      <c r="A287" s="208" t="n"/>
      <c r="B287" s="209" t="n"/>
      <c r="C287" s="209" t="n"/>
      <c r="D287" s="209" t="n"/>
      <c r="E287" s="209" t="n"/>
      <c r="F287" s="459" t="n"/>
      <c r="G287" s="209" t="n"/>
      <c r="H287" s="211" t="n"/>
    </row>
    <row r="288" ht="14.25" customHeight="1" s="235">
      <c r="A288" s="208" t="n"/>
      <c r="B288" s="209" t="n"/>
      <c r="C288" s="209" t="n"/>
      <c r="D288" s="209" t="n"/>
      <c r="E288" s="209" t="n"/>
      <c r="F288" s="459" t="n"/>
      <c r="G288" s="209" t="n"/>
      <c r="H288" s="211" t="n"/>
    </row>
    <row r="289" ht="14.25" customHeight="1" s="235">
      <c r="A289" s="208" t="n"/>
      <c r="B289" s="209" t="n"/>
      <c r="C289" s="209" t="n"/>
      <c r="D289" s="209" t="n"/>
      <c r="E289" s="209" t="n"/>
      <c r="F289" s="459" t="n"/>
      <c r="G289" s="209" t="n"/>
      <c r="H289" s="211" t="n"/>
    </row>
    <row r="290" ht="14.25" customHeight="1" s="235">
      <c r="A290" s="208" t="n"/>
      <c r="B290" s="209" t="n"/>
      <c r="C290" s="209" t="n"/>
      <c r="D290" s="209" t="n"/>
      <c r="E290" s="209" t="n"/>
      <c r="F290" s="459" t="n"/>
      <c r="G290" s="209" t="n"/>
      <c r="H290" s="211" t="n"/>
    </row>
    <row r="291" ht="14.25" customHeight="1" s="235">
      <c r="A291" s="208" t="n"/>
      <c r="B291" s="209" t="n"/>
      <c r="C291" s="209" t="n"/>
      <c r="D291" s="209" t="n"/>
      <c r="E291" s="209" t="n"/>
      <c r="F291" s="459" t="n"/>
      <c r="G291" s="209" t="n"/>
      <c r="H291" s="211" t="n"/>
    </row>
    <row r="292" ht="14.25" customHeight="1" s="235">
      <c r="A292" s="208" t="n"/>
      <c r="B292" s="209" t="n"/>
      <c r="C292" s="209" t="n"/>
      <c r="D292" s="209" t="n"/>
      <c r="E292" s="209" t="n"/>
      <c r="F292" s="459" t="n"/>
      <c r="G292" s="209" t="n"/>
      <c r="H292" s="211" t="n"/>
    </row>
    <row r="293" ht="14.25" customHeight="1" s="235">
      <c r="A293" s="208" t="n"/>
      <c r="B293" s="209" t="n"/>
      <c r="C293" s="209" t="n"/>
      <c r="D293" s="209" t="n"/>
      <c r="E293" s="209" t="n"/>
      <c r="F293" s="459" t="n"/>
      <c r="G293" s="209" t="n"/>
      <c r="H293" s="211" t="n"/>
    </row>
    <row r="294" ht="14.25" customHeight="1" s="235">
      <c r="A294" s="208" t="n"/>
      <c r="B294" s="209" t="n"/>
      <c r="C294" s="209" t="n"/>
      <c r="D294" s="209" t="n"/>
      <c r="E294" s="209" t="n"/>
      <c r="F294" s="459" t="n"/>
      <c r="G294" s="209" t="n"/>
      <c r="H294" s="211" t="n"/>
    </row>
    <row r="295" ht="14.25" customHeight="1" s="235">
      <c r="A295" s="208" t="n"/>
      <c r="B295" s="209" t="n"/>
      <c r="C295" s="209" t="n"/>
      <c r="D295" s="209" t="n"/>
      <c r="E295" s="209" t="n"/>
      <c r="F295" s="459" t="n"/>
      <c r="G295" s="209" t="n"/>
      <c r="H295" s="211" t="n"/>
    </row>
    <row r="296" ht="14.25" customHeight="1" s="235">
      <c r="A296" s="208" t="n"/>
      <c r="B296" s="209" t="n"/>
      <c r="C296" s="209" t="n"/>
      <c r="D296" s="209" t="n"/>
      <c r="E296" s="209" t="n"/>
      <c r="F296" s="459" t="n"/>
      <c r="G296" s="209" t="n"/>
      <c r="H296" s="211" t="n"/>
    </row>
    <row r="297" ht="14.25" customHeight="1" s="235">
      <c r="A297" s="208" t="n"/>
      <c r="B297" s="209" t="n"/>
      <c r="C297" s="209" t="n"/>
      <c r="D297" s="209" t="n"/>
      <c r="E297" s="209" t="n"/>
      <c r="F297" s="459" t="n"/>
      <c r="G297" s="209" t="n"/>
      <c r="H297" s="211" t="n"/>
    </row>
    <row r="298" ht="14.25" customHeight="1" s="235">
      <c r="A298" s="208" t="n"/>
      <c r="B298" s="209" t="n"/>
      <c r="C298" s="209" t="n"/>
      <c r="D298" s="209" t="n"/>
      <c r="E298" s="209" t="n"/>
      <c r="F298" s="459" t="n"/>
      <c r="G298" s="209" t="n"/>
      <c r="H298" s="211" t="n"/>
    </row>
    <row r="299" ht="14.25" customHeight="1" s="235">
      <c r="A299" s="208" t="n"/>
      <c r="B299" s="209" t="n"/>
      <c r="C299" s="209" t="n"/>
      <c r="D299" s="209" t="n"/>
      <c r="E299" s="209" t="n"/>
      <c r="F299" s="459" t="n"/>
      <c r="G299" s="209" t="n"/>
      <c r="H299" s="211" t="n"/>
    </row>
    <row r="300" ht="14.25" customHeight="1" s="235">
      <c r="A300" s="208" t="n"/>
      <c r="B300" s="209" t="n"/>
      <c r="C300" s="209" t="n"/>
      <c r="D300" s="209" t="n"/>
      <c r="E300" s="209" t="n"/>
      <c r="F300" s="459" t="n"/>
      <c r="G300" s="209" t="n"/>
      <c r="H300" s="211" t="n"/>
    </row>
    <row r="301" ht="14.25" customHeight="1" s="235">
      <c r="A301" s="208" t="n"/>
      <c r="B301" s="209" t="n"/>
      <c r="C301" s="209" t="n"/>
      <c r="D301" s="209" t="n"/>
      <c r="E301" s="209" t="n"/>
      <c r="F301" s="459" t="n"/>
      <c r="G301" s="209" t="n"/>
      <c r="H301" s="211" t="n"/>
    </row>
    <row r="302" ht="14.25" customHeight="1" s="235">
      <c r="A302" s="208" t="n"/>
      <c r="B302" s="209" t="n"/>
      <c r="C302" s="209" t="n"/>
      <c r="D302" s="209" t="n"/>
      <c r="E302" s="209" t="n"/>
      <c r="F302" s="459" t="n"/>
      <c r="G302" s="209" t="n"/>
      <c r="H302" s="211" t="n"/>
    </row>
    <row r="303" ht="14.25" customHeight="1" s="235">
      <c r="A303" s="208" t="n"/>
      <c r="B303" s="209" t="n"/>
      <c r="C303" s="209" t="n"/>
      <c r="D303" s="209" t="n"/>
      <c r="E303" s="209" t="n"/>
      <c r="F303" s="459" t="n"/>
      <c r="G303" s="209" t="n"/>
      <c r="H303" s="211" t="n"/>
    </row>
    <row r="304" ht="14.25" customHeight="1" s="235">
      <c r="A304" s="208" t="n"/>
      <c r="B304" s="209" t="n"/>
      <c r="C304" s="209" t="n"/>
      <c r="D304" s="209" t="n"/>
      <c r="E304" s="209" t="n"/>
      <c r="F304" s="459" t="n"/>
      <c r="G304" s="209" t="n"/>
      <c r="H304" s="211" t="n"/>
    </row>
    <row r="305" ht="14.25" customHeight="1" s="235">
      <c r="A305" s="208" t="n"/>
      <c r="B305" s="209" t="n"/>
      <c r="C305" s="209" t="n"/>
      <c r="D305" s="209" t="n"/>
      <c r="E305" s="209" t="n"/>
      <c r="F305" s="459" t="n"/>
      <c r="G305" s="209" t="n"/>
      <c r="H305" s="211" t="n"/>
    </row>
    <row r="306" ht="14.25" customHeight="1" s="235">
      <c r="A306" s="208" t="n"/>
      <c r="B306" s="209" t="n"/>
      <c r="C306" s="209" t="n"/>
      <c r="D306" s="209" t="n"/>
      <c r="E306" s="209" t="n"/>
      <c r="F306" s="459" t="n"/>
      <c r="G306" s="209" t="n"/>
      <c r="H306" s="211" t="n"/>
    </row>
    <row r="307" ht="14.25" customHeight="1" s="235">
      <c r="A307" s="208" t="n"/>
      <c r="B307" s="209" t="n"/>
      <c r="C307" s="209" t="n"/>
      <c r="D307" s="209" t="n"/>
      <c r="E307" s="209" t="n"/>
      <c r="F307" s="459" t="n"/>
      <c r="G307" s="209" t="n"/>
      <c r="H307" s="211" t="n"/>
    </row>
    <row r="308" ht="14.25" customHeight="1" s="235">
      <c r="A308" s="208" t="n"/>
      <c r="B308" s="209" t="n"/>
      <c r="C308" s="209" t="n"/>
      <c r="D308" s="209" t="n"/>
      <c r="E308" s="209" t="n"/>
      <c r="F308" s="459" t="n"/>
      <c r="G308" s="209" t="n"/>
      <c r="H308" s="211" t="n"/>
    </row>
    <row r="309" ht="14.25" customHeight="1" s="235">
      <c r="A309" s="208" t="n"/>
      <c r="B309" s="209" t="n"/>
      <c r="C309" s="209" t="n"/>
      <c r="D309" s="209" t="n"/>
      <c r="E309" s="209" t="n"/>
      <c r="F309" s="459" t="n"/>
      <c r="G309" s="209" t="n"/>
      <c r="H309" s="211" t="n"/>
    </row>
    <row r="310" ht="14.25" customHeight="1" s="235">
      <c r="A310" s="208" t="n"/>
      <c r="B310" s="209" t="n"/>
      <c r="C310" s="209" t="n"/>
      <c r="D310" s="209" t="n"/>
      <c r="E310" s="209" t="n"/>
      <c r="F310" s="459" t="n"/>
      <c r="G310" s="209" t="n"/>
      <c r="H310" s="211" t="n"/>
    </row>
    <row r="311" ht="14.25" customHeight="1" s="235">
      <c r="A311" s="208" t="n"/>
      <c r="B311" s="209" t="n"/>
      <c r="C311" s="209" t="n"/>
      <c r="D311" s="209" t="n"/>
      <c r="E311" s="209" t="n"/>
      <c r="F311" s="459" t="n"/>
      <c r="G311" s="209" t="n"/>
      <c r="H311" s="211" t="n"/>
    </row>
    <row r="312" ht="14.25" customHeight="1" s="235">
      <c r="A312" s="208" t="n"/>
      <c r="B312" s="209" t="n"/>
      <c r="C312" s="209" t="n"/>
      <c r="D312" s="209" t="n"/>
      <c r="E312" s="209" t="n"/>
      <c r="F312" s="459" t="n"/>
      <c r="G312" s="209" t="n"/>
      <c r="H312" s="211" t="n"/>
    </row>
    <row r="313" ht="14.25" customHeight="1" s="235">
      <c r="A313" s="208" t="n"/>
      <c r="B313" s="209" t="n"/>
      <c r="C313" s="209" t="n"/>
      <c r="D313" s="209" t="n"/>
      <c r="E313" s="209" t="n"/>
      <c r="F313" s="459" t="n"/>
      <c r="G313" s="209" t="n"/>
      <c r="H313" s="211" t="n"/>
    </row>
    <row r="314" ht="14.25" customHeight="1" s="235">
      <c r="A314" s="208" t="n"/>
      <c r="B314" s="209" t="n"/>
      <c r="C314" s="209" t="n"/>
      <c r="D314" s="209" t="n"/>
      <c r="E314" s="209" t="n"/>
      <c r="F314" s="459" t="n"/>
      <c r="G314" s="209" t="n"/>
      <c r="H314" s="211" t="n"/>
    </row>
    <row r="315" ht="14.25" customHeight="1" s="235">
      <c r="A315" s="208" t="n"/>
      <c r="B315" s="209" t="n"/>
      <c r="C315" s="209" t="n"/>
      <c r="D315" s="209" t="n"/>
      <c r="E315" s="209" t="n"/>
      <c r="F315" s="459" t="n"/>
      <c r="G315" s="209" t="n"/>
      <c r="H315" s="211" t="n"/>
    </row>
    <row r="316" ht="14.25" customHeight="1" s="235">
      <c r="A316" s="208" t="n"/>
      <c r="B316" s="209" t="n"/>
      <c r="C316" s="209" t="n"/>
      <c r="D316" s="209" t="n"/>
      <c r="E316" s="209" t="n"/>
      <c r="F316" s="459" t="n"/>
      <c r="G316" s="209" t="n"/>
      <c r="H316" s="211" t="n"/>
    </row>
    <row r="317" ht="14.25" customHeight="1" s="235">
      <c r="A317" s="208" t="n"/>
      <c r="B317" s="209" t="n"/>
      <c r="C317" s="209" t="n"/>
      <c r="D317" s="209" t="n"/>
      <c r="E317" s="209" t="n"/>
      <c r="F317" s="459" t="n"/>
      <c r="G317" s="209" t="n"/>
      <c r="H317" s="211" t="n"/>
    </row>
    <row r="318" ht="14.25" customHeight="1" s="235">
      <c r="A318" s="208" t="n"/>
      <c r="B318" s="209" t="n"/>
      <c r="C318" s="209" t="n"/>
      <c r="D318" s="209" t="n"/>
      <c r="E318" s="209" t="n"/>
      <c r="F318" s="459" t="n"/>
      <c r="G318" s="209" t="n"/>
      <c r="H318" s="211" t="n"/>
    </row>
    <row r="319" ht="14.25" customHeight="1" s="235">
      <c r="A319" s="208" t="n"/>
      <c r="B319" s="209" t="n"/>
      <c r="C319" s="209" t="n"/>
      <c r="D319" s="209" t="n"/>
      <c r="E319" s="209" t="n"/>
      <c r="F319" s="459" t="n"/>
      <c r="G319" s="209" t="n"/>
      <c r="H319" s="211" t="n"/>
    </row>
    <row r="320" ht="14.25" customHeight="1" s="235">
      <c r="A320" s="208" t="n"/>
      <c r="B320" s="209" t="n"/>
      <c r="C320" s="209" t="n"/>
      <c r="D320" s="209" t="n"/>
      <c r="E320" s="209" t="n"/>
      <c r="F320" s="459" t="n"/>
      <c r="G320" s="209" t="n"/>
      <c r="H320" s="211" t="n"/>
    </row>
    <row r="321" ht="14.25" customHeight="1" s="235">
      <c r="A321" s="208" t="n"/>
      <c r="B321" s="209" t="n"/>
      <c r="C321" s="209" t="n"/>
      <c r="D321" s="209" t="n"/>
      <c r="E321" s="209" t="n"/>
      <c r="F321" s="459" t="n"/>
      <c r="G321" s="209" t="n"/>
      <c r="H321" s="211" t="n"/>
    </row>
    <row r="322" ht="14.25" customHeight="1" s="235">
      <c r="A322" s="208" t="n"/>
      <c r="B322" s="209" t="n"/>
      <c r="C322" s="209" t="n"/>
      <c r="D322" s="209" t="n"/>
      <c r="E322" s="209" t="n"/>
      <c r="F322" s="459" t="n"/>
      <c r="G322" s="209" t="n"/>
      <c r="H322" s="211" t="n"/>
    </row>
    <row r="323" ht="14.25" customHeight="1" s="235">
      <c r="A323" s="208" t="n"/>
      <c r="B323" s="209" t="n"/>
      <c r="C323" s="209" t="n"/>
      <c r="D323" s="209" t="n"/>
      <c r="E323" s="209" t="n"/>
      <c r="F323" s="459" t="n"/>
      <c r="G323" s="209" t="n"/>
      <c r="H323" s="211" t="n"/>
    </row>
    <row r="324" ht="14.25" customHeight="1" s="235">
      <c r="A324" s="208" t="n"/>
      <c r="B324" s="209" t="n"/>
      <c r="C324" s="209" t="n"/>
      <c r="D324" s="209" t="n"/>
      <c r="E324" s="209" t="n"/>
      <c r="F324" s="459" t="n"/>
      <c r="G324" s="209" t="n"/>
      <c r="H324" s="211" t="n"/>
    </row>
    <row r="325" ht="14.25" customHeight="1" s="235">
      <c r="A325" s="208" t="n"/>
      <c r="B325" s="209" t="n"/>
      <c r="C325" s="209" t="n"/>
      <c r="D325" s="209" t="n"/>
      <c r="E325" s="209" t="n"/>
      <c r="F325" s="459" t="n"/>
      <c r="G325" s="209" t="n"/>
      <c r="H325" s="211" t="n"/>
    </row>
    <row r="326" ht="14.25" customHeight="1" s="235">
      <c r="A326" s="208" t="n"/>
      <c r="B326" s="209" t="n"/>
      <c r="C326" s="209" t="n"/>
      <c r="D326" s="209" t="n"/>
      <c r="E326" s="209" t="n"/>
      <c r="F326" s="459" t="n"/>
      <c r="G326" s="209" t="n"/>
      <c r="H326" s="211" t="n"/>
    </row>
    <row r="327" ht="14.25" customHeight="1" s="235">
      <c r="A327" s="208" t="n"/>
      <c r="B327" s="209" t="n"/>
      <c r="C327" s="209" t="n"/>
      <c r="D327" s="209" t="n"/>
      <c r="E327" s="209" t="n"/>
      <c r="F327" s="459" t="n"/>
      <c r="G327" s="209" t="n"/>
      <c r="H327" s="211" t="n"/>
    </row>
    <row r="328" ht="14.25" customHeight="1" s="235">
      <c r="A328" s="208" t="n"/>
      <c r="B328" s="209" t="n"/>
      <c r="C328" s="209" t="n"/>
      <c r="D328" s="209" t="n"/>
      <c r="E328" s="209" t="n"/>
      <c r="F328" s="459" t="n"/>
      <c r="G328" s="209" t="n"/>
      <c r="H328" s="211" t="n"/>
    </row>
    <row r="329" ht="14.25" customHeight="1" s="235">
      <c r="A329" s="208" t="n"/>
      <c r="B329" s="209" t="n"/>
      <c r="C329" s="209" t="n"/>
      <c r="D329" s="209" t="n"/>
      <c r="E329" s="209" t="n"/>
      <c r="F329" s="459" t="n"/>
      <c r="G329" s="209" t="n"/>
      <c r="H329" s="211" t="n"/>
    </row>
    <row r="330" ht="14.25" customHeight="1" s="235">
      <c r="A330" s="208" t="n"/>
      <c r="B330" s="209" t="n"/>
      <c r="C330" s="209" t="n"/>
      <c r="D330" s="209" t="n"/>
      <c r="E330" s="209" t="n"/>
      <c r="F330" s="459" t="n"/>
      <c r="G330" s="209" t="n"/>
      <c r="H330" s="211" t="n"/>
    </row>
    <row r="331" ht="14.25" customHeight="1" s="235">
      <c r="A331" s="208" t="n"/>
      <c r="B331" s="209" t="n"/>
      <c r="C331" s="209" t="n"/>
      <c r="D331" s="209" t="n"/>
      <c r="E331" s="209" t="n"/>
      <c r="F331" s="459" t="n"/>
      <c r="G331" s="209" t="n"/>
      <c r="H331" s="211" t="n"/>
    </row>
    <row r="332" ht="14.25" customHeight="1" s="235">
      <c r="A332" s="208" t="n"/>
      <c r="B332" s="209" t="n"/>
      <c r="C332" s="209" t="n"/>
      <c r="D332" s="209" t="n"/>
      <c r="E332" s="209" t="n"/>
      <c r="F332" s="459" t="n"/>
      <c r="G332" s="209" t="n"/>
      <c r="H332" s="211" t="n"/>
    </row>
    <row r="333" ht="14.25" customHeight="1" s="235">
      <c r="A333" s="208" t="n"/>
      <c r="B333" s="209" t="n"/>
      <c r="C333" s="209" t="n"/>
      <c r="D333" s="209" t="n"/>
      <c r="E333" s="209" t="n"/>
      <c r="F333" s="459" t="n"/>
      <c r="G333" s="209" t="n"/>
      <c r="H333" s="211" t="n"/>
    </row>
    <row r="334" ht="14.25" customHeight="1" s="235">
      <c r="A334" s="208" t="n"/>
      <c r="B334" s="209" t="n"/>
      <c r="C334" s="209" t="n"/>
      <c r="D334" s="209" t="n"/>
      <c r="E334" s="209" t="n"/>
      <c r="F334" s="459" t="n"/>
      <c r="G334" s="209" t="n"/>
      <c r="H334" s="211" t="n"/>
    </row>
    <row r="335" ht="14.25" customHeight="1" s="235">
      <c r="A335" s="208" t="n"/>
      <c r="B335" s="209" t="n"/>
      <c r="C335" s="209" t="n"/>
      <c r="D335" s="209" t="n"/>
      <c r="E335" s="209" t="n"/>
      <c r="F335" s="459" t="n"/>
      <c r="G335" s="209" t="n"/>
      <c r="H335" s="211" t="n"/>
    </row>
    <row r="336" ht="14.25" customHeight="1" s="235">
      <c r="A336" s="208" t="n"/>
      <c r="B336" s="209" t="n"/>
      <c r="C336" s="209" t="n"/>
      <c r="D336" s="209" t="n"/>
      <c r="E336" s="209" t="n"/>
      <c r="F336" s="459" t="n"/>
      <c r="G336" s="209" t="n"/>
      <c r="H336" s="211" t="n"/>
    </row>
    <row r="337" ht="14.25" customHeight="1" s="235">
      <c r="A337" s="208" t="n"/>
      <c r="B337" s="209" t="n"/>
      <c r="C337" s="209" t="n"/>
      <c r="D337" s="209" t="n"/>
      <c r="E337" s="209" t="n"/>
      <c r="F337" s="459" t="n"/>
      <c r="G337" s="209" t="n"/>
      <c r="H337" s="211" t="n"/>
    </row>
    <row r="338" ht="14.25" customHeight="1" s="235">
      <c r="A338" s="208" t="n"/>
      <c r="B338" s="209" t="n"/>
      <c r="C338" s="209" t="n"/>
      <c r="D338" s="209" t="n"/>
      <c r="E338" s="209" t="n"/>
      <c r="F338" s="459" t="n"/>
      <c r="G338" s="209" t="n"/>
      <c r="H338" s="211" t="n"/>
    </row>
    <row r="339" ht="14.25" customHeight="1" s="235">
      <c r="A339" s="208" t="n"/>
      <c r="B339" s="209" t="n"/>
      <c r="C339" s="209" t="n"/>
      <c r="D339" s="209" t="n"/>
      <c r="E339" s="209" t="n"/>
      <c r="F339" s="459" t="n"/>
      <c r="G339" s="209" t="n"/>
      <c r="H339" s="211" t="n"/>
    </row>
    <row r="340" ht="14.25" customHeight="1" s="235">
      <c r="A340" s="208" t="n"/>
      <c r="B340" s="209" t="n"/>
      <c r="C340" s="209" t="n"/>
      <c r="D340" s="209" t="n"/>
      <c r="E340" s="209" t="n"/>
      <c r="F340" s="459" t="n"/>
      <c r="G340" s="209" t="n"/>
      <c r="H340" s="211" t="n"/>
    </row>
    <row r="341" ht="14.25" customHeight="1" s="235">
      <c r="A341" s="208" t="n"/>
      <c r="B341" s="209" t="n"/>
      <c r="C341" s="209" t="n"/>
      <c r="D341" s="209" t="n"/>
      <c r="E341" s="209" t="n"/>
      <c r="F341" s="459" t="n"/>
      <c r="G341" s="209" t="n"/>
      <c r="H341" s="211" t="n"/>
    </row>
    <row r="342" ht="14.25" customHeight="1" s="235">
      <c r="A342" s="208" t="n"/>
      <c r="B342" s="209" t="n"/>
      <c r="C342" s="209" t="n"/>
      <c r="D342" s="209" t="n"/>
      <c r="E342" s="209" t="n"/>
      <c r="F342" s="459" t="n"/>
      <c r="G342" s="209" t="n"/>
      <c r="H342" s="211" t="n"/>
    </row>
    <row r="343" ht="14.25" customHeight="1" s="235">
      <c r="A343" s="208" t="n"/>
      <c r="B343" s="209" t="n"/>
      <c r="C343" s="209" t="n"/>
      <c r="D343" s="209" t="n"/>
      <c r="E343" s="209" t="n"/>
      <c r="F343" s="459" t="n"/>
      <c r="G343" s="209" t="n"/>
      <c r="H343" s="211" t="n"/>
    </row>
    <row r="344" ht="14.25" customHeight="1" s="235">
      <c r="A344" s="208" t="n"/>
      <c r="B344" s="209" t="n"/>
      <c r="C344" s="209" t="n"/>
      <c r="D344" s="209" t="n"/>
      <c r="E344" s="209" t="n"/>
      <c r="F344" s="459" t="n"/>
      <c r="G344" s="209" t="n"/>
      <c r="H344" s="211" t="n"/>
    </row>
    <row r="345" ht="14.25" customHeight="1" s="235">
      <c r="A345" s="208" t="n"/>
      <c r="B345" s="209" t="n"/>
      <c r="C345" s="209" t="n"/>
      <c r="D345" s="209" t="n"/>
      <c r="E345" s="209" t="n"/>
      <c r="F345" s="459" t="n"/>
      <c r="G345" s="209" t="n"/>
      <c r="H345" s="211" t="n"/>
    </row>
    <row r="346" ht="14.25" customHeight="1" s="235">
      <c r="A346" s="208" t="n"/>
      <c r="B346" s="209" t="n"/>
      <c r="C346" s="209" t="n"/>
      <c r="D346" s="209" t="n"/>
      <c r="E346" s="209" t="n"/>
      <c r="F346" s="459" t="n"/>
      <c r="G346" s="209" t="n"/>
      <c r="H346" s="211" t="n"/>
    </row>
    <row r="347" ht="14.25" customHeight="1" s="235">
      <c r="A347" s="208" t="n"/>
      <c r="B347" s="209" t="n"/>
      <c r="C347" s="209" t="n"/>
      <c r="D347" s="209" t="n"/>
      <c r="E347" s="209" t="n"/>
      <c r="F347" s="459" t="n"/>
      <c r="G347" s="209" t="n"/>
      <c r="H347" s="211" t="n"/>
    </row>
    <row r="348" ht="14.25" customHeight="1" s="235">
      <c r="A348" s="208" t="n"/>
      <c r="B348" s="209" t="n"/>
      <c r="C348" s="209" t="n"/>
      <c r="D348" s="209" t="n"/>
      <c r="E348" s="209" t="n"/>
      <c r="F348" s="459" t="n"/>
      <c r="G348" s="209" t="n"/>
      <c r="H348" s="211" t="n"/>
    </row>
    <row r="349" ht="14.25" customHeight="1" s="235">
      <c r="A349" s="208" t="n"/>
      <c r="B349" s="209" t="n"/>
      <c r="C349" s="209" t="n"/>
      <c r="D349" s="209" t="n"/>
      <c r="E349" s="209" t="n"/>
      <c r="F349" s="459" t="n"/>
      <c r="G349" s="209" t="n"/>
      <c r="H349" s="211" t="n"/>
    </row>
    <row r="350" ht="14.25" customHeight="1" s="235">
      <c r="A350" s="208" t="n"/>
      <c r="B350" s="209" t="n"/>
      <c r="C350" s="209" t="n"/>
      <c r="D350" s="209" t="n"/>
      <c r="E350" s="209" t="n"/>
      <c r="F350" s="459" t="n"/>
      <c r="G350" s="209" t="n"/>
      <c r="H350" s="211" t="n"/>
    </row>
    <row r="351" ht="14.25" customHeight="1" s="235">
      <c r="A351" s="208" t="n"/>
      <c r="B351" s="209" t="n"/>
      <c r="C351" s="209" t="n"/>
      <c r="D351" s="209" t="n"/>
      <c r="E351" s="209" t="n"/>
      <c r="F351" s="459" t="n"/>
      <c r="G351" s="209" t="n"/>
      <c r="H351" s="211" t="n"/>
    </row>
    <row r="352" ht="14.25" customHeight="1" s="235">
      <c r="A352" s="208" t="n"/>
      <c r="B352" s="209" t="n"/>
      <c r="C352" s="209" t="n"/>
      <c r="D352" s="209" t="n"/>
      <c r="E352" s="209" t="n"/>
      <c r="F352" s="459" t="n"/>
      <c r="G352" s="209" t="n"/>
      <c r="H352" s="211" t="n"/>
    </row>
    <row r="353" ht="14.25" customHeight="1" s="235">
      <c r="A353" s="208" t="n"/>
      <c r="B353" s="209" t="n"/>
      <c r="C353" s="209" t="n"/>
      <c r="D353" s="209" t="n"/>
      <c r="E353" s="209" t="n"/>
      <c r="F353" s="459" t="n"/>
      <c r="G353" s="209" t="n"/>
      <c r="H353" s="211" t="n"/>
    </row>
    <row r="354" ht="14.25" customHeight="1" s="235">
      <c r="A354" s="208" t="n"/>
      <c r="B354" s="209" t="n"/>
      <c r="C354" s="209" t="n"/>
      <c r="D354" s="209" t="n"/>
      <c r="E354" s="209" t="n"/>
      <c r="F354" s="459" t="n"/>
      <c r="G354" s="209" t="n"/>
      <c r="H354" s="211" t="n"/>
    </row>
    <row r="355" ht="14.25" customHeight="1" s="235">
      <c r="A355" s="208" t="n"/>
      <c r="B355" s="209" t="n"/>
      <c r="C355" s="209" t="n"/>
      <c r="D355" s="209" t="n"/>
      <c r="E355" s="209" t="n"/>
      <c r="F355" s="459" t="n"/>
      <c r="G355" s="209" t="n"/>
      <c r="H355" s="211" t="n"/>
    </row>
    <row r="356" ht="14.25" customHeight="1" s="235">
      <c r="A356" s="208" t="n"/>
      <c r="B356" s="209" t="n"/>
      <c r="C356" s="209" t="n"/>
      <c r="D356" s="209" t="n"/>
      <c r="E356" s="209" t="n"/>
      <c r="F356" s="459" t="n"/>
      <c r="G356" s="209" t="n"/>
      <c r="H356" s="211" t="n"/>
    </row>
    <row r="357" ht="14.25" customHeight="1" s="235">
      <c r="A357" s="208" t="n"/>
      <c r="B357" s="209" t="n"/>
      <c r="C357" s="209" t="n"/>
      <c r="D357" s="209" t="n"/>
      <c r="E357" s="209" t="n"/>
      <c r="F357" s="459" t="n"/>
      <c r="G357" s="209" t="n"/>
      <c r="H357" s="211" t="n"/>
    </row>
    <row r="358" ht="14.25" customHeight="1" s="235">
      <c r="A358" s="208" t="n"/>
      <c r="B358" s="209" t="n"/>
      <c r="C358" s="209" t="n"/>
      <c r="D358" s="209" t="n"/>
      <c r="E358" s="209" t="n"/>
      <c r="F358" s="459" t="n"/>
      <c r="G358" s="209" t="n"/>
      <c r="H358" s="211" t="n"/>
    </row>
    <row r="359" ht="14.25" customHeight="1" s="235">
      <c r="A359" s="208" t="n"/>
      <c r="B359" s="209" t="n"/>
      <c r="C359" s="209" t="n"/>
      <c r="D359" s="209" t="n"/>
      <c r="E359" s="209" t="n"/>
      <c r="F359" s="459" t="n"/>
      <c r="G359" s="209" t="n"/>
      <c r="H359" s="211" t="n"/>
    </row>
    <row r="360" ht="14.25" customHeight="1" s="235">
      <c r="A360" s="208" t="n"/>
      <c r="B360" s="209" t="n"/>
      <c r="C360" s="209" t="n"/>
      <c r="D360" s="209" t="n"/>
      <c r="E360" s="209" t="n"/>
      <c r="F360" s="459" t="n"/>
      <c r="G360" s="209" t="n"/>
      <c r="H360" s="211" t="n"/>
    </row>
    <row r="361" ht="14.25" customHeight="1" s="235">
      <c r="A361" s="208" t="n"/>
      <c r="B361" s="209" t="n"/>
      <c r="C361" s="209" t="n"/>
      <c r="D361" s="209" t="n"/>
      <c r="E361" s="209" t="n"/>
      <c r="F361" s="459" t="n"/>
      <c r="G361" s="209" t="n"/>
      <c r="H361" s="211" t="n"/>
    </row>
    <row r="362" ht="14.25" customHeight="1" s="235">
      <c r="A362" s="208" t="n"/>
      <c r="B362" s="209" t="n"/>
      <c r="C362" s="209" t="n"/>
      <c r="D362" s="209" t="n"/>
      <c r="E362" s="209" t="n"/>
      <c r="F362" s="459" t="n"/>
      <c r="G362" s="209" t="n"/>
      <c r="H362" s="211" t="n"/>
    </row>
    <row r="363" ht="14.25" customHeight="1" s="235">
      <c r="A363" s="208" t="n"/>
      <c r="B363" s="209" t="n"/>
      <c r="C363" s="209" t="n"/>
      <c r="D363" s="209" t="n"/>
      <c r="E363" s="209" t="n"/>
      <c r="F363" s="459" t="n"/>
      <c r="G363" s="209" t="n"/>
      <c r="H363" s="211" t="n"/>
    </row>
    <row r="364" ht="14.25" customHeight="1" s="235">
      <c r="A364" s="208" t="n"/>
      <c r="B364" s="209" t="n"/>
      <c r="C364" s="209" t="n"/>
      <c r="D364" s="209" t="n"/>
      <c r="E364" s="209" t="n"/>
      <c r="F364" s="459" t="n"/>
      <c r="G364" s="209" t="n"/>
      <c r="H364" s="211" t="n"/>
    </row>
    <row r="365" ht="14.25" customHeight="1" s="235">
      <c r="A365" s="208" t="n"/>
      <c r="B365" s="209" t="n"/>
      <c r="C365" s="209" t="n"/>
      <c r="D365" s="209" t="n"/>
      <c r="E365" s="209" t="n"/>
      <c r="F365" s="459" t="n"/>
      <c r="G365" s="209" t="n"/>
      <c r="H365" s="211" t="n"/>
    </row>
    <row r="366" ht="14.25" customHeight="1" s="235">
      <c r="A366" s="208" t="n"/>
      <c r="B366" s="209" t="n"/>
      <c r="C366" s="209" t="n"/>
      <c r="D366" s="209" t="n"/>
      <c r="E366" s="209" t="n"/>
      <c r="F366" s="459" t="n"/>
      <c r="G366" s="209" t="n"/>
      <c r="H366" s="211" t="n"/>
    </row>
    <row r="367" ht="14.25" customHeight="1" s="235">
      <c r="A367" s="208" t="n"/>
      <c r="B367" s="209" t="n"/>
      <c r="C367" s="209" t="n"/>
      <c r="D367" s="209" t="n"/>
      <c r="E367" s="209" t="n"/>
      <c r="F367" s="459" t="n"/>
      <c r="G367" s="209" t="n"/>
      <c r="H367" s="211" t="n"/>
    </row>
    <row r="368" ht="14.25" customHeight="1" s="235">
      <c r="A368" s="208" t="n"/>
      <c r="B368" s="209" t="n"/>
      <c r="C368" s="209" t="n"/>
      <c r="D368" s="209" t="n"/>
      <c r="E368" s="209" t="n"/>
      <c r="F368" s="459" t="n"/>
      <c r="G368" s="209" t="n"/>
      <c r="H368" s="211" t="n"/>
    </row>
    <row r="369" ht="14.25" customHeight="1" s="235">
      <c r="A369" s="208" t="n"/>
      <c r="B369" s="209" t="n"/>
      <c r="C369" s="209" t="n"/>
      <c r="D369" s="209" t="n"/>
      <c r="E369" s="209" t="n"/>
      <c r="F369" s="459" t="n"/>
      <c r="G369" s="209" t="n"/>
      <c r="H369" s="211" t="n"/>
    </row>
    <row r="370" ht="14.25" customHeight="1" s="235">
      <c r="A370" s="208" t="n"/>
      <c r="B370" s="209" t="n"/>
      <c r="C370" s="209" t="n"/>
      <c r="D370" s="209" t="n"/>
      <c r="E370" s="209" t="n"/>
      <c r="F370" s="459" t="n"/>
      <c r="G370" s="209" t="n"/>
      <c r="H370" s="211" t="n"/>
    </row>
    <row r="371" ht="14.25" customHeight="1" s="235">
      <c r="A371" s="208" t="n"/>
      <c r="B371" s="209" t="n"/>
      <c r="C371" s="209" t="n"/>
      <c r="D371" s="209" t="n"/>
      <c r="E371" s="209" t="n"/>
      <c r="F371" s="459" t="n"/>
      <c r="G371" s="209" t="n"/>
      <c r="H371" s="211" t="n"/>
    </row>
    <row r="372" ht="14.25" customHeight="1" s="235">
      <c r="A372" s="208" t="n"/>
      <c r="B372" s="209" t="n"/>
      <c r="C372" s="209" t="n"/>
      <c r="D372" s="209" t="n"/>
      <c r="E372" s="209" t="n"/>
      <c r="F372" s="459" t="n"/>
      <c r="G372" s="209" t="n"/>
      <c r="H372" s="211" t="n"/>
    </row>
    <row r="373" ht="14.25" customHeight="1" s="235">
      <c r="A373" s="208" t="n"/>
      <c r="B373" s="209" t="n"/>
      <c r="C373" s="209" t="n"/>
      <c r="D373" s="209" t="n"/>
      <c r="E373" s="209" t="n"/>
      <c r="F373" s="459" t="n"/>
      <c r="G373" s="209" t="n"/>
      <c r="H373" s="211" t="n"/>
    </row>
    <row r="374" ht="14.25" customHeight="1" s="235">
      <c r="A374" s="208" t="n"/>
      <c r="B374" s="209" t="n"/>
      <c r="C374" s="209" t="n"/>
      <c r="D374" s="209" t="n"/>
      <c r="E374" s="209" t="n"/>
      <c r="F374" s="459" t="n"/>
      <c r="G374" s="209" t="n"/>
      <c r="H374" s="211" t="n"/>
    </row>
    <row r="375" ht="14.25" customHeight="1" s="235">
      <c r="A375" s="208" t="n"/>
      <c r="B375" s="209" t="n"/>
      <c r="C375" s="209" t="n"/>
      <c r="D375" s="209" t="n"/>
      <c r="E375" s="209" t="n"/>
      <c r="F375" s="459" t="n"/>
      <c r="G375" s="209" t="n"/>
      <c r="H375" s="211" t="n"/>
    </row>
    <row r="376" ht="14.25" customHeight="1" s="235">
      <c r="A376" s="208" t="n"/>
      <c r="B376" s="209" t="n"/>
      <c r="C376" s="209" t="n"/>
      <c r="D376" s="209" t="n"/>
      <c r="E376" s="209" t="n"/>
      <c r="F376" s="459" t="n"/>
      <c r="G376" s="209" t="n"/>
      <c r="H376" s="211" t="n"/>
    </row>
    <row r="377" ht="14.25" customHeight="1" s="235">
      <c r="A377" s="208" t="n"/>
      <c r="B377" s="209" t="n"/>
      <c r="C377" s="209" t="n"/>
      <c r="D377" s="209" t="n"/>
      <c r="E377" s="209" t="n"/>
      <c r="F377" s="459" t="n"/>
      <c r="G377" s="209" t="n"/>
      <c r="H377" s="211" t="n"/>
    </row>
    <row r="378" ht="14.25" customHeight="1" s="235">
      <c r="A378" s="208" t="n"/>
      <c r="B378" s="209" t="n"/>
      <c r="C378" s="209" t="n"/>
      <c r="D378" s="209" t="n"/>
      <c r="E378" s="209" t="n"/>
      <c r="F378" s="459" t="n"/>
      <c r="G378" s="209" t="n"/>
      <c r="H378" s="211" t="n"/>
    </row>
    <row r="379" ht="14.25" customHeight="1" s="235">
      <c r="A379" s="208" t="n"/>
      <c r="B379" s="209" t="n"/>
      <c r="C379" s="209" t="n"/>
      <c r="D379" s="209" t="n"/>
      <c r="E379" s="209" t="n"/>
      <c r="F379" s="459" t="n"/>
      <c r="G379" s="209" t="n"/>
      <c r="H379" s="211" t="n"/>
    </row>
    <row r="380" ht="14.25" customHeight="1" s="235">
      <c r="A380" s="208" t="n"/>
      <c r="B380" s="209" t="n"/>
      <c r="C380" s="209" t="n"/>
      <c r="D380" s="209" t="n"/>
      <c r="E380" s="209" t="n"/>
      <c r="F380" s="459" t="n"/>
      <c r="G380" s="209" t="n"/>
      <c r="H380" s="211" t="n"/>
    </row>
    <row r="381" ht="14.25" customHeight="1" s="235">
      <c r="A381" s="208" t="n"/>
      <c r="B381" s="209" t="n"/>
      <c r="C381" s="209" t="n"/>
      <c r="D381" s="209" t="n"/>
      <c r="E381" s="209" t="n"/>
      <c r="F381" s="459" t="n"/>
      <c r="G381" s="209" t="n"/>
      <c r="H381" s="211" t="n"/>
    </row>
    <row r="382" ht="14.25" customHeight="1" s="235">
      <c r="A382" s="208" t="n"/>
      <c r="B382" s="209" t="n"/>
      <c r="C382" s="209" t="n"/>
      <c r="D382" s="209" t="n"/>
      <c r="E382" s="209" t="n"/>
      <c r="F382" s="459" t="n"/>
      <c r="G382" s="209" t="n"/>
      <c r="H382" s="211" t="n"/>
    </row>
    <row r="383" ht="14.25" customHeight="1" s="235">
      <c r="A383" s="208" t="n"/>
      <c r="B383" s="209" t="n"/>
      <c r="C383" s="209" t="n"/>
      <c r="D383" s="209" t="n"/>
      <c r="E383" s="209" t="n"/>
      <c r="F383" s="459" t="n"/>
      <c r="G383" s="209" t="n"/>
      <c r="H383" s="211" t="n"/>
    </row>
    <row r="384" ht="14.25" customHeight="1" s="235">
      <c r="A384" s="208" t="n"/>
      <c r="B384" s="209" t="n"/>
      <c r="C384" s="209" t="n"/>
      <c r="D384" s="209" t="n"/>
      <c r="E384" s="209" t="n"/>
      <c r="F384" s="459" t="n"/>
      <c r="G384" s="209" t="n"/>
      <c r="H384" s="211" t="n"/>
    </row>
    <row r="385" ht="14.25" customHeight="1" s="235">
      <c r="A385" s="208" t="n"/>
      <c r="B385" s="209" t="n"/>
      <c r="C385" s="209" t="n"/>
      <c r="D385" s="209" t="n"/>
      <c r="E385" s="209" t="n"/>
      <c r="F385" s="459" t="n"/>
      <c r="G385" s="209" t="n"/>
      <c r="H385" s="211" t="n"/>
    </row>
    <row r="386" ht="14.25" customHeight="1" s="235">
      <c r="A386" s="208" t="n"/>
      <c r="B386" s="209" t="n"/>
      <c r="C386" s="209" t="n"/>
      <c r="D386" s="209" t="n"/>
      <c r="E386" s="209" t="n"/>
      <c r="F386" s="459" t="n"/>
      <c r="G386" s="209" t="n"/>
      <c r="H386" s="211" t="n"/>
    </row>
    <row r="387" ht="14.25" customHeight="1" s="235">
      <c r="A387" s="208" t="n"/>
      <c r="B387" s="209" t="n"/>
      <c r="C387" s="209" t="n"/>
      <c r="D387" s="209" t="n"/>
      <c r="E387" s="209" t="n"/>
      <c r="F387" s="459" t="n"/>
      <c r="G387" s="209" t="n"/>
      <c r="H387" s="211" t="n"/>
    </row>
    <row r="388" ht="14.25" customHeight="1" s="235">
      <c r="A388" s="208" t="n"/>
      <c r="B388" s="209" t="n"/>
      <c r="C388" s="209" t="n"/>
      <c r="D388" s="209" t="n"/>
      <c r="E388" s="209" t="n"/>
      <c r="F388" s="459" t="n"/>
      <c r="G388" s="209" t="n"/>
      <c r="H388" s="211" t="n"/>
    </row>
    <row r="389" ht="14.25" customHeight="1" s="235">
      <c r="A389" s="208" t="n"/>
      <c r="B389" s="209" t="n"/>
      <c r="C389" s="209" t="n"/>
      <c r="D389" s="209" t="n"/>
      <c r="E389" s="209" t="n"/>
      <c r="F389" s="459" t="n"/>
      <c r="G389" s="209" t="n"/>
      <c r="H389" s="211" t="n"/>
    </row>
    <row r="390" ht="14.25" customHeight="1" s="235">
      <c r="A390" s="208" t="n"/>
      <c r="B390" s="209" t="n"/>
      <c r="C390" s="209" t="n"/>
      <c r="D390" s="209" t="n"/>
      <c r="E390" s="209" t="n"/>
      <c r="F390" s="459" t="n"/>
      <c r="G390" s="209" t="n"/>
      <c r="H390" s="211" t="n"/>
    </row>
    <row r="391" ht="14.25" customHeight="1" s="235">
      <c r="A391" s="208" t="n"/>
      <c r="B391" s="209" t="n"/>
      <c r="C391" s="209" t="n"/>
      <c r="D391" s="209" t="n"/>
      <c r="E391" s="209" t="n"/>
      <c r="F391" s="459" t="n"/>
      <c r="G391" s="209" t="n"/>
      <c r="H391" s="211" t="n"/>
    </row>
    <row r="392" ht="14.25" customHeight="1" s="235">
      <c r="A392" s="208" t="n"/>
      <c r="B392" s="209" t="n"/>
      <c r="C392" s="209" t="n"/>
      <c r="D392" s="209" t="n"/>
      <c r="E392" s="209" t="n"/>
      <c r="F392" s="459" t="n"/>
      <c r="G392" s="209" t="n"/>
      <c r="H392" s="211" t="n"/>
    </row>
    <row r="393" ht="14.25" customHeight="1" s="235">
      <c r="A393" s="208" t="n"/>
      <c r="B393" s="209" t="n"/>
      <c r="C393" s="209" t="n"/>
      <c r="D393" s="209" t="n"/>
      <c r="E393" s="209" t="n"/>
      <c r="F393" s="459" t="n"/>
      <c r="G393" s="209" t="n"/>
      <c r="H393" s="211" t="n"/>
    </row>
    <row r="394" ht="14.25" customHeight="1" s="235">
      <c r="A394" s="208" t="n"/>
      <c r="B394" s="209" t="n"/>
      <c r="C394" s="209" t="n"/>
      <c r="D394" s="209" t="n"/>
      <c r="E394" s="209" t="n"/>
      <c r="F394" s="459" t="n"/>
      <c r="G394" s="209" t="n"/>
      <c r="H394" s="211" t="n"/>
    </row>
    <row r="395" ht="14.25" customHeight="1" s="235">
      <c r="A395" s="208" t="n"/>
      <c r="B395" s="209" t="n"/>
      <c r="C395" s="209" t="n"/>
      <c r="D395" s="209" t="n"/>
      <c r="E395" s="209" t="n"/>
      <c r="F395" s="459" t="n"/>
      <c r="G395" s="209" t="n"/>
      <c r="H395" s="211" t="n"/>
    </row>
    <row r="396" ht="14.25" customHeight="1" s="235">
      <c r="A396" s="208" t="n"/>
      <c r="B396" s="209" t="n"/>
      <c r="C396" s="209" t="n"/>
      <c r="D396" s="209" t="n"/>
      <c r="E396" s="209" t="n"/>
      <c r="F396" s="459" t="n"/>
      <c r="G396" s="209" t="n"/>
      <c r="H396" s="211" t="n"/>
    </row>
    <row r="397" ht="14.25" customHeight="1" s="235">
      <c r="A397" s="208" t="n"/>
      <c r="B397" s="209" t="n"/>
      <c r="C397" s="209" t="n"/>
      <c r="D397" s="209" t="n"/>
      <c r="E397" s="209" t="n"/>
      <c r="F397" s="459" t="n"/>
      <c r="G397" s="209" t="n"/>
      <c r="H397" s="211" t="n"/>
    </row>
    <row r="398" ht="14.25" customHeight="1" s="235">
      <c r="A398" s="208" t="n"/>
      <c r="B398" s="209" t="n"/>
      <c r="C398" s="209" t="n"/>
      <c r="D398" s="209" t="n"/>
      <c r="E398" s="209" t="n"/>
      <c r="F398" s="459" t="n"/>
      <c r="G398" s="209" t="n"/>
      <c r="H398" s="211" t="n"/>
    </row>
    <row r="399" ht="14.25" customHeight="1" s="235">
      <c r="A399" s="208" t="n"/>
      <c r="B399" s="209" t="n"/>
      <c r="C399" s="209" t="n"/>
      <c r="D399" s="209" t="n"/>
      <c r="E399" s="209" t="n"/>
      <c r="F399" s="459" t="n"/>
      <c r="G399" s="209" t="n"/>
      <c r="H399" s="211" t="n"/>
    </row>
    <row r="400" ht="14.25" customHeight="1" s="235">
      <c r="A400" s="208" t="n"/>
      <c r="B400" s="209" t="n"/>
      <c r="C400" s="209" t="n"/>
      <c r="D400" s="209" t="n"/>
      <c r="E400" s="209" t="n"/>
      <c r="F400" s="459" t="n"/>
      <c r="G400" s="209" t="n"/>
      <c r="H400" s="211" t="n"/>
    </row>
    <row r="401" ht="14.25" customHeight="1" s="235">
      <c r="A401" s="208" t="n"/>
      <c r="B401" s="209" t="n"/>
      <c r="C401" s="209" t="n"/>
      <c r="D401" s="209" t="n"/>
      <c r="E401" s="209" t="n"/>
      <c r="F401" s="459" t="n"/>
      <c r="G401" s="209" t="n"/>
      <c r="H401" s="211" t="n"/>
    </row>
    <row r="402" ht="14.25" customHeight="1" s="235">
      <c r="A402" s="208" t="n"/>
      <c r="B402" s="209" t="n"/>
      <c r="C402" s="209" t="n"/>
      <c r="D402" s="209" t="n"/>
      <c r="E402" s="209" t="n"/>
      <c r="F402" s="459" t="n"/>
      <c r="G402" s="209" t="n"/>
      <c r="H402" s="211" t="n"/>
    </row>
    <row r="403" ht="14.25" customHeight="1" s="235">
      <c r="A403" s="208" t="n"/>
      <c r="B403" s="209" t="n"/>
      <c r="C403" s="209" t="n"/>
      <c r="D403" s="209" t="n"/>
      <c r="E403" s="209" t="n"/>
      <c r="F403" s="459" t="n"/>
      <c r="G403" s="209" t="n"/>
      <c r="H403" s="211" t="n"/>
    </row>
    <row r="404" ht="14.25" customHeight="1" s="235">
      <c r="A404" s="208" t="n"/>
      <c r="B404" s="209" t="n"/>
      <c r="C404" s="209" t="n"/>
      <c r="D404" s="209" t="n"/>
      <c r="E404" s="209" t="n"/>
      <c r="F404" s="459" t="n"/>
      <c r="G404" s="209" t="n"/>
      <c r="H404" s="211" t="n"/>
    </row>
    <row r="405" ht="14.25" customHeight="1" s="235">
      <c r="A405" s="208" t="n"/>
      <c r="B405" s="209" t="n"/>
      <c r="C405" s="209" t="n"/>
      <c r="D405" s="209" t="n"/>
      <c r="E405" s="209" t="n"/>
      <c r="F405" s="459" t="n"/>
      <c r="G405" s="209" t="n"/>
      <c r="H405" s="211" t="n"/>
    </row>
    <row r="406" ht="14.25" customHeight="1" s="235">
      <c r="A406" s="208" t="n"/>
      <c r="B406" s="209" t="n"/>
      <c r="C406" s="209" t="n"/>
      <c r="D406" s="209" t="n"/>
      <c r="E406" s="209" t="n"/>
      <c r="F406" s="459" t="n"/>
      <c r="G406" s="209" t="n"/>
      <c r="H406" s="211" t="n"/>
    </row>
    <row r="407" ht="14.25" customHeight="1" s="235">
      <c r="A407" s="208" t="n"/>
      <c r="B407" s="209" t="n"/>
      <c r="C407" s="209" t="n"/>
      <c r="D407" s="209" t="n"/>
      <c r="E407" s="209" t="n"/>
      <c r="F407" s="459" t="n"/>
      <c r="G407" s="209" t="n"/>
      <c r="H407" s="211" t="n"/>
    </row>
    <row r="408" ht="14.25" customHeight="1" s="235">
      <c r="A408" s="208" t="n"/>
      <c r="B408" s="209" t="n"/>
      <c r="C408" s="209" t="n"/>
      <c r="D408" s="209" t="n"/>
      <c r="E408" s="209" t="n"/>
      <c r="F408" s="459" t="n"/>
      <c r="G408" s="209" t="n"/>
      <c r="H408" s="211" t="n"/>
    </row>
    <row r="409" ht="14.25" customHeight="1" s="235">
      <c r="A409" s="208" t="n"/>
      <c r="B409" s="209" t="n"/>
      <c r="C409" s="209" t="n"/>
      <c r="D409" s="209" t="n"/>
      <c r="E409" s="209" t="n"/>
      <c r="F409" s="459" t="n"/>
      <c r="G409" s="209" t="n"/>
      <c r="H409" s="211" t="n"/>
    </row>
    <row r="410" ht="14.25" customHeight="1" s="235">
      <c r="A410" s="208" t="n"/>
      <c r="B410" s="209" t="n"/>
      <c r="C410" s="209" t="n"/>
      <c r="D410" s="209" t="n"/>
      <c r="E410" s="209" t="n"/>
      <c r="F410" s="459" t="n"/>
      <c r="G410" s="209" t="n"/>
      <c r="H410" s="211" t="n"/>
    </row>
    <row r="411" ht="14.25" customHeight="1" s="235">
      <c r="A411" s="208" t="n"/>
      <c r="B411" s="209" t="n"/>
      <c r="C411" s="209" t="n"/>
      <c r="D411" s="209" t="n"/>
      <c r="E411" s="209" t="n"/>
      <c r="F411" s="459" t="n"/>
      <c r="G411" s="209" t="n"/>
      <c r="H411" s="211" t="n"/>
    </row>
    <row r="412" ht="14.25" customHeight="1" s="235">
      <c r="A412" s="208" t="n"/>
      <c r="B412" s="209" t="n"/>
      <c r="C412" s="209" t="n"/>
      <c r="D412" s="209" t="n"/>
      <c r="E412" s="209" t="n"/>
      <c r="F412" s="459" t="n"/>
      <c r="G412" s="209" t="n"/>
      <c r="H412" s="211" t="n"/>
    </row>
    <row r="413" ht="14.25" customHeight="1" s="235">
      <c r="A413" s="208" t="n"/>
      <c r="B413" s="209" t="n"/>
      <c r="C413" s="209" t="n"/>
      <c r="D413" s="209" t="n"/>
      <c r="E413" s="209" t="n"/>
      <c r="F413" s="459" t="n"/>
      <c r="G413" s="209" t="n"/>
      <c r="H413" s="211" t="n"/>
    </row>
    <row r="414" ht="14.25" customHeight="1" s="235">
      <c r="A414" s="208" t="n"/>
      <c r="B414" s="209" t="n"/>
      <c r="C414" s="209" t="n"/>
      <c r="D414" s="209" t="n"/>
      <c r="E414" s="209" t="n"/>
      <c r="F414" s="459" t="n"/>
      <c r="G414" s="209" t="n"/>
      <c r="H414" s="211" t="n"/>
    </row>
    <row r="415" ht="14.25" customHeight="1" s="235">
      <c r="A415" s="208" t="n"/>
      <c r="B415" s="209" t="n"/>
      <c r="C415" s="209" t="n"/>
      <c r="D415" s="209" t="n"/>
      <c r="E415" s="209" t="n"/>
      <c r="F415" s="459" t="n"/>
      <c r="G415" s="209" t="n"/>
      <c r="H415" s="211" t="n"/>
    </row>
    <row r="416" ht="14.25" customHeight="1" s="235">
      <c r="A416" s="208" t="n"/>
      <c r="B416" s="209" t="n"/>
      <c r="C416" s="209" t="n"/>
      <c r="D416" s="209" t="n"/>
      <c r="E416" s="209" t="n"/>
      <c r="F416" s="459" t="n"/>
      <c r="G416" s="209" t="n"/>
      <c r="H416" s="211" t="n"/>
    </row>
    <row r="417" ht="14.25" customHeight="1" s="235">
      <c r="A417" s="208" t="n"/>
      <c r="B417" s="209" t="n"/>
      <c r="C417" s="209" t="n"/>
      <c r="D417" s="209" t="n"/>
      <c r="E417" s="209" t="n"/>
      <c r="F417" s="459" t="n"/>
      <c r="G417" s="209" t="n"/>
      <c r="H417" s="211" t="n"/>
    </row>
    <row r="418" ht="14.25" customHeight="1" s="235">
      <c r="A418" s="208" t="n"/>
      <c r="B418" s="209" t="n"/>
      <c r="C418" s="209" t="n"/>
      <c r="D418" s="209" t="n"/>
      <c r="E418" s="209" t="n"/>
      <c r="F418" s="459" t="n"/>
      <c r="G418" s="209" t="n"/>
      <c r="H418" s="211" t="n"/>
    </row>
    <row r="419" ht="14.25" customHeight="1" s="235">
      <c r="A419" s="208" t="n"/>
      <c r="B419" s="209" t="n"/>
      <c r="C419" s="209" t="n"/>
      <c r="D419" s="209" t="n"/>
      <c r="E419" s="209" t="n"/>
      <c r="F419" s="459" t="n"/>
      <c r="G419" s="209" t="n"/>
      <c r="H419" s="211" t="n"/>
    </row>
    <row r="420" ht="14.25" customHeight="1" s="235">
      <c r="A420" s="208" t="n"/>
      <c r="B420" s="209" t="n"/>
      <c r="C420" s="209" t="n"/>
      <c r="D420" s="209" t="n"/>
      <c r="E420" s="209" t="n"/>
      <c r="F420" s="459" t="n"/>
      <c r="G420" s="209" t="n"/>
      <c r="H420" s="211" t="n"/>
    </row>
    <row r="421" ht="14.25" customHeight="1" s="235">
      <c r="A421" s="208" t="n"/>
      <c r="B421" s="209" t="n"/>
      <c r="C421" s="209" t="n"/>
      <c r="D421" s="209" t="n"/>
      <c r="E421" s="209" t="n"/>
      <c r="F421" s="459" t="n"/>
      <c r="G421" s="209" t="n"/>
      <c r="H421" s="211" t="n"/>
    </row>
    <row r="422" ht="14.25" customHeight="1" s="235">
      <c r="A422" s="208" t="n"/>
      <c r="B422" s="209" t="n"/>
      <c r="C422" s="209" t="n"/>
      <c r="D422" s="209" t="n"/>
      <c r="E422" s="209" t="n"/>
      <c r="F422" s="459" t="n"/>
      <c r="G422" s="209" t="n"/>
      <c r="H422" s="211" t="n"/>
    </row>
    <row r="423" ht="14.25" customHeight="1" s="235">
      <c r="A423" s="208" t="n"/>
      <c r="B423" s="209" t="n"/>
      <c r="C423" s="209" t="n"/>
      <c r="D423" s="209" t="n"/>
      <c r="E423" s="209" t="n"/>
      <c r="F423" s="459" t="n"/>
      <c r="G423" s="209" t="n"/>
      <c r="H423" s="211" t="n"/>
    </row>
    <row r="424" ht="14.25" customHeight="1" s="235">
      <c r="A424" s="208" t="n"/>
      <c r="B424" s="209" t="n"/>
      <c r="C424" s="209" t="n"/>
      <c r="D424" s="209" t="n"/>
      <c r="E424" s="209" t="n"/>
      <c r="F424" s="459" t="n"/>
      <c r="G424" s="209" t="n"/>
      <c r="H424" s="211" t="n"/>
    </row>
    <row r="425" ht="14.25" customHeight="1" s="235">
      <c r="A425" s="208" t="n"/>
      <c r="B425" s="209" t="n"/>
      <c r="C425" s="209" t="n"/>
      <c r="D425" s="209" t="n"/>
      <c r="E425" s="209" t="n"/>
      <c r="F425" s="459" t="n"/>
      <c r="G425" s="209" t="n"/>
      <c r="H425" s="211" t="n"/>
    </row>
    <row r="426" ht="14.25" customHeight="1" s="235">
      <c r="A426" s="208" t="n"/>
      <c r="B426" s="209" t="n"/>
      <c r="C426" s="209" t="n"/>
      <c r="D426" s="209" t="n"/>
      <c r="E426" s="209" t="n"/>
      <c r="F426" s="459" t="n"/>
      <c r="G426" s="209" t="n"/>
      <c r="H426" s="211" t="n"/>
    </row>
    <row r="427" ht="14.25" customHeight="1" s="235">
      <c r="A427" s="208" t="n"/>
      <c r="B427" s="209" t="n"/>
      <c r="C427" s="209" t="n"/>
      <c r="D427" s="209" t="n"/>
      <c r="E427" s="209" t="n"/>
      <c r="F427" s="459" t="n"/>
      <c r="G427" s="209" t="n"/>
      <c r="H427" s="211" t="n"/>
    </row>
    <row r="428" ht="14.25" customHeight="1" s="235">
      <c r="A428" s="208" t="n"/>
      <c r="B428" s="209" t="n"/>
      <c r="C428" s="209" t="n"/>
      <c r="D428" s="209" t="n"/>
      <c r="E428" s="209" t="n"/>
      <c r="F428" s="459" t="n"/>
      <c r="G428" s="209" t="n"/>
      <c r="H428" s="211" t="n"/>
    </row>
    <row r="429" ht="14.25" customHeight="1" s="235">
      <c r="A429" s="208" t="n"/>
      <c r="B429" s="209" t="n"/>
      <c r="C429" s="209" t="n"/>
      <c r="D429" s="209" t="n"/>
      <c r="E429" s="209" t="n"/>
      <c r="F429" s="459" t="n"/>
      <c r="G429" s="209" t="n"/>
      <c r="H429" s="211" t="n"/>
    </row>
    <row r="430" ht="14.25" customHeight="1" s="235">
      <c r="A430" s="208" t="n"/>
      <c r="B430" s="209" t="n"/>
      <c r="C430" s="209" t="n"/>
      <c r="D430" s="209" t="n"/>
      <c r="E430" s="209" t="n"/>
      <c r="F430" s="459" t="n"/>
      <c r="G430" s="209" t="n"/>
      <c r="H430" s="211" t="n"/>
    </row>
    <row r="431" ht="14.25" customHeight="1" s="235">
      <c r="A431" s="208" t="n"/>
      <c r="B431" s="209" t="n"/>
      <c r="C431" s="209" t="n"/>
      <c r="D431" s="209" t="n"/>
      <c r="E431" s="209" t="n"/>
      <c r="F431" s="459" t="n"/>
      <c r="G431" s="209" t="n"/>
      <c r="H431" s="211" t="n"/>
    </row>
    <row r="432" ht="14.25" customHeight="1" s="235">
      <c r="A432" s="208" t="n"/>
      <c r="B432" s="209" t="n"/>
      <c r="C432" s="209" t="n"/>
      <c r="D432" s="209" t="n"/>
      <c r="E432" s="209" t="n"/>
      <c r="F432" s="459" t="n"/>
      <c r="G432" s="209" t="n"/>
      <c r="H432" s="211" t="n"/>
    </row>
    <row r="433" ht="14.25" customHeight="1" s="235">
      <c r="A433" s="208" t="n"/>
      <c r="B433" s="209" t="n"/>
      <c r="C433" s="209" t="n"/>
      <c r="D433" s="209" t="n"/>
      <c r="E433" s="209" t="n"/>
      <c r="F433" s="459" t="n"/>
      <c r="G433" s="209" t="n"/>
      <c r="H433" s="211" t="n"/>
    </row>
    <row r="434" ht="14.25" customHeight="1" s="235">
      <c r="A434" s="208" t="n"/>
      <c r="B434" s="209" t="n"/>
      <c r="C434" s="209" t="n"/>
      <c r="D434" s="209" t="n"/>
      <c r="E434" s="209" t="n"/>
      <c r="F434" s="459" t="n"/>
      <c r="G434" s="209" t="n"/>
      <c r="H434" s="211" t="n"/>
    </row>
    <row r="435" ht="14.25" customHeight="1" s="235">
      <c r="A435" s="208" t="n"/>
      <c r="B435" s="209" t="n"/>
      <c r="C435" s="209" t="n"/>
      <c r="D435" s="209" t="n"/>
      <c r="E435" s="209" t="n"/>
      <c r="F435" s="459" t="n"/>
      <c r="G435" s="209" t="n"/>
      <c r="H435" s="211" t="n"/>
    </row>
    <row r="436" ht="14.25" customHeight="1" s="235">
      <c r="A436" s="208" t="n"/>
      <c r="B436" s="209" t="n"/>
      <c r="C436" s="209" t="n"/>
      <c r="D436" s="209" t="n"/>
      <c r="E436" s="209" t="n"/>
      <c r="F436" s="459" t="n"/>
      <c r="G436" s="209" t="n"/>
      <c r="H436" s="211" t="n"/>
    </row>
    <row r="437" ht="14.25" customHeight="1" s="235">
      <c r="A437" s="208" t="n"/>
      <c r="B437" s="209" t="n"/>
      <c r="C437" s="209" t="n"/>
      <c r="D437" s="209" t="n"/>
      <c r="E437" s="209" t="n"/>
      <c r="F437" s="459" t="n"/>
      <c r="G437" s="209" t="n"/>
      <c r="H437" s="211" t="n"/>
    </row>
    <row r="438" ht="14.25" customHeight="1" s="235">
      <c r="A438" s="208" t="n"/>
      <c r="B438" s="209" t="n"/>
      <c r="C438" s="209" t="n"/>
      <c r="D438" s="209" t="n"/>
      <c r="E438" s="209" t="n"/>
      <c r="F438" s="459" t="n"/>
      <c r="G438" s="209" t="n"/>
      <c r="H438" s="211" t="n"/>
    </row>
    <row r="439" ht="14.25" customHeight="1" s="235">
      <c r="A439" s="208" t="n"/>
      <c r="B439" s="209" t="n"/>
      <c r="C439" s="209" t="n"/>
      <c r="D439" s="209" t="n"/>
      <c r="E439" s="209" t="n"/>
      <c r="F439" s="459" t="n"/>
      <c r="G439" s="209" t="n"/>
      <c r="H439" s="211" t="n"/>
    </row>
    <row r="440" ht="14.25" customHeight="1" s="235">
      <c r="A440" s="208" t="n"/>
      <c r="B440" s="209" t="n"/>
      <c r="C440" s="209" t="n"/>
      <c r="D440" s="209" t="n"/>
      <c r="E440" s="209" t="n"/>
      <c r="F440" s="459" t="n"/>
      <c r="G440" s="209" t="n"/>
      <c r="H440" s="211" t="n"/>
    </row>
    <row r="441" ht="14.25" customHeight="1" s="235">
      <c r="A441" s="208" t="n"/>
      <c r="B441" s="209" t="n"/>
      <c r="C441" s="209" t="n"/>
      <c r="D441" s="209" t="n"/>
      <c r="E441" s="209" t="n"/>
      <c r="F441" s="459" t="n"/>
      <c r="G441" s="209" t="n"/>
      <c r="H441" s="211" t="n"/>
    </row>
    <row r="442" ht="14.25" customHeight="1" s="235">
      <c r="A442" s="208" t="n"/>
      <c r="B442" s="209" t="n"/>
      <c r="C442" s="209" t="n"/>
      <c r="D442" s="209" t="n"/>
      <c r="E442" s="209" t="n"/>
      <c r="F442" s="459" t="n"/>
      <c r="G442" s="209" t="n"/>
      <c r="H442" s="211" t="n"/>
    </row>
    <row r="443" ht="14.25" customHeight="1" s="235">
      <c r="A443" s="208" t="n"/>
      <c r="B443" s="209" t="n"/>
      <c r="C443" s="209" t="n"/>
      <c r="D443" s="209" t="n"/>
      <c r="E443" s="209" t="n"/>
      <c r="F443" s="459" t="n"/>
      <c r="G443" s="209" t="n"/>
      <c r="H443" s="211" t="n"/>
    </row>
    <row r="444" ht="14.25" customHeight="1" s="235">
      <c r="A444" s="208" t="n"/>
      <c r="B444" s="209" t="n"/>
      <c r="C444" s="209" t="n"/>
      <c r="D444" s="209" t="n"/>
      <c r="E444" s="209" t="n"/>
      <c r="F444" s="459" t="n"/>
      <c r="G444" s="209" t="n"/>
      <c r="H444" s="211" t="n"/>
    </row>
    <row r="445" ht="14.25" customHeight="1" s="235">
      <c r="A445" s="208" t="n"/>
      <c r="B445" s="209" t="n"/>
      <c r="C445" s="209" t="n"/>
      <c r="D445" s="209" t="n"/>
      <c r="E445" s="209" t="n"/>
      <c r="F445" s="459" t="n"/>
      <c r="G445" s="209" t="n"/>
      <c r="H445" s="211" t="n"/>
    </row>
    <row r="446" ht="14.25" customHeight="1" s="235">
      <c r="A446" s="208" t="n"/>
      <c r="B446" s="209" t="n"/>
      <c r="C446" s="209" t="n"/>
      <c r="D446" s="209" t="n"/>
      <c r="E446" s="209" t="n"/>
      <c r="F446" s="459" t="n"/>
      <c r="G446" s="209" t="n"/>
      <c r="H446" s="211" t="n"/>
    </row>
    <row r="447" ht="14.25" customHeight="1" s="235">
      <c r="A447" s="208" t="n"/>
      <c r="B447" s="209" t="n"/>
      <c r="C447" s="209" t="n"/>
      <c r="D447" s="209" t="n"/>
      <c r="E447" s="209" t="n"/>
      <c r="F447" s="459" t="n"/>
      <c r="G447" s="209" t="n"/>
      <c r="H447" s="211" t="n"/>
    </row>
    <row r="448" ht="14.25" customHeight="1" s="235">
      <c r="A448" s="208" t="n"/>
      <c r="B448" s="209" t="n"/>
      <c r="C448" s="209" t="n"/>
      <c r="D448" s="209" t="n"/>
      <c r="E448" s="209" t="n"/>
      <c r="F448" s="459" t="n"/>
      <c r="G448" s="209" t="n"/>
      <c r="H448" s="211" t="n"/>
    </row>
    <row r="449" ht="14.25" customHeight="1" s="235">
      <c r="A449" s="208" t="n"/>
      <c r="B449" s="209" t="n"/>
      <c r="C449" s="209" t="n"/>
      <c r="D449" s="209" t="n"/>
      <c r="E449" s="209" t="n"/>
      <c r="F449" s="459" t="n"/>
      <c r="G449" s="209" t="n"/>
      <c r="H449" s="211" t="n"/>
    </row>
    <row r="450" ht="14.25" customHeight="1" s="235">
      <c r="A450" s="208" t="n"/>
      <c r="B450" s="209" t="n"/>
      <c r="C450" s="209" t="n"/>
      <c r="D450" s="209" t="n"/>
      <c r="E450" s="209" t="n"/>
      <c r="F450" s="459" t="n"/>
      <c r="G450" s="209" t="n"/>
      <c r="H450" s="211" t="n"/>
    </row>
    <row r="451" ht="14.25" customHeight="1" s="235">
      <c r="A451" s="208" t="n"/>
      <c r="B451" s="209" t="n"/>
      <c r="C451" s="209" t="n"/>
      <c r="D451" s="209" t="n"/>
      <c r="E451" s="209" t="n"/>
      <c r="F451" s="459" t="n"/>
      <c r="G451" s="209" t="n"/>
      <c r="H451" s="211" t="n"/>
    </row>
    <row r="452" ht="14.25" customHeight="1" s="235">
      <c r="A452" s="208" t="n"/>
      <c r="B452" s="209" t="n"/>
      <c r="C452" s="209" t="n"/>
      <c r="D452" s="209" t="n"/>
      <c r="E452" s="209" t="n"/>
      <c r="F452" s="459" t="n"/>
      <c r="G452" s="209" t="n"/>
      <c r="H452" s="211" t="n"/>
    </row>
    <row r="453" ht="14.25" customHeight="1" s="235">
      <c r="A453" s="208" t="n"/>
      <c r="B453" s="209" t="n"/>
      <c r="C453" s="209" t="n"/>
      <c r="D453" s="209" t="n"/>
      <c r="E453" s="209" t="n"/>
      <c r="F453" s="459" t="n"/>
      <c r="G453" s="209" t="n"/>
      <c r="H453" s="211" t="n"/>
    </row>
    <row r="454" ht="14.25" customHeight="1" s="235">
      <c r="A454" s="208" t="n"/>
      <c r="B454" s="209" t="n"/>
      <c r="C454" s="209" t="n"/>
      <c r="D454" s="209" t="n"/>
      <c r="E454" s="209" t="n"/>
      <c r="F454" s="459" t="n"/>
      <c r="G454" s="209" t="n"/>
      <c r="H454" s="211" t="n"/>
    </row>
    <row r="455" ht="14.25" customHeight="1" s="235">
      <c r="A455" s="208" t="n"/>
      <c r="B455" s="209" t="n"/>
      <c r="C455" s="209" t="n"/>
      <c r="D455" s="209" t="n"/>
      <c r="E455" s="209" t="n"/>
      <c r="F455" s="459" t="n"/>
      <c r="G455" s="209" t="n"/>
      <c r="H455" s="211" t="n"/>
    </row>
    <row r="456" ht="14.25" customHeight="1" s="235">
      <c r="A456" s="208" t="n"/>
      <c r="B456" s="209" t="n"/>
      <c r="C456" s="209" t="n"/>
      <c r="D456" s="209" t="n"/>
      <c r="E456" s="209" t="n"/>
      <c r="F456" s="459" t="n"/>
      <c r="G456" s="209" t="n"/>
      <c r="H456" s="211" t="n"/>
    </row>
    <row r="457" ht="14.25" customHeight="1" s="235">
      <c r="A457" s="208" t="n"/>
      <c r="B457" s="209" t="n"/>
      <c r="C457" s="209" t="n"/>
      <c r="D457" s="209" t="n"/>
      <c r="E457" s="209" t="n"/>
      <c r="F457" s="459" t="n"/>
      <c r="G457" s="209" t="n"/>
      <c r="H457" s="211" t="n"/>
    </row>
    <row r="458" ht="14.25" customHeight="1" s="235">
      <c r="A458" s="208" t="n"/>
      <c r="B458" s="209" t="n"/>
      <c r="C458" s="209" t="n"/>
      <c r="D458" s="209" t="n"/>
      <c r="E458" s="209" t="n"/>
      <c r="F458" s="459" t="n"/>
      <c r="G458" s="209" t="n"/>
      <c r="H458" s="211" t="n"/>
    </row>
    <row r="459" ht="14.25" customHeight="1" s="235">
      <c r="A459" s="208" t="n"/>
      <c r="B459" s="209" t="n"/>
      <c r="C459" s="209" t="n"/>
      <c r="D459" s="209" t="n"/>
      <c r="E459" s="209" t="n"/>
      <c r="F459" s="459" t="n"/>
      <c r="G459" s="209" t="n"/>
      <c r="H459" s="211" t="n"/>
    </row>
    <row r="460" ht="14.25" customHeight="1" s="235">
      <c r="A460" s="208" t="n"/>
      <c r="B460" s="209" t="n"/>
      <c r="C460" s="209" t="n"/>
      <c r="D460" s="209" t="n"/>
      <c r="E460" s="209" t="n"/>
      <c r="F460" s="459" t="n"/>
      <c r="G460" s="209" t="n"/>
      <c r="H460" s="211" t="n"/>
    </row>
    <row r="461" ht="14.25" customHeight="1" s="235">
      <c r="A461" s="208" t="n"/>
      <c r="B461" s="209" t="n"/>
      <c r="C461" s="209" t="n"/>
      <c r="D461" s="209" t="n"/>
      <c r="E461" s="209" t="n"/>
      <c r="F461" s="459" t="n"/>
      <c r="G461" s="209" t="n"/>
      <c r="H461" s="211" t="n"/>
    </row>
    <row r="462" ht="14.25" customHeight="1" s="235">
      <c r="A462" s="208" t="n"/>
      <c r="B462" s="209" t="n"/>
      <c r="C462" s="209" t="n"/>
      <c r="D462" s="209" t="n"/>
      <c r="E462" s="209" t="n"/>
      <c r="F462" s="459" t="n"/>
      <c r="G462" s="209" t="n"/>
      <c r="H462" s="211" t="n"/>
    </row>
    <row r="463" ht="14.25" customHeight="1" s="235">
      <c r="A463" s="208" t="n"/>
      <c r="B463" s="209" t="n"/>
      <c r="C463" s="209" t="n"/>
      <c r="D463" s="209" t="n"/>
      <c r="E463" s="209" t="n"/>
      <c r="F463" s="459" t="n"/>
      <c r="G463" s="209" t="n"/>
      <c r="H463" s="211" t="n"/>
    </row>
    <row r="464" ht="14.25" customHeight="1" s="235">
      <c r="A464" s="208" t="n"/>
      <c r="B464" s="209" t="n"/>
      <c r="C464" s="209" t="n"/>
      <c r="D464" s="209" t="n"/>
      <c r="E464" s="209" t="n"/>
      <c r="F464" s="459" t="n"/>
      <c r="G464" s="209" t="n"/>
      <c r="H464" s="211" t="n"/>
    </row>
    <row r="465" ht="14.25" customHeight="1" s="235">
      <c r="A465" s="208" t="n"/>
      <c r="B465" s="209" t="n"/>
      <c r="C465" s="209" t="n"/>
      <c r="D465" s="209" t="n"/>
      <c r="E465" s="209" t="n"/>
      <c r="F465" s="459" t="n"/>
      <c r="G465" s="209" t="n"/>
      <c r="H465" s="211" t="n"/>
    </row>
    <row r="466" ht="14.25" customHeight="1" s="235">
      <c r="A466" s="208" t="n"/>
      <c r="B466" s="209" t="n"/>
      <c r="C466" s="209" t="n"/>
      <c r="D466" s="209" t="n"/>
      <c r="E466" s="209" t="n"/>
      <c r="F466" s="459" t="n"/>
      <c r="G466" s="209" t="n"/>
      <c r="H466" s="211" t="n"/>
    </row>
    <row r="467" ht="14.25" customHeight="1" s="235">
      <c r="A467" s="208" t="n"/>
      <c r="B467" s="209" t="n"/>
      <c r="C467" s="209" t="n"/>
      <c r="D467" s="209" t="n"/>
      <c r="E467" s="209" t="n"/>
      <c r="F467" s="459" t="n"/>
      <c r="G467" s="209" t="n"/>
      <c r="H467" s="211" t="n"/>
    </row>
    <row r="468" ht="14.25" customHeight="1" s="235">
      <c r="A468" s="208" t="n"/>
      <c r="B468" s="209" t="n"/>
      <c r="C468" s="209" t="n"/>
      <c r="D468" s="209" t="n"/>
      <c r="E468" s="209" t="n"/>
      <c r="F468" s="459" t="n"/>
      <c r="G468" s="209" t="n"/>
      <c r="H468" s="211" t="n"/>
    </row>
    <row r="469" ht="14.25" customHeight="1" s="235">
      <c r="A469" s="208" t="n"/>
      <c r="B469" s="209" t="n"/>
      <c r="C469" s="209" t="n"/>
      <c r="D469" s="209" t="n"/>
      <c r="E469" s="209" t="n"/>
      <c r="F469" s="459" t="n"/>
      <c r="G469" s="209" t="n"/>
      <c r="H469" s="211" t="n"/>
    </row>
    <row r="470" ht="14.25" customHeight="1" s="235">
      <c r="A470" s="208" t="n"/>
      <c r="B470" s="209" t="n"/>
      <c r="C470" s="209" t="n"/>
      <c r="D470" s="209" t="n"/>
      <c r="E470" s="209" t="n"/>
      <c r="F470" s="459" t="n"/>
      <c r="G470" s="209" t="n"/>
      <c r="H470" s="211" t="n"/>
    </row>
    <row r="471" ht="14.25" customHeight="1" s="235">
      <c r="A471" s="208" t="n"/>
      <c r="B471" s="209" t="n"/>
      <c r="C471" s="209" t="n"/>
      <c r="D471" s="209" t="n"/>
      <c r="E471" s="209" t="n"/>
      <c r="F471" s="459" t="n"/>
      <c r="G471" s="209" t="n"/>
      <c r="H471" s="211" t="n"/>
    </row>
    <row r="472" ht="14.25" customHeight="1" s="235">
      <c r="A472" s="208" t="n"/>
      <c r="B472" s="209" t="n"/>
      <c r="C472" s="209" t="n"/>
      <c r="D472" s="209" t="n"/>
      <c r="E472" s="209" t="n"/>
      <c r="F472" s="459" t="n"/>
      <c r="G472" s="209" t="n"/>
      <c r="H472" s="211" t="n"/>
    </row>
    <row r="473" ht="14.25" customHeight="1" s="235">
      <c r="A473" s="208" t="n"/>
      <c r="B473" s="209" t="n"/>
      <c r="C473" s="209" t="n"/>
      <c r="D473" s="209" t="n"/>
      <c r="E473" s="209" t="n"/>
      <c r="F473" s="459" t="n"/>
      <c r="G473" s="209" t="n"/>
      <c r="H473" s="211" t="n"/>
    </row>
    <row r="474" ht="14.25" customHeight="1" s="235">
      <c r="A474" s="208" t="n"/>
      <c r="B474" s="209" t="n"/>
      <c r="C474" s="209" t="n"/>
      <c r="D474" s="209" t="n"/>
      <c r="E474" s="209" t="n"/>
      <c r="F474" s="459" t="n"/>
      <c r="G474" s="209" t="n"/>
      <c r="H474" s="211" t="n"/>
    </row>
    <row r="475" ht="14.25" customHeight="1" s="235">
      <c r="A475" s="208" t="n"/>
      <c r="B475" s="209" t="n"/>
      <c r="C475" s="209" t="n"/>
      <c r="D475" s="209" t="n"/>
      <c r="E475" s="209" t="n"/>
      <c r="F475" s="459" t="n"/>
      <c r="G475" s="209" t="n"/>
      <c r="H475" s="211" t="n"/>
    </row>
    <row r="476" ht="14.25" customHeight="1" s="235">
      <c r="A476" s="208" t="n"/>
      <c r="B476" s="209" t="n"/>
      <c r="C476" s="209" t="n"/>
      <c r="D476" s="209" t="n"/>
      <c r="E476" s="209" t="n"/>
      <c r="F476" s="459" t="n"/>
      <c r="G476" s="209" t="n"/>
      <c r="H476" s="211" t="n"/>
    </row>
    <row r="477" ht="14.25" customHeight="1" s="235">
      <c r="A477" s="208" t="n"/>
      <c r="B477" s="209" t="n"/>
      <c r="C477" s="209" t="n"/>
      <c r="D477" s="209" t="n"/>
      <c r="E477" s="209" t="n"/>
      <c r="F477" s="459" t="n"/>
      <c r="G477" s="209" t="n"/>
      <c r="H477" s="211" t="n"/>
    </row>
    <row r="478" ht="14.25" customHeight="1" s="235">
      <c r="A478" s="208" t="n"/>
      <c r="B478" s="209" t="n"/>
      <c r="C478" s="209" t="n"/>
      <c r="D478" s="209" t="n"/>
      <c r="E478" s="209" t="n"/>
      <c r="F478" s="459" t="n"/>
      <c r="G478" s="209" t="n"/>
      <c r="H478" s="211" t="n"/>
    </row>
    <row r="479" ht="14.25" customHeight="1" s="235">
      <c r="A479" s="208" t="n"/>
      <c r="B479" s="209" t="n"/>
      <c r="C479" s="209" t="n"/>
      <c r="D479" s="209" t="n"/>
      <c r="E479" s="209" t="n"/>
      <c r="F479" s="459" t="n"/>
      <c r="G479" s="209" t="n"/>
      <c r="H479" s="211" t="n"/>
    </row>
    <row r="480" ht="14.25" customHeight="1" s="235">
      <c r="A480" s="208" t="n"/>
      <c r="B480" s="209" t="n"/>
      <c r="C480" s="209" t="n"/>
      <c r="D480" s="209" t="n"/>
      <c r="E480" s="209" t="n"/>
      <c r="F480" s="459" t="n"/>
      <c r="G480" s="209" t="n"/>
      <c r="H480" s="211" t="n"/>
    </row>
    <row r="481" ht="14.25" customHeight="1" s="235">
      <c r="A481" s="208" t="n"/>
      <c r="B481" s="209" t="n"/>
      <c r="C481" s="209" t="n"/>
      <c r="D481" s="209" t="n"/>
      <c r="E481" s="209" t="n"/>
      <c r="F481" s="459" t="n"/>
      <c r="G481" s="209" t="n"/>
      <c r="H481" s="211" t="n"/>
    </row>
    <row r="482" ht="14.25" customHeight="1" s="235">
      <c r="A482" s="208" t="n"/>
      <c r="B482" s="209" t="n"/>
      <c r="C482" s="209" t="n"/>
      <c r="D482" s="209" t="n"/>
      <c r="E482" s="209" t="n"/>
      <c r="F482" s="459" t="n"/>
      <c r="G482" s="209" t="n"/>
      <c r="H482" s="211" t="n"/>
    </row>
    <row r="483" ht="14.25" customHeight="1" s="235">
      <c r="A483" s="208" t="n"/>
      <c r="B483" s="209" t="n"/>
      <c r="C483" s="209" t="n"/>
      <c r="D483" s="209" t="n"/>
      <c r="E483" s="209" t="n"/>
      <c r="F483" s="459" t="n"/>
      <c r="G483" s="209" t="n"/>
      <c r="H483" s="211" t="n"/>
    </row>
    <row r="484" ht="14.25" customHeight="1" s="235">
      <c r="A484" s="208" t="n"/>
      <c r="B484" s="209" t="n"/>
      <c r="C484" s="209" t="n"/>
      <c r="D484" s="209" t="n"/>
      <c r="E484" s="209" t="n"/>
      <c r="F484" s="459" t="n"/>
      <c r="G484" s="209" t="n"/>
      <c r="H484" s="211" t="n"/>
    </row>
    <row r="485" ht="14.25" customHeight="1" s="235">
      <c r="A485" s="208" t="n"/>
      <c r="B485" s="209" t="n"/>
      <c r="C485" s="209" t="n"/>
      <c r="D485" s="209" t="n"/>
      <c r="E485" s="209" t="n"/>
      <c r="F485" s="459" t="n"/>
      <c r="G485" s="209" t="n"/>
      <c r="H485" s="211" t="n"/>
    </row>
    <row r="486" ht="14.25" customHeight="1" s="235">
      <c r="A486" s="208" t="n"/>
      <c r="B486" s="209" t="n"/>
      <c r="C486" s="209" t="n"/>
      <c r="D486" s="209" t="n"/>
      <c r="E486" s="209" t="n"/>
      <c r="F486" s="459" t="n"/>
      <c r="G486" s="209" t="n"/>
      <c r="H486" s="211" t="n"/>
    </row>
    <row r="487" ht="14.25" customHeight="1" s="235">
      <c r="A487" s="208" t="n"/>
      <c r="B487" s="209" t="n"/>
      <c r="C487" s="209" t="n"/>
      <c r="D487" s="209" t="n"/>
      <c r="E487" s="209" t="n"/>
      <c r="F487" s="459" t="n"/>
      <c r="G487" s="209" t="n"/>
      <c r="H487" s="211" t="n"/>
    </row>
    <row r="488" ht="14.25" customHeight="1" s="235">
      <c r="A488" s="208" t="n"/>
      <c r="B488" s="209" t="n"/>
      <c r="C488" s="209" t="n"/>
      <c r="D488" s="209" t="n"/>
      <c r="E488" s="209" t="n"/>
      <c r="F488" s="459" t="n"/>
      <c r="G488" s="209" t="n"/>
      <c r="H488" s="211" t="n"/>
    </row>
    <row r="489" ht="14.25" customHeight="1" s="235">
      <c r="A489" s="208" t="n"/>
      <c r="B489" s="209" t="n"/>
      <c r="C489" s="209" t="n"/>
      <c r="D489" s="209" t="n"/>
      <c r="E489" s="209" t="n"/>
      <c r="F489" s="459" t="n"/>
      <c r="G489" s="209" t="n"/>
      <c r="H489" s="211" t="n"/>
    </row>
    <row r="490" ht="14.25" customHeight="1" s="235">
      <c r="A490" s="208" t="n"/>
      <c r="B490" s="209" t="n"/>
      <c r="C490" s="209" t="n"/>
      <c r="D490" s="209" t="n"/>
      <c r="E490" s="209" t="n"/>
      <c r="F490" s="459" t="n"/>
      <c r="G490" s="209" t="n"/>
      <c r="H490" s="211" t="n"/>
    </row>
    <row r="491" ht="14.25" customHeight="1" s="235">
      <c r="A491" s="208" t="n"/>
      <c r="B491" s="209" t="n"/>
      <c r="C491" s="209" t="n"/>
      <c r="D491" s="209" t="n"/>
      <c r="E491" s="209" t="n"/>
      <c r="F491" s="459" t="n"/>
      <c r="G491" s="209" t="n"/>
      <c r="H491" s="211" t="n"/>
    </row>
    <row r="492" ht="14.25" customHeight="1" s="235">
      <c r="A492" s="208" t="n"/>
      <c r="B492" s="209" t="n"/>
      <c r="C492" s="209" t="n"/>
      <c r="D492" s="209" t="n"/>
      <c r="E492" s="209" t="n"/>
      <c r="F492" s="459" t="n"/>
      <c r="G492" s="209" t="n"/>
      <c r="H492" s="211" t="n"/>
    </row>
    <row r="493" ht="14.25" customHeight="1" s="235">
      <c r="A493" s="208" t="n"/>
      <c r="B493" s="209" t="n"/>
      <c r="C493" s="209" t="n"/>
      <c r="D493" s="209" t="n"/>
      <c r="E493" s="209" t="n"/>
      <c r="F493" s="459" t="n"/>
      <c r="G493" s="209" t="n"/>
      <c r="H493" s="211" t="n"/>
    </row>
    <row r="494" ht="14.25" customHeight="1" s="235">
      <c r="A494" s="208" t="n"/>
      <c r="B494" s="209" t="n"/>
      <c r="C494" s="209" t="n"/>
      <c r="D494" s="209" t="n"/>
      <c r="E494" s="209" t="n"/>
      <c r="F494" s="459" t="n"/>
      <c r="G494" s="209" t="n"/>
      <c r="H494" s="211" t="n"/>
    </row>
    <row r="495" ht="14.25" customHeight="1" s="235">
      <c r="A495" s="208" t="n"/>
      <c r="B495" s="209" t="n"/>
      <c r="C495" s="209" t="n"/>
      <c r="D495" s="209" t="n"/>
      <c r="E495" s="209" t="n"/>
      <c r="F495" s="459" t="n"/>
      <c r="G495" s="209" t="n"/>
      <c r="H495" s="211" t="n"/>
    </row>
    <row r="496" ht="14.25" customHeight="1" s="235">
      <c r="A496" s="208" t="n"/>
      <c r="B496" s="209" t="n"/>
      <c r="C496" s="209" t="n"/>
      <c r="D496" s="209" t="n"/>
      <c r="E496" s="209" t="n"/>
      <c r="F496" s="459" t="n"/>
      <c r="G496" s="209" t="n"/>
      <c r="H496" s="211" t="n"/>
    </row>
    <row r="497" ht="14.25" customHeight="1" s="235">
      <c r="A497" s="208" t="n"/>
      <c r="B497" s="209" t="n"/>
      <c r="C497" s="209" t="n"/>
      <c r="D497" s="209" t="n"/>
      <c r="E497" s="209" t="n"/>
      <c r="F497" s="459" t="n"/>
      <c r="G497" s="209" t="n"/>
      <c r="H497" s="211" t="n"/>
    </row>
    <row r="498" ht="14.25" customHeight="1" s="235">
      <c r="A498" s="208" t="n"/>
      <c r="B498" s="209" t="n"/>
      <c r="C498" s="209" t="n"/>
      <c r="D498" s="209" t="n"/>
      <c r="E498" s="209" t="n"/>
      <c r="F498" s="459" t="n"/>
      <c r="G498" s="209" t="n"/>
      <c r="H498" s="211" t="n"/>
    </row>
    <row r="499" ht="14.25" customHeight="1" s="235">
      <c r="A499" s="208" t="n"/>
      <c r="B499" s="209" t="n"/>
      <c r="C499" s="209" t="n"/>
      <c r="D499" s="209" t="n"/>
      <c r="E499" s="209" t="n"/>
      <c r="F499" s="459" t="n"/>
      <c r="G499" s="209" t="n"/>
      <c r="H499" s="211" t="n"/>
    </row>
    <row r="500" ht="14.25" customHeight="1" s="235">
      <c r="A500" s="208" t="n"/>
      <c r="B500" s="209" t="n"/>
      <c r="C500" s="209" t="n"/>
      <c r="D500" s="209" t="n"/>
      <c r="E500" s="209" t="n"/>
      <c r="F500" s="459" t="n"/>
      <c r="G500" s="209" t="n"/>
      <c r="H500" s="211" t="n"/>
    </row>
    <row r="501" ht="14.25" customHeight="1" s="235">
      <c r="A501" s="208" t="n"/>
      <c r="B501" s="209" t="n"/>
      <c r="C501" s="209" t="n"/>
      <c r="D501" s="209" t="n"/>
      <c r="E501" s="209" t="n"/>
      <c r="F501" s="459" t="n"/>
      <c r="G501" s="209" t="n"/>
      <c r="H501" s="211" t="n"/>
    </row>
    <row r="502" ht="14.25" customHeight="1" s="235">
      <c r="A502" s="208" t="n"/>
      <c r="B502" s="209" t="n"/>
      <c r="C502" s="209" t="n"/>
      <c r="D502" s="209" t="n"/>
      <c r="E502" s="209" t="n"/>
      <c r="F502" s="459" t="n"/>
      <c r="G502" s="209" t="n"/>
      <c r="H502" s="211" t="n"/>
    </row>
    <row r="503" ht="14.25" customHeight="1" s="235">
      <c r="A503" s="208" t="n"/>
      <c r="B503" s="209" t="n"/>
      <c r="C503" s="209" t="n"/>
      <c r="D503" s="209" t="n"/>
      <c r="E503" s="209" t="n"/>
      <c r="F503" s="459" t="n"/>
      <c r="G503" s="209" t="n"/>
      <c r="H503" s="211" t="n"/>
    </row>
    <row r="504" ht="14.25" customHeight="1" s="235">
      <c r="A504" s="208" t="n"/>
      <c r="B504" s="209" t="n"/>
      <c r="C504" s="209" t="n"/>
      <c r="D504" s="209" t="n"/>
      <c r="E504" s="209" t="n"/>
      <c r="F504" s="459" t="n"/>
      <c r="G504" s="209" t="n"/>
      <c r="H504" s="211" t="n"/>
    </row>
    <row r="505" ht="14.25" customHeight="1" s="235">
      <c r="A505" s="208" t="n"/>
      <c r="B505" s="209" t="n"/>
      <c r="C505" s="209" t="n"/>
      <c r="D505" s="209" t="n"/>
      <c r="E505" s="209" t="n"/>
      <c r="F505" s="459" t="n"/>
      <c r="G505" s="209" t="n"/>
      <c r="H505" s="211" t="n"/>
    </row>
    <row r="506" ht="14.25" customHeight="1" s="235">
      <c r="A506" s="208" t="n"/>
      <c r="B506" s="209" t="n"/>
      <c r="C506" s="209" t="n"/>
      <c r="D506" s="209" t="n"/>
      <c r="E506" s="209" t="n"/>
      <c r="F506" s="459" t="n"/>
      <c r="G506" s="209" t="n"/>
      <c r="H506" s="211" t="n"/>
    </row>
    <row r="507" ht="14.25" customHeight="1" s="235">
      <c r="A507" s="208" t="n"/>
      <c r="B507" s="209" t="n"/>
      <c r="C507" s="209" t="n"/>
      <c r="D507" s="209" t="n"/>
      <c r="E507" s="209" t="n"/>
      <c r="F507" s="459" t="n"/>
      <c r="G507" s="209" t="n"/>
      <c r="H507" s="211" t="n"/>
    </row>
    <row r="508" ht="14.25" customHeight="1" s="235">
      <c r="A508" s="208" t="n"/>
      <c r="B508" s="209" t="n"/>
      <c r="C508" s="209" t="n"/>
      <c r="D508" s="209" t="n"/>
      <c r="E508" s="209" t="n"/>
      <c r="F508" s="459" t="n"/>
      <c r="G508" s="209" t="n"/>
      <c r="H508" s="211" t="n"/>
    </row>
    <row r="509" ht="14.25" customHeight="1" s="235">
      <c r="A509" s="208" t="n"/>
      <c r="B509" s="209" t="n"/>
      <c r="C509" s="209" t="n"/>
      <c r="D509" s="209" t="n"/>
      <c r="E509" s="209" t="n"/>
      <c r="F509" s="459" t="n"/>
      <c r="G509" s="209" t="n"/>
      <c r="H509" s="211" t="n"/>
    </row>
    <row r="510" ht="14.25" customHeight="1" s="235">
      <c r="A510" s="208" t="n"/>
      <c r="B510" s="209" t="n"/>
      <c r="C510" s="209" t="n"/>
      <c r="D510" s="209" t="n"/>
      <c r="E510" s="209" t="n"/>
      <c r="F510" s="459" t="n"/>
      <c r="G510" s="209" t="n"/>
      <c r="H510" s="211" t="n"/>
    </row>
    <row r="511" ht="14.25" customHeight="1" s="235">
      <c r="A511" s="208" t="n"/>
      <c r="B511" s="209" t="n"/>
      <c r="C511" s="209" t="n"/>
      <c r="D511" s="209" t="n"/>
      <c r="E511" s="209" t="n"/>
      <c r="F511" s="459" t="n"/>
      <c r="G511" s="209" t="n"/>
      <c r="H511" s="211" t="n"/>
    </row>
    <row r="512" ht="14.25" customHeight="1" s="235">
      <c r="A512" s="208" t="n"/>
      <c r="B512" s="209" t="n"/>
      <c r="C512" s="209" t="n"/>
      <c r="D512" s="209" t="n"/>
      <c r="E512" s="209" t="n"/>
      <c r="F512" s="459" t="n"/>
      <c r="G512" s="209" t="n"/>
      <c r="H512" s="211" t="n"/>
    </row>
    <row r="513" ht="14.25" customHeight="1" s="235">
      <c r="A513" s="208" t="n"/>
      <c r="B513" s="209" t="n"/>
      <c r="C513" s="209" t="n"/>
      <c r="D513" s="209" t="n"/>
      <c r="E513" s="209" t="n"/>
      <c r="F513" s="459" t="n"/>
      <c r="G513" s="209" t="n"/>
      <c r="H513" s="211" t="n"/>
    </row>
    <row r="514" ht="14.25" customHeight="1" s="235">
      <c r="A514" s="212" t="n"/>
      <c r="B514" s="213" t="n"/>
      <c r="C514" s="213" t="n"/>
      <c r="D514" s="213" t="n"/>
      <c r="E514" s="213" t="n"/>
      <c r="F514" s="460" t="n"/>
      <c r="G514" s="213" t="n"/>
      <c r="H514" s="215" t="n"/>
    </row>
  </sheetData>
  <sheetProtection selectLockedCells="0" selectUnlockedCells="0" sheet="1" objects="1" insertRows="1" insertHyperlinks="1" autoFilter="1" scenarios="1" formatColumns="0" deleteColumns="1" insertColumns="1" pivotTables="1" deleteRows="1" formatCells="1" formatRows="0" sort="1"/>
  <mergeCells count="15">
    <mergeCell ref="A4:B4"/>
    <mergeCell ref="A2:F2"/>
    <mergeCell ref="A7:B7"/>
    <mergeCell ref="C13:H13"/>
    <mergeCell ref="A10:H10"/>
    <mergeCell ref="A13:B13"/>
    <mergeCell ref="J1:M1"/>
    <mergeCell ref="A1:B1"/>
    <mergeCell ref="A5:H5"/>
    <mergeCell ref="J2:M2"/>
    <mergeCell ref="A8:B8"/>
    <mergeCell ref="A11:H12"/>
    <mergeCell ref="A3:B3"/>
    <mergeCell ref="A6:B6"/>
    <mergeCell ref="C1:H1"/>
  </mergeCells>
  <pageMargins left="0.7" right="0.7" top="0.75" bottom="0.75" header="0.3" footer="0.3"/>
</worksheet>
</file>

<file path=xl/worksheets/sheet5.xml><?xml version="1.0" encoding="utf-8"?>
<worksheet xmlns="http://schemas.openxmlformats.org/spreadsheetml/2006/main">
  <sheetPr>
    <outlinePr summaryBelow="1" summaryRight="1"/>
    <pageSetUpPr/>
  </sheetPr>
  <dimension ref="A1:AB505"/>
  <sheetViews>
    <sheetView showGridLines="0" topLeftCell="G1" zoomScale="70" zoomScaleNormal="70" workbookViewId="0">
      <selection activeCell="K10" sqref="K10"/>
    </sheetView>
  </sheetViews>
  <sheetFormatPr baseColWidth="10" defaultColWidth="9" defaultRowHeight="15"/>
  <cols>
    <col width="7" customWidth="1" style="235" min="1" max="1"/>
    <col width="10" customWidth="1" style="235" min="2" max="2"/>
    <col width="15" customWidth="1" style="235" min="3" max="3"/>
    <col width="28" customWidth="1" style="235" min="4" max="4"/>
    <col width="45" customWidth="1" style="235" min="5" max="5"/>
    <col width="17" customWidth="1" style="235" min="6" max="6"/>
    <col width="44" customWidth="1" style="235" min="7" max="7"/>
    <col width="40" customWidth="1" style="235" min="8" max="8"/>
    <col width="27" customWidth="1" style="235" min="9" max="9"/>
    <col width="13" customWidth="1" style="235" min="10" max="10"/>
    <col width="14" customWidth="1" style="235" min="11" max="11"/>
    <col width="28" customWidth="1" style="235" min="12" max="12"/>
    <col width="17" customWidth="1" style="235" min="13" max="13"/>
    <col hidden="1" width="15" customWidth="1" style="235" min="14" max="14"/>
    <col width="17" customWidth="1" style="235" min="15" max="15"/>
    <col hidden="1" width="13" customWidth="1" style="235" min="16" max="16"/>
    <col width="25" customWidth="1" style="235" min="17" max="17"/>
    <col width="38" customWidth="1" style="235" min="18" max="18"/>
    <col width="11" customWidth="1" style="235" min="19" max="22"/>
    <col width="55" customWidth="1" style="235" min="23" max="23"/>
    <col width="18" customWidth="1" style="235" min="24" max="25"/>
    <col width="16" customWidth="1" style="235" min="26" max="26"/>
    <col width="14" customWidth="1" style="235" min="27" max="27"/>
    <col width="30" customWidth="1" style="235" min="28" max="28"/>
  </cols>
  <sheetData>
    <row r="1" ht="30" customHeight="1" s="235">
      <c r="A1" s="254" t="inlineStr">
        <is>
          <t>HOJA DE TRABAJO — APROBACIÓN Y TRAZABILIDAD</t>
        </is>
      </c>
    </row>
    <row r="2" ht="31.5" customHeight="1" s="235">
      <c r="A2" s="253" t="inlineStr">
        <is>
          <t>Revise cada dato. Exógena sugiere; el usuario elige la casilla y aprueba, modifica, excluye o marca solo control.</t>
        </is>
      </c>
    </row>
    <row r="4" ht="30" customHeight="1" s="235">
      <c r="A4" s="25" t="inlineStr">
        <is>
          <t>ID</t>
        </is>
      </c>
      <c r="B4" s="27" t="inlineStr">
        <is>
          <t>Fila fuente</t>
        </is>
      </c>
      <c r="C4" s="27" t="inlineStr">
        <is>
          <t>NIT tercero</t>
        </is>
      </c>
      <c r="D4" s="27" t="inlineStr">
        <is>
          <t>Tercero</t>
        </is>
      </c>
      <c r="E4" s="27" t="inlineStr">
        <is>
          <t>Detalle</t>
        </is>
      </c>
      <c r="F4" s="27" t="inlineStr">
        <is>
          <t>Valor reportado</t>
        </is>
      </c>
      <c r="G4" s="27" t="inlineStr">
        <is>
          <t>Uso DIAN</t>
        </is>
      </c>
      <c r="H4" s="27" t="inlineStr">
        <is>
          <t>Información adicional</t>
        </is>
      </c>
      <c r="I4" s="27" t="inlineStr">
        <is>
          <t>Clasificación</t>
        </is>
      </c>
      <c r="J4" s="27" t="inlineStr">
        <is>
          <t>Casilla DIAN</t>
        </is>
      </c>
      <c r="K4" s="27" t="inlineStr">
        <is>
          <t>Casilla elegida</t>
        </is>
      </c>
      <c r="L4" s="27" t="inlineStr">
        <is>
          <t>Tratamiento</t>
        </is>
      </c>
      <c r="M4" s="27" t="inlineStr">
        <is>
          <t>Valor sugerido</t>
        </is>
      </c>
      <c r="N4" s="27" t="inlineStr">
        <is>
          <t>(No usado desde v1.2 — ver Valor a declarar)</t>
        </is>
      </c>
      <c r="O4" s="27" t="inlineStr">
        <is>
          <t>Valor a declarar (editable — por defecto, valor sugerido DIAN)</t>
        </is>
      </c>
      <c r="P4" s="27" t="inlineStr">
        <is>
          <t>Valor aceptado (uso interno — igual a Valor a declarar)</t>
        </is>
      </c>
      <c r="Q4" s="27" t="inlineStr">
        <is>
          <t>Estado</t>
        </is>
      </c>
      <c r="R4" s="27" t="inlineStr">
        <is>
          <t>Observación / soporte</t>
        </is>
      </c>
      <c r="S4" s="27" t="inlineStr">
        <is>
          <t>Control tokens</t>
        </is>
      </c>
      <c r="T4" s="27" t="inlineStr">
        <is>
          <t>Control directos</t>
        </is>
      </c>
      <c r="U4" s="27" t="inlineStr">
        <is>
          <t>Control casilla</t>
        </is>
      </c>
      <c r="V4" s="26" t="inlineStr">
        <is>
          <t>Casilla efectiva</t>
        </is>
      </c>
      <c r="W4" s="26" t="inlineStr">
        <is>
          <t>Alerta</t>
        </is>
      </c>
      <c r="X4" s="55" t="inlineStr">
        <is>
          <t>Valor original de la fuente</t>
        </is>
      </c>
      <c r="Y4" s="55" t="inlineStr">
        <is>
          <t>Suma asignada (Entrada_Manual)</t>
        </is>
      </c>
      <c r="Z4" s="55" t="inlineStr">
        <is>
          <t>Diferencia pendiente</t>
        </is>
      </c>
      <c r="AA4" s="55" t="inlineStr">
        <is>
          <t>Nº de asignaciones</t>
        </is>
      </c>
      <c r="AB4" s="55" t="inlineStr">
        <is>
          <t>Estado asignación múltiple</t>
        </is>
      </c>
    </row>
    <row r="5" ht="14.25" customHeight="1" s="235">
      <c r="A5" s="47" t="n"/>
      <c r="B5" s="48" t="n"/>
      <c r="C5" s="48" t="n"/>
      <c r="D5" s="48" t="n"/>
      <c r="E5" s="48" t="n"/>
      <c r="F5" s="48" t="n"/>
      <c r="G5" s="48" t="n"/>
      <c r="H5" s="48" t="n"/>
      <c r="I5" s="48" t="n"/>
      <c r="J5" s="48" t="n"/>
      <c r="K5" s="48" t="n"/>
      <c r="L5" s="48" t="n"/>
      <c r="M5" s="48" t="n"/>
      <c r="N5" s="48" t="n"/>
      <c r="O5" s="48" t="n"/>
      <c r="P5" s="48" t="n"/>
      <c r="Q5" s="48" t="n"/>
      <c r="R5" s="48" t="n"/>
      <c r="S5" s="48" t="n"/>
      <c r="T5" s="48" t="n"/>
      <c r="U5" s="48" t="n"/>
      <c r="V5" s="50" t="n"/>
    </row>
    <row r="6" ht="27.75" customHeight="1" s="235">
      <c r="A6" s="47">
        <f>IF(Exogena_RAW!E15&lt;&gt;"",ROW()-5,"")</f>
        <v/>
      </c>
      <c r="B6" s="48">
        <f>IF(A6="","",15)</f>
        <v/>
      </c>
      <c r="C6" s="48">
        <f>IF(A6="","",IFERROR(Exogena_RAW!A15,""))</f>
        <v/>
      </c>
      <c r="D6" s="48">
        <f>IF(A6="","",IFERROR(Exogena_RAW!B15,""))</f>
        <v/>
      </c>
      <c r="E6" s="48">
        <f>IF(A6="","",Exogena_RAW!E15)</f>
        <v/>
      </c>
      <c r="F6" s="461">
        <f>IF(A6="","",Exogena_RAW!F15)</f>
        <v/>
      </c>
      <c r="G6" s="48">
        <f>IF(A6="","",IFERROR(Exogena_RAW!G15,""))</f>
        <v/>
      </c>
      <c r="H6" s="48">
        <f>IF(A6="","",IFERROR(Exogena_RAW!H15,""))</f>
        <v/>
      </c>
      <c r="I6" s="48">
        <f>IF(A6="","",IFERROR(IF(S6&gt;1,"VARIAS CASILLAS",IF(S6=1,IF(T6=1,"PROPUESTA DE CASILLA","REVISIÓN: CASILLA NO DIRECTA"),IF(OR(ISNUMBER(SEARCH("TOPE",UPPER(E6))),ISNUMBER(SEARCH("TOPE",UPPER(G6)))),"SOLO CONTROL",IF(ISNUMBER(SEARCH("RETEN",UPPER(E6))),"RETENCIÓN","REVISAR")))),"REVISAR"))</f>
        <v/>
      </c>
      <c r="J6" s="48">
        <f>IF(A6="","",IF(ISNUMBER(SEARCH("ingreso laboral promedio de los últimos seis meses",E6)),"",IFERROR(IF(AND(S6=1,T6=1),U6,""),"")))</f>
        <v/>
      </c>
      <c r="K6" s="216" t="n"/>
      <c r="L6" s="48">
        <f>IF(A6="","",IFERROR(IF(K6&lt;&gt;"","Casilla elegida por usuario",IF(S6&gt;1,"Varias casillas — elegir en K",IF(J6&lt;&gt;"","Sugerencia directa",IF(S6=1,"No trasladar directo — revisar",IF(OR(ISNUMBER(SEARCH("TOPE",UPPER(E6))),ISNUMBER(SEARCH("TOPE",UPPER(G6)))),"Solo control","Revisar manualmente"))))),"Revisar manualmente"))</f>
        <v/>
      </c>
      <c r="M6" s="461">
        <f>IF(A6="","",IF(IF(K6&lt;&gt;"",K6,J6)="",0,IF(COUNTIFS(Reglas!$I$5:$I$118,IF(K6&lt;&gt;"",K6,J6),Reglas!$J$5:$J$118,"Sí")=1,F6,0)))</f>
        <v/>
      </c>
      <c r="N6" s="56" t="n"/>
      <c r="O6" s="462">
        <f>IF(A6="","",IF(M6=0,"",M6))</f>
        <v/>
      </c>
      <c r="P6" s="461">
        <f>IF(A6="","",IF(O6="",0,IF(ISNUMBER(O6),O6,0)))</f>
        <v/>
      </c>
      <c r="Q6" s="48">
        <f>IF(A6="","",IF(Exogena_RAW!$C$4="","BLOQUEADO: FALTA AÑO",IF(Exogena_RAW!$K$10&lt;&gt;Reglas!$B$5,"BLOQUEADO: AÑO",IF(IF(K6&lt;&gt;"",K6,J6)="",IF(S6&gt;1,"REQUIERE ASIGNACIÓN MANUAL (VARIAS CASILLAS)","INFORMATIVO (sin casilla — no se declara)"),IF(COUNTIFS(Reglas!$I$5:$I$118,IF(K6&lt;&gt;"",K6,J6),Reglas!$J$5:$J$118,"Sí")=0,"BLOQUEADO: CASILLA NO DIRECTA",IF(O6="","EXCLUIDO (valor borrado por el usuario)",IF(_xlfn.ISFORMULA(O6),IF(W6&lt;&gt;"","BORRADOR — VALOR SUGERIDO DIAN ⚠ VER ALERTA","BORRADOR — VALOR SUGERIDO DIAN"),IF(W6&lt;&gt;"","ACEPTADO ⚠ VER ALERTA","ACEPTADO"))))))))</f>
        <v/>
      </c>
      <c r="R6" s="218" t="n"/>
      <c r="S6" s="58">
        <f>IF(A6="","",IFERROR(--ISNUMBER(SEARCH("R28",G6)),0)+IFERROR(--ISNUMBER(SEARCH("R29",G6)),0)+IFERROR(--ISNUMBER(SEARCH("R30",G6)),0)+IFERROR(--ISNUMBER(SEARCH("R31",G6)),0)+IFERROR(--ISNUMBER(SEARCH("R32",G6)),0)+IFERROR(--ISNUMBER(SEARCH("R33",G6)),0)+IFERROR(--ISNUMBER(SEARCH("R34",G6)),0)+IFERROR(--ISNUMBER(SEARCH("R35",G6)),0)+IFERROR(--ISNUMBER(SEARCH("R36",G6)),0)+IFERROR(--ISNUMBER(SEARCH("R37",G6)),0)+IFERROR(--ISNUMBER(SEARCH("R38",G6)),0)+IFERROR(--ISNUMBER(SEARCH("R39",G6)),0)+IFERROR(--ISNUMBER(SEARCH("R40",G6)),0)+IFERROR(--ISNUMBER(SEARCH("R41",G6)),0)+IFERROR(--ISNUMBER(SEARCH("R42",G6)),0)+IFERROR(--ISNUMBER(SEARCH("R43",G6)),0)+IFERROR(--ISNUMBER(SEARCH("R44",G6)),0)+IFERROR(--ISNUMBER(SEARCH("R45",G6)),0)+IFERROR(--ISNUMBER(SEARCH("R46",G6)),0)+IFERROR(--ISNUMBER(SEARCH("R47",G6)),0)+IFERROR(--ISNUMBER(SEARCH("R48",G6)),0)+IFERROR(--ISNUMBER(SEARCH("R49",G6)),0)+IFERROR(--ISNUMBER(SEARCH("R50",G6)),0)+IFERROR(--ISNUMBER(SEARCH("R51",G6)),0)+IFERROR(--ISNUMBER(SEARCH("R52",G6)),0)+IFERROR(--ISNUMBER(SEARCH("R53",G6)),0)+IFERROR(--ISNUMBER(SEARCH("R54",G6)),0)+IFERROR(--ISNUMBER(SEARCH("R55",G6)),0)+IFERROR(--ISNUMBER(SEARCH("R56",G6)),0)+IFERROR(--ISNUMBER(SEARCH("R57",G6)),0)+IFERROR(--ISNUMBER(SEARCH("R58",G6)),0)+IFERROR(--ISNUMBER(SEARCH("R59",G6)),0)+IFERROR(--ISNUMBER(SEARCH("R60",G6)),0)+IFERROR(--ISNUMBER(SEARCH("R61",G6)),0)+IFERROR(--ISNUMBER(SEARCH("R62",G6)),0)+IFERROR(--ISNUMBER(SEARCH("R63",G6)),0)+IFERROR(--ISNUMBER(SEARCH("R64",G6)),0)+IFERROR(--ISNUMBER(SEARCH("R65",G6)),0)+IFERROR(--ISNUMBER(SEARCH("R66",G6)),0)+IFERROR(--ISNUMBER(SEARCH("R67",G6)),0)+IFERROR(--ISNUMBER(SEARCH("R68",G6)),0)+IFERROR(--ISNUMBER(SEARCH("R69",G6)),0)+IFERROR(--ISNUMBER(SEARCH("R70",G6)),0)+IFERROR(--ISNUMBER(SEARCH("R71",G6)),0)+IFERROR(--ISNUMBER(SEARCH("R72",G6)),0)+IFERROR(--ISNUMBER(SEARCH("R73",G6)),0)+IFERROR(--ISNUMBER(SEARCH("R74",G6)),0)+IFERROR(--ISNUMBER(SEARCH("R75",G6)),0)+IFERROR(--ISNUMBER(SEARCH("R76",G6)),0)+IFERROR(--ISNUMBER(SEARCH("R77",G6)),0)+IFERROR(--ISNUMBER(SEARCH("R78",G6)),0)+IFERROR(--ISNUMBER(SEARCH("R79",G6)),0)+IFERROR(--ISNUMBER(SEARCH("R80",G6)),0)+IFERROR(--ISNUMBER(SEARCH("R81",G6)),0)+IFERROR(--ISNUMBER(SEARCH("R82",G6)),0)+IFERROR(--ISNUMBER(SEARCH("R83",G6)),0)+IFERROR(--ISNUMBER(SEARCH("R84",G6)),0)+IFERROR(--ISNUMBER(SEARCH("R85",G6)),0)+IFERROR(--ISNUMBER(SEARCH("R86",G6)),0)+IFERROR(--ISNUMBER(SEARCH("R87",G6)),0)+IFERROR(--ISNUMBER(SEARCH("R88",G6)),0)+IFERROR(--ISNUMBER(SEARCH("R89",G6)),0)+IFERROR(--ISNUMBER(SEARCH("R90",G6)),0)+IFERROR(--ISNUMBER(SEARCH("R91",G6)),0)+IFERROR(--ISNUMBER(SEARCH("R92",G6)),0)+IFERROR(--ISNUMBER(SEARCH("R93",G6)),0)+IFERROR(--ISNUMBER(SEARCH("R94",G6)),0)+IFERROR(--ISNUMBER(SEARCH("R95",G6)),0)+IFERROR(--ISNUMBER(SEARCH("R96",G6)),0)+IFERROR(--ISNUMBER(SEARCH("R97",G6)),0)+IFERROR(--ISNUMBER(SEARCH("R98",G6)),0)+IFERROR(--ISNUMBER(SEARCH("R99",G6)),0)+IFERROR(--ISNUMBER(SEARCH("R100",G6)),0)+IFERROR(--ISNUMBER(SEARCH("R101",G6)),0)+IFERROR(--ISNUMBER(SEARCH("R102",G6)),0)+IFERROR(--ISNUMBER(SEARCH("R103",G6)),0)+IFERROR(--ISNUMBER(SEARCH("R104",G6)),0)+IFERROR(--ISNUMBER(SEARCH("R105",G6)),0)+IFERROR(--ISNUMBER(SEARCH("R106",G6)),0)+IFERROR(--ISNUMBER(SEARCH("R107",G6)),0)+IFERROR(--ISNUMBER(SEARCH("R108",G6)),0)+IFERROR(--ISNUMBER(SEARCH("R109",G6)),0)+IFERROR(--ISNUMBER(SEARCH("R110",G6)),0)+IFERROR(--ISNUMBER(SEARCH("R111",G6)),0)+IFERROR(--ISNUMBER(SEARCH("R112",G6)),0)+IFERROR(--ISNUMBER(SEARCH("R113",G6)),0)+IFERROR(--ISNUMBER(SEARCH("R114",G6)),0)+IFERROR(--ISNUMBER(SEARCH("R115",G6)),0)+IFERROR(--ISNUMBER(SEARCH("R116",G6)),0)+IFERROR(--ISNUMBER(SEARCH("R117",G6)),0)+IFERROR(--ISNUMBER(SEARCH("R118",G6)),0)+IFERROR(--ISNUMBER(SEARCH("R119",G6)),0)+IFERROR(--ISNUMBER(SEARCH("R120",G6)),0)+IFERROR(--ISNUMBER(SEARCH("R121",G6)),0)+IFERROR(--ISNUMBER(SEARCH("R122",G6)),0)+IFERROR(--ISNUMBER(SEARCH("R123",G6)),0)+IFERROR(--ISNUMBER(SEARCH("R124",G6)),0)+IFERROR(--ISNUMBER(SEARCH("R125",G6)),0)+IFERROR(--ISNUMBER(SEARCH("R126",G6)),0)+IFERROR(--ISNUMBER(SEARCH("R127",G6)),0)+IFERROR(--ISNUMBER(SEARCH("R128",G6)),0)+IFERROR(--ISNUMBER(SEARCH("R129",G6)),0)+IFERROR(--ISNUMBER(SEARCH("R130",G6)),0)+IFERROR(--ISNUMBER(SEARCH("R131",G6)),0)+IFERROR(--ISNUMBER(SEARCH("R132",G6)),0)+IFERROR(--ISNUMBER(SEARCH("R133",G6)),0)+IFERROR(--ISNUMBER(SEARCH("R134",G6)),0)+IFERROR(--ISNUMBER(SEARCH("R135",G6)),0)+IFERROR(--ISNUMBER(SEARCH("R136",G6)),0)+IFERROR(--ISNUMBER(SEARCH("R137",G6)),0)+IFERROR(--ISNUMBER(SEARCH("R138",G6)),0)+IFERROR(--ISNUMBER(SEARCH("R139",G6)),0)+IFERROR(--ISNUMBER(SEARCH("R140",G6)),0)+IFERROR(--ISNUMBER(SEARCH("R141",G6)),0))</f>
        <v/>
      </c>
      <c r="T6" s="58">
        <f>IF(A6="","",IFERROR(--ISNUMBER(SEARCH("R28",G6)),0)+IFERROR(--ISNUMBER(SEARCH("R29",G6)),0)+IFERROR(--ISNUMBER(SEARCH("R30",G6)),0)+IFERROR(--ISNUMBER(SEARCH("R32",G6)),0)+IFERROR(--ISNUMBER(SEARCH("R33",G6)),0)+IFERROR(--ISNUMBER(SEARCH("R35",G6)),0)+IFERROR(--ISNUMBER(SEARCH("R36",G6)),0)+IFERROR(--ISNUMBER(SEARCH("R38",G6)),0)+IFERROR(--ISNUMBER(SEARCH("R39",G6)),0)+IFERROR(--ISNUMBER(SEARCH("R43",G6)),0)+IFERROR(--ISNUMBER(SEARCH("R44",G6)),0)+IFERROR(--ISNUMBER(SEARCH("R45",G6)),0)+IFERROR(--ISNUMBER(SEARCH("R47",G6)),0)+IFERROR(--ISNUMBER(SEARCH("R48",G6)),0)+IFERROR(--ISNUMBER(SEARCH("R50",G6)),0)+IFERROR(--ISNUMBER(SEARCH("R51",G6)),0)+IFERROR(--ISNUMBER(SEARCH("R56",G6)),0)+IFERROR(--ISNUMBER(SEARCH("R58",G6)),0)+IFERROR(--ISNUMBER(SEARCH("R59",G6)),0)+IFERROR(--ISNUMBER(SEARCH("R60",G6)),0)+IFERROR(--ISNUMBER(SEARCH("R62",G6)),0)+IFERROR(--ISNUMBER(SEARCH("R63",G6)),0)+IFERROR(--ISNUMBER(SEARCH("R64",G6)),0)+IFERROR(--ISNUMBER(SEARCH("R66",G6)),0)+IFERROR(--ISNUMBER(SEARCH("R67",G6)),0)+IFERROR(--ISNUMBER(SEARCH("R72",G6)),0)+IFERROR(--ISNUMBER(SEARCH("R74",G6)),0)+IFERROR(--ISNUMBER(SEARCH("R75",G6)),0)+IFERROR(--ISNUMBER(SEARCH("R76",G6)),0)+IFERROR(--ISNUMBER(SEARCH("R77",G6)),0)+IFERROR(--ISNUMBER(SEARCH("R79",G6)),0)+IFERROR(--ISNUMBER(SEARCH("R80",G6)),0)+IFERROR(--ISNUMBER(SEARCH("R81",G6)),0)+IFERROR(--ISNUMBER(SEARCH("R83",G6)),0)+IFERROR(--ISNUMBER(SEARCH("R84",G6)),0)+IFERROR(--ISNUMBER(SEARCH("R89",G6)),0)+IFERROR(--ISNUMBER(SEARCH("R94",G6)),0)+IFERROR(--ISNUMBER(SEARCH("R95",G6)),0)+IFERROR(--ISNUMBER(SEARCH("R96",G6)),0)+IFERROR(--ISNUMBER(SEARCH("R98",G6)),0)+IFERROR(--ISNUMBER(SEARCH("R99",G6)),0)+IFERROR(--ISNUMBER(SEARCH("R100",G6)),0)+IFERROR(--ISNUMBER(SEARCH("R104",G6)),0)+IFERROR(--ISNUMBER(SEARCH("R105",G6)),0)+IFERROR(--ISNUMBER(SEARCH("R107",G6)),0)+IFERROR(--ISNUMBER(SEARCH("R108",G6)),0)+IFERROR(--ISNUMBER(SEARCH("R109",G6)),0)+IFERROR(--ISNUMBER(SEARCH("R110",G6)),0)+IFERROR(--ISNUMBER(SEARCH("R112",G6)),0)+IFERROR(--ISNUMBER(SEARCH("R113",G6)),0)+IFERROR(--ISNUMBER(SEARCH("R114",G6)),0)+IFERROR(--ISNUMBER(SEARCH("R118",G6)),0)+IFERROR(--ISNUMBER(SEARCH("R119",G6)),0)+IFERROR(--ISNUMBER(SEARCH("R120",G6)),0)+IFERROR(--ISNUMBER(SEARCH("R122",G6)),0)+IFERROR(--ISNUMBER(SEARCH("R123",G6)),0)+IFERROR(--ISNUMBER(SEARCH("R124",G6)),0)+IFERROR(--ISNUMBER(SEARCH("R128",G6)),0)+IFERROR(--ISNUMBER(SEARCH("R130",G6)),0)+IFERROR(--ISNUMBER(SEARCH("R131",G6)),0)+IFERROR(--ISNUMBER(SEARCH("R132",G6)),0)+IFERROR(--ISNUMBER(SEARCH("R135",G6)),0)+IFERROR(--ISNUMBER(SEARCH("R138",G6)),0)+IFERROR(--ISNUMBER(SEARCH("R141",G6)),0))</f>
        <v/>
      </c>
      <c r="U6" s="58">
        <f>IF(A6="","",IFERROR(--ISNUMBER(SEARCH("R28",G6))*28,0)+IFERROR(--ISNUMBER(SEARCH("R29",G6))*29,0)+IFERROR(--ISNUMBER(SEARCH("R30",G6))*30,0)+IFERROR(--ISNUMBER(SEARCH("R31",G6))*31,0)+IFERROR(--ISNUMBER(SEARCH("R32",G6))*32,0)+IFERROR(--ISNUMBER(SEARCH("R33",G6))*33,0)+IFERROR(--ISNUMBER(SEARCH("R34",G6))*34,0)+IFERROR(--ISNUMBER(SEARCH("R35",G6))*35,0)+IFERROR(--ISNUMBER(SEARCH("R36",G6))*36,0)+IFERROR(--ISNUMBER(SEARCH("R37",G6))*37,0)+IFERROR(--ISNUMBER(SEARCH("R38",G6))*38,0)+IFERROR(--ISNUMBER(SEARCH("R39",G6))*39,0)+IFERROR(--ISNUMBER(SEARCH("R40",G6))*40,0)+IFERROR(--ISNUMBER(SEARCH("R41",G6))*41,0)+IFERROR(--ISNUMBER(SEARCH("R42",G6))*42,0)+IFERROR(--ISNUMBER(SEARCH("R43",G6))*43,0)+IFERROR(--ISNUMBER(SEARCH("R44",G6))*44,0)+IFERROR(--ISNUMBER(SEARCH("R45",G6))*45,0)+IFERROR(--ISNUMBER(SEARCH("R46",G6))*46,0)+IFERROR(--ISNUMBER(SEARCH("R47",G6))*47,0)+IFERROR(--ISNUMBER(SEARCH("R48",G6))*48,0)+IFERROR(--ISNUMBER(SEARCH("R49",G6))*49,0)+IFERROR(--ISNUMBER(SEARCH("R50",G6))*50,0)+IFERROR(--ISNUMBER(SEARCH("R51",G6))*51,0)+IFERROR(--ISNUMBER(SEARCH("R52",G6))*52,0)+IFERROR(--ISNUMBER(SEARCH("R53",G6))*53,0)+IFERROR(--ISNUMBER(SEARCH("R54",G6))*54,0)+IFERROR(--ISNUMBER(SEARCH("R55",G6))*55,0)+IFERROR(--ISNUMBER(SEARCH("R56",G6))*56,0)+IFERROR(--ISNUMBER(SEARCH("R57",G6))*57,0)+IFERROR(--ISNUMBER(SEARCH("R58",G6))*58,0)+IFERROR(--ISNUMBER(SEARCH("R59",G6))*59,0)+IFERROR(--ISNUMBER(SEARCH("R60",G6))*60,0)+IFERROR(--ISNUMBER(SEARCH("R61",G6))*61,0)+IFERROR(--ISNUMBER(SEARCH("R62",G6))*62,0)+IFERROR(--ISNUMBER(SEARCH("R63",G6))*63,0)+IFERROR(--ISNUMBER(SEARCH("R64",G6))*64,0)+IFERROR(--ISNUMBER(SEARCH("R65",G6))*65,0)+IFERROR(--ISNUMBER(SEARCH("R66",G6))*66,0)+IFERROR(--ISNUMBER(SEARCH("R67",G6))*67,0)+IFERROR(--ISNUMBER(SEARCH("R68",G6))*68,0)+IFERROR(--ISNUMBER(SEARCH("R69",G6))*69,0)+IFERROR(--ISNUMBER(SEARCH("R70",G6))*70,0)+IFERROR(--ISNUMBER(SEARCH("R71",G6))*71,0)+IFERROR(--ISNUMBER(SEARCH("R72",G6))*72,0)+IFERROR(--ISNUMBER(SEARCH("R73",G6))*73,0)+IFERROR(--ISNUMBER(SEARCH("R74",G6))*74,0)+IFERROR(--ISNUMBER(SEARCH("R75",G6))*75,0)+IFERROR(--ISNUMBER(SEARCH("R76",G6))*76,0)+IFERROR(--ISNUMBER(SEARCH("R77",G6))*77,0)+IFERROR(--ISNUMBER(SEARCH("R78",G6))*78,0)+IFERROR(--ISNUMBER(SEARCH("R79",G6))*79,0)+IFERROR(--ISNUMBER(SEARCH("R80",G6))*80,0)+IFERROR(--ISNUMBER(SEARCH("R81",G6))*81,0)+IFERROR(--ISNUMBER(SEARCH("R82",G6))*82,0)+IFERROR(--ISNUMBER(SEARCH("R83",G6))*83,0)+IFERROR(--ISNUMBER(SEARCH("R84",G6))*84,0)+IFERROR(--ISNUMBER(SEARCH("R85",G6))*85,0)+IFERROR(--ISNUMBER(SEARCH("R86",G6))*86,0)+IFERROR(--ISNUMBER(SEARCH("R87",G6))*87,0)+IFERROR(--ISNUMBER(SEARCH("R88",G6))*88,0)+IFERROR(--ISNUMBER(SEARCH("R89",G6))*89,0)+IFERROR(--ISNUMBER(SEARCH("R90",G6))*90,0)+IFERROR(--ISNUMBER(SEARCH("R91",G6))*91,0)+IFERROR(--ISNUMBER(SEARCH("R92",G6))*92,0)+IFERROR(--ISNUMBER(SEARCH("R93",G6))*93,0)+IFERROR(--ISNUMBER(SEARCH("R94",G6))*94,0)+IFERROR(--ISNUMBER(SEARCH("R95",G6))*95,0)+IFERROR(--ISNUMBER(SEARCH("R96",G6))*96,0)+IFERROR(--ISNUMBER(SEARCH("R97",G6))*97,0)+IFERROR(--ISNUMBER(SEARCH("R98",G6))*98,0)+IFERROR(--ISNUMBER(SEARCH("R99",G6))*99,0)+IFERROR(--ISNUMBER(SEARCH("R100",G6))*100,0)+IFERROR(--ISNUMBER(SEARCH("R101",G6))*101,0)+IFERROR(--ISNUMBER(SEARCH("R102",G6))*102,0)+IFERROR(--ISNUMBER(SEARCH("R103",G6))*103,0)+IFERROR(--ISNUMBER(SEARCH("R104",G6))*104,0)+IFERROR(--ISNUMBER(SEARCH("R105",G6))*105,0)+IFERROR(--ISNUMBER(SEARCH("R106",G6))*106,0)+IFERROR(--ISNUMBER(SEARCH("R107",G6))*107,0)+IFERROR(--ISNUMBER(SEARCH("R108",G6))*108,0)+IFERROR(--ISNUMBER(SEARCH("R109",G6))*109,0)+IFERROR(--ISNUMBER(SEARCH("R110",G6))*110,0)+IFERROR(--ISNUMBER(SEARCH("R111",G6))*111,0)+IFERROR(--ISNUMBER(SEARCH("R112",G6))*112,0)+IFERROR(--ISNUMBER(SEARCH("R113",G6))*113,0)+IFERROR(--ISNUMBER(SEARCH("R114",G6))*114,0)+IFERROR(--ISNUMBER(SEARCH("R115",G6))*115,0)+IFERROR(--ISNUMBER(SEARCH("R116",G6))*116,0)+IFERROR(--ISNUMBER(SEARCH("R117",G6))*117,0)+IFERROR(--ISNUMBER(SEARCH("R118",G6))*118,0)+IFERROR(--ISNUMBER(SEARCH("R119",G6))*119,0)+IFERROR(--ISNUMBER(SEARCH("R120",G6))*120,0)+IFERROR(--ISNUMBER(SEARCH("R121",G6))*121,0)+IFERROR(--ISNUMBER(SEARCH("R122",G6))*122,0)+IFERROR(--ISNUMBER(SEARCH("R123",G6))*123,0)+IFERROR(--ISNUMBER(SEARCH("R124",G6))*124,0)+IFERROR(--ISNUMBER(SEARCH("R125",G6))*125,0)+IFERROR(--ISNUMBER(SEARCH("R126",G6))*126,0)+IFERROR(--ISNUMBER(SEARCH("R127",G6))*127,0)+IFERROR(--ISNUMBER(SEARCH("R128",G6))*128,0)+IFERROR(--ISNUMBER(SEARCH("R129",G6))*129,0)+IFERROR(--ISNUMBER(SEARCH("R130",G6))*130,0)+IFERROR(--ISNUMBER(SEARCH("R131",G6))*131,0)+IFERROR(--ISNUMBER(SEARCH("R132",G6))*132,0)+IFERROR(--ISNUMBER(SEARCH("R133",G6))*133,0)+IFERROR(--ISNUMBER(SEARCH("R134",G6))*134,0)+IFERROR(--ISNUMBER(SEARCH("R135",G6))*135,0)+IFERROR(--ISNUMBER(SEARCH("R136",G6))*136,0)+IFERROR(--ISNUMBER(SEARCH("R137",G6))*137,0)+IFERROR(--ISNUMBER(SEARCH("R138",G6))*138,0)+IFERROR(--ISNUMBER(SEARCH("R139",G6))*139,0)+IFERROR(--ISNUMBER(SEARCH("R140",G6))*140,0)+IFERROR(--ISNUMBER(SEARCH("R141",G6))*141,0))</f>
        <v/>
      </c>
      <c r="V6" s="59">
        <f>IF(A6="","",IF(K6&lt;&gt;"",K6,J6))</f>
        <v/>
      </c>
      <c r="W6" s="59">
        <f>IF(A6="","",IF(AND(V6=29,O6&lt;&gt;"",COUNTIFS($V$6:$V$505,29,$F$6:$F$505,F6,$C$6:$C$505,C6,$O$6:$O$505,"&lt;&gt;")&gt;1),IF(COUNTIFS($V$6:V6,29,$F$6:F6,F6,$C$6:C6,C6,$O$6:O6,"&lt;&gt;")=1,"Esta es la fila que se debe CONSERVAR (aparición 1 de "&amp;COUNTIFS($V$6:$V$505,29,$F$6:$F$505,F6,$C$6:$C$505,C6,$O$6:$O$505,"&lt;&gt;")&amp;" con el mismo tercero y valor, casilla 29). Si hay más filas iguales, bórreles el valor a ELLAS, no a esta.","DUPLICADO — ya existe otra fila con el mismo tercero y valor para casilla 29 (aparición "&amp;COUNTIFS($V$6:V6,29,$F$6:F6,F6,$C$6:C6,C6,$O$6:O6,"&lt;&gt;")&amp;" de "&amp;COUNTIFS($V$6:$V$505,29,$F$6:$F$505,F6,$C$6:$C$505,C6,$O$6:$O$505,"&lt;&gt;")&amp;"). Para resolverlo: seleccione la celda O"&amp;ROW()&amp;" (columna Valor a declarar de ESTA fila) y presione Supr."),""))</f>
        <v/>
      </c>
      <c r="X6" s="463">
        <f>IF(A6="","",F6)</f>
        <v/>
      </c>
      <c r="Y6" s="463">
        <f>IF(A6="","",SUMIF(Entrada_Manual!$I$88:$I$187,A6,Entrada_Manual!$F$88:$F$187))</f>
        <v/>
      </c>
      <c r="Z6" s="463">
        <f>IF(A6="","",X6-Y6)</f>
        <v/>
      </c>
      <c r="AA6">
        <f>IF(A6="","",SUMPRODUCT((Entrada_Manual!$I$88:$I$187=A6)*1))</f>
        <v/>
      </c>
      <c r="AB6">
        <f>IF(A6="","",IF(S6&lt;=1,"",IF(AA6=0,"PENDIENTE — SIN ASIGNAR",IF(Z6=0,"RESUELTO","PARCIAL — DIFERENCIA "&amp;TEXT(Z6,"#,##0")))))</f>
        <v/>
      </c>
    </row>
    <row r="7" ht="27.75" customHeight="1" s="235">
      <c r="A7" s="47">
        <f>IF(Exogena_RAW!E16&lt;&gt;"",ROW()-5,"")</f>
        <v/>
      </c>
      <c r="B7" s="48">
        <f>IF(A7="","",16)</f>
        <v/>
      </c>
      <c r="C7" s="48">
        <f>IF(A7="","",IFERROR(Exogena_RAW!A16,""))</f>
        <v/>
      </c>
      <c r="D7" s="48">
        <f>IF(A7="","",IFERROR(Exogena_RAW!B16,""))</f>
        <v/>
      </c>
      <c r="E7" s="48">
        <f>IF(A7="","",Exogena_RAW!E16)</f>
        <v/>
      </c>
      <c r="F7" s="461">
        <f>IF(A7="","",Exogena_RAW!F16)</f>
        <v/>
      </c>
      <c r="G7" s="48">
        <f>IF(A7="","",IFERROR(Exogena_RAW!G16,""))</f>
        <v/>
      </c>
      <c r="H7" s="48">
        <f>IF(A7="","",IFERROR(Exogena_RAW!H16,""))</f>
        <v/>
      </c>
      <c r="I7" s="48">
        <f>IF(A7="","",IFERROR(IF(S7&gt;1,"VARIAS CASILLAS",IF(S7=1,IF(T7=1,"PROPUESTA DE CASILLA","REVISIÓN: CASILLA NO DIRECTA"),IF(OR(ISNUMBER(SEARCH("TOPE",UPPER(E7))),ISNUMBER(SEARCH("TOPE",UPPER(G7)))),"SOLO CONTROL",IF(ISNUMBER(SEARCH("RETEN",UPPER(E7))),"RETENCIÓN","REVISAR")))),"REVISAR"))</f>
        <v/>
      </c>
      <c r="J7" s="48">
        <f>IF(A7="","",IF(ISNUMBER(SEARCH("ingreso laboral promedio de los últimos seis meses",E7)),"",IFERROR(IF(AND(S7=1,T7=1),U7,""),"")))</f>
        <v/>
      </c>
      <c r="K7" s="216" t="n"/>
      <c r="L7" s="48">
        <f>IF(A7="","",IFERROR(IF(K7&lt;&gt;"","Casilla elegida por usuario",IF(S7&gt;1,"Varias casillas — elegir en K",IF(J7&lt;&gt;"","Sugerencia directa",IF(S7=1,"No trasladar directo — revisar",IF(OR(ISNUMBER(SEARCH("TOPE",UPPER(E7))),ISNUMBER(SEARCH("TOPE",UPPER(G7)))),"Solo control","Revisar manualmente"))))),"Revisar manualmente"))</f>
        <v/>
      </c>
      <c r="M7" s="461">
        <f>IF(A7="","",IF(IF(K7&lt;&gt;"",K7,J7)="",0,IF(COUNTIFS(Reglas!$I$5:$I$118,IF(K7&lt;&gt;"",K7,J7),Reglas!$J$5:$J$118,"Sí")=1,F7,0)))</f>
        <v/>
      </c>
      <c r="N7" s="56" t="n"/>
      <c r="O7" s="462">
        <f>IF(A7="","",IF(M7=0,"",M7))</f>
        <v/>
      </c>
      <c r="P7" s="461">
        <f>IF(A7="","",IF(O7="",0,IF(ISNUMBER(O7),O7,0)))</f>
        <v/>
      </c>
      <c r="Q7" s="48">
        <f>IF(A7="","",IF(Exogena_RAW!$C$4="","BLOQUEADO: FALTA AÑO",IF(Exogena_RAW!$K$10&lt;&gt;Reglas!$B$5,"BLOQUEADO: AÑO",IF(IF(K7&lt;&gt;"",K7,J7)="",IF(S7&gt;1,"REQUIERE ASIGNACIÓN MANUAL (VARIAS CASILLAS)","INFORMATIVO (sin casilla — no se declara)"),IF(COUNTIFS(Reglas!$I$5:$I$118,IF(K7&lt;&gt;"",K7,J7),Reglas!$J$5:$J$118,"Sí")=0,"BLOQUEADO: CASILLA NO DIRECTA",IF(O7="","EXCLUIDO (valor borrado por el usuario)",IF(_xlfn.ISFORMULA(O7),IF(W7&lt;&gt;"","BORRADOR — VALOR SUGERIDO DIAN ⚠ VER ALERTA","BORRADOR — VALOR SUGERIDO DIAN"),IF(W7&lt;&gt;"","ACEPTADO ⚠ VER ALERTA","ACEPTADO"))))))))</f>
        <v/>
      </c>
      <c r="R7" s="218" t="n"/>
      <c r="S7" s="58">
        <f>IF(A7="","",IFERROR(--ISNUMBER(SEARCH("R28",G7)),0)+IFERROR(--ISNUMBER(SEARCH("R29",G7)),0)+IFERROR(--ISNUMBER(SEARCH("R30",G7)),0)+IFERROR(--ISNUMBER(SEARCH("R31",G7)),0)+IFERROR(--ISNUMBER(SEARCH("R32",G7)),0)+IFERROR(--ISNUMBER(SEARCH("R33",G7)),0)+IFERROR(--ISNUMBER(SEARCH("R34",G7)),0)+IFERROR(--ISNUMBER(SEARCH("R35",G7)),0)+IFERROR(--ISNUMBER(SEARCH("R36",G7)),0)+IFERROR(--ISNUMBER(SEARCH("R37",G7)),0)+IFERROR(--ISNUMBER(SEARCH("R38",G7)),0)+IFERROR(--ISNUMBER(SEARCH("R39",G7)),0)+IFERROR(--ISNUMBER(SEARCH("R40",G7)),0)+IFERROR(--ISNUMBER(SEARCH("R41",G7)),0)+IFERROR(--ISNUMBER(SEARCH("R42",G7)),0)+IFERROR(--ISNUMBER(SEARCH("R43",G7)),0)+IFERROR(--ISNUMBER(SEARCH("R44",G7)),0)+IFERROR(--ISNUMBER(SEARCH("R45",G7)),0)+IFERROR(--ISNUMBER(SEARCH("R46",G7)),0)+IFERROR(--ISNUMBER(SEARCH("R47",G7)),0)+IFERROR(--ISNUMBER(SEARCH("R48",G7)),0)+IFERROR(--ISNUMBER(SEARCH("R49",G7)),0)+IFERROR(--ISNUMBER(SEARCH("R50",G7)),0)+IFERROR(--ISNUMBER(SEARCH("R51",G7)),0)+IFERROR(--ISNUMBER(SEARCH("R52",G7)),0)+IFERROR(--ISNUMBER(SEARCH("R53",G7)),0)+IFERROR(--ISNUMBER(SEARCH("R54",G7)),0)+IFERROR(--ISNUMBER(SEARCH("R55",G7)),0)+IFERROR(--ISNUMBER(SEARCH("R56",G7)),0)+IFERROR(--ISNUMBER(SEARCH("R57",G7)),0)+IFERROR(--ISNUMBER(SEARCH("R58",G7)),0)+IFERROR(--ISNUMBER(SEARCH("R59",G7)),0)+IFERROR(--ISNUMBER(SEARCH("R60",G7)),0)+IFERROR(--ISNUMBER(SEARCH("R61",G7)),0)+IFERROR(--ISNUMBER(SEARCH("R62",G7)),0)+IFERROR(--ISNUMBER(SEARCH("R63",G7)),0)+IFERROR(--ISNUMBER(SEARCH("R64",G7)),0)+IFERROR(--ISNUMBER(SEARCH("R65",G7)),0)+IFERROR(--ISNUMBER(SEARCH("R66",G7)),0)+IFERROR(--ISNUMBER(SEARCH("R67",G7)),0)+IFERROR(--ISNUMBER(SEARCH("R68",G7)),0)+IFERROR(--ISNUMBER(SEARCH("R69",G7)),0)+IFERROR(--ISNUMBER(SEARCH("R70",G7)),0)+IFERROR(--ISNUMBER(SEARCH("R71",G7)),0)+IFERROR(--ISNUMBER(SEARCH("R72",G7)),0)+IFERROR(--ISNUMBER(SEARCH("R73",G7)),0)+IFERROR(--ISNUMBER(SEARCH("R74",G7)),0)+IFERROR(--ISNUMBER(SEARCH("R75",G7)),0)+IFERROR(--ISNUMBER(SEARCH("R76",G7)),0)+IFERROR(--ISNUMBER(SEARCH("R77",G7)),0)+IFERROR(--ISNUMBER(SEARCH("R78",G7)),0)+IFERROR(--ISNUMBER(SEARCH("R79",G7)),0)+IFERROR(--ISNUMBER(SEARCH("R80",G7)),0)+IFERROR(--ISNUMBER(SEARCH("R81",G7)),0)+IFERROR(--ISNUMBER(SEARCH("R82",G7)),0)+IFERROR(--ISNUMBER(SEARCH("R83",G7)),0)+IFERROR(--ISNUMBER(SEARCH("R84",G7)),0)+IFERROR(--ISNUMBER(SEARCH("R85",G7)),0)+IFERROR(--ISNUMBER(SEARCH("R86",G7)),0)+IFERROR(--ISNUMBER(SEARCH("R87",G7)),0)+IFERROR(--ISNUMBER(SEARCH("R88",G7)),0)+IFERROR(--ISNUMBER(SEARCH("R89",G7)),0)+IFERROR(--ISNUMBER(SEARCH("R90",G7)),0)+IFERROR(--ISNUMBER(SEARCH("R91",G7)),0)+IFERROR(--ISNUMBER(SEARCH("R92",G7)),0)+IFERROR(--ISNUMBER(SEARCH("R93",G7)),0)+IFERROR(--ISNUMBER(SEARCH("R94",G7)),0)+IFERROR(--ISNUMBER(SEARCH("R95",G7)),0)+IFERROR(--ISNUMBER(SEARCH("R96",G7)),0)+IFERROR(--ISNUMBER(SEARCH("R97",G7)),0)+IFERROR(--ISNUMBER(SEARCH("R98",G7)),0)+IFERROR(--ISNUMBER(SEARCH("R99",G7)),0)+IFERROR(--ISNUMBER(SEARCH("R100",G7)),0)+IFERROR(--ISNUMBER(SEARCH("R101",G7)),0)+IFERROR(--ISNUMBER(SEARCH("R102",G7)),0)+IFERROR(--ISNUMBER(SEARCH("R103",G7)),0)+IFERROR(--ISNUMBER(SEARCH("R104",G7)),0)+IFERROR(--ISNUMBER(SEARCH("R105",G7)),0)+IFERROR(--ISNUMBER(SEARCH("R106",G7)),0)+IFERROR(--ISNUMBER(SEARCH("R107",G7)),0)+IFERROR(--ISNUMBER(SEARCH("R108",G7)),0)+IFERROR(--ISNUMBER(SEARCH("R109",G7)),0)+IFERROR(--ISNUMBER(SEARCH("R110",G7)),0)+IFERROR(--ISNUMBER(SEARCH("R111",G7)),0)+IFERROR(--ISNUMBER(SEARCH("R112",G7)),0)+IFERROR(--ISNUMBER(SEARCH("R113",G7)),0)+IFERROR(--ISNUMBER(SEARCH("R114",G7)),0)+IFERROR(--ISNUMBER(SEARCH("R115",G7)),0)+IFERROR(--ISNUMBER(SEARCH("R116",G7)),0)+IFERROR(--ISNUMBER(SEARCH("R117",G7)),0)+IFERROR(--ISNUMBER(SEARCH("R118",G7)),0)+IFERROR(--ISNUMBER(SEARCH("R119",G7)),0)+IFERROR(--ISNUMBER(SEARCH("R120",G7)),0)+IFERROR(--ISNUMBER(SEARCH("R121",G7)),0)+IFERROR(--ISNUMBER(SEARCH("R122",G7)),0)+IFERROR(--ISNUMBER(SEARCH("R123",G7)),0)+IFERROR(--ISNUMBER(SEARCH("R124",G7)),0)+IFERROR(--ISNUMBER(SEARCH("R125",G7)),0)+IFERROR(--ISNUMBER(SEARCH("R126",G7)),0)+IFERROR(--ISNUMBER(SEARCH("R127",G7)),0)+IFERROR(--ISNUMBER(SEARCH("R128",G7)),0)+IFERROR(--ISNUMBER(SEARCH("R129",G7)),0)+IFERROR(--ISNUMBER(SEARCH("R130",G7)),0)+IFERROR(--ISNUMBER(SEARCH("R131",G7)),0)+IFERROR(--ISNUMBER(SEARCH("R132",G7)),0)+IFERROR(--ISNUMBER(SEARCH("R133",G7)),0)+IFERROR(--ISNUMBER(SEARCH("R134",G7)),0)+IFERROR(--ISNUMBER(SEARCH("R135",G7)),0)+IFERROR(--ISNUMBER(SEARCH("R136",G7)),0)+IFERROR(--ISNUMBER(SEARCH("R137",G7)),0)+IFERROR(--ISNUMBER(SEARCH("R138",G7)),0)+IFERROR(--ISNUMBER(SEARCH("R139",G7)),0)+IFERROR(--ISNUMBER(SEARCH("R140",G7)),0)+IFERROR(--ISNUMBER(SEARCH("R141",G7)),0))</f>
        <v/>
      </c>
      <c r="T7" s="58">
        <f>IF(A7="","",IFERROR(--ISNUMBER(SEARCH("R28",G7)),0)+IFERROR(--ISNUMBER(SEARCH("R29",G7)),0)+IFERROR(--ISNUMBER(SEARCH("R30",G7)),0)+IFERROR(--ISNUMBER(SEARCH("R32",G7)),0)+IFERROR(--ISNUMBER(SEARCH("R33",G7)),0)+IFERROR(--ISNUMBER(SEARCH("R35",G7)),0)+IFERROR(--ISNUMBER(SEARCH("R36",G7)),0)+IFERROR(--ISNUMBER(SEARCH("R38",G7)),0)+IFERROR(--ISNUMBER(SEARCH("R39",G7)),0)+IFERROR(--ISNUMBER(SEARCH("R43",G7)),0)+IFERROR(--ISNUMBER(SEARCH("R44",G7)),0)+IFERROR(--ISNUMBER(SEARCH("R45",G7)),0)+IFERROR(--ISNUMBER(SEARCH("R47",G7)),0)+IFERROR(--ISNUMBER(SEARCH("R48",G7)),0)+IFERROR(--ISNUMBER(SEARCH("R50",G7)),0)+IFERROR(--ISNUMBER(SEARCH("R51",G7)),0)+IFERROR(--ISNUMBER(SEARCH("R56",G7)),0)+IFERROR(--ISNUMBER(SEARCH("R58",G7)),0)+IFERROR(--ISNUMBER(SEARCH("R59",G7)),0)+IFERROR(--ISNUMBER(SEARCH("R60",G7)),0)+IFERROR(--ISNUMBER(SEARCH("R62",G7)),0)+IFERROR(--ISNUMBER(SEARCH("R63",G7)),0)+IFERROR(--ISNUMBER(SEARCH("R64",G7)),0)+IFERROR(--ISNUMBER(SEARCH("R66",G7)),0)+IFERROR(--ISNUMBER(SEARCH("R67",G7)),0)+IFERROR(--ISNUMBER(SEARCH("R72",G7)),0)+IFERROR(--ISNUMBER(SEARCH("R74",G7)),0)+IFERROR(--ISNUMBER(SEARCH("R75",G7)),0)+IFERROR(--ISNUMBER(SEARCH("R76",G7)),0)+IFERROR(--ISNUMBER(SEARCH("R77",G7)),0)+IFERROR(--ISNUMBER(SEARCH("R79",G7)),0)+IFERROR(--ISNUMBER(SEARCH("R80",G7)),0)+IFERROR(--ISNUMBER(SEARCH("R81",G7)),0)+IFERROR(--ISNUMBER(SEARCH("R83",G7)),0)+IFERROR(--ISNUMBER(SEARCH("R84",G7)),0)+IFERROR(--ISNUMBER(SEARCH("R89",G7)),0)+IFERROR(--ISNUMBER(SEARCH("R94",G7)),0)+IFERROR(--ISNUMBER(SEARCH("R95",G7)),0)+IFERROR(--ISNUMBER(SEARCH("R96",G7)),0)+IFERROR(--ISNUMBER(SEARCH("R98",G7)),0)+IFERROR(--ISNUMBER(SEARCH("R99",G7)),0)+IFERROR(--ISNUMBER(SEARCH("R100",G7)),0)+IFERROR(--ISNUMBER(SEARCH("R104",G7)),0)+IFERROR(--ISNUMBER(SEARCH("R105",G7)),0)+IFERROR(--ISNUMBER(SEARCH("R107",G7)),0)+IFERROR(--ISNUMBER(SEARCH("R108",G7)),0)+IFERROR(--ISNUMBER(SEARCH("R109",G7)),0)+IFERROR(--ISNUMBER(SEARCH("R110",G7)),0)+IFERROR(--ISNUMBER(SEARCH("R112",G7)),0)+IFERROR(--ISNUMBER(SEARCH("R113",G7)),0)+IFERROR(--ISNUMBER(SEARCH("R114",G7)),0)+IFERROR(--ISNUMBER(SEARCH("R118",G7)),0)+IFERROR(--ISNUMBER(SEARCH("R119",G7)),0)+IFERROR(--ISNUMBER(SEARCH("R120",G7)),0)+IFERROR(--ISNUMBER(SEARCH("R122",G7)),0)+IFERROR(--ISNUMBER(SEARCH("R123",G7)),0)+IFERROR(--ISNUMBER(SEARCH("R124",G7)),0)+IFERROR(--ISNUMBER(SEARCH("R128",G7)),0)+IFERROR(--ISNUMBER(SEARCH("R130",G7)),0)+IFERROR(--ISNUMBER(SEARCH("R131",G7)),0)+IFERROR(--ISNUMBER(SEARCH("R132",G7)),0)+IFERROR(--ISNUMBER(SEARCH("R135",G7)),0)+IFERROR(--ISNUMBER(SEARCH("R138",G7)),0)+IFERROR(--ISNUMBER(SEARCH("R141",G7)),0))</f>
        <v/>
      </c>
      <c r="U7" s="58">
        <f>IF(A7="","",IFERROR(--ISNUMBER(SEARCH("R28",G7))*28,0)+IFERROR(--ISNUMBER(SEARCH("R29",G7))*29,0)+IFERROR(--ISNUMBER(SEARCH("R30",G7))*30,0)+IFERROR(--ISNUMBER(SEARCH("R31",G7))*31,0)+IFERROR(--ISNUMBER(SEARCH("R32",G7))*32,0)+IFERROR(--ISNUMBER(SEARCH("R33",G7))*33,0)+IFERROR(--ISNUMBER(SEARCH("R34",G7))*34,0)+IFERROR(--ISNUMBER(SEARCH("R35",G7))*35,0)+IFERROR(--ISNUMBER(SEARCH("R36",G7))*36,0)+IFERROR(--ISNUMBER(SEARCH("R37",G7))*37,0)+IFERROR(--ISNUMBER(SEARCH("R38",G7))*38,0)+IFERROR(--ISNUMBER(SEARCH("R39",G7))*39,0)+IFERROR(--ISNUMBER(SEARCH("R40",G7))*40,0)+IFERROR(--ISNUMBER(SEARCH("R41",G7))*41,0)+IFERROR(--ISNUMBER(SEARCH("R42",G7))*42,0)+IFERROR(--ISNUMBER(SEARCH("R43",G7))*43,0)+IFERROR(--ISNUMBER(SEARCH("R44",G7))*44,0)+IFERROR(--ISNUMBER(SEARCH("R45",G7))*45,0)+IFERROR(--ISNUMBER(SEARCH("R46",G7))*46,0)+IFERROR(--ISNUMBER(SEARCH("R47",G7))*47,0)+IFERROR(--ISNUMBER(SEARCH("R48",G7))*48,0)+IFERROR(--ISNUMBER(SEARCH("R49",G7))*49,0)+IFERROR(--ISNUMBER(SEARCH("R50",G7))*50,0)+IFERROR(--ISNUMBER(SEARCH("R51",G7))*51,0)+IFERROR(--ISNUMBER(SEARCH("R52",G7))*52,0)+IFERROR(--ISNUMBER(SEARCH("R53",G7))*53,0)+IFERROR(--ISNUMBER(SEARCH("R54",G7))*54,0)+IFERROR(--ISNUMBER(SEARCH("R55",G7))*55,0)+IFERROR(--ISNUMBER(SEARCH("R56",G7))*56,0)+IFERROR(--ISNUMBER(SEARCH("R57",G7))*57,0)+IFERROR(--ISNUMBER(SEARCH("R58",G7))*58,0)+IFERROR(--ISNUMBER(SEARCH("R59",G7))*59,0)+IFERROR(--ISNUMBER(SEARCH("R60",G7))*60,0)+IFERROR(--ISNUMBER(SEARCH("R61",G7))*61,0)+IFERROR(--ISNUMBER(SEARCH("R62",G7))*62,0)+IFERROR(--ISNUMBER(SEARCH("R63",G7))*63,0)+IFERROR(--ISNUMBER(SEARCH("R64",G7))*64,0)+IFERROR(--ISNUMBER(SEARCH("R65",G7))*65,0)+IFERROR(--ISNUMBER(SEARCH("R66",G7))*66,0)+IFERROR(--ISNUMBER(SEARCH("R67",G7))*67,0)+IFERROR(--ISNUMBER(SEARCH("R68",G7))*68,0)+IFERROR(--ISNUMBER(SEARCH("R69",G7))*69,0)+IFERROR(--ISNUMBER(SEARCH("R70",G7))*70,0)+IFERROR(--ISNUMBER(SEARCH("R71",G7))*71,0)+IFERROR(--ISNUMBER(SEARCH("R72",G7))*72,0)+IFERROR(--ISNUMBER(SEARCH("R73",G7))*73,0)+IFERROR(--ISNUMBER(SEARCH("R74",G7))*74,0)+IFERROR(--ISNUMBER(SEARCH("R75",G7))*75,0)+IFERROR(--ISNUMBER(SEARCH("R76",G7))*76,0)+IFERROR(--ISNUMBER(SEARCH("R77",G7))*77,0)+IFERROR(--ISNUMBER(SEARCH("R78",G7))*78,0)+IFERROR(--ISNUMBER(SEARCH("R79",G7))*79,0)+IFERROR(--ISNUMBER(SEARCH("R80",G7))*80,0)+IFERROR(--ISNUMBER(SEARCH("R81",G7))*81,0)+IFERROR(--ISNUMBER(SEARCH("R82",G7))*82,0)+IFERROR(--ISNUMBER(SEARCH("R83",G7))*83,0)+IFERROR(--ISNUMBER(SEARCH("R84",G7))*84,0)+IFERROR(--ISNUMBER(SEARCH("R85",G7))*85,0)+IFERROR(--ISNUMBER(SEARCH("R86",G7))*86,0)+IFERROR(--ISNUMBER(SEARCH("R87",G7))*87,0)+IFERROR(--ISNUMBER(SEARCH("R88",G7))*88,0)+IFERROR(--ISNUMBER(SEARCH("R89",G7))*89,0)+IFERROR(--ISNUMBER(SEARCH("R90",G7))*90,0)+IFERROR(--ISNUMBER(SEARCH("R91",G7))*91,0)+IFERROR(--ISNUMBER(SEARCH("R92",G7))*92,0)+IFERROR(--ISNUMBER(SEARCH("R93",G7))*93,0)+IFERROR(--ISNUMBER(SEARCH("R94",G7))*94,0)+IFERROR(--ISNUMBER(SEARCH("R95",G7))*95,0)+IFERROR(--ISNUMBER(SEARCH("R96",G7))*96,0)+IFERROR(--ISNUMBER(SEARCH("R97",G7))*97,0)+IFERROR(--ISNUMBER(SEARCH("R98",G7))*98,0)+IFERROR(--ISNUMBER(SEARCH("R99",G7))*99,0)+IFERROR(--ISNUMBER(SEARCH("R100",G7))*100,0)+IFERROR(--ISNUMBER(SEARCH("R101",G7))*101,0)+IFERROR(--ISNUMBER(SEARCH("R102",G7))*102,0)+IFERROR(--ISNUMBER(SEARCH("R103",G7))*103,0)+IFERROR(--ISNUMBER(SEARCH("R104",G7))*104,0)+IFERROR(--ISNUMBER(SEARCH("R105",G7))*105,0)+IFERROR(--ISNUMBER(SEARCH("R106",G7))*106,0)+IFERROR(--ISNUMBER(SEARCH("R107",G7))*107,0)+IFERROR(--ISNUMBER(SEARCH("R108",G7))*108,0)+IFERROR(--ISNUMBER(SEARCH("R109",G7))*109,0)+IFERROR(--ISNUMBER(SEARCH("R110",G7))*110,0)+IFERROR(--ISNUMBER(SEARCH("R111",G7))*111,0)+IFERROR(--ISNUMBER(SEARCH("R112",G7))*112,0)+IFERROR(--ISNUMBER(SEARCH("R113",G7))*113,0)+IFERROR(--ISNUMBER(SEARCH("R114",G7))*114,0)+IFERROR(--ISNUMBER(SEARCH("R115",G7))*115,0)+IFERROR(--ISNUMBER(SEARCH("R116",G7))*116,0)+IFERROR(--ISNUMBER(SEARCH("R117",G7))*117,0)+IFERROR(--ISNUMBER(SEARCH("R118",G7))*118,0)+IFERROR(--ISNUMBER(SEARCH("R119",G7))*119,0)+IFERROR(--ISNUMBER(SEARCH("R120",G7))*120,0)+IFERROR(--ISNUMBER(SEARCH("R121",G7))*121,0)+IFERROR(--ISNUMBER(SEARCH("R122",G7))*122,0)+IFERROR(--ISNUMBER(SEARCH("R123",G7))*123,0)+IFERROR(--ISNUMBER(SEARCH("R124",G7))*124,0)+IFERROR(--ISNUMBER(SEARCH("R125",G7))*125,0)+IFERROR(--ISNUMBER(SEARCH("R126",G7))*126,0)+IFERROR(--ISNUMBER(SEARCH("R127",G7))*127,0)+IFERROR(--ISNUMBER(SEARCH("R128",G7))*128,0)+IFERROR(--ISNUMBER(SEARCH("R129",G7))*129,0)+IFERROR(--ISNUMBER(SEARCH("R130",G7))*130,0)+IFERROR(--ISNUMBER(SEARCH("R131",G7))*131,0)+IFERROR(--ISNUMBER(SEARCH("R132",G7))*132,0)+IFERROR(--ISNUMBER(SEARCH("R133",G7))*133,0)+IFERROR(--ISNUMBER(SEARCH("R134",G7))*134,0)+IFERROR(--ISNUMBER(SEARCH("R135",G7))*135,0)+IFERROR(--ISNUMBER(SEARCH("R136",G7))*136,0)+IFERROR(--ISNUMBER(SEARCH("R137",G7))*137,0)+IFERROR(--ISNUMBER(SEARCH("R138",G7))*138,0)+IFERROR(--ISNUMBER(SEARCH("R139",G7))*139,0)+IFERROR(--ISNUMBER(SEARCH("R140",G7))*140,0)+IFERROR(--ISNUMBER(SEARCH("R141",G7))*141,0))</f>
        <v/>
      </c>
      <c r="V7" s="59">
        <f>IF(A7="","",IF(K7&lt;&gt;"",K7,J7))</f>
        <v/>
      </c>
      <c r="W7" s="59">
        <f>IF(A7="","",IF(AND(V7=29,O7&lt;&gt;"",COUNTIFS($V$6:$V$505,29,$F$6:$F$505,F7,$C$6:$C$505,C7,$O$6:$O$505,"&lt;&gt;")&gt;1),IF(COUNTIFS($V$6:V7,29,$F$6:F7,F7,$C$6:C7,C7,$O$6:O7,"&lt;&gt;")=1,"Esta es la fila que se debe CONSERVAR (aparición 1 de "&amp;COUNTIFS($V$6:$V$505,29,$F$6:$F$505,F7,$C$6:$C$505,C7,$O$6:$O$505,"&lt;&gt;")&amp;" con el mismo tercero y valor, casilla 29). Si hay más filas iguales, bórreles el valor a ELLAS, no a esta.","DUPLICADO — ya existe otra fila con el mismo tercero y valor para casilla 29 (aparición "&amp;COUNTIFS($V$6:V7,29,$F$6:F7,F7,$C$6:C7,C7,$O$6:O7,"&lt;&gt;")&amp;" de "&amp;COUNTIFS($V$6:$V$505,29,$F$6:$F$505,F7,$C$6:$C$505,C7,$O$6:$O$505,"&lt;&gt;")&amp;"). Para resolverlo: seleccione la celda O"&amp;ROW()&amp;" (columna Valor a declarar de ESTA fila) y presione Supr."),""))</f>
        <v/>
      </c>
      <c r="X7" s="463">
        <f>IF(A7="","",F7)</f>
        <v/>
      </c>
      <c r="Y7" s="463">
        <f>IF(A7="","",SUMIF(Entrada_Manual!$I$88:$I$187,A7,Entrada_Manual!$F$88:$F$187))</f>
        <v/>
      </c>
      <c r="Z7" s="463">
        <f>IF(A7="","",X7-Y7)</f>
        <v/>
      </c>
      <c r="AA7">
        <f>IF(A7="","",SUMPRODUCT((Entrada_Manual!$I$88:$I$187=A7)*1))</f>
        <v/>
      </c>
      <c r="AB7">
        <f>IF(A7="","",IF(S7&lt;=1,"",IF(AA7=0,"PENDIENTE — SIN ASIGNAR",IF(Z7=0,"RESUELTO","PARCIAL — DIFERENCIA "&amp;TEXT(Z7,"#,##0")))))</f>
        <v/>
      </c>
    </row>
    <row r="8" ht="27.75" customHeight="1" s="235">
      <c r="A8" s="47">
        <f>IF(Exogena_RAW!E17&lt;&gt;"",ROW()-5,"")</f>
        <v/>
      </c>
      <c r="B8" s="48">
        <f>IF(A8="","",17)</f>
        <v/>
      </c>
      <c r="C8" s="48">
        <f>IF(A8="","",IFERROR(Exogena_RAW!A17,""))</f>
        <v/>
      </c>
      <c r="D8" s="48">
        <f>IF(A8="","",IFERROR(Exogena_RAW!B17,""))</f>
        <v/>
      </c>
      <c r="E8" s="48">
        <f>IF(A8="","",Exogena_RAW!E17)</f>
        <v/>
      </c>
      <c r="F8" s="461">
        <f>IF(A8="","",Exogena_RAW!F17)</f>
        <v/>
      </c>
      <c r="G8" s="48">
        <f>IF(A8="","",IFERROR(Exogena_RAW!G17,""))</f>
        <v/>
      </c>
      <c r="H8" s="48">
        <f>IF(A8="","",IFERROR(Exogena_RAW!H17,""))</f>
        <v/>
      </c>
      <c r="I8" s="48">
        <f>IF(A8="","",IFERROR(IF(S8&gt;1,"VARIAS CASILLAS",IF(S8=1,IF(T8=1,"PROPUESTA DE CASILLA","REVISIÓN: CASILLA NO DIRECTA"),IF(OR(ISNUMBER(SEARCH("TOPE",UPPER(E8))),ISNUMBER(SEARCH("TOPE",UPPER(G8)))),"SOLO CONTROL",IF(ISNUMBER(SEARCH("RETEN",UPPER(E8))),"RETENCIÓN","REVISAR")))),"REVISAR"))</f>
        <v/>
      </c>
      <c r="J8" s="48">
        <f>IF(A8="","",IF(ISNUMBER(SEARCH("ingreso laboral promedio de los últimos seis meses",E8)),"",IFERROR(IF(AND(S8=1,T8=1),U8,""),"")))</f>
        <v/>
      </c>
      <c r="K8" s="216" t="n"/>
      <c r="L8" s="48">
        <f>IF(A8="","",IFERROR(IF(K8&lt;&gt;"","Casilla elegida por usuario",IF(S8&gt;1,"Varias casillas — elegir en K",IF(J8&lt;&gt;"","Sugerencia directa",IF(S8=1,"No trasladar directo — revisar",IF(OR(ISNUMBER(SEARCH("TOPE",UPPER(E8))),ISNUMBER(SEARCH("TOPE",UPPER(G8)))),"Solo control","Revisar manualmente"))))),"Revisar manualmente"))</f>
        <v/>
      </c>
      <c r="M8" s="461">
        <f>IF(A8="","",IF(IF(K8&lt;&gt;"",K8,J8)="",0,IF(COUNTIFS(Reglas!$I$5:$I$118,IF(K8&lt;&gt;"",K8,J8),Reglas!$J$5:$J$118,"Sí")=1,F8,0)))</f>
        <v/>
      </c>
      <c r="N8" s="56" t="n"/>
      <c r="O8" s="462">
        <f>IF(A8="","",IF(M8=0,"",M8))</f>
        <v/>
      </c>
      <c r="P8" s="461">
        <f>IF(A8="","",IF(O8="",0,IF(ISNUMBER(O8),O8,0)))</f>
        <v/>
      </c>
      <c r="Q8" s="48">
        <f>IF(A8="","",IF(Exogena_RAW!$C$4="","BLOQUEADO: FALTA AÑO",IF(Exogena_RAW!$K$10&lt;&gt;Reglas!$B$5,"BLOQUEADO: AÑO",IF(IF(K8&lt;&gt;"",K8,J8)="",IF(S8&gt;1,"REQUIERE ASIGNACIÓN MANUAL (VARIAS CASILLAS)","INFORMATIVO (sin casilla — no se declara)"),IF(COUNTIFS(Reglas!$I$5:$I$118,IF(K8&lt;&gt;"",K8,J8),Reglas!$J$5:$J$118,"Sí")=0,"BLOQUEADO: CASILLA NO DIRECTA",IF(O8="","EXCLUIDO (valor borrado por el usuario)",IF(_xlfn.ISFORMULA(O8),IF(W8&lt;&gt;"","BORRADOR — VALOR SUGERIDO DIAN ⚠ VER ALERTA","BORRADOR — VALOR SUGERIDO DIAN"),IF(W8&lt;&gt;"","ACEPTADO ⚠ VER ALERTA","ACEPTADO"))))))))</f>
        <v/>
      </c>
      <c r="R8" s="218" t="n"/>
      <c r="S8" s="58">
        <f>IF(A8="","",IFERROR(--ISNUMBER(SEARCH("R28",G8)),0)+IFERROR(--ISNUMBER(SEARCH("R29",G8)),0)+IFERROR(--ISNUMBER(SEARCH("R30",G8)),0)+IFERROR(--ISNUMBER(SEARCH("R31",G8)),0)+IFERROR(--ISNUMBER(SEARCH("R32",G8)),0)+IFERROR(--ISNUMBER(SEARCH("R33",G8)),0)+IFERROR(--ISNUMBER(SEARCH("R34",G8)),0)+IFERROR(--ISNUMBER(SEARCH("R35",G8)),0)+IFERROR(--ISNUMBER(SEARCH("R36",G8)),0)+IFERROR(--ISNUMBER(SEARCH("R37",G8)),0)+IFERROR(--ISNUMBER(SEARCH("R38",G8)),0)+IFERROR(--ISNUMBER(SEARCH("R39",G8)),0)+IFERROR(--ISNUMBER(SEARCH("R40",G8)),0)+IFERROR(--ISNUMBER(SEARCH("R41",G8)),0)+IFERROR(--ISNUMBER(SEARCH("R42",G8)),0)+IFERROR(--ISNUMBER(SEARCH("R43",G8)),0)+IFERROR(--ISNUMBER(SEARCH("R44",G8)),0)+IFERROR(--ISNUMBER(SEARCH("R45",G8)),0)+IFERROR(--ISNUMBER(SEARCH("R46",G8)),0)+IFERROR(--ISNUMBER(SEARCH("R47",G8)),0)+IFERROR(--ISNUMBER(SEARCH("R48",G8)),0)+IFERROR(--ISNUMBER(SEARCH("R49",G8)),0)+IFERROR(--ISNUMBER(SEARCH("R50",G8)),0)+IFERROR(--ISNUMBER(SEARCH("R51",G8)),0)+IFERROR(--ISNUMBER(SEARCH("R52",G8)),0)+IFERROR(--ISNUMBER(SEARCH("R53",G8)),0)+IFERROR(--ISNUMBER(SEARCH("R54",G8)),0)+IFERROR(--ISNUMBER(SEARCH("R55",G8)),0)+IFERROR(--ISNUMBER(SEARCH("R56",G8)),0)+IFERROR(--ISNUMBER(SEARCH("R57",G8)),0)+IFERROR(--ISNUMBER(SEARCH("R58",G8)),0)+IFERROR(--ISNUMBER(SEARCH("R59",G8)),0)+IFERROR(--ISNUMBER(SEARCH("R60",G8)),0)+IFERROR(--ISNUMBER(SEARCH("R61",G8)),0)+IFERROR(--ISNUMBER(SEARCH("R62",G8)),0)+IFERROR(--ISNUMBER(SEARCH("R63",G8)),0)+IFERROR(--ISNUMBER(SEARCH("R64",G8)),0)+IFERROR(--ISNUMBER(SEARCH("R65",G8)),0)+IFERROR(--ISNUMBER(SEARCH("R66",G8)),0)+IFERROR(--ISNUMBER(SEARCH("R67",G8)),0)+IFERROR(--ISNUMBER(SEARCH("R68",G8)),0)+IFERROR(--ISNUMBER(SEARCH("R69",G8)),0)+IFERROR(--ISNUMBER(SEARCH("R70",G8)),0)+IFERROR(--ISNUMBER(SEARCH("R71",G8)),0)+IFERROR(--ISNUMBER(SEARCH("R72",G8)),0)+IFERROR(--ISNUMBER(SEARCH("R73",G8)),0)+IFERROR(--ISNUMBER(SEARCH("R74",G8)),0)+IFERROR(--ISNUMBER(SEARCH("R75",G8)),0)+IFERROR(--ISNUMBER(SEARCH("R76",G8)),0)+IFERROR(--ISNUMBER(SEARCH("R77",G8)),0)+IFERROR(--ISNUMBER(SEARCH("R78",G8)),0)+IFERROR(--ISNUMBER(SEARCH("R79",G8)),0)+IFERROR(--ISNUMBER(SEARCH("R80",G8)),0)+IFERROR(--ISNUMBER(SEARCH("R81",G8)),0)+IFERROR(--ISNUMBER(SEARCH("R82",G8)),0)+IFERROR(--ISNUMBER(SEARCH("R83",G8)),0)+IFERROR(--ISNUMBER(SEARCH("R84",G8)),0)+IFERROR(--ISNUMBER(SEARCH("R85",G8)),0)+IFERROR(--ISNUMBER(SEARCH("R86",G8)),0)+IFERROR(--ISNUMBER(SEARCH("R87",G8)),0)+IFERROR(--ISNUMBER(SEARCH("R88",G8)),0)+IFERROR(--ISNUMBER(SEARCH("R89",G8)),0)+IFERROR(--ISNUMBER(SEARCH("R90",G8)),0)+IFERROR(--ISNUMBER(SEARCH("R91",G8)),0)+IFERROR(--ISNUMBER(SEARCH("R92",G8)),0)+IFERROR(--ISNUMBER(SEARCH("R93",G8)),0)+IFERROR(--ISNUMBER(SEARCH("R94",G8)),0)+IFERROR(--ISNUMBER(SEARCH("R95",G8)),0)+IFERROR(--ISNUMBER(SEARCH("R96",G8)),0)+IFERROR(--ISNUMBER(SEARCH("R97",G8)),0)+IFERROR(--ISNUMBER(SEARCH("R98",G8)),0)+IFERROR(--ISNUMBER(SEARCH("R99",G8)),0)+IFERROR(--ISNUMBER(SEARCH("R100",G8)),0)+IFERROR(--ISNUMBER(SEARCH("R101",G8)),0)+IFERROR(--ISNUMBER(SEARCH("R102",G8)),0)+IFERROR(--ISNUMBER(SEARCH("R103",G8)),0)+IFERROR(--ISNUMBER(SEARCH("R104",G8)),0)+IFERROR(--ISNUMBER(SEARCH("R105",G8)),0)+IFERROR(--ISNUMBER(SEARCH("R106",G8)),0)+IFERROR(--ISNUMBER(SEARCH("R107",G8)),0)+IFERROR(--ISNUMBER(SEARCH("R108",G8)),0)+IFERROR(--ISNUMBER(SEARCH("R109",G8)),0)+IFERROR(--ISNUMBER(SEARCH("R110",G8)),0)+IFERROR(--ISNUMBER(SEARCH("R111",G8)),0)+IFERROR(--ISNUMBER(SEARCH("R112",G8)),0)+IFERROR(--ISNUMBER(SEARCH("R113",G8)),0)+IFERROR(--ISNUMBER(SEARCH("R114",G8)),0)+IFERROR(--ISNUMBER(SEARCH("R115",G8)),0)+IFERROR(--ISNUMBER(SEARCH("R116",G8)),0)+IFERROR(--ISNUMBER(SEARCH("R117",G8)),0)+IFERROR(--ISNUMBER(SEARCH("R118",G8)),0)+IFERROR(--ISNUMBER(SEARCH("R119",G8)),0)+IFERROR(--ISNUMBER(SEARCH("R120",G8)),0)+IFERROR(--ISNUMBER(SEARCH("R121",G8)),0)+IFERROR(--ISNUMBER(SEARCH("R122",G8)),0)+IFERROR(--ISNUMBER(SEARCH("R123",G8)),0)+IFERROR(--ISNUMBER(SEARCH("R124",G8)),0)+IFERROR(--ISNUMBER(SEARCH("R125",G8)),0)+IFERROR(--ISNUMBER(SEARCH("R126",G8)),0)+IFERROR(--ISNUMBER(SEARCH("R127",G8)),0)+IFERROR(--ISNUMBER(SEARCH("R128",G8)),0)+IFERROR(--ISNUMBER(SEARCH("R129",G8)),0)+IFERROR(--ISNUMBER(SEARCH("R130",G8)),0)+IFERROR(--ISNUMBER(SEARCH("R131",G8)),0)+IFERROR(--ISNUMBER(SEARCH("R132",G8)),0)+IFERROR(--ISNUMBER(SEARCH("R133",G8)),0)+IFERROR(--ISNUMBER(SEARCH("R134",G8)),0)+IFERROR(--ISNUMBER(SEARCH("R135",G8)),0)+IFERROR(--ISNUMBER(SEARCH("R136",G8)),0)+IFERROR(--ISNUMBER(SEARCH("R137",G8)),0)+IFERROR(--ISNUMBER(SEARCH("R138",G8)),0)+IFERROR(--ISNUMBER(SEARCH("R139",G8)),0)+IFERROR(--ISNUMBER(SEARCH("R140",G8)),0)+IFERROR(--ISNUMBER(SEARCH("R141",G8)),0))</f>
        <v/>
      </c>
      <c r="T8" s="58">
        <f>IF(A8="","",IFERROR(--ISNUMBER(SEARCH("R28",G8)),0)+IFERROR(--ISNUMBER(SEARCH("R29",G8)),0)+IFERROR(--ISNUMBER(SEARCH("R30",G8)),0)+IFERROR(--ISNUMBER(SEARCH("R32",G8)),0)+IFERROR(--ISNUMBER(SEARCH("R33",G8)),0)+IFERROR(--ISNUMBER(SEARCH("R35",G8)),0)+IFERROR(--ISNUMBER(SEARCH("R36",G8)),0)+IFERROR(--ISNUMBER(SEARCH("R38",G8)),0)+IFERROR(--ISNUMBER(SEARCH("R39",G8)),0)+IFERROR(--ISNUMBER(SEARCH("R43",G8)),0)+IFERROR(--ISNUMBER(SEARCH("R44",G8)),0)+IFERROR(--ISNUMBER(SEARCH("R45",G8)),0)+IFERROR(--ISNUMBER(SEARCH("R47",G8)),0)+IFERROR(--ISNUMBER(SEARCH("R48",G8)),0)+IFERROR(--ISNUMBER(SEARCH("R50",G8)),0)+IFERROR(--ISNUMBER(SEARCH("R51",G8)),0)+IFERROR(--ISNUMBER(SEARCH("R56",G8)),0)+IFERROR(--ISNUMBER(SEARCH("R58",G8)),0)+IFERROR(--ISNUMBER(SEARCH("R59",G8)),0)+IFERROR(--ISNUMBER(SEARCH("R60",G8)),0)+IFERROR(--ISNUMBER(SEARCH("R62",G8)),0)+IFERROR(--ISNUMBER(SEARCH("R63",G8)),0)+IFERROR(--ISNUMBER(SEARCH("R64",G8)),0)+IFERROR(--ISNUMBER(SEARCH("R66",G8)),0)+IFERROR(--ISNUMBER(SEARCH("R67",G8)),0)+IFERROR(--ISNUMBER(SEARCH("R72",G8)),0)+IFERROR(--ISNUMBER(SEARCH("R74",G8)),0)+IFERROR(--ISNUMBER(SEARCH("R75",G8)),0)+IFERROR(--ISNUMBER(SEARCH("R76",G8)),0)+IFERROR(--ISNUMBER(SEARCH("R77",G8)),0)+IFERROR(--ISNUMBER(SEARCH("R79",G8)),0)+IFERROR(--ISNUMBER(SEARCH("R80",G8)),0)+IFERROR(--ISNUMBER(SEARCH("R81",G8)),0)+IFERROR(--ISNUMBER(SEARCH("R83",G8)),0)+IFERROR(--ISNUMBER(SEARCH("R84",G8)),0)+IFERROR(--ISNUMBER(SEARCH("R89",G8)),0)+IFERROR(--ISNUMBER(SEARCH("R94",G8)),0)+IFERROR(--ISNUMBER(SEARCH("R95",G8)),0)+IFERROR(--ISNUMBER(SEARCH("R96",G8)),0)+IFERROR(--ISNUMBER(SEARCH("R98",G8)),0)+IFERROR(--ISNUMBER(SEARCH("R99",G8)),0)+IFERROR(--ISNUMBER(SEARCH("R100",G8)),0)+IFERROR(--ISNUMBER(SEARCH("R104",G8)),0)+IFERROR(--ISNUMBER(SEARCH("R105",G8)),0)+IFERROR(--ISNUMBER(SEARCH("R107",G8)),0)+IFERROR(--ISNUMBER(SEARCH("R108",G8)),0)+IFERROR(--ISNUMBER(SEARCH("R109",G8)),0)+IFERROR(--ISNUMBER(SEARCH("R110",G8)),0)+IFERROR(--ISNUMBER(SEARCH("R112",G8)),0)+IFERROR(--ISNUMBER(SEARCH("R113",G8)),0)+IFERROR(--ISNUMBER(SEARCH("R114",G8)),0)+IFERROR(--ISNUMBER(SEARCH("R118",G8)),0)+IFERROR(--ISNUMBER(SEARCH("R119",G8)),0)+IFERROR(--ISNUMBER(SEARCH("R120",G8)),0)+IFERROR(--ISNUMBER(SEARCH("R122",G8)),0)+IFERROR(--ISNUMBER(SEARCH("R123",G8)),0)+IFERROR(--ISNUMBER(SEARCH("R124",G8)),0)+IFERROR(--ISNUMBER(SEARCH("R128",G8)),0)+IFERROR(--ISNUMBER(SEARCH("R130",G8)),0)+IFERROR(--ISNUMBER(SEARCH("R131",G8)),0)+IFERROR(--ISNUMBER(SEARCH("R132",G8)),0)+IFERROR(--ISNUMBER(SEARCH("R135",G8)),0)+IFERROR(--ISNUMBER(SEARCH("R138",G8)),0)+IFERROR(--ISNUMBER(SEARCH("R141",G8)),0))</f>
        <v/>
      </c>
      <c r="U8" s="58">
        <f>IF(A8="","",IFERROR(--ISNUMBER(SEARCH("R28",G8))*28,0)+IFERROR(--ISNUMBER(SEARCH("R29",G8))*29,0)+IFERROR(--ISNUMBER(SEARCH("R30",G8))*30,0)+IFERROR(--ISNUMBER(SEARCH("R31",G8))*31,0)+IFERROR(--ISNUMBER(SEARCH("R32",G8))*32,0)+IFERROR(--ISNUMBER(SEARCH("R33",G8))*33,0)+IFERROR(--ISNUMBER(SEARCH("R34",G8))*34,0)+IFERROR(--ISNUMBER(SEARCH("R35",G8))*35,0)+IFERROR(--ISNUMBER(SEARCH("R36",G8))*36,0)+IFERROR(--ISNUMBER(SEARCH("R37",G8))*37,0)+IFERROR(--ISNUMBER(SEARCH("R38",G8))*38,0)+IFERROR(--ISNUMBER(SEARCH("R39",G8))*39,0)+IFERROR(--ISNUMBER(SEARCH("R40",G8))*40,0)+IFERROR(--ISNUMBER(SEARCH("R41",G8))*41,0)+IFERROR(--ISNUMBER(SEARCH("R42",G8))*42,0)+IFERROR(--ISNUMBER(SEARCH("R43",G8))*43,0)+IFERROR(--ISNUMBER(SEARCH("R44",G8))*44,0)+IFERROR(--ISNUMBER(SEARCH("R45",G8))*45,0)+IFERROR(--ISNUMBER(SEARCH("R46",G8))*46,0)+IFERROR(--ISNUMBER(SEARCH("R47",G8))*47,0)+IFERROR(--ISNUMBER(SEARCH("R48",G8))*48,0)+IFERROR(--ISNUMBER(SEARCH("R49",G8))*49,0)+IFERROR(--ISNUMBER(SEARCH("R50",G8))*50,0)+IFERROR(--ISNUMBER(SEARCH("R51",G8))*51,0)+IFERROR(--ISNUMBER(SEARCH("R52",G8))*52,0)+IFERROR(--ISNUMBER(SEARCH("R53",G8))*53,0)+IFERROR(--ISNUMBER(SEARCH("R54",G8))*54,0)+IFERROR(--ISNUMBER(SEARCH("R55",G8))*55,0)+IFERROR(--ISNUMBER(SEARCH("R56",G8))*56,0)+IFERROR(--ISNUMBER(SEARCH("R57",G8))*57,0)+IFERROR(--ISNUMBER(SEARCH("R58",G8))*58,0)+IFERROR(--ISNUMBER(SEARCH("R59",G8))*59,0)+IFERROR(--ISNUMBER(SEARCH("R60",G8))*60,0)+IFERROR(--ISNUMBER(SEARCH("R61",G8))*61,0)+IFERROR(--ISNUMBER(SEARCH("R62",G8))*62,0)+IFERROR(--ISNUMBER(SEARCH("R63",G8))*63,0)+IFERROR(--ISNUMBER(SEARCH("R64",G8))*64,0)+IFERROR(--ISNUMBER(SEARCH("R65",G8))*65,0)+IFERROR(--ISNUMBER(SEARCH("R66",G8))*66,0)+IFERROR(--ISNUMBER(SEARCH("R67",G8))*67,0)+IFERROR(--ISNUMBER(SEARCH("R68",G8))*68,0)+IFERROR(--ISNUMBER(SEARCH("R69",G8))*69,0)+IFERROR(--ISNUMBER(SEARCH("R70",G8))*70,0)+IFERROR(--ISNUMBER(SEARCH("R71",G8))*71,0)+IFERROR(--ISNUMBER(SEARCH("R72",G8))*72,0)+IFERROR(--ISNUMBER(SEARCH("R73",G8))*73,0)+IFERROR(--ISNUMBER(SEARCH("R74",G8))*74,0)+IFERROR(--ISNUMBER(SEARCH("R75",G8))*75,0)+IFERROR(--ISNUMBER(SEARCH("R76",G8))*76,0)+IFERROR(--ISNUMBER(SEARCH("R77",G8))*77,0)+IFERROR(--ISNUMBER(SEARCH("R78",G8))*78,0)+IFERROR(--ISNUMBER(SEARCH("R79",G8))*79,0)+IFERROR(--ISNUMBER(SEARCH("R80",G8))*80,0)+IFERROR(--ISNUMBER(SEARCH("R81",G8))*81,0)+IFERROR(--ISNUMBER(SEARCH("R82",G8))*82,0)+IFERROR(--ISNUMBER(SEARCH("R83",G8))*83,0)+IFERROR(--ISNUMBER(SEARCH("R84",G8))*84,0)+IFERROR(--ISNUMBER(SEARCH("R85",G8))*85,0)+IFERROR(--ISNUMBER(SEARCH("R86",G8))*86,0)+IFERROR(--ISNUMBER(SEARCH("R87",G8))*87,0)+IFERROR(--ISNUMBER(SEARCH("R88",G8))*88,0)+IFERROR(--ISNUMBER(SEARCH("R89",G8))*89,0)+IFERROR(--ISNUMBER(SEARCH("R90",G8))*90,0)+IFERROR(--ISNUMBER(SEARCH("R91",G8))*91,0)+IFERROR(--ISNUMBER(SEARCH("R92",G8))*92,0)+IFERROR(--ISNUMBER(SEARCH("R93",G8))*93,0)+IFERROR(--ISNUMBER(SEARCH("R94",G8))*94,0)+IFERROR(--ISNUMBER(SEARCH("R95",G8))*95,0)+IFERROR(--ISNUMBER(SEARCH("R96",G8))*96,0)+IFERROR(--ISNUMBER(SEARCH("R97",G8))*97,0)+IFERROR(--ISNUMBER(SEARCH("R98",G8))*98,0)+IFERROR(--ISNUMBER(SEARCH("R99",G8))*99,0)+IFERROR(--ISNUMBER(SEARCH("R100",G8))*100,0)+IFERROR(--ISNUMBER(SEARCH("R101",G8))*101,0)+IFERROR(--ISNUMBER(SEARCH("R102",G8))*102,0)+IFERROR(--ISNUMBER(SEARCH("R103",G8))*103,0)+IFERROR(--ISNUMBER(SEARCH("R104",G8))*104,0)+IFERROR(--ISNUMBER(SEARCH("R105",G8))*105,0)+IFERROR(--ISNUMBER(SEARCH("R106",G8))*106,0)+IFERROR(--ISNUMBER(SEARCH("R107",G8))*107,0)+IFERROR(--ISNUMBER(SEARCH("R108",G8))*108,0)+IFERROR(--ISNUMBER(SEARCH("R109",G8))*109,0)+IFERROR(--ISNUMBER(SEARCH("R110",G8))*110,0)+IFERROR(--ISNUMBER(SEARCH("R111",G8))*111,0)+IFERROR(--ISNUMBER(SEARCH("R112",G8))*112,0)+IFERROR(--ISNUMBER(SEARCH("R113",G8))*113,0)+IFERROR(--ISNUMBER(SEARCH("R114",G8))*114,0)+IFERROR(--ISNUMBER(SEARCH("R115",G8))*115,0)+IFERROR(--ISNUMBER(SEARCH("R116",G8))*116,0)+IFERROR(--ISNUMBER(SEARCH("R117",G8))*117,0)+IFERROR(--ISNUMBER(SEARCH("R118",G8))*118,0)+IFERROR(--ISNUMBER(SEARCH("R119",G8))*119,0)+IFERROR(--ISNUMBER(SEARCH("R120",G8))*120,0)+IFERROR(--ISNUMBER(SEARCH("R121",G8))*121,0)+IFERROR(--ISNUMBER(SEARCH("R122",G8))*122,0)+IFERROR(--ISNUMBER(SEARCH("R123",G8))*123,0)+IFERROR(--ISNUMBER(SEARCH("R124",G8))*124,0)+IFERROR(--ISNUMBER(SEARCH("R125",G8))*125,0)+IFERROR(--ISNUMBER(SEARCH("R126",G8))*126,0)+IFERROR(--ISNUMBER(SEARCH("R127",G8))*127,0)+IFERROR(--ISNUMBER(SEARCH("R128",G8))*128,0)+IFERROR(--ISNUMBER(SEARCH("R129",G8))*129,0)+IFERROR(--ISNUMBER(SEARCH("R130",G8))*130,0)+IFERROR(--ISNUMBER(SEARCH("R131",G8))*131,0)+IFERROR(--ISNUMBER(SEARCH("R132",G8))*132,0)+IFERROR(--ISNUMBER(SEARCH("R133",G8))*133,0)+IFERROR(--ISNUMBER(SEARCH("R134",G8))*134,0)+IFERROR(--ISNUMBER(SEARCH("R135",G8))*135,0)+IFERROR(--ISNUMBER(SEARCH("R136",G8))*136,0)+IFERROR(--ISNUMBER(SEARCH("R137",G8))*137,0)+IFERROR(--ISNUMBER(SEARCH("R138",G8))*138,0)+IFERROR(--ISNUMBER(SEARCH("R139",G8))*139,0)+IFERROR(--ISNUMBER(SEARCH("R140",G8))*140,0)+IFERROR(--ISNUMBER(SEARCH("R141",G8))*141,0))</f>
        <v/>
      </c>
      <c r="V8" s="59">
        <f>IF(A8="","",IF(K8&lt;&gt;"",K8,J8))</f>
        <v/>
      </c>
      <c r="W8" s="59">
        <f>IF(A8="","",IF(AND(V8=29,O8&lt;&gt;"",COUNTIFS($V$6:$V$505,29,$F$6:$F$505,F8,$C$6:$C$505,C8,$O$6:$O$505,"&lt;&gt;")&gt;1),IF(COUNTIFS($V$6:V8,29,$F$6:F8,F8,$C$6:C8,C8,$O$6:O8,"&lt;&gt;")=1,"Esta es la fila que se debe CONSERVAR (aparición 1 de "&amp;COUNTIFS($V$6:$V$505,29,$F$6:$F$505,F8,$C$6:$C$505,C8,$O$6:$O$505,"&lt;&gt;")&amp;" con el mismo tercero y valor, casilla 29). Si hay más filas iguales, bórreles el valor a ELLAS, no a esta.","DUPLICADO — ya existe otra fila con el mismo tercero y valor para casilla 29 (aparición "&amp;COUNTIFS($V$6:V8,29,$F$6:F8,F8,$C$6:C8,C8,$O$6:O8,"&lt;&gt;")&amp;" de "&amp;COUNTIFS($V$6:$V$505,29,$F$6:$F$505,F8,$C$6:$C$505,C8,$O$6:$O$505,"&lt;&gt;")&amp;"). Para resolverlo: seleccione la celda O"&amp;ROW()&amp;" (columna Valor a declarar de ESTA fila) y presione Supr."),""))</f>
        <v/>
      </c>
      <c r="X8" s="463">
        <f>IF(A8="","",F8)</f>
        <v/>
      </c>
      <c r="Y8" s="463">
        <f>IF(A8="","",SUMIF(Entrada_Manual!$I$88:$I$187,A8,Entrada_Manual!$F$88:$F$187))</f>
        <v/>
      </c>
      <c r="Z8" s="463">
        <f>IF(A8="","",X8-Y8)</f>
        <v/>
      </c>
      <c r="AA8">
        <f>IF(A8="","",SUMPRODUCT((Entrada_Manual!$I$88:$I$187=A8)*1))</f>
        <v/>
      </c>
      <c r="AB8">
        <f>IF(A8="","",IF(S8&lt;=1,"",IF(AA8=0,"PENDIENTE — SIN ASIGNAR",IF(Z8=0,"RESUELTO","PARCIAL — DIFERENCIA "&amp;TEXT(Z8,"#,##0")))))</f>
        <v/>
      </c>
    </row>
    <row r="9" ht="27.75" customHeight="1" s="235">
      <c r="A9" s="47">
        <f>IF(Exogena_RAW!E18&lt;&gt;"",ROW()-5,"")</f>
        <v/>
      </c>
      <c r="B9" s="48">
        <f>IF(A9="","",18)</f>
        <v/>
      </c>
      <c r="C9" s="48">
        <f>IF(A9="","",IFERROR(Exogena_RAW!A18,""))</f>
        <v/>
      </c>
      <c r="D9" s="48">
        <f>IF(A9="","",IFERROR(Exogena_RAW!B18,""))</f>
        <v/>
      </c>
      <c r="E9" s="48">
        <f>IF(A9="","",Exogena_RAW!E18)</f>
        <v/>
      </c>
      <c r="F9" s="461">
        <f>IF(A9="","",Exogena_RAW!F18)</f>
        <v/>
      </c>
      <c r="G9" s="48">
        <f>IF(A9="","",IFERROR(Exogena_RAW!G18,""))</f>
        <v/>
      </c>
      <c r="H9" s="48">
        <f>IF(A9="","",IFERROR(Exogena_RAW!H18,""))</f>
        <v/>
      </c>
      <c r="I9" s="48">
        <f>IF(A9="","",IFERROR(IF(S9&gt;1,"VARIAS CASILLAS",IF(S9=1,IF(T9=1,"PROPUESTA DE CASILLA","REVISIÓN: CASILLA NO DIRECTA"),IF(OR(ISNUMBER(SEARCH("TOPE",UPPER(E9))),ISNUMBER(SEARCH("TOPE",UPPER(G9)))),"SOLO CONTROL",IF(ISNUMBER(SEARCH("RETEN",UPPER(E9))),"RETENCIÓN","REVISAR")))),"REVISAR"))</f>
        <v/>
      </c>
      <c r="J9" s="48">
        <f>IF(A9="","",IF(ISNUMBER(SEARCH("ingreso laboral promedio de los últimos seis meses",E9)),"",IFERROR(IF(AND(S9=1,T9=1),U9,""),"")))</f>
        <v/>
      </c>
      <c r="K9" s="216" t="n"/>
      <c r="L9" s="48">
        <f>IF(A9="","",IFERROR(IF(K9&lt;&gt;"","Casilla elegida por usuario",IF(S9&gt;1,"Varias casillas — elegir en K",IF(J9&lt;&gt;"","Sugerencia directa",IF(S9=1,"No trasladar directo — revisar",IF(OR(ISNUMBER(SEARCH("TOPE",UPPER(E9))),ISNUMBER(SEARCH("TOPE",UPPER(G9)))),"Solo control","Revisar manualmente"))))),"Revisar manualmente"))</f>
        <v/>
      </c>
      <c r="M9" s="461">
        <f>IF(A9="","",IF(IF(K9&lt;&gt;"",K9,J9)="",0,IF(COUNTIFS(Reglas!$I$5:$I$118,IF(K9&lt;&gt;"",K9,J9),Reglas!$J$5:$J$118,"Sí")=1,F9,0)))</f>
        <v/>
      </c>
      <c r="N9" s="56" t="n"/>
      <c r="O9" s="462">
        <f>IF(A9="","",IF(M9=0,"",M9))</f>
        <v/>
      </c>
      <c r="P9" s="461">
        <f>IF(A9="","",IF(O9="",0,IF(ISNUMBER(O9),O9,0)))</f>
        <v/>
      </c>
      <c r="Q9" s="48">
        <f>IF(A9="","",IF(Exogena_RAW!$C$4="","BLOQUEADO: FALTA AÑO",IF(Exogena_RAW!$K$10&lt;&gt;Reglas!$B$5,"BLOQUEADO: AÑO",IF(IF(K9&lt;&gt;"",K9,J9)="",IF(S9&gt;1,"REQUIERE ASIGNACIÓN MANUAL (VARIAS CASILLAS)","INFORMATIVO (sin casilla — no se declara)"),IF(COUNTIFS(Reglas!$I$5:$I$118,IF(K9&lt;&gt;"",K9,J9),Reglas!$J$5:$J$118,"Sí")=0,"BLOQUEADO: CASILLA NO DIRECTA",IF(O9="","EXCLUIDO (valor borrado por el usuario)",IF(_xlfn.ISFORMULA(O9),IF(W9&lt;&gt;"","BORRADOR — VALOR SUGERIDO DIAN ⚠ VER ALERTA","BORRADOR — VALOR SUGERIDO DIAN"),IF(W9&lt;&gt;"","ACEPTADO ⚠ VER ALERTA","ACEPTADO"))))))))</f>
        <v/>
      </c>
      <c r="R9" s="218" t="n"/>
      <c r="S9" s="58">
        <f>IF(A9="","",IFERROR(--ISNUMBER(SEARCH("R28",G9)),0)+IFERROR(--ISNUMBER(SEARCH("R29",G9)),0)+IFERROR(--ISNUMBER(SEARCH("R30",G9)),0)+IFERROR(--ISNUMBER(SEARCH("R31",G9)),0)+IFERROR(--ISNUMBER(SEARCH("R32",G9)),0)+IFERROR(--ISNUMBER(SEARCH("R33",G9)),0)+IFERROR(--ISNUMBER(SEARCH("R34",G9)),0)+IFERROR(--ISNUMBER(SEARCH("R35",G9)),0)+IFERROR(--ISNUMBER(SEARCH("R36",G9)),0)+IFERROR(--ISNUMBER(SEARCH("R37",G9)),0)+IFERROR(--ISNUMBER(SEARCH("R38",G9)),0)+IFERROR(--ISNUMBER(SEARCH("R39",G9)),0)+IFERROR(--ISNUMBER(SEARCH("R40",G9)),0)+IFERROR(--ISNUMBER(SEARCH("R41",G9)),0)+IFERROR(--ISNUMBER(SEARCH("R42",G9)),0)+IFERROR(--ISNUMBER(SEARCH("R43",G9)),0)+IFERROR(--ISNUMBER(SEARCH("R44",G9)),0)+IFERROR(--ISNUMBER(SEARCH("R45",G9)),0)+IFERROR(--ISNUMBER(SEARCH("R46",G9)),0)+IFERROR(--ISNUMBER(SEARCH("R47",G9)),0)+IFERROR(--ISNUMBER(SEARCH("R48",G9)),0)+IFERROR(--ISNUMBER(SEARCH("R49",G9)),0)+IFERROR(--ISNUMBER(SEARCH("R50",G9)),0)+IFERROR(--ISNUMBER(SEARCH("R51",G9)),0)+IFERROR(--ISNUMBER(SEARCH("R52",G9)),0)+IFERROR(--ISNUMBER(SEARCH("R53",G9)),0)+IFERROR(--ISNUMBER(SEARCH("R54",G9)),0)+IFERROR(--ISNUMBER(SEARCH("R55",G9)),0)+IFERROR(--ISNUMBER(SEARCH("R56",G9)),0)+IFERROR(--ISNUMBER(SEARCH("R57",G9)),0)+IFERROR(--ISNUMBER(SEARCH("R58",G9)),0)+IFERROR(--ISNUMBER(SEARCH("R59",G9)),0)+IFERROR(--ISNUMBER(SEARCH("R60",G9)),0)+IFERROR(--ISNUMBER(SEARCH("R61",G9)),0)+IFERROR(--ISNUMBER(SEARCH("R62",G9)),0)+IFERROR(--ISNUMBER(SEARCH("R63",G9)),0)+IFERROR(--ISNUMBER(SEARCH("R64",G9)),0)+IFERROR(--ISNUMBER(SEARCH("R65",G9)),0)+IFERROR(--ISNUMBER(SEARCH("R66",G9)),0)+IFERROR(--ISNUMBER(SEARCH("R67",G9)),0)+IFERROR(--ISNUMBER(SEARCH("R68",G9)),0)+IFERROR(--ISNUMBER(SEARCH("R69",G9)),0)+IFERROR(--ISNUMBER(SEARCH("R70",G9)),0)+IFERROR(--ISNUMBER(SEARCH("R71",G9)),0)+IFERROR(--ISNUMBER(SEARCH("R72",G9)),0)+IFERROR(--ISNUMBER(SEARCH("R73",G9)),0)+IFERROR(--ISNUMBER(SEARCH("R74",G9)),0)+IFERROR(--ISNUMBER(SEARCH("R75",G9)),0)+IFERROR(--ISNUMBER(SEARCH("R76",G9)),0)+IFERROR(--ISNUMBER(SEARCH("R77",G9)),0)+IFERROR(--ISNUMBER(SEARCH("R78",G9)),0)+IFERROR(--ISNUMBER(SEARCH("R79",G9)),0)+IFERROR(--ISNUMBER(SEARCH("R80",G9)),0)+IFERROR(--ISNUMBER(SEARCH("R81",G9)),0)+IFERROR(--ISNUMBER(SEARCH("R82",G9)),0)+IFERROR(--ISNUMBER(SEARCH("R83",G9)),0)+IFERROR(--ISNUMBER(SEARCH("R84",G9)),0)+IFERROR(--ISNUMBER(SEARCH("R85",G9)),0)+IFERROR(--ISNUMBER(SEARCH("R86",G9)),0)+IFERROR(--ISNUMBER(SEARCH("R87",G9)),0)+IFERROR(--ISNUMBER(SEARCH("R88",G9)),0)+IFERROR(--ISNUMBER(SEARCH("R89",G9)),0)+IFERROR(--ISNUMBER(SEARCH("R90",G9)),0)+IFERROR(--ISNUMBER(SEARCH("R91",G9)),0)+IFERROR(--ISNUMBER(SEARCH("R92",G9)),0)+IFERROR(--ISNUMBER(SEARCH("R93",G9)),0)+IFERROR(--ISNUMBER(SEARCH("R94",G9)),0)+IFERROR(--ISNUMBER(SEARCH("R95",G9)),0)+IFERROR(--ISNUMBER(SEARCH("R96",G9)),0)+IFERROR(--ISNUMBER(SEARCH("R97",G9)),0)+IFERROR(--ISNUMBER(SEARCH("R98",G9)),0)+IFERROR(--ISNUMBER(SEARCH("R99",G9)),0)+IFERROR(--ISNUMBER(SEARCH("R100",G9)),0)+IFERROR(--ISNUMBER(SEARCH("R101",G9)),0)+IFERROR(--ISNUMBER(SEARCH("R102",G9)),0)+IFERROR(--ISNUMBER(SEARCH("R103",G9)),0)+IFERROR(--ISNUMBER(SEARCH("R104",G9)),0)+IFERROR(--ISNUMBER(SEARCH("R105",G9)),0)+IFERROR(--ISNUMBER(SEARCH("R106",G9)),0)+IFERROR(--ISNUMBER(SEARCH("R107",G9)),0)+IFERROR(--ISNUMBER(SEARCH("R108",G9)),0)+IFERROR(--ISNUMBER(SEARCH("R109",G9)),0)+IFERROR(--ISNUMBER(SEARCH("R110",G9)),0)+IFERROR(--ISNUMBER(SEARCH("R111",G9)),0)+IFERROR(--ISNUMBER(SEARCH("R112",G9)),0)+IFERROR(--ISNUMBER(SEARCH("R113",G9)),0)+IFERROR(--ISNUMBER(SEARCH("R114",G9)),0)+IFERROR(--ISNUMBER(SEARCH("R115",G9)),0)+IFERROR(--ISNUMBER(SEARCH("R116",G9)),0)+IFERROR(--ISNUMBER(SEARCH("R117",G9)),0)+IFERROR(--ISNUMBER(SEARCH("R118",G9)),0)+IFERROR(--ISNUMBER(SEARCH("R119",G9)),0)+IFERROR(--ISNUMBER(SEARCH("R120",G9)),0)+IFERROR(--ISNUMBER(SEARCH("R121",G9)),0)+IFERROR(--ISNUMBER(SEARCH("R122",G9)),0)+IFERROR(--ISNUMBER(SEARCH("R123",G9)),0)+IFERROR(--ISNUMBER(SEARCH("R124",G9)),0)+IFERROR(--ISNUMBER(SEARCH("R125",G9)),0)+IFERROR(--ISNUMBER(SEARCH("R126",G9)),0)+IFERROR(--ISNUMBER(SEARCH("R127",G9)),0)+IFERROR(--ISNUMBER(SEARCH("R128",G9)),0)+IFERROR(--ISNUMBER(SEARCH("R129",G9)),0)+IFERROR(--ISNUMBER(SEARCH("R130",G9)),0)+IFERROR(--ISNUMBER(SEARCH("R131",G9)),0)+IFERROR(--ISNUMBER(SEARCH("R132",G9)),0)+IFERROR(--ISNUMBER(SEARCH("R133",G9)),0)+IFERROR(--ISNUMBER(SEARCH("R134",G9)),0)+IFERROR(--ISNUMBER(SEARCH("R135",G9)),0)+IFERROR(--ISNUMBER(SEARCH("R136",G9)),0)+IFERROR(--ISNUMBER(SEARCH("R137",G9)),0)+IFERROR(--ISNUMBER(SEARCH("R138",G9)),0)+IFERROR(--ISNUMBER(SEARCH("R139",G9)),0)+IFERROR(--ISNUMBER(SEARCH("R140",G9)),0)+IFERROR(--ISNUMBER(SEARCH("R141",G9)),0))</f>
        <v/>
      </c>
      <c r="T9" s="58">
        <f>IF(A9="","",IFERROR(--ISNUMBER(SEARCH("R28",G9)),0)+IFERROR(--ISNUMBER(SEARCH("R29",G9)),0)+IFERROR(--ISNUMBER(SEARCH("R30",G9)),0)+IFERROR(--ISNUMBER(SEARCH("R32",G9)),0)+IFERROR(--ISNUMBER(SEARCH("R33",G9)),0)+IFERROR(--ISNUMBER(SEARCH("R35",G9)),0)+IFERROR(--ISNUMBER(SEARCH("R36",G9)),0)+IFERROR(--ISNUMBER(SEARCH("R38",G9)),0)+IFERROR(--ISNUMBER(SEARCH("R39",G9)),0)+IFERROR(--ISNUMBER(SEARCH("R43",G9)),0)+IFERROR(--ISNUMBER(SEARCH("R44",G9)),0)+IFERROR(--ISNUMBER(SEARCH("R45",G9)),0)+IFERROR(--ISNUMBER(SEARCH("R47",G9)),0)+IFERROR(--ISNUMBER(SEARCH("R48",G9)),0)+IFERROR(--ISNUMBER(SEARCH("R50",G9)),0)+IFERROR(--ISNUMBER(SEARCH("R51",G9)),0)+IFERROR(--ISNUMBER(SEARCH("R56",G9)),0)+IFERROR(--ISNUMBER(SEARCH("R58",G9)),0)+IFERROR(--ISNUMBER(SEARCH("R59",G9)),0)+IFERROR(--ISNUMBER(SEARCH("R60",G9)),0)+IFERROR(--ISNUMBER(SEARCH("R62",G9)),0)+IFERROR(--ISNUMBER(SEARCH("R63",G9)),0)+IFERROR(--ISNUMBER(SEARCH("R64",G9)),0)+IFERROR(--ISNUMBER(SEARCH("R66",G9)),0)+IFERROR(--ISNUMBER(SEARCH("R67",G9)),0)+IFERROR(--ISNUMBER(SEARCH("R72",G9)),0)+IFERROR(--ISNUMBER(SEARCH("R74",G9)),0)+IFERROR(--ISNUMBER(SEARCH("R75",G9)),0)+IFERROR(--ISNUMBER(SEARCH("R76",G9)),0)+IFERROR(--ISNUMBER(SEARCH("R77",G9)),0)+IFERROR(--ISNUMBER(SEARCH("R79",G9)),0)+IFERROR(--ISNUMBER(SEARCH("R80",G9)),0)+IFERROR(--ISNUMBER(SEARCH("R81",G9)),0)+IFERROR(--ISNUMBER(SEARCH("R83",G9)),0)+IFERROR(--ISNUMBER(SEARCH("R84",G9)),0)+IFERROR(--ISNUMBER(SEARCH("R89",G9)),0)+IFERROR(--ISNUMBER(SEARCH("R94",G9)),0)+IFERROR(--ISNUMBER(SEARCH("R95",G9)),0)+IFERROR(--ISNUMBER(SEARCH("R96",G9)),0)+IFERROR(--ISNUMBER(SEARCH("R98",G9)),0)+IFERROR(--ISNUMBER(SEARCH("R99",G9)),0)+IFERROR(--ISNUMBER(SEARCH("R100",G9)),0)+IFERROR(--ISNUMBER(SEARCH("R104",G9)),0)+IFERROR(--ISNUMBER(SEARCH("R105",G9)),0)+IFERROR(--ISNUMBER(SEARCH("R107",G9)),0)+IFERROR(--ISNUMBER(SEARCH("R108",G9)),0)+IFERROR(--ISNUMBER(SEARCH("R109",G9)),0)+IFERROR(--ISNUMBER(SEARCH("R110",G9)),0)+IFERROR(--ISNUMBER(SEARCH("R112",G9)),0)+IFERROR(--ISNUMBER(SEARCH("R113",G9)),0)+IFERROR(--ISNUMBER(SEARCH("R114",G9)),0)+IFERROR(--ISNUMBER(SEARCH("R118",G9)),0)+IFERROR(--ISNUMBER(SEARCH("R119",G9)),0)+IFERROR(--ISNUMBER(SEARCH("R120",G9)),0)+IFERROR(--ISNUMBER(SEARCH("R122",G9)),0)+IFERROR(--ISNUMBER(SEARCH("R123",G9)),0)+IFERROR(--ISNUMBER(SEARCH("R124",G9)),0)+IFERROR(--ISNUMBER(SEARCH("R128",G9)),0)+IFERROR(--ISNUMBER(SEARCH("R130",G9)),0)+IFERROR(--ISNUMBER(SEARCH("R131",G9)),0)+IFERROR(--ISNUMBER(SEARCH("R132",G9)),0)+IFERROR(--ISNUMBER(SEARCH("R135",G9)),0)+IFERROR(--ISNUMBER(SEARCH("R138",G9)),0)+IFERROR(--ISNUMBER(SEARCH("R141",G9)),0))</f>
        <v/>
      </c>
      <c r="U9" s="58">
        <f>IF(A9="","",IFERROR(--ISNUMBER(SEARCH("R28",G9))*28,0)+IFERROR(--ISNUMBER(SEARCH("R29",G9))*29,0)+IFERROR(--ISNUMBER(SEARCH("R30",G9))*30,0)+IFERROR(--ISNUMBER(SEARCH("R31",G9))*31,0)+IFERROR(--ISNUMBER(SEARCH("R32",G9))*32,0)+IFERROR(--ISNUMBER(SEARCH("R33",G9))*33,0)+IFERROR(--ISNUMBER(SEARCH("R34",G9))*34,0)+IFERROR(--ISNUMBER(SEARCH("R35",G9))*35,0)+IFERROR(--ISNUMBER(SEARCH("R36",G9))*36,0)+IFERROR(--ISNUMBER(SEARCH("R37",G9))*37,0)+IFERROR(--ISNUMBER(SEARCH("R38",G9))*38,0)+IFERROR(--ISNUMBER(SEARCH("R39",G9))*39,0)+IFERROR(--ISNUMBER(SEARCH("R40",G9))*40,0)+IFERROR(--ISNUMBER(SEARCH("R41",G9))*41,0)+IFERROR(--ISNUMBER(SEARCH("R42",G9))*42,0)+IFERROR(--ISNUMBER(SEARCH("R43",G9))*43,0)+IFERROR(--ISNUMBER(SEARCH("R44",G9))*44,0)+IFERROR(--ISNUMBER(SEARCH("R45",G9))*45,0)+IFERROR(--ISNUMBER(SEARCH("R46",G9))*46,0)+IFERROR(--ISNUMBER(SEARCH("R47",G9))*47,0)+IFERROR(--ISNUMBER(SEARCH("R48",G9))*48,0)+IFERROR(--ISNUMBER(SEARCH("R49",G9))*49,0)+IFERROR(--ISNUMBER(SEARCH("R50",G9))*50,0)+IFERROR(--ISNUMBER(SEARCH("R51",G9))*51,0)+IFERROR(--ISNUMBER(SEARCH("R52",G9))*52,0)+IFERROR(--ISNUMBER(SEARCH("R53",G9))*53,0)+IFERROR(--ISNUMBER(SEARCH("R54",G9))*54,0)+IFERROR(--ISNUMBER(SEARCH("R55",G9))*55,0)+IFERROR(--ISNUMBER(SEARCH("R56",G9))*56,0)+IFERROR(--ISNUMBER(SEARCH("R57",G9))*57,0)+IFERROR(--ISNUMBER(SEARCH("R58",G9))*58,0)+IFERROR(--ISNUMBER(SEARCH("R59",G9))*59,0)+IFERROR(--ISNUMBER(SEARCH("R60",G9))*60,0)+IFERROR(--ISNUMBER(SEARCH("R61",G9))*61,0)+IFERROR(--ISNUMBER(SEARCH("R62",G9))*62,0)+IFERROR(--ISNUMBER(SEARCH("R63",G9))*63,0)+IFERROR(--ISNUMBER(SEARCH("R64",G9))*64,0)+IFERROR(--ISNUMBER(SEARCH("R65",G9))*65,0)+IFERROR(--ISNUMBER(SEARCH("R66",G9))*66,0)+IFERROR(--ISNUMBER(SEARCH("R67",G9))*67,0)+IFERROR(--ISNUMBER(SEARCH("R68",G9))*68,0)+IFERROR(--ISNUMBER(SEARCH("R69",G9))*69,0)+IFERROR(--ISNUMBER(SEARCH("R70",G9))*70,0)+IFERROR(--ISNUMBER(SEARCH("R71",G9))*71,0)+IFERROR(--ISNUMBER(SEARCH("R72",G9))*72,0)+IFERROR(--ISNUMBER(SEARCH("R73",G9))*73,0)+IFERROR(--ISNUMBER(SEARCH("R74",G9))*74,0)+IFERROR(--ISNUMBER(SEARCH("R75",G9))*75,0)+IFERROR(--ISNUMBER(SEARCH("R76",G9))*76,0)+IFERROR(--ISNUMBER(SEARCH("R77",G9))*77,0)+IFERROR(--ISNUMBER(SEARCH("R78",G9))*78,0)+IFERROR(--ISNUMBER(SEARCH("R79",G9))*79,0)+IFERROR(--ISNUMBER(SEARCH("R80",G9))*80,0)+IFERROR(--ISNUMBER(SEARCH("R81",G9))*81,0)+IFERROR(--ISNUMBER(SEARCH("R82",G9))*82,0)+IFERROR(--ISNUMBER(SEARCH("R83",G9))*83,0)+IFERROR(--ISNUMBER(SEARCH("R84",G9))*84,0)+IFERROR(--ISNUMBER(SEARCH("R85",G9))*85,0)+IFERROR(--ISNUMBER(SEARCH("R86",G9))*86,0)+IFERROR(--ISNUMBER(SEARCH("R87",G9))*87,0)+IFERROR(--ISNUMBER(SEARCH("R88",G9))*88,0)+IFERROR(--ISNUMBER(SEARCH("R89",G9))*89,0)+IFERROR(--ISNUMBER(SEARCH("R90",G9))*90,0)+IFERROR(--ISNUMBER(SEARCH("R91",G9))*91,0)+IFERROR(--ISNUMBER(SEARCH("R92",G9))*92,0)+IFERROR(--ISNUMBER(SEARCH("R93",G9))*93,0)+IFERROR(--ISNUMBER(SEARCH("R94",G9))*94,0)+IFERROR(--ISNUMBER(SEARCH("R95",G9))*95,0)+IFERROR(--ISNUMBER(SEARCH("R96",G9))*96,0)+IFERROR(--ISNUMBER(SEARCH("R97",G9))*97,0)+IFERROR(--ISNUMBER(SEARCH("R98",G9))*98,0)+IFERROR(--ISNUMBER(SEARCH("R99",G9))*99,0)+IFERROR(--ISNUMBER(SEARCH("R100",G9))*100,0)+IFERROR(--ISNUMBER(SEARCH("R101",G9))*101,0)+IFERROR(--ISNUMBER(SEARCH("R102",G9))*102,0)+IFERROR(--ISNUMBER(SEARCH("R103",G9))*103,0)+IFERROR(--ISNUMBER(SEARCH("R104",G9))*104,0)+IFERROR(--ISNUMBER(SEARCH("R105",G9))*105,0)+IFERROR(--ISNUMBER(SEARCH("R106",G9))*106,0)+IFERROR(--ISNUMBER(SEARCH("R107",G9))*107,0)+IFERROR(--ISNUMBER(SEARCH("R108",G9))*108,0)+IFERROR(--ISNUMBER(SEARCH("R109",G9))*109,0)+IFERROR(--ISNUMBER(SEARCH("R110",G9))*110,0)+IFERROR(--ISNUMBER(SEARCH("R111",G9))*111,0)+IFERROR(--ISNUMBER(SEARCH("R112",G9))*112,0)+IFERROR(--ISNUMBER(SEARCH("R113",G9))*113,0)+IFERROR(--ISNUMBER(SEARCH("R114",G9))*114,0)+IFERROR(--ISNUMBER(SEARCH("R115",G9))*115,0)+IFERROR(--ISNUMBER(SEARCH("R116",G9))*116,0)+IFERROR(--ISNUMBER(SEARCH("R117",G9))*117,0)+IFERROR(--ISNUMBER(SEARCH("R118",G9))*118,0)+IFERROR(--ISNUMBER(SEARCH("R119",G9))*119,0)+IFERROR(--ISNUMBER(SEARCH("R120",G9))*120,0)+IFERROR(--ISNUMBER(SEARCH("R121",G9))*121,0)+IFERROR(--ISNUMBER(SEARCH("R122",G9))*122,0)+IFERROR(--ISNUMBER(SEARCH("R123",G9))*123,0)+IFERROR(--ISNUMBER(SEARCH("R124",G9))*124,0)+IFERROR(--ISNUMBER(SEARCH("R125",G9))*125,0)+IFERROR(--ISNUMBER(SEARCH("R126",G9))*126,0)+IFERROR(--ISNUMBER(SEARCH("R127",G9))*127,0)+IFERROR(--ISNUMBER(SEARCH("R128",G9))*128,0)+IFERROR(--ISNUMBER(SEARCH("R129",G9))*129,0)+IFERROR(--ISNUMBER(SEARCH("R130",G9))*130,0)+IFERROR(--ISNUMBER(SEARCH("R131",G9))*131,0)+IFERROR(--ISNUMBER(SEARCH("R132",G9))*132,0)+IFERROR(--ISNUMBER(SEARCH("R133",G9))*133,0)+IFERROR(--ISNUMBER(SEARCH("R134",G9))*134,0)+IFERROR(--ISNUMBER(SEARCH("R135",G9))*135,0)+IFERROR(--ISNUMBER(SEARCH("R136",G9))*136,0)+IFERROR(--ISNUMBER(SEARCH("R137",G9))*137,0)+IFERROR(--ISNUMBER(SEARCH("R138",G9))*138,0)+IFERROR(--ISNUMBER(SEARCH("R139",G9))*139,0)+IFERROR(--ISNUMBER(SEARCH("R140",G9))*140,0)+IFERROR(--ISNUMBER(SEARCH("R141",G9))*141,0))</f>
        <v/>
      </c>
      <c r="V9" s="59">
        <f>IF(A9="","",IF(K9&lt;&gt;"",K9,J9))</f>
        <v/>
      </c>
      <c r="W9" s="59">
        <f>IF(A9="","",IF(AND(V9=29,O9&lt;&gt;"",COUNTIFS($V$6:$V$505,29,$F$6:$F$505,F9,$C$6:$C$505,C9,$O$6:$O$505,"&lt;&gt;")&gt;1),IF(COUNTIFS($V$6:V9,29,$F$6:F9,F9,$C$6:C9,C9,$O$6:O9,"&lt;&gt;")=1,"Esta es la fila que se debe CONSERVAR (aparición 1 de "&amp;COUNTIFS($V$6:$V$505,29,$F$6:$F$505,F9,$C$6:$C$505,C9,$O$6:$O$505,"&lt;&gt;")&amp;" con el mismo tercero y valor, casilla 29). Si hay más filas iguales, bórreles el valor a ELLAS, no a esta.","DUPLICADO — ya existe otra fila con el mismo tercero y valor para casilla 29 (aparición "&amp;COUNTIFS($V$6:V9,29,$F$6:F9,F9,$C$6:C9,C9,$O$6:O9,"&lt;&gt;")&amp;" de "&amp;COUNTIFS($V$6:$V$505,29,$F$6:$F$505,F9,$C$6:$C$505,C9,$O$6:$O$505,"&lt;&gt;")&amp;"). Para resolverlo: seleccione la celda O"&amp;ROW()&amp;" (columna Valor a declarar de ESTA fila) y presione Supr."),""))</f>
        <v/>
      </c>
      <c r="X9" s="463">
        <f>IF(A9="","",F9)</f>
        <v/>
      </c>
      <c r="Y9" s="463">
        <f>IF(A9="","",SUMIF(Entrada_Manual!$I$88:$I$187,A9,Entrada_Manual!$F$88:$F$187))</f>
        <v/>
      </c>
      <c r="Z9" s="463">
        <f>IF(A9="","",X9-Y9)</f>
        <v/>
      </c>
      <c r="AA9">
        <f>IF(A9="","",SUMPRODUCT((Entrada_Manual!$I$88:$I$187=A9)*1))</f>
        <v/>
      </c>
      <c r="AB9">
        <f>IF(A9="","",IF(S9&lt;=1,"",IF(AA9=0,"PENDIENTE — SIN ASIGNAR",IF(Z9=0,"RESUELTO","PARCIAL — DIFERENCIA "&amp;TEXT(Z9,"#,##0")))))</f>
        <v/>
      </c>
    </row>
    <row r="10" ht="27.75" customHeight="1" s="235">
      <c r="A10" s="47">
        <f>IF(Exogena_RAW!E19&lt;&gt;"",ROW()-5,"")</f>
        <v/>
      </c>
      <c r="B10" s="48">
        <f>IF(A10="","",19)</f>
        <v/>
      </c>
      <c r="C10" s="48">
        <f>IF(A10="","",IFERROR(Exogena_RAW!A19,""))</f>
        <v/>
      </c>
      <c r="D10" s="48">
        <f>IF(A10="","",IFERROR(Exogena_RAW!B19,""))</f>
        <v/>
      </c>
      <c r="E10" s="48">
        <f>IF(A10="","",Exogena_RAW!E19)</f>
        <v/>
      </c>
      <c r="F10" s="461">
        <f>IF(A10="","",Exogena_RAW!F19)</f>
        <v/>
      </c>
      <c r="G10" s="48">
        <f>IF(A10="","",IFERROR(Exogena_RAW!G19,""))</f>
        <v/>
      </c>
      <c r="H10" s="48">
        <f>IF(A10="","",IFERROR(Exogena_RAW!H19,""))</f>
        <v/>
      </c>
      <c r="I10" s="48">
        <f>IF(A10="","",IFERROR(IF(S10&gt;1,"VARIAS CASILLAS",IF(S10=1,IF(T10=1,"PROPUESTA DE CASILLA","REVISIÓN: CASILLA NO DIRECTA"),IF(OR(ISNUMBER(SEARCH("TOPE",UPPER(E10))),ISNUMBER(SEARCH("TOPE",UPPER(G10)))),"SOLO CONTROL",IF(ISNUMBER(SEARCH("RETEN",UPPER(E10))),"RETENCIÓN","REVISAR")))),"REVISAR"))</f>
        <v/>
      </c>
      <c r="J10" s="48">
        <f>IF(A10="","",IF(ISNUMBER(SEARCH("ingreso laboral promedio de los últimos seis meses",E10)),"",IFERROR(IF(AND(S10=1,T10=1),U10,""),"")))</f>
        <v/>
      </c>
      <c r="K10" s="216" t="n"/>
      <c r="L10" s="48">
        <f>IF(A10="","",IFERROR(IF(K10&lt;&gt;"","Casilla elegida por usuario",IF(S10&gt;1,"Varias casillas — elegir en K",IF(J10&lt;&gt;"","Sugerencia directa",IF(S10=1,"No trasladar directo — revisar",IF(OR(ISNUMBER(SEARCH("TOPE",UPPER(E10))),ISNUMBER(SEARCH("TOPE",UPPER(G10)))),"Solo control","Revisar manualmente"))))),"Revisar manualmente"))</f>
        <v/>
      </c>
      <c r="M10" s="461">
        <f>IF(A10="","",IF(IF(K10&lt;&gt;"",K10,J10)="",0,IF(COUNTIFS(Reglas!$I$5:$I$118,IF(K10&lt;&gt;"",K10,J10),Reglas!$J$5:$J$118,"Sí")=1,F10,0)))</f>
        <v/>
      </c>
      <c r="N10" s="56" t="n"/>
      <c r="O10" s="462">
        <f>IF(A10="","",IF(M10=0,"",M10))</f>
        <v/>
      </c>
      <c r="P10" s="461">
        <f>IF(A10="","",IF(O10="",0,IF(ISNUMBER(O10),O10,0)))</f>
        <v/>
      </c>
      <c r="Q10" s="48">
        <f>IF(A10="","",IF(Exogena_RAW!$C$4="","BLOQUEADO: FALTA AÑO",IF(Exogena_RAW!$K$10&lt;&gt;Reglas!$B$5,"BLOQUEADO: AÑO",IF(IF(K10&lt;&gt;"",K10,J10)="",IF(S10&gt;1,"REQUIERE ASIGNACIÓN MANUAL (VARIAS CASILLAS)","INFORMATIVO (sin casilla — no se declara)"),IF(COUNTIFS(Reglas!$I$5:$I$118,IF(K10&lt;&gt;"",K10,J10),Reglas!$J$5:$J$118,"Sí")=0,"BLOQUEADO: CASILLA NO DIRECTA",IF(O10="","EXCLUIDO (valor borrado por el usuario)",IF(_xlfn.ISFORMULA(O10),IF(W10&lt;&gt;"","BORRADOR — VALOR SUGERIDO DIAN ⚠ VER ALERTA","BORRADOR — VALOR SUGERIDO DIAN"),IF(W10&lt;&gt;"","ACEPTADO ⚠ VER ALERTA","ACEPTADO"))))))))</f>
        <v/>
      </c>
      <c r="R10" s="218" t="n"/>
      <c r="S10" s="58">
        <f>IF(A10="","",IFERROR(--ISNUMBER(SEARCH("R28",G10)),0)+IFERROR(--ISNUMBER(SEARCH("R29",G10)),0)+IFERROR(--ISNUMBER(SEARCH("R30",G10)),0)+IFERROR(--ISNUMBER(SEARCH("R31",G10)),0)+IFERROR(--ISNUMBER(SEARCH("R32",G10)),0)+IFERROR(--ISNUMBER(SEARCH("R33",G10)),0)+IFERROR(--ISNUMBER(SEARCH("R34",G10)),0)+IFERROR(--ISNUMBER(SEARCH("R35",G10)),0)+IFERROR(--ISNUMBER(SEARCH("R36",G10)),0)+IFERROR(--ISNUMBER(SEARCH("R37",G10)),0)+IFERROR(--ISNUMBER(SEARCH("R38",G10)),0)+IFERROR(--ISNUMBER(SEARCH("R39",G10)),0)+IFERROR(--ISNUMBER(SEARCH("R40",G10)),0)+IFERROR(--ISNUMBER(SEARCH("R41",G10)),0)+IFERROR(--ISNUMBER(SEARCH("R42",G10)),0)+IFERROR(--ISNUMBER(SEARCH("R43",G10)),0)+IFERROR(--ISNUMBER(SEARCH("R44",G10)),0)+IFERROR(--ISNUMBER(SEARCH("R45",G10)),0)+IFERROR(--ISNUMBER(SEARCH("R46",G10)),0)+IFERROR(--ISNUMBER(SEARCH("R47",G10)),0)+IFERROR(--ISNUMBER(SEARCH("R48",G10)),0)+IFERROR(--ISNUMBER(SEARCH("R49",G10)),0)+IFERROR(--ISNUMBER(SEARCH("R50",G10)),0)+IFERROR(--ISNUMBER(SEARCH("R51",G10)),0)+IFERROR(--ISNUMBER(SEARCH("R52",G10)),0)+IFERROR(--ISNUMBER(SEARCH("R53",G10)),0)+IFERROR(--ISNUMBER(SEARCH("R54",G10)),0)+IFERROR(--ISNUMBER(SEARCH("R55",G10)),0)+IFERROR(--ISNUMBER(SEARCH("R56",G10)),0)+IFERROR(--ISNUMBER(SEARCH("R57",G10)),0)+IFERROR(--ISNUMBER(SEARCH("R58",G10)),0)+IFERROR(--ISNUMBER(SEARCH("R59",G10)),0)+IFERROR(--ISNUMBER(SEARCH("R60",G10)),0)+IFERROR(--ISNUMBER(SEARCH("R61",G10)),0)+IFERROR(--ISNUMBER(SEARCH("R62",G10)),0)+IFERROR(--ISNUMBER(SEARCH("R63",G10)),0)+IFERROR(--ISNUMBER(SEARCH("R64",G10)),0)+IFERROR(--ISNUMBER(SEARCH("R65",G10)),0)+IFERROR(--ISNUMBER(SEARCH("R66",G10)),0)+IFERROR(--ISNUMBER(SEARCH("R67",G10)),0)+IFERROR(--ISNUMBER(SEARCH("R68",G10)),0)+IFERROR(--ISNUMBER(SEARCH("R69",G10)),0)+IFERROR(--ISNUMBER(SEARCH("R70",G10)),0)+IFERROR(--ISNUMBER(SEARCH("R71",G10)),0)+IFERROR(--ISNUMBER(SEARCH("R72",G10)),0)+IFERROR(--ISNUMBER(SEARCH("R73",G10)),0)+IFERROR(--ISNUMBER(SEARCH("R74",G10)),0)+IFERROR(--ISNUMBER(SEARCH("R75",G10)),0)+IFERROR(--ISNUMBER(SEARCH("R76",G10)),0)+IFERROR(--ISNUMBER(SEARCH("R77",G10)),0)+IFERROR(--ISNUMBER(SEARCH("R78",G10)),0)+IFERROR(--ISNUMBER(SEARCH("R79",G10)),0)+IFERROR(--ISNUMBER(SEARCH("R80",G10)),0)+IFERROR(--ISNUMBER(SEARCH("R81",G10)),0)+IFERROR(--ISNUMBER(SEARCH("R82",G10)),0)+IFERROR(--ISNUMBER(SEARCH("R83",G10)),0)+IFERROR(--ISNUMBER(SEARCH("R84",G10)),0)+IFERROR(--ISNUMBER(SEARCH("R85",G10)),0)+IFERROR(--ISNUMBER(SEARCH("R86",G10)),0)+IFERROR(--ISNUMBER(SEARCH("R87",G10)),0)+IFERROR(--ISNUMBER(SEARCH("R88",G10)),0)+IFERROR(--ISNUMBER(SEARCH("R89",G10)),0)+IFERROR(--ISNUMBER(SEARCH("R90",G10)),0)+IFERROR(--ISNUMBER(SEARCH("R91",G10)),0)+IFERROR(--ISNUMBER(SEARCH("R92",G10)),0)+IFERROR(--ISNUMBER(SEARCH("R93",G10)),0)+IFERROR(--ISNUMBER(SEARCH("R94",G10)),0)+IFERROR(--ISNUMBER(SEARCH("R95",G10)),0)+IFERROR(--ISNUMBER(SEARCH("R96",G10)),0)+IFERROR(--ISNUMBER(SEARCH("R97",G10)),0)+IFERROR(--ISNUMBER(SEARCH("R98",G10)),0)+IFERROR(--ISNUMBER(SEARCH("R99",G10)),0)+IFERROR(--ISNUMBER(SEARCH("R100",G10)),0)+IFERROR(--ISNUMBER(SEARCH("R101",G10)),0)+IFERROR(--ISNUMBER(SEARCH("R102",G10)),0)+IFERROR(--ISNUMBER(SEARCH("R103",G10)),0)+IFERROR(--ISNUMBER(SEARCH("R104",G10)),0)+IFERROR(--ISNUMBER(SEARCH("R105",G10)),0)+IFERROR(--ISNUMBER(SEARCH("R106",G10)),0)+IFERROR(--ISNUMBER(SEARCH("R107",G10)),0)+IFERROR(--ISNUMBER(SEARCH("R108",G10)),0)+IFERROR(--ISNUMBER(SEARCH("R109",G10)),0)+IFERROR(--ISNUMBER(SEARCH("R110",G10)),0)+IFERROR(--ISNUMBER(SEARCH("R111",G10)),0)+IFERROR(--ISNUMBER(SEARCH("R112",G10)),0)+IFERROR(--ISNUMBER(SEARCH("R113",G10)),0)+IFERROR(--ISNUMBER(SEARCH("R114",G10)),0)+IFERROR(--ISNUMBER(SEARCH("R115",G10)),0)+IFERROR(--ISNUMBER(SEARCH("R116",G10)),0)+IFERROR(--ISNUMBER(SEARCH("R117",G10)),0)+IFERROR(--ISNUMBER(SEARCH("R118",G10)),0)+IFERROR(--ISNUMBER(SEARCH("R119",G10)),0)+IFERROR(--ISNUMBER(SEARCH("R120",G10)),0)+IFERROR(--ISNUMBER(SEARCH("R121",G10)),0)+IFERROR(--ISNUMBER(SEARCH("R122",G10)),0)+IFERROR(--ISNUMBER(SEARCH("R123",G10)),0)+IFERROR(--ISNUMBER(SEARCH("R124",G10)),0)+IFERROR(--ISNUMBER(SEARCH("R125",G10)),0)+IFERROR(--ISNUMBER(SEARCH("R126",G10)),0)+IFERROR(--ISNUMBER(SEARCH("R127",G10)),0)+IFERROR(--ISNUMBER(SEARCH("R128",G10)),0)+IFERROR(--ISNUMBER(SEARCH("R129",G10)),0)+IFERROR(--ISNUMBER(SEARCH("R130",G10)),0)+IFERROR(--ISNUMBER(SEARCH("R131",G10)),0)+IFERROR(--ISNUMBER(SEARCH("R132",G10)),0)+IFERROR(--ISNUMBER(SEARCH("R133",G10)),0)+IFERROR(--ISNUMBER(SEARCH("R134",G10)),0)+IFERROR(--ISNUMBER(SEARCH("R135",G10)),0)+IFERROR(--ISNUMBER(SEARCH("R136",G10)),0)+IFERROR(--ISNUMBER(SEARCH("R137",G10)),0)+IFERROR(--ISNUMBER(SEARCH("R138",G10)),0)+IFERROR(--ISNUMBER(SEARCH("R139",G10)),0)+IFERROR(--ISNUMBER(SEARCH("R140",G10)),0)+IFERROR(--ISNUMBER(SEARCH("R141",G10)),0))</f>
        <v/>
      </c>
      <c r="T10" s="58">
        <f>IF(A10="","",IFERROR(--ISNUMBER(SEARCH("R28",G10)),0)+IFERROR(--ISNUMBER(SEARCH("R29",G10)),0)+IFERROR(--ISNUMBER(SEARCH("R30",G10)),0)+IFERROR(--ISNUMBER(SEARCH("R32",G10)),0)+IFERROR(--ISNUMBER(SEARCH("R33",G10)),0)+IFERROR(--ISNUMBER(SEARCH("R35",G10)),0)+IFERROR(--ISNUMBER(SEARCH("R36",G10)),0)+IFERROR(--ISNUMBER(SEARCH("R38",G10)),0)+IFERROR(--ISNUMBER(SEARCH("R39",G10)),0)+IFERROR(--ISNUMBER(SEARCH("R43",G10)),0)+IFERROR(--ISNUMBER(SEARCH("R44",G10)),0)+IFERROR(--ISNUMBER(SEARCH("R45",G10)),0)+IFERROR(--ISNUMBER(SEARCH("R47",G10)),0)+IFERROR(--ISNUMBER(SEARCH("R48",G10)),0)+IFERROR(--ISNUMBER(SEARCH("R50",G10)),0)+IFERROR(--ISNUMBER(SEARCH("R51",G10)),0)+IFERROR(--ISNUMBER(SEARCH("R56",G10)),0)+IFERROR(--ISNUMBER(SEARCH("R58",G10)),0)+IFERROR(--ISNUMBER(SEARCH("R59",G10)),0)+IFERROR(--ISNUMBER(SEARCH("R60",G10)),0)+IFERROR(--ISNUMBER(SEARCH("R62",G10)),0)+IFERROR(--ISNUMBER(SEARCH("R63",G10)),0)+IFERROR(--ISNUMBER(SEARCH("R64",G10)),0)+IFERROR(--ISNUMBER(SEARCH("R66",G10)),0)+IFERROR(--ISNUMBER(SEARCH("R67",G10)),0)+IFERROR(--ISNUMBER(SEARCH("R72",G10)),0)+IFERROR(--ISNUMBER(SEARCH("R74",G10)),0)+IFERROR(--ISNUMBER(SEARCH("R75",G10)),0)+IFERROR(--ISNUMBER(SEARCH("R76",G10)),0)+IFERROR(--ISNUMBER(SEARCH("R77",G10)),0)+IFERROR(--ISNUMBER(SEARCH("R79",G10)),0)+IFERROR(--ISNUMBER(SEARCH("R80",G10)),0)+IFERROR(--ISNUMBER(SEARCH("R81",G10)),0)+IFERROR(--ISNUMBER(SEARCH("R83",G10)),0)+IFERROR(--ISNUMBER(SEARCH("R84",G10)),0)+IFERROR(--ISNUMBER(SEARCH("R89",G10)),0)+IFERROR(--ISNUMBER(SEARCH("R94",G10)),0)+IFERROR(--ISNUMBER(SEARCH("R95",G10)),0)+IFERROR(--ISNUMBER(SEARCH("R96",G10)),0)+IFERROR(--ISNUMBER(SEARCH("R98",G10)),0)+IFERROR(--ISNUMBER(SEARCH("R99",G10)),0)+IFERROR(--ISNUMBER(SEARCH("R100",G10)),0)+IFERROR(--ISNUMBER(SEARCH("R104",G10)),0)+IFERROR(--ISNUMBER(SEARCH("R105",G10)),0)+IFERROR(--ISNUMBER(SEARCH("R107",G10)),0)+IFERROR(--ISNUMBER(SEARCH("R108",G10)),0)+IFERROR(--ISNUMBER(SEARCH("R109",G10)),0)+IFERROR(--ISNUMBER(SEARCH("R110",G10)),0)+IFERROR(--ISNUMBER(SEARCH("R112",G10)),0)+IFERROR(--ISNUMBER(SEARCH("R113",G10)),0)+IFERROR(--ISNUMBER(SEARCH("R114",G10)),0)+IFERROR(--ISNUMBER(SEARCH("R118",G10)),0)+IFERROR(--ISNUMBER(SEARCH("R119",G10)),0)+IFERROR(--ISNUMBER(SEARCH("R120",G10)),0)+IFERROR(--ISNUMBER(SEARCH("R122",G10)),0)+IFERROR(--ISNUMBER(SEARCH("R123",G10)),0)+IFERROR(--ISNUMBER(SEARCH("R124",G10)),0)+IFERROR(--ISNUMBER(SEARCH("R128",G10)),0)+IFERROR(--ISNUMBER(SEARCH("R130",G10)),0)+IFERROR(--ISNUMBER(SEARCH("R131",G10)),0)+IFERROR(--ISNUMBER(SEARCH("R132",G10)),0)+IFERROR(--ISNUMBER(SEARCH("R135",G10)),0)+IFERROR(--ISNUMBER(SEARCH("R138",G10)),0)+IFERROR(--ISNUMBER(SEARCH("R141",G10)),0))</f>
        <v/>
      </c>
      <c r="U10" s="58">
        <f>IF(A10="","",IFERROR(--ISNUMBER(SEARCH("R28",G10))*28,0)+IFERROR(--ISNUMBER(SEARCH("R29",G10))*29,0)+IFERROR(--ISNUMBER(SEARCH("R30",G10))*30,0)+IFERROR(--ISNUMBER(SEARCH("R31",G10))*31,0)+IFERROR(--ISNUMBER(SEARCH("R32",G10))*32,0)+IFERROR(--ISNUMBER(SEARCH("R33",G10))*33,0)+IFERROR(--ISNUMBER(SEARCH("R34",G10))*34,0)+IFERROR(--ISNUMBER(SEARCH("R35",G10))*35,0)+IFERROR(--ISNUMBER(SEARCH("R36",G10))*36,0)+IFERROR(--ISNUMBER(SEARCH("R37",G10))*37,0)+IFERROR(--ISNUMBER(SEARCH("R38",G10))*38,0)+IFERROR(--ISNUMBER(SEARCH("R39",G10))*39,0)+IFERROR(--ISNUMBER(SEARCH("R40",G10))*40,0)+IFERROR(--ISNUMBER(SEARCH("R41",G10))*41,0)+IFERROR(--ISNUMBER(SEARCH("R42",G10))*42,0)+IFERROR(--ISNUMBER(SEARCH("R43",G10))*43,0)+IFERROR(--ISNUMBER(SEARCH("R44",G10))*44,0)+IFERROR(--ISNUMBER(SEARCH("R45",G10))*45,0)+IFERROR(--ISNUMBER(SEARCH("R46",G10))*46,0)+IFERROR(--ISNUMBER(SEARCH("R47",G10))*47,0)+IFERROR(--ISNUMBER(SEARCH("R48",G10))*48,0)+IFERROR(--ISNUMBER(SEARCH("R49",G10))*49,0)+IFERROR(--ISNUMBER(SEARCH("R50",G10))*50,0)+IFERROR(--ISNUMBER(SEARCH("R51",G10))*51,0)+IFERROR(--ISNUMBER(SEARCH("R52",G10))*52,0)+IFERROR(--ISNUMBER(SEARCH("R53",G10))*53,0)+IFERROR(--ISNUMBER(SEARCH("R54",G10))*54,0)+IFERROR(--ISNUMBER(SEARCH("R55",G10))*55,0)+IFERROR(--ISNUMBER(SEARCH("R56",G10))*56,0)+IFERROR(--ISNUMBER(SEARCH("R57",G10))*57,0)+IFERROR(--ISNUMBER(SEARCH("R58",G10))*58,0)+IFERROR(--ISNUMBER(SEARCH("R59",G10))*59,0)+IFERROR(--ISNUMBER(SEARCH("R60",G10))*60,0)+IFERROR(--ISNUMBER(SEARCH("R61",G10))*61,0)+IFERROR(--ISNUMBER(SEARCH("R62",G10))*62,0)+IFERROR(--ISNUMBER(SEARCH("R63",G10))*63,0)+IFERROR(--ISNUMBER(SEARCH("R64",G10))*64,0)+IFERROR(--ISNUMBER(SEARCH("R65",G10))*65,0)+IFERROR(--ISNUMBER(SEARCH("R66",G10))*66,0)+IFERROR(--ISNUMBER(SEARCH("R67",G10))*67,0)+IFERROR(--ISNUMBER(SEARCH("R68",G10))*68,0)+IFERROR(--ISNUMBER(SEARCH("R69",G10))*69,0)+IFERROR(--ISNUMBER(SEARCH("R70",G10))*70,0)+IFERROR(--ISNUMBER(SEARCH("R71",G10))*71,0)+IFERROR(--ISNUMBER(SEARCH("R72",G10))*72,0)+IFERROR(--ISNUMBER(SEARCH("R73",G10))*73,0)+IFERROR(--ISNUMBER(SEARCH("R74",G10))*74,0)+IFERROR(--ISNUMBER(SEARCH("R75",G10))*75,0)+IFERROR(--ISNUMBER(SEARCH("R76",G10))*76,0)+IFERROR(--ISNUMBER(SEARCH("R77",G10))*77,0)+IFERROR(--ISNUMBER(SEARCH("R78",G10))*78,0)+IFERROR(--ISNUMBER(SEARCH("R79",G10))*79,0)+IFERROR(--ISNUMBER(SEARCH("R80",G10))*80,0)+IFERROR(--ISNUMBER(SEARCH("R81",G10))*81,0)+IFERROR(--ISNUMBER(SEARCH("R82",G10))*82,0)+IFERROR(--ISNUMBER(SEARCH("R83",G10))*83,0)+IFERROR(--ISNUMBER(SEARCH("R84",G10))*84,0)+IFERROR(--ISNUMBER(SEARCH("R85",G10))*85,0)+IFERROR(--ISNUMBER(SEARCH("R86",G10))*86,0)+IFERROR(--ISNUMBER(SEARCH("R87",G10))*87,0)+IFERROR(--ISNUMBER(SEARCH("R88",G10))*88,0)+IFERROR(--ISNUMBER(SEARCH("R89",G10))*89,0)+IFERROR(--ISNUMBER(SEARCH("R90",G10))*90,0)+IFERROR(--ISNUMBER(SEARCH("R91",G10))*91,0)+IFERROR(--ISNUMBER(SEARCH("R92",G10))*92,0)+IFERROR(--ISNUMBER(SEARCH("R93",G10))*93,0)+IFERROR(--ISNUMBER(SEARCH("R94",G10))*94,0)+IFERROR(--ISNUMBER(SEARCH("R95",G10))*95,0)+IFERROR(--ISNUMBER(SEARCH("R96",G10))*96,0)+IFERROR(--ISNUMBER(SEARCH("R97",G10))*97,0)+IFERROR(--ISNUMBER(SEARCH("R98",G10))*98,0)+IFERROR(--ISNUMBER(SEARCH("R99",G10))*99,0)+IFERROR(--ISNUMBER(SEARCH("R100",G10))*100,0)+IFERROR(--ISNUMBER(SEARCH("R101",G10))*101,0)+IFERROR(--ISNUMBER(SEARCH("R102",G10))*102,0)+IFERROR(--ISNUMBER(SEARCH("R103",G10))*103,0)+IFERROR(--ISNUMBER(SEARCH("R104",G10))*104,0)+IFERROR(--ISNUMBER(SEARCH("R105",G10))*105,0)+IFERROR(--ISNUMBER(SEARCH("R106",G10))*106,0)+IFERROR(--ISNUMBER(SEARCH("R107",G10))*107,0)+IFERROR(--ISNUMBER(SEARCH("R108",G10))*108,0)+IFERROR(--ISNUMBER(SEARCH("R109",G10))*109,0)+IFERROR(--ISNUMBER(SEARCH("R110",G10))*110,0)+IFERROR(--ISNUMBER(SEARCH("R111",G10))*111,0)+IFERROR(--ISNUMBER(SEARCH("R112",G10))*112,0)+IFERROR(--ISNUMBER(SEARCH("R113",G10))*113,0)+IFERROR(--ISNUMBER(SEARCH("R114",G10))*114,0)+IFERROR(--ISNUMBER(SEARCH("R115",G10))*115,0)+IFERROR(--ISNUMBER(SEARCH("R116",G10))*116,0)+IFERROR(--ISNUMBER(SEARCH("R117",G10))*117,0)+IFERROR(--ISNUMBER(SEARCH("R118",G10))*118,0)+IFERROR(--ISNUMBER(SEARCH("R119",G10))*119,0)+IFERROR(--ISNUMBER(SEARCH("R120",G10))*120,0)+IFERROR(--ISNUMBER(SEARCH("R121",G10))*121,0)+IFERROR(--ISNUMBER(SEARCH("R122",G10))*122,0)+IFERROR(--ISNUMBER(SEARCH("R123",G10))*123,0)+IFERROR(--ISNUMBER(SEARCH("R124",G10))*124,0)+IFERROR(--ISNUMBER(SEARCH("R125",G10))*125,0)+IFERROR(--ISNUMBER(SEARCH("R126",G10))*126,0)+IFERROR(--ISNUMBER(SEARCH("R127",G10))*127,0)+IFERROR(--ISNUMBER(SEARCH("R128",G10))*128,0)+IFERROR(--ISNUMBER(SEARCH("R129",G10))*129,0)+IFERROR(--ISNUMBER(SEARCH("R130",G10))*130,0)+IFERROR(--ISNUMBER(SEARCH("R131",G10))*131,0)+IFERROR(--ISNUMBER(SEARCH("R132",G10))*132,0)+IFERROR(--ISNUMBER(SEARCH("R133",G10))*133,0)+IFERROR(--ISNUMBER(SEARCH("R134",G10))*134,0)+IFERROR(--ISNUMBER(SEARCH("R135",G10))*135,0)+IFERROR(--ISNUMBER(SEARCH("R136",G10))*136,0)+IFERROR(--ISNUMBER(SEARCH("R137",G10))*137,0)+IFERROR(--ISNUMBER(SEARCH("R138",G10))*138,0)+IFERROR(--ISNUMBER(SEARCH("R139",G10))*139,0)+IFERROR(--ISNUMBER(SEARCH("R140",G10))*140,0)+IFERROR(--ISNUMBER(SEARCH("R141",G10))*141,0))</f>
        <v/>
      </c>
      <c r="V10" s="59">
        <f>IF(A10="","",IF(K10&lt;&gt;"",K10,J10))</f>
        <v/>
      </c>
      <c r="W10" s="59">
        <f>IF(A10="","",IF(AND(V10=29,O10&lt;&gt;"",COUNTIFS($V$6:$V$505,29,$F$6:$F$505,F10,$C$6:$C$505,C10,$O$6:$O$505,"&lt;&gt;")&gt;1),IF(COUNTIFS($V$6:V10,29,$F$6:F10,F10,$C$6:C10,C10,$O$6:O10,"&lt;&gt;")=1,"Esta es la fila que se debe CONSERVAR (aparición 1 de "&amp;COUNTIFS($V$6:$V$505,29,$F$6:$F$505,F10,$C$6:$C$505,C10,$O$6:$O$505,"&lt;&gt;")&amp;" con el mismo tercero y valor, casilla 29). Si hay más filas iguales, bórreles el valor a ELLAS, no a esta.","DUPLICADO — ya existe otra fila con el mismo tercero y valor para casilla 29 (aparición "&amp;COUNTIFS($V$6:V10,29,$F$6:F10,F10,$C$6:C10,C10,$O$6:O10,"&lt;&gt;")&amp;" de "&amp;COUNTIFS($V$6:$V$505,29,$F$6:$F$505,F10,$C$6:$C$505,C10,$O$6:$O$505,"&lt;&gt;")&amp;"). Para resolverlo: seleccione la celda O"&amp;ROW()&amp;" (columna Valor a declarar de ESTA fila) y presione Supr."),""))</f>
        <v/>
      </c>
      <c r="X10" s="463">
        <f>IF(A10="","",F10)</f>
        <v/>
      </c>
      <c r="Y10" s="463">
        <f>IF(A10="","",SUMIF(Entrada_Manual!$I$88:$I$187,A10,Entrada_Manual!$F$88:$F$187))</f>
        <v/>
      </c>
      <c r="Z10" s="463">
        <f>IF(A10="","",X10-Y10)</f>
        <v/>
      </c>
      <c r="AA10">
        <f>IF(A10="","",SUMPRODUCT((Entrada_Manual!$I$88:$I$187=A10)*1))</f>
        <v/>
      </c>
      <c r="AB10">
        <f>IF(A10="","",IF(S10&lt;=1,"",IF(AA10=0,"PENDIENTE — SIN ASIGNAR",IF(Z10=0,"RESUELTO","PARCIAL — DIFERENCIA "&amp;TEXT(Z10,"#,##0")))))</f>
        <v/>
      </c>
    </row>
    <row r="11" ht="54.75" customHeight="1" s="235">
      <c r="A11" s="47">
        <f>IF(Exogena_RAW!E20&lt;&gt;"",ROW()-5,"")</f>
        <v/>
      </c>
      <c r="B11" s="48">
        <f>IF(A11="","",20)</f>
        <v/>
      </c>
      <c r="C11" s="48">
        <f>IF(A11="","",IFERROR(Exogena_RAW!A20,""))</f>
        <v/>
      </c>
      <c r="D11" s="48">
        <f>IF(A11="","",IFERROR(Exogena_RAW!B20,""))</f>
        <v/>
      </c>
      <c r="E11" s="48">
        <f>IF(A11="","",Exogena_RAW!E20)</f>
        <v/>
      </c>
      <c r="F11" s="461">
        <f>IF(A11="","",Exogena_RAW!F20)</f>
        <v/>
      </c>
      <c r="G11" s="48">
        <f>IF(A11="","",IFERROR(Exogena_RAW!G20,""))</f>
        <v/>
      </c>
      <c r="H11" s="48">
        <f>IF(A11="","",IFERROR(Exogena_RAW!H20,""))</f>
        <v/>
      </c>
      <c r="I11" s="48">
        <f>IF(A11="","",IFERROR(IF(S11&gt;1,"VARIAS CASILLAS",IF(S11=1,IF(T11=1,"PROPUESTA DE CASILLA","REVISIÓN: CASILLA NO DIRECTA"),IF(OR(ISNUMBER(SEARCH("TOPE",UPPER(E11))),ISNUMBER(SEARCH("TOPE",UPPER(G11)))),"SOLO CONTROL",IF(ISNUMBER(SEARCH("RETEN",UPPER(E11))),"RETENCIÓN","REVISAR")))),"REVISAR"))</f>
        <v/>
      </c>
      <c r="J11" s="48">
        <f>IF(A11="","",IF(ISNUMBER(SEARCH("ingreso laboral promedio de los últimos seis meses",E11)),"",IFERROR(IF(AND(S11=1,T11=1),U11,""),"")))</f>
        <v/>
      </c>
      <c r="K11" s="216" t="n"/>
      <c r="L11" s="48">
        <f>IF(A11="","",IFERROR(IF(K11&lt;&gt;"","Casilla elegida por usuario",IF(S11&gt;1,"Varias casillas — elegir en K",IF(J11&lt;&gt;"","Sugerencia directa",IF(S11=1,"No trasladar directo — revisar",IF(OR(ISNUMBER(SEARCH("TOPE",UPPER(E11))),ISNUMBER(SEARCH("TOPE",UPPER(G11)))),"Solo control","Revisar manualmente"))))),"Revisar manualmente"))</f>
        <v/>
      </c>
      <c r="M11" s="461">
        <f>IF(A11="","",IF(IF(K11&lt;&gt;"",K11,J11)="",0,IF(COUNTIFS(Reglas!$I$5:$I$118,IF(K11&lt;&gt;"",K11,J11),Reglas!$J$5:$J$118,"Sí")=1,F11,0)))</f>
        <v/>
      </c>
      <c r="N11" s="56" t="n"/>
      <c r="O11" s="462">
        <f>IF(A11="","",IF(M11=0,"",M11))</f>
        <v/>
      </c>
      <c r="P11" s="461">
        <f>IF(A11="","",IF(O11="",0,IF(ISNUMBER(O11),O11,0)))</f>
        <v/>
      </c>
      <c r="Q11" s="48">
        <f>IF(A11="","",IF(Exogena_RAW!$C$4="","BLOQUEADO: FALTA AÑO",IF(Exogena_RAW!$K$10&lt;&gt;Reglas!$B$5,"BLOQUEADO: AÑO",IF(IF(K11&lt;&gt;"",K11,J11)="",IF(S11&gt;1,"REQUIERE ASIGNACIÓN MANUAL (VARIAS CASILLAS)","INFORMATIVO (sin casilla — no se declara)"),IF(COUNTIFS(Reglas!$I$5:$I$118,IF(K11&lt;&gt;"",K11,J11),Reglas!$J$5:$J$118,"Sí")=0,"BLOQUEADO: CASILLA NO DIRECTA",IF(O11="","EXCLUIDO (valor borrado por el usuario)",IF(_xlfn.ISFORMULA(O11),IF(W11&lt;&gt;"","BORRADOR — VALOR SUGERIDO DIAN ⚠ VER ALERTA","BORRADOR — VALOR SUGERIDO DIAN"),IF(W11&lt;&gt;"","ACEPTADO ⚠ VER ALERTA","ACEPTADO"))))))))</f>
        <v/>
      </c>
      <c r="R11" s="218" t="n"/>
      <c r="S11" s="58">
        <f>IF(A11="","",IFERROR(--ISNUMBER(SEARCH("R28",G11)),0)+IFERROR(--ISNUMBER(SEARCH("R29",G11)),0)+IFERROR(--ISNUMBER(SEARCH("R30",G11)),0)+IFERROR(--ISNUMBER(SEARCH("R31",G11)),0)+IFERROR(--ISNUMBER(SEARCH("R32",G11)),0)+IFERROR(--ISNUMBER(SEARCH("R33",G11)),0)+IFERROR(--ISNUMBER(SEARCH("R34",G11)),0)+IFERROR(--ISNUMBER(SEARCH("R35",G11)),0)+IFERROR(--ISNUMBER(SEARCH("R36",G11)),0)+IFERROR(--ISNUMBER(SEARCH("R37",G11)),0)+IFERROR(--ISNUMBER(SEARCH("R38",G11)),0)+IFERROR(--ISNUMBER(SEARCH("R39",G11)),0)+IFERROR(--ISNUMBER(SEARCH("R40",G11)),0)+IFERROR(--ISNUMBER(SEARCH("R41",G11)),0)+IFERROR(--ISNUMBER(SEARCH("R42",G11)),0)+IFERROR(--ISNUMBER(SEARCH("R43",G11)),0)+IFERROR(--ISNUMBER(SEARCH("R44",G11)),0)+IFERROR(--ISNUMBER(SEARCH("R45",G11)),0)+IFERROR(--ISNUMBER(SEARCH("R46",G11)),0)+IFERROR(--ISNUMBER(SEARCH("R47",G11)),0)+IFERROR(--ISNUMBER(SEARCH("R48",G11)),0)+IFERROR(--ISNUMBER(SEARCH("R49",G11)),0)+IFERROR(--ISNUMBER(SEARCH("R50",G11)),0)+IFERROR(--ISNUMBER(SEARCH("R51",G11)),0)+IFERROR(--ISNUMBER(SEARCH("R52",G11)),0)+IFERROR(--ISNUMBER(SEARCH("R53",G11)),0)+IFERROR(--ISNUMBER(SEARCH("R54",G11)),0)+IFERROR(--ISNUMBER(SEARCH("R55",G11)),0)+IFERROR(--ISNUMBER(SEARCH("R56",G11)),0)+IFERROR(--ISNUMBER(SEARCH("R57",G11)),0)+IFERROR(--ISNUMBER(SEARCH("R58",G11)),0)+IFERROR(--ISNUMBER(SEARCH("R59",G11)),0)+IFERROR(--ISNUMBER(SEARCH("R60",G11)),0)+IFERROR(--ISNUMBER(SEARCH("R61",G11)),0)+IFERROR(--ISNUMBER(SEARCH("R62",G11)),0)+IFERROR(--ISNUMBER(SEARCH("R63",G11)),0)+IFERROR(--ISNUMBER(SEARCH("R64",G11)),0)+IFERROR(--ISNUMBER(SEARCH("R65",G11)),0)+IFERROR(--ISNUMBER(SEARCH("R66",G11)),0)+IFERROR(--ISNUMBER(SEARCH("R67",G11)),0)+IFERROR(--ISNUMBER(SEARCH("R68",G11)),0)+IFERROR(--ISNUMBER(SEARCH("R69",G11)),0)+IFERROR(--ISNUMBER(SEARCH("R70",G11)),0)+IFERROR(--ISNUMBER(SEARCH("R71",G11)),0)+IFERROR(--ISNUMBER(SEARCH("R72",G11)),0)+IFERROR(--ISNUMBER(SEARCH("R73",G11)),0)+IFERROR(--ISNUMBER(SEARCH("R74",G11)),0)+IFERROR(--ISNUMBER(SEARCH("R75",G11)),0)+IFERROR(--ISNUMBER(SEARCH("R76",G11)),0)+IFERROR(--ISNUMBER(SEARCH("R77",G11)),0)+IFERROR(--ISNUMBER(SEARCH("R78",G11)),0)+IFERROR(--ISNUMBER(SEARCH("R79",G11)),0)+IFERROR(--ISNUMBER(SEARCH("R80",G11)),0)+IFERROR(--ISNUMBER(SEARCH("R81",G11)),0)+IFERROR(--ISNUMBER(SEARCH("R82",G11)),0)+IFERROR(--ISNUMBER(SEARCH("R83",G11)),0)+IFERROR(--ISNUMBER(SEARCH("R84",G11)),0)+IFERROR(--ISNUMBER(SEARCH("R85",G11)),0)+IFERROR(--ISNUMBER(SEARCH("R86",G11)),0)+IFERROR(--ISNUMBER(SEARCH("R87",G11)),0)+IFERROR(--ISNUMBER(SEARCH("R88",G11)),0)+IFERROR(--ISNUMBER(SEARCH("R89",G11)),0)+IFERROR(--ISNUMBER(SEARCH("R90",G11)),0)+IFERROR(--ISNUMBER(SEARCH("R91",G11)),0)+IFERROR(--ISNUMBER(SEARCH("R92",G11)),0)+IFERROR(--ISNUMBER(SEARCH("R93",G11)),0)+IFERROR(--ISNUMBER(SEARCH("R94",G11)),0)+IFERROR(--ISNUMBER(SEARCH("R95",G11)),0)+IFERROR(--ISNUMBER(SEARCH("R96",G11)),0)+IFERROR(--ISNUMBER(SEARCH("R97",G11)),0)+IFERROR(--ISNUMBER(SEARCH("R98",G11)),0)+IFERROR(--ISNUMBER(SEARCH("R99",G11)),0)+IFERROR(--ISNUMBER(SEARCH("R100",G11)),0)+IFERROR(--ISNUMBER(SEARCH("R101",G11)),0)+IFERROR(--ISNUMBER(SEARCH("R102",G11)),0)+IFERROR(--ISNUMBER(SEARCH("R103",G11)),0)+IFERROR(--ISNUMBER(SEARCH("R104",G11)),0)+IFERROR(--ISNUMBER(SEARCH("R105",G11)),0)+IFERROR(--ISNUMBER(SEARCH("R106",G11)),0)+IFERROR(--ISNUMBER(SEARCH("R107",G11)),0)+IFERROR(--ISNUMBER(SEARCH("R108",G11)),0)+IFERROR(--ISNUMBER(SEARCH("R109",G11)),0)+IFERROR(--ISNUMBER(SEARCH("R110",G11)),0)+IFERROR(--ISNUMBER(SEARCH("R111",G11)),0)+IFERROR(--ISNUMBER(SEARCH("R112",G11)),0)+IFERROR(--ISNUMBER(SEARCH("R113",G11)),0)+IFERROR(--ISNUMBER(SEARCH("R114",G11)),0)+IFERROR(--ISNUMBER(SEARCH("R115",G11)),0)+IFERROR(--ISNUMBER(SEARCH("R116",G11)),0)+IFERROR(--ISNUMBER(SEARCH("R117",G11)),0)+IFERROR(--ISNUMBER(SEARCH("R118",G11)),0)+IFERROR(--ISNUMBER(SEARCH("R119",G11)),0)+IFERROR(--ISNUMBER(SEARCH("R120",G11)),0)+IFERROR(--ISNUMBER(SEARCH("R121",G11)),0)+IFERROR(--ISNUMBER(SEARCH("R122",G11)),0)+IFERROR(--ISNUMBER(SEARCH("R123",G11)),0)+IFERROR(--ISNUMBER(SEARCH("R124",G11)),0)+IFERROR(--ISNUMBER(SEARCH("R125",G11)),0)+IFERROR(--ISNUMBER(SEARCH("R126",G11)),0)+IFERROR(--ISNUMBER(SEARCH("R127",G11)),0)+IFERROR(--ISNUMBER(SEARCH("R128",G11)),0)+IFERROR(--ISNUMBER(SEARCH("R129",G11)),0)+IFERROR(--ISNUMBER(SEARCH("R130",G11)),0)+IFERROR(--ISNUMBER(SEARCH("R131",G11)),0)+IFERROR(--ISNUMBER(SEARCH("R132",G11)),0)+IFERROR(--ISNUMBER(SEARCH("R133",G11)),0)+IFERROR(--ISNUMBER(SEARCH("R134",G11)),0)+IFERROR(--ISNUMBER(SEARCH("R135",G11)),0)+IFERROR(--ISNUMBER(SEARCH("R136",G11)),0)+IFERROR(--ISNUMBER(SEARCH("R137",G11)),0)+IFERROR(--ISNUMBER(SEARCH("R138",G11)),0)+IFERROR(--ISNUMBER(SEARCH("R139",G11)),0)+IFERROR(--ISNUMBER(SEARCH("R140",G11)),0)+IFERROR(--ISNUMBER(SEARCH("R141",G11)),0))</f>
        <v/>
      </c>
      <c r="T11" s="58">
        <f>IF(A11="","",IFERROR(--ISNUMBER(SEARCH("R28",G11)),0)+IFERROR(--ISNUMBER(SEARCH("R29",G11)),0)+IFERROR(--ISNUMBER(SEARCH("R30",G11)),0)+IFERROR(--ISNUMBER(SEARCH("R32",G11)),0)+IFERROR(--ISNUMBER(SEARCH("R33",G11)),0)+IFERROR(--ISNUMBER(SEARCH("R35",G11)),0)+IFERROR(--ISNUMBER(SEARCH("R36",G11)),0)+IFERROR(--ISNUMBER(SEARCH("R38",G11)),0)+IFERROR(--ISNUMBER(SEARCH("R39",G11)),0)+IFERROR(--ISNUMBER(SEARCH("R43",G11)),0)+IFERROR(--ISNUMBER(SEARCH("R44",G11)),0)+IFERROR(--ISNUMBER(SEARCH("R45",G11)),0)+IFERROR(--ISNUMBER(SEARCH("R47",G11)),0)+IFERROR(--ISNUMBER(SEARCH("R48",G11)),0)+IFERROR(--ISNUMBER(SEARCH("R50",G11)),0)+IFERROR(--ISNUMBER(SEARCH("R51",G11)),0)+IFERROR(--ISNUMBER(SEARCH("R56",G11)),0)+IFERROR(--ISNUMBER(SEARCH("R58",G11)),0)+IFERROR(--ISNUMBER(SEARCH("R59",G11)),0)+IFERROR(--ISNUMBER(SEARCH("R60",G11)),0)+IFERROR(--ISNUMBER(SEARCH("R62",G11)),0)+IFERROR(--ISNUMBER(SEARCH("R63",G11)),0)+IFERROR(--ISNUMBER(SEARCH("R64",G11)),0)+IFERROR(--ISNUMBER(SEARCH("R66",G11)),0)+IFERROR(--ISNUMBER(SEARCH("R67",G11)),0)+IFERROR(--ISNUMBER(SEARCH("R72",G11)),0)+IFERROR(--ISNUMBER(SEARCH("R74",G11)),0)+IFERROR(--ISNUMBER(SEARCH("R75",G11)),0)+IFERROR(--ISNUMBER(SEARCH("R76",G11)),0)+IFERROR(--ISNUMBER(SEARCH("R77",G11)),0)+IFERROR(--ISNUMBER(SEARCH("R79",G11)),0)+IFERROR(--ISNUMBER(SEARCH("R80",G11)),0)+IFERROR(--ISNUMBER(SEARCH("R81",G11)),0)+IFERROR(--ISNUMBER(SEARCH("R83",G11)),0)+IFERROR(--ISNUMBER(SEARCH("R84",G11)),0)+IFERROR(--ISNUMBER(SEARCH("R89",G11)),0)+IFERROR(--ISNUMBER(SEARCH("R94",G11)),0)+IFERROR(--ISNUMBER(SEARCH("R95",G11)),0)+IFERROR(--ISNUMBER(SEARCH("R96",G11)),0)+IFERROR(--ISNUMBER(SEARCH("R98",G11)),0)+IFERROR(--ISNUMBER(SEARCH("R99",G11)),0)+IFERROR(--ISNUMBER(SEARCH("R100",G11)),0)+IFERROR(--ISNUMBER(SEARCH("R104",G11)),0)+IFERROR(--ISNUMBER(SEARCH("R105",G11)),0)+IFERROR(--ISNUMBER(SEARCH("R107",G11)),0)+IFERROR(--ISNUMBER(SEARCH("R108",G11)),0)+IFERROR(--ISNUMBER(SEARCH("R109",G11)),0)+IFERROR(--ISNUMBER(SEARCH("R110",G11)),0)+IFERROR(--ISNUMBER(SEARCH("R112",G11)),0)+IFERROR(--ISNUMBER(SEARCH("R113",G11)),0)+IFERROR(--ISNUMBER(SEARCH("R114",G11)),0)+IFERROR(--ISNUMBER(SEARCH("R118",G11)),0)+IFERROR(--ISNUMBER(SEARCH("R119",G11)),0)+IFERROR(--ISNUMBER(SEARCH("R120",G11)),0)+IFERROR(--ISNUMBER(SEARCH("R122",G11)),0)+IFERROR(--ISNUMBER(SEARCH("R123",G11)),0)+IFERROR(--ISNUMBER(SEARCH("R124",G11)),0)+IFERROR(--ISNUMBER(SEARCH("R128",G11)),0)+IFERROR(--ISNUMBER(SEARCH("R130",G11)),0)+IFERROR(--ISNUMBER(SEARCH("R131",G11)),0)+IFERROR(--ISNUMBER(SEARCH("R132",G11)),0)+IFERROR(--ISNUMBER(SEARCH("R135",G11)),0)+IFERROR(--ISNUMBER(SEARCH("R138",G11)),0)+IFERROR(--ISNUMBER(SEARCH("R141",G11)),0))</f>
        <v/>
      </c>
      <c r="U11" s="58">
        <f>IF(A11="","",IFERROR(--ISNUMBER(SEARCH("R28",G11))*28,0)+IFERROR(--ISNUMBER(SEARCH("R29",G11))*29,0)+IFERROR(--ISNUMBER(SEARCH("R30",G11))*30,0)+IFERROR(--ISNUMBER(SEARCH("R31",G11))*31,0)+IFERROR(--ISNUMBER(SEARCH("R32",G11))*32,0)+IFERROR(--ISNUMBER(SEARCH("R33",G11))*33,0)+IFERROR(--ISNUMBER(SEARCH("R34",G11))*34,0)+IFERROR(--ISNUMBER(SEARCH("R35",G11))*35,0)+IFERROR(--ISNUMBER(SEARCH("R36",G11))*36,0)+IFERROR(--ISNUMBER(SEARCH("R37",G11))*37,0)+IFERROR(--ISNUMBER(SEARCH("R38",G11))*38,0)+IFERROR(--ISNUMBER(SEARCH("R39",G11))*39,0)+IFERROR(--ISNUMBER(SEARCH("R40",G11))*40,0)+IFERROR(--ISNUMBER(SEARCH("R41",G11))*41,0)+IFERROR(--ISNUMBER(SEARCH("R42",G11))*42,0)+IFERROR(--ISNUMBER(SEARCH("R43",G11))*43,0)+IFERROR(--ISNUMBER(SEARCH("R44",G11))*44,0)+IFERROR(--ISNUMBER(SEARCH("R45",G11))*45,0)+IFERROR(--ISNUMBER(SEARCH("R46",G11))*46,0)+IFERROR(--ISNUMBER(SEARCH("R47",G11))*47,0)+IFERROR(--ISNUMBER(SEARCH("R48",G11))*48,0)+IFERROR(--ISNUMBER(SEARCH("R49",G11))*49,0)+IFERROR(--ISNUMBER(SEARCH("R50",G11))*50,0)+IFERROR(--ISNUMBER(SEARCH("R51",G11))*51,0)+IFERROR(--ISNUMBER(SEARCH("R52",G11))*52,0)+IFERROR(--ISNUMBER(SEARCH("R53",G11))*53,0)+IFERROR(--ISNUMBER(SEARCH("R54",G11))*54,0)+IFERROR(--ISNUMBER(SEARCH("R55",G11))*55,0)+IFERROR(--ISNUMBER(SEARCH("R56",G11))*56,0)+IFERROR(--ISNUMBER(SEARCH("R57",G11))*57,0)+IFERROR(--ISNUMBER(SEARCH("R58",G11))*58,0)+IFERROR(--ISNUMBER(SEARCH("R59",G11))*59,0)+IFERROR(--ISNUMBER(SEARCH("R60",G11))*60,0)+IFERROR(--ISNUMBER(SEARCH("R61",G11))*61,0)+IFERROR(--ISNUMBER(SEARCH("R62",G11))*62,0)+IFERROR(--ISNUMBER(SEARCH("R63",G11))*63,0)+IFERROR(--ISNUMBER(SEARCH("R64",G11))*64,0)+IFERROR(--ISNUMBER(SEARCH("R65",G11))*65,0)+IFERROR(--ISNUMBER(SEARCH("R66",G11))*66,0)+IFERROR(--ISNUMBER(SEARCH("R67",G11))*67,0)+IFERROR(--ISNUMBER(SEARCH("R68",G11))*68,0)+IFERROR(--ISNUMBER(SEARCH("R69",G11))*69,0)+IFERROR(--ISNUMBER(SEARCH("R70",G11))*70,0)+IFERROR(--ISNUMBER(SEARCH("R71",G11))*71,0)+IFERROR(--ISNUMBER(SEARCH("R72",G11))*72,0)+IFERROR(--ISNUMBER(SEARCH("R73",G11))*73,0)+IFERROR(--ISNUMBER(SEARCH("R74",G11))*74,0)+IFERROR(--ISNUMBER(SEARCH("R75",G11))*75,0)+IFERROR(--ISNUMBER(SEARCH("R76",G11))*76,0)+IFERROR(--ISNUMBER(SEARCH("R77",G11))*77,0)+IFERROR(--ISNUMBER(SEARCH("R78",G11))*78,0)+IFERROR(--ISNUMBER(SEARCH("R79",G11))*79,0)+IFERROR(--ISNUMBER(SEARCH("R80",G11))*80,0)+IFERROR(--ISNUMBER(SEARCH("R81",G11))*81,0)+IFERROR(--ISNUMBER(SEARCH("R82",G11))*82,0)+IFERROR(--ISNUMBER(SEARCH("R83",G11))*83,0)+IFERROR(--ISNUMBER(SEARCH("R84",G11))*84,0)+IFERROR(--ISNUMBER(SEARCH("R85",G11))*85,0)+IFERROR(--ISNUMBER(SEARCH("R86",G11))*86,0)+IFERROR(--ISNUMBER(SEARCH("R87",G11))*87,0)+IFERROR(--ISNUMBER(SEARCH("R88",G11))*88,0)+IFERROR(--ISNUMBER(SEARCH("R89",G11))*89,0)+IFERROR(--ISNUMBER(SEARCH("R90",G11))*90,0)+IFERROR(--ISNUMBER(SEARCH("R91",G11))*91,0)+IFERROR(--ISNUMBER(SEARCH("R92",G11))*92,0)+IFERROR(--ISNUMBER(SEARCH("R93",G11))*93,0)+IFERROR(--ISNUMBER(SEARCH("R94",G11))*94,0)+IFERROR(--ISNUMBER(SEARCH("R95",G11))*95,0)+IFERROR(--ISNUMBER(SEARCH("R96",G11))*96,0)+IFERROR(--ISNUMBER(SEARCH("R97",G11))*97,0)+IFERROR(--ISNUMBER(SEARCH("R98",G11))*98,0)+IFERROR(--ISNUMBER(SEARCH("R99",G11))*99,0)+IFERROR(--ISNUMBER(SEARCH("R100",G11))*100,0)+IFERROR(--ISNUMBER(SEARCH("R101",G11))*101,0)+IFERROR(--ISNUMBER(SEARCH("R102",G11))*102,0)+IFERROR(--ISNUMBER(SEARCH("R103",G11))*103,0)+IFERROR(--ISNUMBER(SEARCH("R104",G11))*104,0)+IFERROR(--ISNUMBER(SEARCH("R105",G11))*105,0)+IFERROR(--ISNUMBER(SEARCH("R106",G11))*106,0)+IFERROR(--ISNUMBER(SEARCH("R107",G11))*107,0)+IFERROR(--ISNUMBER(SEARCH("R108",G11))*108,0)+IFERROR(--ISNUMBER(SEARCH("R109",G11))*109,0)+IFERROR(--ISNUMBER(SEARCH("R110",G11))*110,0)+IFERROR(--ISNUMBER(SEARCH("R111",G11))*111,0)+IFERROR(--ISNUMBER(SEARCH("R112",G11))*112,0)+IFERROR(--ISNUMBER(SEARCH("R113",G11))*113,0)+IFERROR(--ISNUMBER(SEARCH("R114",G11))*114,0)+IFERROR(--ISNUMBER(SEARCH("R115",G11))*115,0)+IFERROR(--ISNUMBER(SEARCH("R116",G11))*116,0)+IFERROR(--ISNUMBER(SEARCH("R117",G11))*117,0)+IFERROR(--ISNUMBER(SEARCH("R118",G11))*118,0)+IFERROR(--ISNUMBER(SEARCH("R119",G11))*119,0)+IFERROR(--ISNUMBER(SEARCH("R120",G11))*120,0)+IFERROR(--ISNUMBER(SEARCH("R121",G11))*121,0)+IFERROR(--ISNUMBER(SEARCH("R122",G11))*122,0)+IFERROR(--ISNUMBER(SEARCH("R123",G11))*123,0)+IFERROR(--ISNUMBER(SEARCH("R124",G11))*124,0)+IFERROR(--ISNUMBER(SEARCH("R125",G11))*125,0)+IFERROR(--ISNUMBER(SEARCH("R126",G11))*126,0)+IFERROR(--ISNUMBER(SEARCH("R127",G11))*127,0)+IFERROR(--ISNUMBER(SEARCH("R128",G11))*128,0)+IFERROR(--ISNUMBER(SEARCH("R129",G11))*129,0)+IFERROR(--ISNUMBER(SEARCH("R130",G11))*130,0)+IFERROR(--ISNUMBER(SEARCH("R131",G11))*131,0)+IFERROR(--ISNUMBER(SEARCH("R132",G11))*132,0)+IFERROR(--ISNUMBER(SEARCH("R133",G11))*133,0)+IFERROR(--ISNUMBER(SEARCH("R134",G11))*134,0)+IFERROR(--ISNUMBER(SEARCH("R135",G11))*135,0)+IFERROR(--ISNUMBER(SEARCH("R136",G11))*136,0)+IFERROR(--ISNUMBER(SEARCH("R137",G11))*137,0)+IFERROR(--ISNUMBER(SEARCH("R138",G11))*138,0)+IFERROR(--ISNUMBER(SEARCH("R139",G11))*139,0)+IFERROR(--ISNUMBER(SEARCH("R140",G11))*140,0)+IFERROR(--ISNUMBER(SEARCH("R141",G11))*141,0))</f>
        <v/>
      </c>
      <c r="V11" s="59">
        <f>IF(A11="","",IF(K11&lt;&gt;"",K11,J11))</f>
        <v/>
      </c>
      <c r="W11" s="59">
        <f>IF(A11="","",IF(AND(V11=29,O11&lt;&gt;"",COUNTIFS($V$6:$V$505,29,$F$6:$F$505,F11,$C$6:$C$505,C11,$O$6:$O$505,"&lt;&gt;")&gt;1),IF(COUNTIFS($V$6:V11,29,$F$6:F11,F11,$C$6:C11,C11,$O$6:O11,"&lt;&gt;")=1,"Esta es la fila que se debe CONSERVAR (aparición 1 de "&amp;COUNTIFS($V$6:$V$505,29,$F$6:$F$505,F11,$C$6:$C$505,C11,$O$6:$O$505,"&lt;&gt;")&amp;" con el mismo tercero y valor, casilla 29). Si hay más filas iguales, bórreles el valor a ELLAS, no a esta.","DUPLICADO — ya existe otra fila con el mismo tercero y valor para casilla 29 (aparición "&amp;COUNTIFS($V$6:V11,29,$F$6:F11,F11,$C$6:C11,C11,$O$6:O11,"&lt;&gt;")&amp;" de "&amp;COUNTIFS($V$6:$V$505,29,$F$6:$F$505,F11,$C$6:$C$505,C11,$O$6:$O$505,"&lt;&gt;")&amp;"). Para resolverlo: seleccione la celda O"&amp;ROW()&amp;" (columna Valor a declarar de ESTA fila) y presione Supr."),""))</f>
        <v/>
      </c>
      <c r="X11" s="463">
        <f>IF(A11="","",F11)</f>
        <v/>
      </c>
      <c r="Y11" s="463">
        <f>IF(A11="","",SUMIF(Entrada_Manual!$I$88:$I$187,A11,Entrada_Manual!$F$88:$F$187))</f>
        <v/>
      </c>
      <c r="Z11" s="463">
        <f>IF(A11="","",X11-Y11)</f>
        <v/>
      </c>
      <c r="AA11">
        <f>IF(A11="","",SUMPRODUCT((Entrada_Manual!$I$88:$I$187=A11)*1))</f>
        <v/>
      </c>
      <c r="AB11">
        <f>IF(A11="","",IF(S11&lt;=1,"",IF(AA11=0,"PENDIENTE — SIN ASIGNAR",IF(Z11=0,"RESUELTO","PARCIAL — DIFERENCIA "&amp;TEXT(Z11,"#,##0")))))</f>
        <v/>
      </c>
    </row>
    <row r="12" ht="27.75" customHeight="1" s="235">
      <c r="A12" s="47">
        <f>IF(Exogena_RAW!E21&lt;&gt;"",ROW()-5,"")</f>
        <v/>
      </c>
      <c r="B12" s="48">
        <f>IF(A12="","",21)</f>
        <v/>
      </c>
      <c r="C12" s="48">
        <f>IF(A12="","",IFERROR(Exogena_RAW!A21,""))</f>
        <v/>
      </c>
      <c r="D12" s="48">
        <f>IF(A12="","",IFERROR(Exogena_RAW!B21,""))</f>
        <v/>
      </c>
      <c r="E12" s="48">
        <f>IF(A12="","",Exogena_RAW!E21)</f>
        <v/>
      </c>
      <c r="F12" s="461">
        <f>IF(A12="","",Exogena_RAW!F21)</f>
        <v/>
      </c>
      <c r="G12" s="48">
        <f>IF(A12="","",IFERROR(Exogena_RAW!G21,""))</f>
        <v/>
      </c>
      <c r="H12" s="48">
        <f>IF(A12="","",IFERROR(Exogena_RAW!H21,""))</f>
        <v/>
      </c>
      <c r="I12" s="48">
        <f>IF(A12="","",IFERROR(IF(S12&gt;1,"VARIAS CASILLAS",IF(S12=1,IF(T12=1,"PROPUESTA DE CASILLA","REVISIÓN: CASILLA NO DIRECTA"),IF(OR(ISNUMBER(SEARCH("TOPE",UPPER(E12))),ISNUMBER(SEARCH("TOPE",UPPER(G12)))),"SOLO CONTROL",IF(ISNUMBER(SEARCH("RETEN",UPPER(E12))),"RETENCIÓN","REVISAR")))),"REVISAR"))</f>
        <v/>
      </c>
      <c r="J12" s="61">
        <f>IF(A12="","",IF(ISNUMBER(SEARCH("ingreso laboral promedio de los últimos seis meses",E12)),"",IFERROR(IF(AND(S12=1,T12=1),U12,""),"")))</f>
        <v/>
      </c>
      <c r="K12" s="216" t="n"/>
      <c r="L12" s="48">
        <f>IF(A12="","",IFERROR(IF(K12&lt;&gt;"","Casilla elegida por usuario",IF(S12&gt;1,"Varias casillas — elegir en K",IF(J12&lt;&gt;"","Sugerencia directa",IF(S12=1,"No trasladar directo — revisar",IF(OR(ISNUMBER(SEARCH("TOPE",UPPER(E12))),ISNUMBER(SEARCH("TOPE",UPPER(G12)))),"Solo control","Revisar manualmente"))))),"Revisar manualmente"))</f>
        <v/>
      </c>
      <c r="M12" s="461">
        <f>IF(A12="","",IF(IF(K12&lt;&gt;"",K12,J12)="",0,IF(COUNTIFS(Reglas!$I$5:$I$118,IF(K12&lt;&gt;"",K12,J12),Reglas!$J$5:$J$118,"Sí")=1,F12,0)))</f>
        <v/>
      </c>
      <c r="N12" s="56" t="n"/>
      <c r="O12" s="462">
        <f>IF(A12="","",IF(M12=0,"",M12))</f>
        <v/>
      </c>
      <c r="P12" s="461">
        <f>IF(A12="","",IF(O12="",0,IF(ISNUMBER(O12),O12,0)))</f>
        <v/>
      </c>
      <c r="Q12" s="48">
        <f>IF(A12="","",IF(Exogena_RAW!$C$4="","BLOQUEADO: FALTA AÑO",IF(Exogena_RAW!$K$10&lt;&gt;Reglas!$B$5,"BLOQUEADO: AÑO",IF(IF(K12&lt;&gt;"",K12,J12)="",IF(S12&gt;1,"REQUIERE ASIGNACIÓN MANUAL (VARIAS CASILLAS)","INFORMATIVO (sin casilla — no se declara)"),IF(COUNTIFS(Reglas!$I$5:$I$118,IF(K12&lt;&gt;"",K12,J12),Reglas!$J$5:$J$118,"Sí")=0,"BLOQUEADO: CASILLA NO DIRECTA",IF(O12="","EXCLUIDO (valor borrado por el usuario)",IF(_xlfn.ISFORMULA(O12),IF(W12&lt;&gt;"","BORRADOR — VALOR SUGERIDO DIAN ⚠ VER ALERTA","BORRADOR — VALOR SUGERIDO DIAN"),IF(W12&lt;&gt;"","ACEPTADO ⚠ VER ALERTA","ACEPTADO"))))))))</f>
        <v/>
      </c>
      <c r="R12" s="218" t="n"/>
      <c r="S12" s="58">
        <f>IF(A12="","",IFERROR(--ISNUMBER(SEARCH("R28",G12)),0)+IFERROR(--ISNUMBER(SEARCH("R29",G12)),0)+IFERROR(--ISNUMBER(SEARCH("R30",G12)),0)+IFERROR(--ISNUMBER(SEARCH("R31",G12)),0)+IFERROR(--ISNUMBER(SEARCH("R32",G12)),0)+IFERROR(--ISNUMBER(SEARCH("R33",G12)),0)+IFERROR(--ISNUMBER(SEARCH("R34",G12)),0)+IFERROR(--ISNUMBER(SEARCH("R35",G12)),0)+IFERROR(--ISNUMBER(SEARCH("R36",G12)),0)+IFERROR(--ISNUMBER(SEARCH("R37",G12)),0)+IFERROR(--ISNUMBER(SEARCH("R38",G12)),0)+IFERROR(--ISNUMBER(SEARCH("R39",G12)),0)+IFERROR(--ISNUMBER(SEARCH("R40",G12)),0)+IFERROR(--ISNUMBER(SEARCH("R41",G12)),0)+IFERROR(--ISNUMBER(SEARCH("R42",G12)),0)+IFERROR(--ISNUMBER(SEARCH("R43",G12)),0)+IFERROR(--ISNUMBER(SEARCH("R44",G12)),0)+IFERROR(--ISNUMBER(SEARCH("R45",G12)),0)+IFERROR(--ISNUMBER(SEARCH("R46",G12)),0)+IFERROR(--ISNUMBER(SEARCH("R47",G12)),0)+IFERROR(--ISNUMBER(SEARCH("R48",G12)),0)+IFERROR(--ISNUMBER(SEARCH("R49",G12)),0)+IFERROR(--ISNUMBER(SEARCH("R50",G12)),0)+IFERROR(--ISNUMBER(SEARCH("R51",G12)),0)+IFERROR(--ISNUMBER(SEARCH("R52",G12)),0)+IFERROR(--ISNUMBER(SEARCH("R53",G12)),0)+IFERROR(--ISNUMBER(SEARCH("R54",G12)),0)+IFERROR(--ISNUMBER(SEARCH("R55",G12)),0)+IFERROR(--ISNUMBER(SEARCH("R56",G12)),0)+IFERROR(--ISNUMBER(SEARCH("R57",G12)),0)+IFERROR(--ISNUMBER(SEARCH("R58",G12)),0)+IFERROR(--ISNUMBER(SEARCH("R59",G12)),0)+IFERROR(--ISNUMBER(SEARCH("R60",G12)),0)+IFERROR(--ISNUMBER(SEARCH("R61",G12)),0)+IFERROR(--ISNUMBER(SEARCH("R62",G12)),0)+IFERROR(--ISNUMBER(SEARCH("R63",G12)),0)+IFERROR(--ISNUMBER(SEARCH("R64",G12)),0)+IFERROR(--ISNUMBER(SEARCH("R65",G12)),0)+IFERROR(--ISNUMBER(SEARCH("R66",G12)),0)+IFERROR(--ISNUMBER(SEARCH("R67",G12)),0)+IFERROR(--ISNUMBER(SEARCH("R68",G12)),0)+IFERROR(--ISNUMBER(SEARCH("R69",G12)),0)+IFERROR(--ISNUMBER(SEARCH("R70",G12)),0)+IFERROR(--ISNUMBER(SEARCH("R71",G12)),0)+IFERROR(--ISNUMBER(SEARCH("R72",G12)),0)+IFERROR(--ISNUMBER(SEARCH("R73",G12)),0)+IFERROR(--ISNUMBER(SEARCH("R74",G12)),0)+IFERROR(--ISNUMBER(SEARCH("R75",G12)),0)+IFERROR(--ISNUMBER(SEARCH("R76",G12)),0)+IFERROR(--ISNUMBER(SEARCH("R77",G12)),0)+IFERROR(--ISNUMBER(SEARCH("R78",G12)),0)+IFERROR(--ISNUMBER(SEARCH("R79",G12)),0)+IFERROR(--ISNUMBER(SEARCH("R80",G12)),0)+IFERROR(--ISNUMBER(SEARCH("R81",G12)),0)+IFERROR(--ISNUMBER(SEARCH("R82",G12)),0)+IFERROR(--ISNUMBER(SEARCH("R83",G12)),0)+IFERROR(--ISNUMBER(SEARCH("R84",G12)),0)+IFERROR(--ISNUMBER(SEARCH("R85",G12)),0)+IFERROR(--ISNUMBER(SEARCH("R86",G12)),0)+IFERROR(--ISNUMBER(SEARCH("R87",G12)),0)+IFERROR(--ISNUMBER(SEARCH("R88",G12)),0)+IFERROR(--ISNUMBER(SEARCH("R89",G12)),0)+IFERROR(--ISNUMBER(SEARCH("R90",G12)),0)+IFERROR(--ISNUMBER(SEARCH("R91",G12)),0)+IFERROR(--ISNUMBER(SEARCH("R92",G12)),0)+IFERROR(--ISNUMBER(SEARCH("R93",G12)),0)+IFERROR(--ISNUMBER(SEARCH("R94",G12)),0)+IFERROR(--ISNUMBER(SEARCH("R95",G12)),0)+IFERROR(--ISNUMBER(SEARCH("R96",G12)),0)+IFERROR(--ISNUMBER(SEARCH("R97",G12)),0)+IFERROR(--ISNUMBER(SEARCH("R98",G12)),0)+IFERROR(--ISNUMBER(SEARCH("R99",G12)),0)+IFERROR(--ISNUMBER(SEARCH("R100",G12)),0)+IFERROR(--ISNUMBER(SEARCH("R101",G12)),0)+IFERROR(--ISNUMBER(SEARCH("R102",G12)),0)+IFERROR(--ISNUMBER(SEARCH("R103",G12)),0)+IFERROR(--ISNUMBER(SEARCH("R104",G12)),0)+IFERROR(--ISNUMBER(SEARCH("R105",G12)),0)+IFERROR(--ISNUMBER(SEARCH("R106",G12)),0)+IFERROR(--ISNUMBER(SEARCH("R107",G12)),0)+IFERROR(--ISNUMBER(SEARCH("R108",G12)),0)+IFERROR(--ISNUMBER(SEARCH("R109",G12)),0)+IFERROR(--ISNUMBER(SEARCH("R110",G12)),0)+IFERROR(--ISNUMBER(SEARCH("R111",G12)),0)+IFERROR(--ISNUMBER(SEARCH("R112",G12)),0)+IFERROR(--ISNUMBER(SEARCH("R113",G12)),0)+IFERROR(--ISNUMBER(SEARCH("R114",G12)),0)+IFERROR(--ISNUMBER(SEARCH("R115",G12)),0)+IFERROR(--ISNUMBER(SEARCH("R116",G12)),0)+IFERROR(--ISNUMBER(SEARCH("R117",G12)),0)+IFERROR(--ISNUMBER(SEARCH("R118",G12)),0)+IFERROR(--ISNUMBER(SEARCH("R119",G12)),0)+IFERROR(--ISNUMBER(SEARCH("R120",G12)),0)+IFERROR(--ISNUMBER(SEARCH("R121",G12)),0)+IFERROR(--ISNUMBER(SEARCH("R122",G12)),0)+IFERROR(--ISNUMBER(SEARCH("R123",G12)),0)+IFERROR(--ISNUMBER(SEARCH("R124",G12)),0)+IFERROR(--ISNUMBER(SEARCH("R125",G12)),0)+IFERROR(--ISNUMBER(SEARCH("R126",G12)),0)+IFERROR(--ISNUMBER(SEARCH("R127",G12)),0)+IFERROR(--ISNUMBER(SEARCH("R128",G12)),0)+IFERROR(--ISNUMBER(SEARCH("R129",G12)),0)+IFERROR(--ISNUMBER(SEARCH("R130",G12)),0)+IFERROR(--ISNUMBER(SEARCH("R131",G12)),0)+IFERROR(--ISNUMBER(SEARCH("R132",G12)),0)+IFERROR(--ISNUMBER(SEARCH("R133",G12)),0)+IFERROR(--ISNUMBER(SEARCH("R134",G12)),0)+IFERROR(--ISNUMBER(SEARCH("R135",G12)),0)+IFERROR(--ISNUMBER(SEARCH("R136",G12)),0)+IFERROR(--ISNUMBER(SEARCH("R137",G12)),0)+IFERROR(--ISNUMBER(SEARCH("R138",G12)),0)+IFERROR(--ISNUMBER(SEARCH("R139",G12)),0)+IFERROR(--ISNUMBER(SEARCH("R140",G12)),0)+IFERROR(--ISNUMBER(SEARCH("R141",G12)),0))</f>
        <v/>
      </c>
      <c r="T12" s="58">
        <f>IF(A12="","",IFERROR(--ISNUMBER(SEARCH("R28",G12)),0)+IFERROR(--ISNUMBER(SEARCH("R29",G12)),0)+IFERROR(--ISNUMBER(SEARCH("R30",G12)),0)+IFERROR(--ISNUMBER(SEARCH("R32",G12)),0)+IFERROR(--ISNUMBER(SEARCH("R33",G12)),0)+IFERROR(--ISNUMBER(SEARCH("R35",G12)),0)+IFERROR(--ISNUMBER(SEARCH("R36",G12)),0)+IFERROR(--ISNUMBER(SEARCH("R38",G12)),0)+IFERROR(--ISNUMBER(SEARCH("R39",G12)),0)+IFERROR(--ISNUMBER(SEARCH("R43",G12)),0)+IFERROR(--ISNUMBER(SEARCH("R44",G12)),0)+IFERROR(--ISNUMBER(SEARCH("R45",G12)),0)+IFERROR(--ISNUMBER(SEARCH("R47",G12)),0)+IFERROR(--ISNUMBER(SEARCH("R48",G12)),0)+IFERROR(--ISNUMBER(SEARCH("R50",G12)),0)+IFERROR(--ISNUMBER(SEARCH("R51",G12)),0)+IFERROR(--ISNUMBER(SEARCH("R56",G12)),0)+IFERROR(--ISNUMBER(SEARCH("R58",G12)),0)+IFERROR(--ISNUMBER(SEARCH("R59",G12)),0)+IFERROR(--ISNUMBER(SEARCH("R60",G12)),0)+IFERROR(--ISNUMBER(SEARCH("R62",G12)),0)+IFERROR(--ISNUMBER(SEARCH("R63",G12)),0)+IFERROR(--ISNUMBER(SEARCH("R64",G12)),0)+IFERROR(--ISNUMBER(SEARCH("R66",G12)),0)+IFERROR(--ISNUMBER(SEARCH("R67",G12)),0)+IFERROR(--ISNUMBER(SEARCH("R72",G12)),0)+IFERROR(--ISNUMBER(SEARCH("R74",G12)),0)+IFERROR(--ISNUMBER(SEARCH("R75",G12)),0)+IFERROR(--ISNUMBER(SEARCH("R76",G12)),0)+IFERROR(--ISNUMBER(SEARCH("R77",G12)),0)+IFERROR(--ISNUMBER(SEARCH("R79",G12)),0)+IFERROR(--ISNUMBER(SEARCH("R80",G12)),0)+IFERROR(--ISNUMBER(SEARCH("R81",G12)),0)+IFERROR(--ISNUMBER(SEARCH("R83",G12)),0)+IFERROR(--ISNUMBER(SEARCH("R84",G12)),0)+IFERROR(--ISNUMBER(SEARCH("R89",G12)),0)+IFERROR(--ISNUMBER(SEARCH("R94",G12)),0)+IFERROR(--ISNUMBER(SEARCH("R95",G12)),0)+IFERROR(--ISNUMBER(SEARCH("R96",G12)),0)+IFERROR(--ISNUMBER(SEARCH("R98",G12)),0)+IFERROR(--ISNUMBER(SEARCH("R99",G12)),0)+IFERROR(--ISNUMBER(SEARCH("R100",G12)),0)+IFERROR(--ISNUMBER(SEARCH("R104",G12)),0)+IFERROR(--ISNUMBER(SEARCH("R105",G12)),0)+IFERROR(--ISNUMBER(SEARCH("R107",G12)),0)+IFERROR(--ISNUMBER(SEARCH("R108",G12)),0)+IFERROR(--ISNUMBER(SEARCH("R109",G12)),0)+IFERROR(--ISNUMBER(SEARCH("R110",G12)),0)+IFERROR(--ISNUMBER(SEARCH("R112",G12)),0)+IFERROR(--ISNUMBER(SEARCH("R113",G12)),0)+IFERROR(--ISNUMBER(SEARCH("R114",G12)),0)+IFERROR(--ISNUMBER(SEARCH("R118",G12)),0)+IFERROR(--ISNUMBER(SEARCH("R119",G12)),0)+IFERROR(--ISNUMBER(SEARCH("R120",G12)),0)+IFERROR(--ISNUMBER(SEARCH("R122",G12)),0)+IFERROR(--ISNUMBER(SEARCH("R123",G12)),0)+IFERROR(--ISNUMBER(SEARCH("R124",G12)),0)+IFERROR(--ISNUMBER(SEARCH("R128",G12)),0)+IFERROR(--ISNUMBER(SEARCH("R130",G12)),0)+IFERROR(--ISNUMBER(SEARCH("R131",G12)),0)+IFERROR(--ISNUMBER(SEARCH("R132",G12)),0)+IFERROR(--ISNUMBER(SEARCH("R135",G12)),0)+IFERROR(--ISNUMBER(SEARCH("R138",G12)),0)+IFERROR(--ISNUMBER(SEARCH("R141",G12)),0))</f>
        <v/>
      </c>
      <c r="U12" s="58">
        <f>IF(A12="","",IFERROR(--ISNUMBER(SEARCH("R28",G12))*28,0)+IFERROR(--ISNUMBER(SEARCH("R29",G12))*29,0)+IFERROR(--ISNUMBER(SEARCH("R30",G12))*30,0)+IFERROR(--ISNUMBER(SEARCH("R31",G12))*31,0)+IFERROR(--ISNUMBER(SEARCH("R32",G12))*32,0)+IFERROR(--ISNUMBER(SEARCH("R33",G12))*33,0)+IFERROR(--ISNUMBER(SEARCH("R34",G12))*34,0)+IFERROR(--ISNUMBER(SEARCH("R35",G12))*35,0)+IFERROR(--ISNUMBER(SEARCH("R36",G12))*36,0)+IFERROR(--ISNUMBER(SEARCH("R37",G12))*37,0)+IFERROR(--ISNUMBER(SEARCH("R38",G12))*38,0)+IFERROR(--ISNUMBER(SEARCH("R39",G12))*39,0)+IFERROR(--ISNUMBER(SEARCH("R40",G12))*40,0)+IFERROR(--ISNUMBER(SEARCH("R41",G12))*41,0)+IFERROR(--ISNUMBER(SEARCH("R42",G12))*42,0)+IFERROR(--ISNUMBER(SEARCH("R43",G12))*43,0)+IFERROR(--ISNUMBER(SEARCH("R44",G12))*44,0)+IFERROR(--ISNUMBER(SEARCH("R45",G12))*45,0)+IFERROR(--ISNUMBER(SEARCH("R46",G12))*46,0)+IFERROR(--ISNUMBER(SEARCH("R47",G12))*47,0)+IFERROR(--ISNUMBER(SEARCH("R48",G12))*48,0)+IFERROR(--ISNUMBER(SEARCH("R49",G12))*49,0)+IFERROR(--ISNUMBER(SEARCH("R50",G12))*50,0)+IFERROR(--ISNUMBER(SEARCH("R51",G12))*51,0)+IFERROR(--ISNUMBER(SEARCH("R52",G12))*52,0)+IFERROR(--ISNUMBER(SEARCH("R53",G12))*53,0)+IFERROR(--ISNUMBER(SEARCH("R54",G12))*54,0)+IFERROR(--ISNUMBER(SEARCH("R55",G12))*55,0)+IFERROR(--ISNUMBER(SEARCH("R56",G12))*56,0)+IFERROR(--ISNUMBER(SEARCH("R57",G12))*57,0)+IFERROR(--ISNUMBER(SEARCH("R58",G12))*58,0)+IFERROR(--ISNUMBER(SEARCH("R59",G12))*59,0)+IFERROR(--ISNUMBER(SEARCH("R60",G12))*60,0)+IFERROR(--ISNUMBER(SEARCH("R61",G12))*61,0)+IFERROR(--ISNUMBER(SEARCH("R62",G12))*62,0)+IFERROR(--ISNUMBER(SEARCH("R63",G12))*63,0)+IFERROR(--ISNUMBER(SEARCH("R64",G12))*64,0)+IFERROR(--ISNUMBER(SEARCH("R65",G12))*65,0)+IFERROR(--ISNUMBER(SEARCH("R66",G12))*66,0)+IFERROR(--ISNUMBER(SEARCH("R67",G12))*67,0)+IFERROR(--ISNUMBER(SEARCH("R68",G12))*68,0)+IFERROR(--ISNUMBER(SEARCH("R69",G12))*69,0)+IFERROR(--ISNUMBER(SEARCH("R70",G12))*70,0)+IFERROR(--ISNUMBER(SEARCH("R71",G12))*71,0)+IFERROR(--ISNUMBER(SEARCH("R72",G12))*72,0)+IFERROR(--ISNUMBER(SEARCH("R73",G12))*73,0)+IFERROR(--ISNUMBER(SEARCH("R74",G12))*74,0)+IFERROR(--ISNUMBER(SEARCH("R75",G12))*75,0)+IFERROR(--ISNUMBER(SEARCH("R76",G12))*76,0)+IFERROR(--ISNUMBER(SEARCH("R77",G12))*77,0)+IFERROR(--ISNUMBER(SEARCH("R78",G12))*78,0)+IFERROR(--ISNUMBER(SEARCH("R79",G12))*79,0)+IFERROR(--ISNUMBER(SEARCH("R80",G12))*80,0)+IFERROR(--ISNUMBER(SEARCH("R81",G12))*81,0)+IFERROR(--ISNUMBER(SEARCH("R82",G12))*82,0)+IFERROR(--ISNUMBER(SEARCH("R83",G12))*83,0)+IFERROR(--ISNUMBER(SEARCH("R84",G12))*84,0)+IFERROR(--ISNUMBER(SEARCH("R85",G12))*85,0)+IFERROR(--ISNUMBER(SEARCH("R86",G12))*86,0)+IFERROR(--ISNUMBER(SEARCH("R87",G12))*87,0)+IFERROR(--ISNUMBER(SEARCH("R88",G12))*88,0)+IFERROR(--ISNUMBER(SEARCH("R89",G12))*89,0)+IFERROR(--ISNUMBER(SEARCH("R90",G12))*90,0)+IFERROR(--ISNUMBER(SEARCH("R91",G12))*91,0)+IFERROR(--ISNUMBER(SEARCH("R92",G12))*92,0)+IFERROR(--ISNUMBER(SEARCH("R93",G12))*93,0)+IFERROR(--ISNUMBER(SEARCH("R94",G12))*94,0)+IFERROR(--ISNUMBER(SEARCH("R95",G12))*95,0)+IFERROR(--ISNUMBER(SEARCH("R96",G12))*96,0)+IFERROR(--ISNUMBER(SEARCH("R97",G12))*97,0)+IFERROR(--ISNUMBER(SEARCH("R98",G12))*98,0)+IFERROR(--ISNUMBER(SEARCH("R99",G12))*99,0)+IFERROR(--ISNUMBER(SEARCH("R100",G12))*100,0)+IFERROR(--ISNUMBER(SEARCH("R101",G12))*101,0)+IFERROR(--ISNUMBER(SEARCH("R102",G12))*102,0)+IFERROR(--ISNUMBER(SEARCH("R103",G12))*103,0)+IFERROR(--ISNUMBER(SEARCH("R104",G12))*104,0)+IFERROR(--ISNUMBER(SEARCH("R105",G12))*105,0)+IFERROR(--ISNUMBER(SEARCH("R106",G12))*106,0)+IFERROR(--ISNUMBER(SEARCH("R107",G12))*107,0)+IFERROR(--ISNUMBER(SEARCH("R108",G12))*108,0)+IFERROR(--ISNUMBER(SEARCH("R109",G12))*109,0)+IFERROR(--ISNUMBER(SEARCH("R110",G12))*110,0)+IFERROR(--ISNUMBER(SEARCH("R111",G12))*111,0)+IFERROR(--ISNUMBER(SEARCH("R112",G12))*112,0)+IFERROR(--ISNUMBER(SEARCH("R113",G12))*113,0)+IFERROR(--ISNUMBER(SEARCH("R114",G12))*114,0)+IFERROR(--ISNUMBER(SEARCH("R115",G12))*115,0)+IFERROR(--ISNUMBER(SEARCH("R116",G12))*116,0)+IFERROR(--ISNUMBER(SEARCH("R117",G12))*117,0)+IFERROR(--ISNUMBER(SEARCH("R118",G12))*118,0)+IFERROR(--ISNUMBER(SEARCH("R119",G12))*119,0)+IFERROR(--ISNUMBER(SEARCH("R120",G12))*120,0)+IFERROR(--ISNUMBER(SEARCH("R121",G12))*121,0)+IFERROR(--ISNUMBER(SEARCH("R122",G12))*122,0)+IFERROR(--ISNUMBER(SEARCH("R123",G12))*123,0)+IFERROR(--ISNUMBER(SEARCH("R124",G12))*124,0)+IFERROR(--ISNUMBER(SEARCH("R125",G12))*125,0)+IFERROR(--ISNUMBER(SEARCH("R126",G12))*126,0)+IFERROR(--ISNUMBER(SEARCH("R127",G12))*127,0)+IFERROR(--ISNUMBER(SEARCH("R128",G12))*128,0)+IFERROR(--ISNUMBER(SEARCH("R129",G12))*129,0)+IFERROR(--ISNUMBER(SEARCH("R130",G12))*130,0)+IFERROR(--ISNUMBER(SEARCH("R131",G12))*131,0)+IFERROR(--ISNUMBER(SEARCH("R132",G12))*132,0)+IFERROR(--ISNUMBER(SEARCH("R133",G12))*133,0)+IFERROR(--ISNUMBER(SEARCH("R134",G12))*134,0)+IFERROR(--ISNUMBER(SEARCH("R135",G12))*135,0)+IFERROR(--ISNUMBER(SEARCH("R136",G12))*136,0)+IFERROR(--ISNUMBER(SEARCH("R137",G12))*137,0)+IFERROR(--ISNUMBER(SEARCH("R138",G12))*138,0)+IFERROR(--ISNUMBER(SEARCH("R139",G12))*139,0)+IFERROR(--ISNUMBER(SEARCH("R140",G12))*140,0)+IFERROR(--ISNUMBER(SEARCH("R141",G12))*141,0))</f>
        <v/>
      </c>
      <c r="V12" s="59">
        <f>IF(A12="","",IF(K12&lt;&gt;"",K12,J12))</f>
        <v/>
      </c>
      <c r="W12" s="59">
        <f>IF(A12="","",IF(AND(V12=29,O12&lt;&gt;"",COUNTIFS($V$6:$V$505,29,$F$6:$F$505,F12,$C$6:$C$505,C12,$O$6:$O$505,"&lt;&gt;")&gt;1),IF(COUNTIFS($V$6:V12,29,$F$6:F12,F12,$C$6:C12,C12,$O$6:O12,"&lt;&gt;")=1,"Esta es la fila que se debe CONSERVAR (aparición 1 de "&amp;COUNTIFS($V$6:$V$505,29,$F$6:$F$505,F12,$C$6:$C$505,C12,$O$6:$O$505,"&lt;&gt;")&amp;" con el mismo tercero y valor, casilla 29). Si hay más filas iguales, bórreles el valor a ELLAS, no a esta.","DUPLICADO — ya existe otra fila con el mismo tercero y valor para casilla 29 (aparición "&amp;COUNTIFS($V$6:V12,29,$F$6:F12,F12,$C$6:C12,C12,$O$6:O12,"&lt;&gt;")&amp;" de "&amp;COUNTIFS($V$6:$V$505,29,$F$6:$F$505,F12,$C$6:$C$505,C12,$O$6:$O$505,"&lt;&gt;")&amp;"). Para resolverlo: seleccione la celda O"&amp;ROW()&amp;" (columna Valor a declarar de ESTA fila) y presione Supr."),""))</f>
        <v/>
      </c>
      <c r="X12" s="463">
        <f>IF(A12="","",F12)</f>
        <v/>
      </c>
      <c r="Y12" s="463">
        <f>IF(A12="","",SUMIF(Entrada_Manual!$I$88:$I$187,A12,Entrada_Manual!$F$88:$F$187))</f>
        <v/>
      </c>
      <c r="Z12" s="463">
        <f>IF(A12="","",X12-Y12)</f>
        <v/>
      </c>
      <c r="AA12">
        <f>IF(A12="","",SUMPRODUCT((Entrada_Manual!$I$88:$I$187=A12)*1))</f>
        <v/>
      </c>
      <c r="AB12">
        <f>IF(A12="","",IF(S12&lt;=1,"",IF(AA12=0,"PENDIENTE — SIN ASIGNAR",IF(Z12=0,"RESUELTO","PARCIAL — DIFERENCIA "&amp;TEXT(Z12,"#,##0")))))</f>
        <v/>
      </c>
    </row>
    <row r="13" ht="41.25" customHeight="1" s="235">
      <c r="A13" s="47">
        <f>IF(Exogena_RAW!E22&lt;&gt;"",ROW()-5,"")</f>
        <v/>
      </c>
      <c r="B13" s="48">
        <f>IF(A13="","",22)</f>
        <v/>
      </c>
      <c r="C13" s="48">
        <f>IF(A13="","",IFERROR(Exogena_RAW!A22,""))</f>
        <v/>
      </c>
      <c r="D13" s="48">
        <f>IF(A13="","",IFERROR(Exogena_RAW!B22,""))</f>
        <v/>
      </c>
      <c r="E13" s="48">
        <f>IF(A13="","",Exogena_RAW!E22)</f>
        <v/>
      </c>
      <c r="F13" s="461">
        <f>IF(A13="","",Exogena_RAW!F22)</f>
        <v/>
      </c>
      <c r="G13" s="48">
        <f>IF(A13="","",IFERROR(Exogena_RAW!G22,""))</f>
        <v/>
      </c>
      <c r="H13" s="48">
        <f>IF(A13="","",IFERROR(Exogena_RAW!H22,""))</f>
        <v/>
      </c>
      <c r="I13" s="48">
        <f>IF(A13="","",IFERROR(IF(S13&gt;1,"VARIAS CASILLAS",IF(S13=1,IF(T13=1,"PROPUESTA DE CASILLA","REVISIÓN: CASILLA NO DIRECTA"),IF(OR(ISNUMBER(SEARCH("TOPE",UPPER(E13))),ISNUMBER(SEARCH("TOPE",UPPER(G13)))),"SOLO CONTROL",IF(ISNUMBER(SEARCH("RETEN",UPPER(E13))),"RETENCIÓN","REVISAR")))),"REVISAR"))</f>
        <v/>
      </c>
      <c r="J13" s="61">
        <f>IF(A13="","",IF(ISNUMBER(SEARCH("ingreso laboral promedio de los últimos seis meses",E13)),"",IFERROR(IF(AND(S13=1,T13=1),U13,""),"")))</f>
        <v/>
      </c>
      <c r="K13" s="216" t="n"/>
      <c r="L13" s="48">
        <f>IF(A13="","",IFERROR(IF(K13&lt;&gt;"","Casilla elegida por usuario",IF(S13&gt;1,"Varias casillas — elegir en K",IF(J13&lt;&gt;"","Sugerencia directa",IF(S13=1,"No trasladar directo — revisar",IF(OR(ISNUMBER(SEARCH("TOPE",UPPER(E13))),ISNUMBER(SEARCH("TOPE",UPPER(G13)))),"Solo control","Revisar manualmente"))))),"Revisar manualmente"))</f>
        <v/>
      </c>
      <c r="M13" s="461">
        <f>IF(A13="","",IF(IF(K13&lt;&gt;"",K13,J13)="",0,IF(COUNTIFS(Reglas!$I$5:$I$118,IF(K13&lt;&gt;"",K13,J13),Reglas!$J$5:$J$118,"Sí")=1,F13,0)))</f>
        <v/>
      </c>
      <c r="N13" s="56" t="n"/>
      <c r="O13" s="462">
        <f>IF(A13="","",IF(M13=0,"",M13))</f>
        <v/>
      </c>
      <c r="P13" s="461">
        <f>IF(A13="","",IF(O13="",0,IF(ISNUMBER(O13),O13,0)))</f>
        <v/>
      </c>
      <c r="Q13" s="48">
        <f>IF(A13="","",IF(Exogena_RAW!$C$4="","BLOQUEADO: FALTA AÑO",IF(Exogena_RAW!$K$10&lt;&gt;Reglas!$B$5,"BLOQUEADO: AÑO",IF(IF(K13&lt;&gt;"",K13,J13)="",IF(S13&gt;1,"REQUIERE ASIGNACIÓN MANUAL (VARIAS CASILLAS)","INFORMATIVO (sin casilla — no se declara)"),IF(COUNTIFS(Reglas!$I$5:$I$118,IF(K13&lt;&gt;"",K13,J13),Reglas!$J$5:$J$118,"Sí")=0,"BLOQUEADO: CASILLA NO DIRECTA",IF(O13="","EXCLUIDO (valor borrado por el usuario)",IF(_xlfn.ISFORMULA(O13),IF(W13&lt;&gt;"","BORRADOR — VALOR SUGERIDO DIAN ⚠ VER ALERTA","BORRADOR — VALOR SUGERIDO DIAN"),IF(W13&lt;&gt;"","ACEPTADO ⚠ VER ALERTA","ACEPTADO"))))))))</f>
        <v/>
      </c>
      <c r="R13" s="218" t="n"/>
      <c r="S13" s="58">
        <f>IF(A13="","",IFERROR(--ISNUMBER(SEARCH("R28",G13)),0)+IFERROR(--ISNUMBER(SEARCH("R29",G13)),0)+IFERROR(--ISNUMBER(SEARCH("R30",G13)),0)+IFERROR(--ISNUMBER(SEARCH("R31",G13)),0)+IFERROR(--ISNUMBER(SEARCH("R32",G13)),0)+IFERROR(--ISNUMBER(SEARCH("R33",G13)),0)+IFERROR(--ISNUMBER(SEARCH("R34",G13)),0)+IFERROR(--ISNUMBER(SEARCH("R35",G13)),0)+IFERROR(--ISNUMBER(SEARCH("R36",G13)),0)+IFERROR(--ISNUMBER(SEARCH("R37",G13)),0)+IFERROR(--ISNUMBER(SEARCH("R38",G13)),0)+IFERROR(--ISNUMBER(SEARCH("R39",G13)),0)+IFERROR(--ISNUMBER(SEARCH("R40",G13)),0)+IFERROR(--ISNUMBER(SEARCH("R41",G13)),0)+IFERROR(--ISNUMBER(SEARCH("R42",G13)),0)+IFERROR(--ISNUMBER(SEARCH("R43",G13)),0)+IFERROR(--ISNUMBER(SEARCH("R44",G13)),0)+IFERROR(--ISNUMBER(SEARCH("R45",G13)),0)+IFERROR(--ISNUMBER(SEARCH("R46",G13)),0)+IFERROR(--ISNUMBER(SEARCH("R47",G13)),0)+IFERROR(--ISNUMBER(SEARCH("R48",G13)),0)+IFERROR(--ISNUMBER(SEARCH("R49",G13)),0)+IFERROR(--ISNUMBER(SEARCH("R50",G13)),0)+IFERROR(--ISNUMBER(SEARCH("R51",G13)),0)+IFERROR(--ISNUMBER(SEARCH("R52",G13)),0)+IFERROR(--ISNUMBER(SEARCH("R53",G13)),0)+IFERROR(--ISNUMBER(SEARCH("R54",G13)),0)+IFERROR(--ISNUMBER(SEARCH("R55",G13)),0)+IFERROR(--ISNUMBER(SEARCH("R56",G13)),0)+IFERROR(--ISNUMBER(SEARCH("R57",G13)),0)+IFERROR(--ISNUMBER(SEARCH("R58",G13)),0)+IFERROR(--ISNUMBER(SEARCH("R59",G13)),0)+IFERROR(--ISNUMBER(SEARCH("R60",G13)),0)+IFERROR(--ISNUMBER(SEARCH("R61",G13)),0)+IFERROR(--ISNUMBER(SEARCH("R62",G13)),0)+IFERROR(--ISNUMBER(SEARCH("R63",G13)),0)+IFERROR(--ISNUMBER(SEARCH("R64",G13)),0)+IFERROR(--ISNUMBER(SEARCH("R65",G13)),0)+IFERROR(--ISNUMBER(SEARCH("R66",G13)),0)+IFERROR(--ISNUMBER(SEARCH("R67",G13)),0)+IFERROR(--ISNUMBER(SEARCH("R68",G13)),0)+IFERROR(--ISNUMBER(SEARCH("R69",G13)),0)+IFERROR(--ISNUMBER(SEARCH("R70",G13)),0)+IFERROR(--ISNUMBER(SEARCH("R71",G13)),0)+IFERROR(--ISNUMBER(SEARCH("R72",G13)),0)+IFERROR(--ISNUMBER(SEARCH("R73",G13)),0)+IFERROR(--ISNUMBER(SEARCH("R74",G13)),0)+IFERROR(--ISNUMBER(SEARCH("R75",G13)),0)+IFERROR(--ISNUMBER(SEARCH("R76",G13)),0)+IFERROR(--ISNUMBER(SEARCH("R77",G13)),0)+IFERROR(--ISNUMBER(SEARCH("R78",G13)),0)+IFERROR(--ISNUMBER(SEARCH("R79",G13)),0)+IFERROR(--ISNUMBER(SEARCH("R80",G13)),0)+IFERROR(--ISNUMBER(SEARCH("R81",G13)),0)+IFERROR(--ISNUMBER(SEARCH("R82",G13)),0)+IFERROR(--ISNUMBER(SEARCH("R83",G13)),0)+IFERROR(--ISNUMBER(SEARCH("R84",G13)),0)+IFERROR(--ISNUMBER(SEARCH("R85",G13)),0)+IFERROR(--ISNUMBER(SEARCH("R86",G13)),0)+IFERROR(--ISNUMBER(SEARCH("R87",G13)),0)+IFERROR(--ISNUMBER(SEARCH("R88",G13)),0)+IFERROR(--ISNUMBER(SEARCH("R89",G13)),0)+IFERROR(--ISNUMBER(SEARCH("R90",G13)),0)+IFERROR(--ISNUMBER(SEARCH("R91",G13)),0)+IFERROR(--ISNUMBER(SEARCH("R92",G13)),0)+IFERROR(--ISNUMBER(SEARCH("R93",G13)),0)+IFERROR(--ISNUMBER(SEARCH("R94",G13)),0)+IFERROR(--ISNUMBER(SEARCH("R95",G13)),0)+IFERROR(--ISNUMBER(SEARCH("R96",G13)),0)+IFERROR(--ISNUMBER(SEARCH("R97",G13)),0)+IFERROR(--ISNUMBER(SEARCH("R98",G13)),0)+IFERROR(--ISNUMBER(SEARCH("R99",G13)),0)+IFERROR(--ISNUMBER(SEARCH("R100",G13)),0)+IFERROR(--ISNUMBER(SEARCH("R101",G13)),0)+IFERROR(--ISNUMBER(SEARCH("R102",G13)),0)+IFERROR(--ISNUMBER(SEARCH("R103",G13)),0)+IFERROR(--ISNUMBER(SEARCH("R104",G13)),0)+IFERROR(--ISNUMBER(SEARCH("R105",G13)),0)+IFERROR(--ISNUMBER(SEARCH("R106",G13)),0)+IFERROR(--ISNUMBER(SEARCH("R107",G13)),0)+IFERROR(--ISNUMBER(SEARCH("R108",G13)),0)+IFERROR(--ISNUMBER(SEARCH("R109",G13)),0)+IFERROR(--ISNUMBER(SEARCH("R110",G13)),0)+IFERROR(--ISNUMBER(SEARCH("R111",G13)),0)+IFERROR(--ISNUMBER(SEARCH("R112",G13)),0)+IFERROR(--ISNUMBER(SEARCH("R113",G13)),0)+IFERROR(--ISNUMBER(SEARCH("R114",G13)),0)+IFERROR(--ISNUMBER(SEARCH("R115",G13)),0)+IFERROR(--ISNUMBER(SEARCH("R116",G13)),0)+IFERROR(--ISNUMBER(SEARCH("R117",G13)),0)+IFERROR(--ISNUMBER(SEARCH("R118",G13)),0)+IFERROR(--ISNUMBER(SEARCH("R119",G13)),0)+IFERROR(--ISNUMBER(SEARCH("R120",G13)),0)+IFERROR(--ISNUMBER(SEARCH("R121",G13)),0)+IFERROR(--ISNUMBER(SEARCH("R122",G13)),0)+IFERROR(--ISNUMBER(SEARCH("R123",G13)),0)+IFERROR(--ISNUMBER(SEARCH("R124",G13)),0)+IFERROR(--ISNUMBER(SEARCH("R125",G13)),0)+IFERROR(--ISNUMBER(SEARCH("R126",G13)),0)+IFERROR(--ISNUMBER(SEARCH("R127",G13)),0)+IFERROR(--ISNUMBER(SEARCH("R128",G13)),0)+IFERROR(--ISNUMBER(SEARCH("R129",G13)),0)+IFERROR(--ISNUMBER(SEARCH("R130",G13)),0)+IFERROR(--ISNUMBER(SEARCH("R131",G13)),0)+IFERROR(--ISNUMBER(SEARCH("R132",G13)),0)+IFERROR(--ISNUMBER(SEARCH("R133",G13)),0)+IFERROR(--ISNUMBER(SEARCH("R134",G13)),0)+IFERROR(--ISNUMBER(SEARCH("R135",G13)),0)+IFERROR(--ISNUMBER(SEARCH("R136",G13)),0)+IFERROR(--ISNUMBER(SEARCH("R137",G13)),0)+IFERROR(--ISNUMBER(SEARCH("R138",G13)),0)+IFERROR(--ISNUMBER(SEARCH("R139",G13)),0)+IFERROR(--ISNUMBER(SEARCH("R140",G13)),0)+IFERROR(--ISNUMBER(SEARCH("R141",G13)),0))</f>
        <v/>
      </c>
      <c r="T13" s="58">
        <f>IF(A13="","",IFERROR(--ISNUMBER(SEARCH("R28",G13)),0)+IFERROR(--ISNUMBER(SEARCH("R29",G13)),0)+IFERROR(--ISNUMBER(SEARCH("R30",G13)),0)+IFERROR(--ISNUMBER(SEARCH("R32",G13)),0)+IFERROR(--ISNUMBER(SEARCH("R33",G13)),0)+IFERROR(--ISNUMBER(SEARCH("R35",G13)),0)+IFERROR(--ISNUMBER(SEARCH("R36",G13)),0)+IFERROR(--ISNUMBER(SEARCH("R38",G13)),0)+IFERROR(--ISNUMBER(SEARCH("R39",G13)),0)+IFERROR(--ISNUMBER(SEARCH("R43",G13)),0)+IFERROR(--ISNUMBER(SEARCH("R44",G13)),0)+IFERROR(--ISNUMBER(SEARCH("R45",G13)),0)+IFERROR(--ISNUMBER(SEARCH("R47",G13)),0)+IFERROR(--ISNUMBER(SEARCH("R48",G13)),0)+IFERROR(--ISNUMBER(SEARCH("R50",G13)),0)+IFERROR(--ISNUMBER(SEARCH("R51",G13)),0)+IFERROR(--ISNUMBER(SEARCH("R56",G13)),0)+IFERROR(--ISNUMBER(SEARCH("R58",G13)),0)+IFERROR(--ISNUMBER(SEARCH("R59",G13)),0)+IFERROR(--ISNUMBER(SEARCH("R60",G13)),0)+IFERROR(--ISNUMBER(SEARCH("R62",G13)),0)+IFERROR(--ISNUMBER(SEARCH("R63",G13)),0)+IFERROR(--ISNUMBER(SEARCH("R64",G13)),0)+IFERROR(--ISNUMBER(SEARCH("R66",G13)),0)+IFERROR(--ISNUMBER(SEARCH("R67",G13)),0)+IFERROR(--ISNUMBER(SEARCH("R72",G13)),0)+IFERROR(--ISNUMBER(SEARCH("R74",G13)),0)+IFERROR(--ISNUMBER(SEARCH("R75",G13)),0)+IFERROR(--ISNUMBER(SEARCH("R76",G13)),0)+IFERROR(--ISNUMBER(SEARCH("R77",G13)),0)+IFERROR(--ISNUMBER(SEARCH("R79",G13)),0)+IFERROR(--ISNUMBER(SEARCH("R80",G13)),0)+IFERROR(--ISNUMBER(SEARCH("R81",G13)),0)+IFERROR(--ISNUMBER(SEARCH("R83",G13)),0)+IFERROR(--ISNUMBER(SEARCH("R84",G13)),0)+IFERROR(--ISNUMBER(SEARCH("R89",G13)),0)+IFERROR(--ISNUMBER(SEARCH("R94",G13)),0)+IFERROR(--ISNUMBER(SEARCH("R95",G13)),0)+IFERROR(--ISNUMBER(SEARCH("R96",G13)),0)+IFERROR(--ISNUMBER(SEARCH("R98",G13)),0)+IFERROR(--ISNUMBER(SEARCH("R99",G13)),0)+IFERROR(--ISNUMBER(SEARCH("R100",G13)),0)+IFERROR(--ISNUMBER(SEARCH("R104",G13)),0)+IFERROR(--ISNUMBER(SEARCH("R105",G13)),0)+IFERROR(--ISNUMBER(SEARCH("R107",G13)),0)+IFERROR(--ISNUMBER(SEARCH("R108",G13)),0)+IFERROR(--ISNUMBER(SEARCH("R109",G13)),0)+IFERROR(--ISNUMBER(SEARCH("R110",G13)),0)+IFERROR(--ISNUMBER(SEARCH("R112",G13)),0)+IFERROR(--ISNUMBER(SEARCH("R113",G13)),0)+IFERROR(--ISNUMBER(SEARCH("R114",G13)),0)+IFERROR(--ISNUMBER(SEARCH("R118",G13)),0)+IFERROR(--ISNUMBER(SEARCH("R119",G13)),0)+IFERROR(--ISNUMBER(SEARCH("R120",G13)),0)+IFERROR(--ISNUMBER(SEARCH("R122",G13)),0)+IFERROR(--ISNUMBER(SEARCH("R123",G13)),0)+IFERROR(--ISNUMBER(SEARCH("R124",G13)),0)+IFERROR(--ISNUMBER(SEARCH("R128",G13)),0)+IFERROR(--ISNUMBER(SEARCH("R130",G13)),0)+IFERROR(--ISNUMBER(SEARCH("R131",G13)),0)+IFERROR(--ISNUMBER(SEARCH("R132",G13)),0)+IFERROR(--ISNUMBER(SEARCH("R135",G13)),0)+IFERROR(--ISNUMBER(SEARCH("R138",G13)),0)+IFERROR(--ISNUMBER(SEARCH("R141",G13)),0))</f>
        <v/>
      </c>
      <c r="U13" s="58">
        <f>IF(A13="","",IFERROR(--ISNUMBER(SEARCH("R28",G13))*28,0)+IFERROR(--ISNUMBER(SEARCH("R29",G13))*29,0)+IFERROR(--ISNUMBER(SEARCH("R30",G13))*30,0)+IFERROR(--ISNUMBER(SEARCH("R31",G13))*31,0)+IFERROR(--ISNUMBER(SEARCH("R32",G13))*32,0)+IFERROR(--ISNUMBER(SEARCH("R33",G13))*33,0)+IFERROR(--ISNUMBER(SEARCH("R34",G13))*34,0)+IFERROR(--ISNUMBER(SEARCH("R35",G13))*35,0)+IFERROR(--ISNUMBER(SEARCH("R36",G13))*36,0)+IFERROR(--ISNUMBER(SEARCH("R37",G13))*37,0)+IFERROR(--ISNUMBER(SEARCH("R38",G13))*38,0)+IFERROR(--ISNUMBER(SEARCH("R39",G13))*39,0)+IFERROR(--ISNUMBER(SEARCH("R40",G13))*40,0)+IFERROR(--ISNUMBER(SEARCH("R41",G13))*41,0)+IFERROR(--ISNUMBER(SEARCH("R42",G13))*42,0)+IFERROR(--ISNUMBER(SEARCH("R43",G13))*43,0)+IFERROR(--ISNUMBER(SEARCH("R44",G13))*44,0)+IFERROR(--ISNUMBER(SEARCH("R45",G13))*45,0)+IFERROR(--ISNUMBER(SEARCH("R46",G13))*46,0)+IFERROR(--ISNUMBER(SEARCH("R47",G13))*47,0)+IFERROR(--ISNUMBER(SEARCH("R48",G13))*48,0)+IFERROR(--ISNUMBER(SEARCH("R49",G13))*49,0)+IFERROR(--ISNUMBER(SEARCH("R50",G13))*50,0)+IFERROR(--ISNUMBER(SEARCH("R51",G13))*51,0)+IFERROR(--ISNUMBER(SEARCH("R52",G13))*52,0)+IFERROR(--ISNUMBER(SEARCH("R53",G13))*53,0)+IFERROR(--ISNUMBER(SEARCH("R54",G13))*54,0)+IFERROR(--ISNUMBER(SEARCH("R55",G13))*55,0)+IFERROR(--ISNUMBER(SEARCH("R56",G13))*56,0)+IFERROR(--ISNUMBER(SEARCH("R57",G13))*57,0)+IFERROR(--ISNUMBER(SEARCH("R58",G13))*58,0)+IFERROR(--ISNUMBER(SEARCH("R59",G13))*59,0)+IFERROR(--ISNUMBER(SEARCH("R60",G13))*60,0)+IFERROR(--ISNUMBER(SEARCH("R61",G13))*61,0)+IFERROR(--ISNUMBER(SEARCH("R62",G13))*62,0)+IFERROR(--ISNUMBER(SEARCH("R63",G13))*63,0)+IFERROR(--ISNUMBER(SEARCH("R64",G13))*64,0)+IFERROR(--ISNUMBER(SEARCH("R65",G13))*65,0)+IFERROR(--ISNUMBER(SEARCH("R66",G13))*66,0)+IFERROR(--ISNUMBER(SEARCH("R67",G13))*67,0)+IFERROR(--ISNUMBER(SEARCH("R68",G13))*68,0)+IFERROR(--ISNUMBER(SEARCH("R69",G13))*69,0)+IFERROR(--ISNUMBER(SEARCH("R70",G13))*70,0)+IFERROR(--ISNUMBER(SEARCH("R71",G13))*71,0)+IFERROR(--ISNUMBER(SEARCH("R72",G13))*72,0)+IFERROR(--ISNUMBER(SEARCH("R73",G13))*73,0)+IFERROR(--ISNUMBER(SEARCH("R74",G13))*74,0)+IFERROR(--ISNUMBER(SEARCH("R75",G13))*75,0)+IFERROR(--ISNUMBER(SEARCH("R76",G13))*76,0)+IFERROR(--ISNUMBER(SEARCH("R77",G13))*77,0)+IFERROR(--ISNUMBER(SEARCH("R78",G13))*78,0)+IFERROR(--ISNUMBER(SEARCH("R79",G13))*79,0)+IFERROR(--ISNUMBER(SEARCH("R80",G13))*80,0)+IFERROR(--ISNUMBER(SEARCH("R81",G13))*81,0)+IFERROR(--ISNUMBER(SEARCH("R82",G13))*82,0)+IFERROR(--ISNUMBER(SEARCH("R83",G13))*83,0)+IFERROR(--ISNUMBER(SEARCH("R84",G13))*84,0)+IFERROR(--ISNUMBER(SEARCH("R85",G13))*85,0)+IFERROR(--ISNUMBER(SEARCH("R86",G13))*86,0)+IFERROR(--ISNUMBER(SEARCH("R87",G13))*87,0)+IFERROR(--ISNUMBER(SEARCH("R88",G13))*88,0)+IFERROR(--ISNUMBER(SEARCH("R89",G13))*89,0)+IFERROR(--ISNUMBER(SEARCH("R90",G13))*90,0)+IFERROR(--ISNUMBER(SEARCH("R91",G13))*91,0)+IFERROR(--ISNUMBER(SEARCH("R92",G13))*92,0)+IFERROR(--ISNUMBER(SEARCH("R93",G13))*93,0)+IFERROR(--ISNUMBER(SEARCH("R94",G13))*94,0)+IFERROR(--ISNUMBER(SEARCH("R95",G13))*95,0)+IFERROR(--ISNUMBER(SEARCH("R96",G13))*96,0)+IFERROR(--ISNUMBER(SEARCH("R97",G13))*97,0)+IFERROR(--ISNUMBER(SEARCH("R98",G13))*98,0)+IFERROR(--ISNUMBER(SEARCH("R99",G13))*99,0)+IFERROR(--ISNUMBER(SEARCH("R100",G13))*100,0)+IFERROR(--ISNUMBER(SEARCH("R101",G13))*101,0)+IFERROR(--ISNUMBER(SEARCH("R102",G13))*102,0)+IFERROR(--ISNUMBER(SEARCH("R103",G13))*103,0)+IFERROR(--ISNUMBER(SEARCH("R104",G13))*104,0)+IFERROR(--ISNUMBER(SEARCH("R105",G13))*105,0)+IFERROR(--ISNUMBER(SEARCH("R106",G13))*106,0)+IFERROR(--ISNUMBER(SEARCH("R107",G13))*107,0)+IFERROR(--ISNUMBER(SEARCH("R108",G13))*108,0)+IFERROR(--ISNUMBER(SEARCH("R109",G13))*109,0)+IFERROR(--ISNUMBER(SEARCH("R110",G13))*110,0)+IFERROR(--ISNUMBER(SEARCH("R111",G13))*111,0)+IFERROR(--ISNUMBER(SEARCH("R112",G13))*112,0)+IFERROR(--ISNUMBER(SEARCH("R113",G13))*113,0)+IFERROR(--ISNUMBER(SEARCH("R114",G13))*114,0)+IFERROR(--ISNUMBER(SEARCH("R115",G13))*115,0)+IFERROR(--ISNUMBER(SEARCH("R116",G13))*116,0)+IFERROR(--ISNUMBER(SEARCH("R117",G13))*117,0)+IFERROR(--ISNUMBER(SEARCH("R118",G13))*118,0)+IFERROR(--ISNUMBER(SEARCH("R119",G13))*119,0)+IFERROR(--ISNUMBER(SEARCH("R120",G13))*120,0)+IFERROR(--ISNUMBER(SEARCH("R121",G13))*121,0)+IFERROR(--ISNUMBER(SEARCH("R122",G13))*122,0)+IFERROR(--ISNUMBER(SEARCH("R123",G13))*123,0)+IFERROR(--ISNUMBER(SEARCH("R124",G13))*124,0)+IFERROR(--ISNUMBER(SEARCH("R125",G13))*125,0)+IFERROR(--ISNUMBER(SEARCH("R126",G13))*126,0)+IFERROR(--ISNUMBER(SEARCH("R127",G13))*127,0)+IFERROR(--ISNUMBER(SEARCH("R128",G13))*128,0)+IFERROR(--ISNUMBER(SEARCH("R129",G13))*129,0)+IFERROR(--ISNUMBER(SEARCH("R130",G13))*130,0)+IFERROR(--ISNUMBER(SEARCH("R131",G13))*131,0)+IFERROR(--ISNUMBER(SEARCH("R132",G13))*132,0)+IFERROR(--ISNUMBER(SEARCH("R133",G13))*133,0)+IFERROR(--ISNUMBER(SEARCH("R134",G13))*134,0)+IFERROR(--ISNUMBER(SEARCH("R135",G13))*135,0)+IFERROR(--ISNUMBER(SEARCH("R136",G13))*136,0)+IFERROR(--ISNUMBER(SEARCH("R137",G13))*137,0)+IFERROR(--ISNUMBER(SEARCH("R138",G13))*138,0)+IFERROR(--ISNUMBER(SEARCH("R139",G13))*139,0)+IFERROR(--ISNUMBER(SEARCH("R140",G13))*140,0)+IFERROR(--ISNUMBER(SEARCH("R141",G13))*141,0))</f>
        <v/>
      </c>
      <c r="V13" s="59">
        <f>IF(A13="","",IF(K13&lt;&gt;"",K13,J13))</f>
        <v/>
      </c>
      <c r="W13" s="59">
        <f>IF(A13="","",IF(AND(V13=29,O13&lt;&gt;"",COUNTIFS($V$6:$V$505,29,$F$6:$F$505,F13,$C$6:$C$505,C13,$O$6:$O$505,"&lt;&gt;")&gt;1),IF(COUNTIFS($V$6:V13,29,$F$6:F13,F13,$C$6:C13,C13,$O$6:O13,"&lt;&gt;")=1,"Esta es la fila que se debe CONSERVAR (aparición 1 de "&amp;COUNTIFS($V$6:$V$505,29,$F$6:$F$505,F13,$C$6:$C$505,C13,$O$6:$O$505,"&lt;&gt;")&amp;" con el mismo tercero y valor, casilla 29). Si hay más filas iguales, bórreles el valor a ELLAS, no a esta.","DUPLICADO — ya existe otra fila con el mismo tercero y valor para casilla 29 (aparición "&amp;COUNTIFS($V$6:V13,29,$F$6:F13,F13,$C$6:C13,C13,$O$6:O13,"&lt;&gt;")&amp;" de "&amp;COUNTIFS($V$6:$V$505,29,$F$6:$F$505,F13,$C$6:$C$505,C13,$O$6:$O$505,"&lt;&gt;")&amp;"). Para resolverlo: seleccione la celda O"&amp;ROW()&amp;" (columna Valor a declarar de ESTA fila) y presione Supr."),""))</f>
        <v/>
      </c>
      <c r="X13" s="463">
        <f>IF(A13="","",F13)</f>
        <v/>
      </c>
      <c r="Y13" s="463">
        <f>IF(A13="","",SUMIF(Entrada_Manual!$I$88:$I$187,A13,Entrada_Manual!$F$88:$F$187))</f>
        <v/>
      </c>
      <c r="Z13" s="463">
        <f>IF(A13="","",X13-Y13)</f>
        <v/>
      </c>
      <c r="AA13">
        <f>IF(A13="","",SUMPRODUCT((Entrada_Manual!$I$88:$I$187=A13)*1))</f>
        <v/>
      </c>
      <c r="AB13">
        <f>IF(A13="","",IF(S13&lt;=1,"",IF(AA13=0,"PENDIENTE — SIN ASIGNAR",IF(Z13=0,"RESUELTO","PARCIAL — DIFERENCIA "&amp;TEXT(Z13,"#,##0")))))</f>
        <v/>
      </c>
    </row>
    <row r="14" ht="54.75" customHeight="1" s="235">
      <c r="A14" s="47">
        <f>IF(Exogena_RAW!E23&lt;&gt;"",ROW()-5,"")</f>
        <v/>
      </c>
      <c r="B14" s="48">
        <f>IF(A14="","",23)</f>
        <v/>
      </c>
      <c r="C14" s="48">
        <f>IF(A14="","",IFERROR(Exogena_RAW!A23,""))</f>
        <v/>
      </c>
      <c r="D14" s="48">
        <f>IF(A14="","",IFERROR(Exogena_RAW!B23,""))</f>
        <v/>
      </c>
      <c r="E14" s="48">
        <f>IF(A14="","",Exogena_RAW!E23)</f>
        <v/>
      </c>
      <c r="F14" s="461">
        <f>IF(A14="","",Exogena_RAW!F23)</f>
        <v/>
      </c>
      <c r="G14" s="48">
        <f>IF(A14="","",IFERROR(Exogena_RAW!G23,""))</f>
        <v/>
      </c>
      <c r="H14" s="48">
        <f>IF(A14="","",IFERROR(Exogena_RAW!H23,""))</f>
        <v/>
      </c>
      <c r="I14" s="48">
        <f>IF(A14="","",IFERROR(IF(S14&gt;1,"VARIAS CASILLAS",IF(S14=1,IF(T14=1,"PROPUESTA DE CASILLA","REVISIÓN: CASILLA NO DIRECTA"),IF(OR(ISNUMBER(SEARCH("TOPE",UPPER(E14))),ISNUMBER(SEARCH("TOPE",UPPER(G14)))),"SOLO CONTROL",IF(ISNUMBER(SEARCH("RETEN",UPPER(E14))),"RETENCIÓN","REVISAR")))),"REVISAR"))</f>
        <v/>
      </c>
      <c r="J14" s="48">
        <f>IF(A14="","",IF(ISNUMBER(SEARCH("ingreso laboral promedio de los últimos seis meses",E14)),"",IFERROR(IF(AND(S14=1,T14=1),U14,""),"")))</f>
        <v/>
      </c>
      <c r="K14" s="216" t="n"/>
      <c r="L14" s="48">
        <f>IF(A14="","",IFERROR(IF(K14&lt;&gt;"","Casilla elegida por usuario",IF(S14&gt;1,"Varias casillas — elegir en K",IF(J14&lt;&gt;"","Sugerencia directa",IF(S14=1,"No trasladar directo — revisar",IF(OR(ISNUMBER(SEARCH("TOPE",UPPER(E14))),ISNUMBER(SEARCH("TOPE",UPPER(G14)))),"Solo control","Revisar manualmente"))))),"Revisar manualmente"))</f>
        <v/>
      </c>
      <c r="M14" s="461">
        <f>IF(A14="","",IF(IF(K14&lt;&gt;"",K14,J14)="",0,IF(COUNTIFS(Reglas!$I$5:$I$118,IF(K14&lt;&gt;"",K14,J14),Reglas!$J$5:$J$118,"Sí")=1,F14,0)))</f>
        <v/>
      </c>
      <c r="N14" s="56" t="n"/>
      <c r="O14" s="462">
        <f>IF(A14="","",IF(M14=0,"",M14))</f>
        <v/>
      </c>
      <c r="P14" s="461">
        <f>IF(A14="","",IF(O14="",0,IF(ISNUMBER(O14),O14,0)))</f>
        <v/>
      </c>
      <c r="Q14" s="48">
        <f>IF(A14="","",IF(Exogena_RAW!$C$4="","BLOQUEADO: FALTA AÑO",IF(Exogena_RAW!$K$10&lt;&gt;Reglas!$B$5,"BLOQUEADO: AÑO",IF(IF(K14&lt;&gt;"",K14,J14)="",IF(S14&gt;1,"REQUIERE ASIGNACIÓN MANUAL (VARIAS CASILLAS)","INFORMATIVO (sin casilla — no se declara)"),IF(COUNTIFS(Reglas!$I$5:$I$118,IF(K14&lt;&gt;"",K14,J14),Reglas!$J$5:$J$118,"Sí")=0,"BLOQUEADO: CASILLA NO DIRECTA",IF(O14="","EXCLUIDO (valor borrado por el usuario)",IF(_xlfn.ISFORMULA(O14),IF(W14&lt;&gt;"","BORRADOR — VALOR SUGERIDO DIAN ⚠ VER ALERTA","BORRADOR — VALOR SUGERIDO DIAN"),IF(W14&lt;&gt;"","ACEPTADO ⚠ VER ALERTA","ACEPTADO"))))))))</f>
        <v/>
      </c>
      <c r="R14" s="218" t="n"/>
      <c r="S14" s="58">
        <f>IF(A14="","",IFERROR(--ISNUMBER(SEARCH("R28",G14)),0)+IFERROR(--ISNUMBER(SEARCH("R29",G14)),0)+IFERROR(--ISNUMBER(SEARCH("R30",G14)),0)+IFERROR(--ISNUMBER(SEARCH("R31",G14)),0)+IFERROR(--ISNUMBER(SEARCH("R32",G14)),0)+IFERROR(--ISNUMBER(SEARCH("R33",G14)),0)+IFERROR(--ISNUMBER(SEARCH("R34",G14)),0)+IFERROR(--ISNUMBER(SEARCH("R35",G14)),0)+IFERROR(--ISNUMBER(SEARCH("R36",G14)),0)+IFERROR(--ISNUMBER(SEARCH("R37",G14)),0)+IFERROR(--ISNUMBER(SEARCH("R38",G14)),0)+IFERROR(--ISNUMBER(SEARCH("R39",G14)),0)+IFERROR(--ISNUMBER(SEARCH("R40",G14)),0)+IFERROR(--ISNUMBER(SEARCH("R41",G14)),0)+IFERROR(--ISNUMBER(SEARCH("R42",G14)),0)+IFERROR(--ISNUMBER(SEARCH("R43",G14)),0)+IFERROR(--ISNUMBER(SEARCH("R44",G14)),0)+IFERROR(--ISNUMBER(SEARCH("R45",G14)),0)+IFERROR(--ISNUMBER(SEARCH("R46",G14)),0)+IFERROR(--ISNUMBER(SEARCH("R47",G14)),0)+IFERROR(--ISNUMBER(SEARCH("R48",G14)),0)+IFERROR(--ISNUMBER(SEARCH("R49",G14)),0)+IFERROR(--ISNUMBER(SEARCH("R50",G14)),0)+IFERROR(--ISNUMBER(SEARCH("R51",G14)),0)+IFERROR(--ISNUMBER(SEARCH("R52",G14)),0)+IFERROR(--ISNUMBER(SEARCH("R53",G14)),0)+IFERROR(--ISNUMBER(SEARCH("R54",G14)),0)+IFERROR(--ISNUMBER(SEARCH("R55",G14)),0)+IFERROR(--ISNUMBER(SEARCH("R56",G14)),0)+IFERROR(--ISNUMBER(SEARCH("R57",G14)),0)+IFERROR(--ISNUMBER(SEARCH("R58",G14)),0)+IFERROR(--ISNUMBER(SEARCH("R59",G14)),0)+IFERROR(--ISNUMBER(SEARCH("R60",G14)),0)+IFERROR(--ISNUMBER(SEARCH("R61",G14)),0)+IFERROR(--ISNUMBER(SEARCH("R62",G14)),0)+IFERROR(--ISNUMBER(SEARCH("R63",G14)),0)+IFERROR(--ISNUMBER(SEARCH("R64",G14)),0)+IFERROR(--ISNUMBER(SEARCH("R65",G14)),0)+IFERROR(--ISNUMBER(SEARCH("R66",G14)),0)+IFERROR(--ISNUMBER(SEARCH("R67",G14)),0)+IFERROR(--ISNUMBER(SEARCH("R68",G14)),0)+IFERROR(--ISNUMBER(SEARCH("R69",G14)),0)+IFERROR(--ISNUMBER(SEARCH("R70",G14)),0)+IFERROR(--ISNUMBER(SEARCH("R71",G14)),0)+IFERROR(--ISNUMBER(SEARCH("R72",G14)),0)+IFERROR(--ISNUMBER(SEARCH("R73",G14)),0)+IFERROR(--ISNUMBER(SEARCH("R74",G14)),0)+IFERROR(--ISNUMBER(SEARCH("R75",G14)),0)+IFERROR(--ISNUMBER(SEARCH("R76",G14)),0)+IFERROR(--ISNUMBER(SEARCH("R77",G14)),0)+IFERROR(--ISNUMBER(SEARCH("R78",G14)),0)+IFERROR(--ISNUMBER(SEARCH("R79",G14)),0)+IFERROR(--ISNUMBER(SEARCH("R80",G14)),0)+IFERROR(--ISNUMBER(SEARCH("R81",G14)),0)+IFERROR(--ISNUMBER(SEARCH("R82",G14)),0)+IFERROR(--ISNUMBER(SEARCH("R83",G14)),0)+IFERROR(--ISNUMBER(SEARCH("R84",G14)),0)+IFERROR(--ISNUMBER(SEARCH("R85",G14)),0)+IFERROR(--ISNUMBER(SEARCH("R86",G14)),0)+IFERROR(--ISNUMBER(SEARCH("R87",G14)),0)+IFERROR(--ISNUMBER(SEARCH("R88",G14)),0)+IFERROR(--ISNUMBER(SEARCH("R89",G14)),0)+IFERROR(--ISNUMBER(SEARCH("R90",G14)),0)+IFERROR(--ISNUMBER(SEARCH("R91",G14)),0)+IFERROR(--ISNUMBER(SEARCH("R92",G14)),0)+IFERROR(--ISNUMBER(SEARCH("R93",G14)),0)+IFERROR(--ISNUMBER(SEARCH("R94",G14)),0)+IFERROR(--ISNUMBER(SEARCH("R95",G14)),0)+IFERROR(--ISNUMBER(SEARCH("R96",G14)),0)+IFERROR(--ISNUMBER(SEARCH("R97",G14)),0)+IFERROR(--ISNUMBER(SEARCH("R98",G14)),0)+IFERROR(--ISNUMBER(SEARCH("R99",G14)),0)+IFERROR(--ISNUMBER(SEARCH("R100",G14)),0)+IFERROR(--ISNUMBER(SEARCH("R101",G14)),0)+IFERROR(--ISNUMBER(SEARCH("R102",G14)),0)+IFERROR(--ISNUMBER(SEARCH("R103",G14)),0)+IFERROR(--ISNUMBER(SEARCH("R104",G14)),0)+IFERROR(--ISNUMBER(SEARCH("R105",G14)),0)+IFERROR(--ISNUMBER(SEARCH("R106",G14)),0)+IFERROR(--ISNUMBER(SEARCH("R107",G14)),0)+IFERROR(--ISNUMBER(SEARCH("R108",G14)),0)+IFERROR(--ISNUMBER(SEARCH("R109",G14)),0)+IFERROR(--ISNUMBER(SEARCH("R110",G14)),0)+IFERROR(--ISNUMBER(SEARCH("R111",G14)),0)+IFERROR(--ISNUMBER(SEARCH("R112",G14)),0)+IFERROR(--ISNUMBER(SEARCH("R113",G14)),0)+IFERROR(--ISNUMBER(SEARCH("R114",G14)),0)+IFERROR(--ISNUMBER(SEARCH("R115",G14)),0)+IFERROR(--ISNUMBER(SEARCH("R116",G14)),0)+IFERROR(--ISNUMBER(SEARCH("R117",G14)),0)+IFERROR(--ISNUMBER(SEARCH("R118",G14)),0)+IFERROR(--ISNUMBER(SEARCH("R119",G14)),0)+IFERROR(--ISNUMBER(SEARCH("R120",G14)),0)+IFERROR(--ISNUMBER(SEARCH("R121",G14)),0)+IFERROR(--ISNUMBER(SEARCH("R122",G14)),0)+IFERROR(--ISNUMBER(SEARCH("R123",G14)),0)+IFERROR(--ISNUMBER(SEARCH("R124",G14)),0)+IFERROR(--ISNUMBER(SEARCH("R125",G14)),0)+IFERROR(--ISNUMBER(SEARCH("R126",G14)),0)+IFERROR(--ISNUMBER(SEARCH("R127",G14)),0)+IFERROR(--ISNUMBER(SEARCH("R128",G14)),0)+IFERROR(--ISNUMBER(SEARCH("R129",G14)),0)+IFERROR(--ISNUMBER(SEARCH("R130",G14)),0)+IFERROR(--ISNUMBER(SEARCH("R131",G14)),0)+IFERROR(--ISNUMBER(SEARCH("R132",G14)),0)+IFERROR(--ISNUMBER(SEARCH("R133",G14)),0)+IFERROR(--ISNUMBER(SEARCH("R134",G14)),0)+IFERROR(--ISNUMBER(SEARCH("R135",G14)),0)+IFERROR(--ISNUMBER(SEARCH("R136",G14)),0)+IFERROR(--ISNUMBER(SEARCH("R137",G14)),0)+IFERROR(--ISNUMBER(SEARCH("R138",G14)),0)+IFERROR(--ISNUMBER(SEARCH("R139",G14)),0)+IFERROR(--ISNUMBER(SEARCH("R140",G14)),0)+IFERROR(--ISNUMBER(SEARCH("R141",G14)),0))</f>
        <v/>
      </c>
      <c r="T14" s="58">
        <f>IF(A14="","",IFERROR(--ISNUMBER(SEARCH("R28",G14)),0)+IFERROR(--ISNUMBER(SEARCH("R29",G14)),0)+IFERROR(--ISNUMBER(SEARCH("R30",G14)),0)+IFERROR(--ISNUMBER(SEARCH("R32",G14)),0)+IFERROR(--ISNUMBER(SEARCH("R33",G14)),0)+IFERROR(--ISNUMBER(SEARCH("R35",G14)),0)+IFERROR(--ISNUMBER(SEARCH("R36",G14)),0)+IFERROR(--ISNUMBER(SEARCH("R38",G14)),0)+IFERROR(--ISNUMBER(SEARCH("R39",G14)),0)+IFERROR(--ISNUMBER(SEARCH("R43",G14)),0)+IFERROR(--ISNUMBER(SEARCH("R44",G14)),0)+IFERROR(--ISNUMBER(SEARCH("R45",G14)),0)+IFERROR(--ISNUMBER(SEARCH("R47",G14)),0)+IFERROR(--ISNUMBER(SEARCH("R48",G14)),0)+IFERROR(--ISNUMBER(SEARCH("R50",G14)),0)+IFERROR(--ISNUMBER(SEARCH("R51",G14)),0)+IFERROR(--ISNUMBER(SEARCH("R56",G14)),0)+IFERROR(--ISNUMBER(SEARCH("R58",G14)),0)+IFERROR(--ISNUMBER(SEARCH("R59",G14)),0)+IFERROR(--ISNUMBER(SEARCH("R60",G14)),0)+IFERROR(--ISNUMBER(SEARCH("R62",G14)),0)+IFERROR(--ISNUMBER(SEARCH("R63",G14)),0)+IFERROR(--ISNUMBER(SEARCH("R64",G14)),0)+IFERROR(--ISNUMBER(SEARCH("R66",G14)),0)+IFERROR(--ISNUMBER(SEARCH("R67",G14)),0)+IFERROR(--ISNUMBER(SEARCH("R72",G14)),0)+IFERROR(--ISNUMBER(SEARCH("R74",G14)),0)+IFERROR(--ISNUMBER(SEARCH("R75",G14)),0)+IFERROR(--ISNUMBER(SEARCH("R76",G14)),0)+IFERROR(--ISNUMBER(SEARCH("R77",G14)),0)+IFERROR(--ISNUMBER(SEARCH("R79",G14)),0)+IFERROR(--ISNUMBER(SEARCH("R80",G14)),0)+IFERROR(--ISNUMBER(SEARCH("R81",G14)),0)+IFERROR(--ISNUMBER(SEARCH("R83",G14)),0)+IFERROR(--ISNUMBER(SEARCH("R84",G14)),0)+IFERROR(--ISNUMBER(SEARCH("R89",G14)),0)+IFERROR(--ISNUMBER(SEARCH("R94",G14)),0)+IFERROR(--ISNUMBER(SEARCH("R95",G14)),0)+IFERROR(--ISNUMBER(SEARCH("R96",G14)),0)+IFERROR(--ISNUMBER(SEARCH("R98",G14)),0)+IFERROR(--ISNUMBER(SEARCH("R99",G14)),0)+IFERROR(--ISNUMBER(SEARCH("R100",G14)),0)+IFERROR(--ISNUMBER(SEARCH("R104",G14)),0)+IFERROR(--ISNUMBER(SEARCH("R105",G14)),0)+IFERROR(--ISNUMBER(SEARCH("R107",G14)),0)+IFERROR(--ISNUMBER(SEARCH("R108",G14)),0)+IFERROR(--ISNUMBER(SEARCH("R109",G14)),0)+IFERROR(--ISNUMBER(SEARCH("R110",G14)),0)+IFERROR(--ISNUMBER(SEARCH("R112",G14)),0)+IFERROR(--ISNUMBER(SEARCH("R113",G14)),0)+IFERROR(--ISNUMBER(SEARCH("R114",G14)),0)+IFERROR(--ISNUMBER(SEARCH("R118",G14)),0)+IFERROR(--ISNUMBER(SEARCH("R119",G14)),0)+IFERROR(--ISNUMBER(SEARCH("R120",G14)),0)+IFERROR(--ISNUMBER(SEARCH("R122",G14)),0)+IFERROR(--ISNUMBER(SEARCH("R123",G14)),0)+IFERROR(--ISNUMBER(SEARCH("R124",G14)),0)+IFERROR(--ISNUMBER(SEARCH("R128",G14)),0)+IFERROR(--ISNUMBER(SEARCH("R130",G14)),0)+IFERROR(--ISNUMBER(SEARCH("R131",G14)),0)+IFERROR(--ISNUMBER(SEARCH("R132",G14)),0)+IFERROR(--ISNUMBER(SEARCH("R135",G14)),0)+IFERROR(--ISNUMBER(SEARCH("R138",G14)),0)+IFERROR(--ISNUMBER(SEARCH("R141",G14)),0))</f>
        <v/>
      </c>
      <c r="U14" s="58">
        <f>IF(A14="","",IFERROR(--ISNUMBER(SEARCH("R28",G14))*28,0)+IFERROR(--ISNUMBER(SEARCH("R29",G14))*29,0)+IFERROR(--ISNUMBER(SEARCH("R30",G14))*30,0)+IFERROR(--ISNUMBER(SEARCH("R31",G14))*31,0)+IFERROR(--ISNUMBER(SEARCH("R32",G14))*32,0)+IFERROR(--ISNUMBER(SEARCH("R33",G14))*33,0)+IFERROR(--ISNUMBER(SEARCH("R34",G14))*34,0)+IFERROR(--ISNUMBER(SEARCH("R35",G14))*35,0)+IFERROR(--ISNUMBER(SEARCH("R36",G14))*36,0)+IFERROR(--ISNUMBER(SEARCH("R37",G14))*37,0)+IFERROR(--ISNUMBER(SEARCH("R38",G14))*38,0)+IFERROR(--ISNUMBER(SEARCH("R39",G14))*39,0)+IFERROR(--ISNUMBER(SEARCH("R40",G14))*40,0)+IFERROR(--ISNUMBER(SEARCH("R41",G14))*41,0)+IFERROR(--ISNUMBER(SEARCH("R42",G14))*42,0)+IFERROR(--ISNUMBER(SEARCH("R43",G14))*43,0)+IFERROR(--ISNUMBER(SEARCH("R44",G14))*44,0)+IFERROR(--ISNUMBER(SEARCH("R45",G14))*45,0)+IFERROR(--ISNUMBER(SEARCH("R46",G14))*46,0)+IFERROR(--ISNUMBER(SEARCH("R47",G14))*47,0)+IFERROR(--ISNUMBER(SEARCH("R48",G14))*48,0)+IFERROR(--ISNUMBER(SEARCH("R49",G14))*49,0)+IFERROR(--ISNUMBER(SEARCH("R50",G14))*50,0)+IFERROR(--ISNUMBER(SEARCH("R51",G14))*51,0)+IFERROR(--ISNUMBER(SEARCH("R52",G14))*52,0)+IFERROR(--ISNUMBER(SEARCH("R53",G14))*53,0)+IFERROR(--ISNUMBER(SEARCH("R54",G14))*54,0)+IFERROR(--ISNUMBER(SEARCH("R55",G14))*55,0)+IFERROR(--ISNUMBER(SEARCH("R56",G14))*56,0)+IFERROR(--ISNUMBER(SEARCH("R57",G14))*57,0)+IFERROR(--ISNUMBER(SEARCH("R58",G14))*58,0)+IFERROR(--ISNUMBER(SEARCH("R59",G14))*59,0)+IFERROR(--ISNUMBER(SEARCH("R60",G14))*60,0)+IFERROR(--ISNUMBER(SEARCH("R61",G14))*61,0)+IFERROR(--ISNUMBER(SEARCH("R62",G14))*62,0)+IFERROR(--ISNUMBER(SEARCH("R63",G14))*63,0)+IFERROR(--ISNUMBER(SEARCH("R64",G14))*64,0)+IFERROR(--ISNUMBER(SEARCH("R65",G14))*65,0)+IFERROR(--ISNUMBER(SEARCH("R66",G14))*66,0)+IFERROR(--ISNUMBER(SEARCH("R67",G14))*67,0)+IFERROR(--ISNUMBER(SEARCH("R68",G14))*68,0)+IFERROR(--ISNUMBER(SEARCH("R69",G14))*69,0)+IFERROR(--ISNUMBER(SEARCH("R70",G14))*70,0)+IFERROR(--ISNUMBER(SEARCH("R71",G14))*71,0)+IFERROR(--ISNUMBER(SEARCH("R72",G14))*72,0)+IFERROR(--ISNUMBER(SEARCH("R73",G14))*73,0)+IFERROR(--ISNUMBER(SEARCH("R74",G14))*74,0)+IFERROR(--ISNUMBER(SEARCH("R75",G14))*75,0)+IFERROR(--ISNUMBER(SEARCH("R76",G14))*76,0)+IFERROR(--ISNUMBER(SEARCH("R77",G14))*77,0)+IFERROR(--ISNUMBER(SEARCH("R78",G14))*78,0)+IFERROR(--ISNUMBER(SEARCH("R79",G14))*79,0)+IFERROR(--ISNUMBER(SEARCH("R80",G14))*80,0)+IFERROR(--ISNUMBER(SEARCH("R81",G14))*81,0)+IFERROR(--ISNUMBER(SEARCH("R82",G14))*82,0)+IFERROR(--ISNUMBER(SEARCH("R83",G14))*83,0)+IFERROR(--ISNUMBER(SEARCH("R84",G14))*84,0)+IFERROR(--ISNUMBER(SEARCH("R85",G14))*85,0)+IFERROR(--ISNUMBER(SEARCH("R86",G14))*86,0)+IFERROR(--ISNUMBER(SEARCH("R87",G14))*87,0)+IFERROR(--ISNUMBER(SEARCH("R88",G14))*88,0)+IFERROR(--ISNUMBER(SEARCH("R89",G14))*89,0)+IFERROR(--ISNUMBER(SEARCH("R90",G14))*90,0)+IFERROR(--ISNUMBER(SEARCH("R91",G14))*91,0)+IFERROR(--ISNUMBER(SEARCH("R92",G14))*92,0)+IFERROR(--ISNUMBER(SEARCH("R93",G14))*93,0)+IFERROR(--ISNUMBER(SEARCH("R94",G14))*94,0)+IFERROR(--ISNUMBER(SEARCH("R95",G14))*95,0)+IFERROR(--ISNUMBER(SEARCH("R96",G14))*96,0)+IFERROR(--ISNUMBER(SEARCH("R97",G14))*97,0)+IFERROR(--ISNUMBER(SEARCH("R98",G14))*98,0)+IFERROR(--ISNUMBER(SEARCH("R99",G14))*99,0)+IFERROR(--ISNUMBER(SEARCH("R100",G14))*100,0)+IFERROR(--ISNUMBER(SEARCH("R101",G14))*101,0)+IFERROR(--ISNUMBER(SEARCH("R102",G14))*102,0)+IFERROR(--ISNUMBER(SEARCH("R103",G14))*103,0)+IFERROR(--ISNUMBER(SEARCH("R104",G14))*104,0)+IFERROR(--ISNUMBER(SEARCH("R105",G14))*105,0)+IFERROR(--ISNUMBER(SEARCH("R106",G14))*106,0)+IFERROR(--ISNUMBER(SEARCH("R107",G14))*107,0)+IFERROR(--ISNUMBER(SEARCH("R108",G14))*108,0)+IFERROR(--ISNUMBER(SEARCH("R109",G14))*109,0)+IFERROR(--ISNUMBER(SEARCH("R110",G14))*110,0)+IFERROR(--ISNUMBER(SEARCH("R111",G14))*111,0)+IFERROR(--ISNUMBER(SEARCH("R112",G14))*112,0)+IFERROR(--ISNUMBER(SEARCH("R113",G14))*113,0)+IFERROR(--ISNUMBER(SEARCH("R114",G14))*114,0)+IFERROR(--ISNUMBER(SEARCH("R115",G14))*115,0)+IFERROR(--ISNUMBER(SEARCH("R116",G14))*116,0)+IFERROR(--ISNUMBER(SEARCH("R117",G14))*117,0)+IFERROR(--ISNUMBER(SEARCH("R118",G14))*118,0)+IFERROR(--ISNUMBER(SEARCH("R119",G14))*119,0)+IFERROR(--ISNUMBER(SEARCH("R120",G14))*120,0)+IFERROR(--ISNUMBER(SEARCH("R121",G14))*121,0)+IFERROR(--ISNUMBER(SEARCH("R122",G14))*122,0)+IFERROR(--ISNUMBER(SEARCH("R123",G14))*123,0)+IFERROR(--ISNUMBER(SEARCH("R124",G14))*124,0)+IFERROR(--ISNUMBER(SEARCH("R125",G14))*125,0)+IFERROR(--ISNUMBER(SEARCH("R126",G14))*126,0)+IFERROR(--ISNUMBER(SEARCH("R127",G14))*127,0)+IFERROR(--ISNUMBER(SEARCH("R128",G14))*128,0)+IFERROR(--ISNUMBER(SEARCH("R129",G14))*129,0)+IFERROR(--ISNUMBER(SEARCH("R130",G14))*130,0)+IFERROR(--ISNUMBER(SEARCH("R131",G14))*131,0)+IFERROR(--ISNUMBER(SEARCH("R132",G14))*132,0)+IFERROR(--ISNUMBER(SEARCH("R133",G14))*133,0)+IFERROR(--ISNUMBER(SEARCH("R134",G14))*134,0)+IFERROR(--ISNUMBER(SEARCH("R135",G14))*135,0)+IFERROR(--ISNUMBER(SEARCH("R136",G14))*136,0)+IFERROR(--ISNUMBER(SEARCH("R137",G14))*137,0)+IFERROR(--ISNUMBER(SEARCH("R138",G14))*138,0)+IFERROR(--ISNUMBER(SEARCH("R139",G14))*139,0)+IFERROR(--ISNUMBER(SEARCH("R140",G14))*140,0)+IFERROR(--ISNUMBER(SEARCH("R141",G14))*141,0))</f>
        <v/>
      </c>
      <c r="V14" s="59">
        <f>IF(A14="","",IF(K14&lt;&gt;"",K14,J14))</f>
        <v/>
      </c>
      <c r="W14" s="59">
        <f>IF(A14="","",IF(AND(V14=29,O14&lt;&gt;"",COUNTIFS($V$6:$V$505,29,$F$6:$F$505,F14,$C$6:$C$505,C14,$O$6:$O$505,"&lt;&gt;")&gt;1),IF(COUNTIFS($V$6:V14,29,$F$6:F14,F14,$C$6:C14,C14,$O$6:O14,"&lt;&gt;")=1,"Esta es la fila que se debe CONSERVAR (aparición 1 de "&amp;COUNTIFS($V$6:$V$505,29,$F$6:$F$505,F14,$C$6:$C$505,C14,$O$6:$O$505,"&lt;&gt;")&amp;" con el mismo tercero y valor, casilla 29). Si hay más filas iguales, bórreles el valor a ELLAS, no a esta.","DUPLICADO — ya existe otra fila con el mismo tercero y valor para casilla 29 (aparición "&amp;COUNTIFS($V$6:V14,29,$F$6:F14,F14,$C$6:C14,C14,$O$6:O14,"&lt;&gt;")&amp;" de "&amp;COUNTIFS($V$6:$V$505,29,$F$6:$F$505,F14,$C$6:$C$505,C14,$O$6:$O$505,"&lt;&gt;")&amp;"). Para resolverlo: seleccione la celda O"&amp;ROW()&amp;" (columna Valor a declarar de ESTA fila) y presione Supr."),""))</f>
        <v/>
      </c>
      <c r="X14" s="463">
        <f>IF(A14="","",F14)</f>
        <v/>
      </c>
      <c r="Y14" s="463">
        <f>IF(A14="","",SUMIF(Entrada_Manual!$I$88:$I$187,A14,Entrada_Manual!$F$88:$F$187))</f>
        <v/>
      </c>
      <c r="Z14" s="463">
        <f>IF(A14="","",X14-Y14)</f>
        <v/>
      </c>
      <c r="AA14">
        <f>IF(A14="","",SUMPRODUCT((Entrada_Manual!$I$88:$I$187=A14)*1))</f>
        <v/>
      </c>
      <c r="AB14">
        <f>IF(A14="","",IF(S14&lt;=1,"",IF(AA14=0,"PENDIENTE — SIN ASIGNAR",IF(Z14=0,"RESUELTO","PARCIAL — DIFERENCIA "&amp;TEXT(Z14,"#,##0")))))</f>
        <v/>
      </c>
    </row>
    <row r="15" ht="27.75" customHeight="1" s="235">
      <c r="A15" s="47">
        <f>IF(Exogena_RAW!E24&lt;&gt;"",ROW()-5,"")</f>
        <v/>
      </c>
      <c r="B15" s="48">
        <f>IF(A15="","",24)</f>
        <v/>
      </c>
      <c r="C15" s="48">
        <f>IF(A15="","",IFERROR(Exogena_RAW!A24,""))</f>
        <v/>
      </c>
      <c r="D15" s="48">
        <f>IF(A15="","",IFERROR(Exogena_RAW!B24,""))</f>
        <v/>
      </c>
      <c r="E15" s="48">
        <f>IF(A15="","",Exogena_RAW!E24)</f>
        <v/>
      </c>
      <c r="F15" s="461">
        <f>IF(A15="","",Exogena_RAW!F24)</f>
        <v/>
      </c>
      <c r="G15" s="48">
        <f>IF(A15="","",IFERROR(Exogena_RAW!G24,""))</f>
        <v/>
      </c>
      <c r="H15" s="48">
        <f>IF(A15="","",IFERROR(Exogena_RAW!H24,""))</f>
        <v/>
      </c>
      <c r="I15" s="48">
        <f>IF(A15="","",IFERROR(IF(S15&gt;1,"VARIAS CASILLAS",IF(S15=1,IF(T15=1,"PROPUESTA DE CASILLA","REVISIÓN: CASILLA NO DIRECTA"),IF(OR(ISNUMBER(SEARCH("TOPE",UPPER(E15))),ISNUMBER(SEARCH("TOPE",UPPER(G15)))),"SOLO CONTROL",IF(ISNUMBER(SEARCH("RETEN",UPPER(E15))),"RETENCIÓN","REVISAR")))),"REVISAR"))</f>
        <v/>
      </c>
      <c r="J15" s="61">
        <f>IF(A15="","",IF(ISNUMBER(SEARCH("ingreso laboral promedio de los últimos seis meses",E15)),"",IFERROR(IF(AND(S15=1,T15=1),U15,""),"")))</f>
        <v/>
      </c>
      <c r="K15" s="216" t="n"/>
      <c r="L15" s="48">
        <f>IF(A15="","",IFERROR(IF(K15&lt;&gt;"","Casilla elegida por usuario",IF(S15&gt;1,"Varias casillas — elegir en K",IF(J15&lt;&gt;"","Sugerencia directa",IF(S15=1,"No trasladar directo — revisar",IF(OR(ISNUMBER(SEARCH("TOPE",UPPER(E15))),ISNUMBER(SEARCH("TOPE",UPPER(G15)))),"Solo control","Revisar manualmente"))))),"Revisar manualmente"))</f>
        <v/>
      </c>
      <c r="M15" s="461">
        <f>IF(A15="","",IF(IF(K15&lt;&gt;"",K15,J15)="",0,IF(COUNTIFS(Reglas!$I$5:$I$118,IF(K15&lt;&gt;"",K15,J15),Reglas!$J$5:$J$118,"Sí")=1,F15,0)))</f>
        <v/>
      </c>
      <c r="N15" s="56" t="n"/>
      <c r="O15" s="462">
        <f>IF(A15="","",IF(M15=0,"",M15))</f>
        <v/>
      </c>
      <c r="P15" s="461">
        <f>IF(A15="","",IF(O15="",0,IF(ISNUMBER(O15),O15,0)))</f>
        <v/>
      </c>
      <c r="Q15" s="48">
        <f>IF(A15="","",IF(Exogena_RAW!$C$4="","BLOQUEADO: FALTA AÑO",IF(Exogena_RAW!$K$10&lt;&gt;Reglas!$B$5,"BLOQUEADO: AÑO",IF(IF(K15&lt;&gt;"",K15,J15)="",IF(S15&gt;1,"REQUIERE ASIGNACIÓN MANUAL (VARIAS CASILLAS)","INFORMATIVO (sin casilla — no se declara)"),IF(COUNTIFS(Reglas!$I$5:$I$118,IF(K15&lt;&gt;"",K15,J15),Reglas!$J$5:$J$118,"Sí")=0,"BLOQUEADO: CASILLA NO DIRECTA",IF(O15="","EXCLUIDO (valor borrado por el usuario)",IF(_xlfn.ISFORMULA(O15),IF(W15&lt;&gt;"","BORRADOR — VALOR SUGERIDO DIAN ⚠ VER ALERTA","BORRADOR — VALOR SUGERIDO DIAN"),IF(W15&lt;&gt;"","ACEPTADO ⚠ VER ALERTA","ACEPTADO"))))))))</f>
        <v/>
      </c>
      <c r="R15" s="218" t="n"/>
      <c r="S15" s="58">
        <f>IF(A15="","",IFERROR(--ISNUMBER(SEARCH("R28",G15)),0)+IFERROR(--ISNUMBER(SEARCH("R29",G15)),0)+IFERROR(--ISNUMBER(SEARCH("R30",G15)),0)+IFERROR(--ISNUMBER(SEARCH("R31",G15)),0)+IFERROR(--ISNUMBER(SEARCH("R32",G15)),0)+IFERROR(--ISNUMBER(SEARCH("R33",G15)),0)+IFERROR(--ISNUMBER(SEARCH("R34",G15)),0)+IFERROR(--ISNUMBER(SEARCH("R35",G15)),0)+IFERROR(--ISNUMBER(SEARCH("R36",G15)),0)+IFERROR(--ISNUMBER(SEARCH("R37",G15)),0)+IFERROR(--ISNUMBER(SEARCH("R38",G15)),0)+IFERROR(--ISNUMBER(SEARCH("R39",G15)),0)+IFERROR(--ISNUMBER(SEARCH("R40",G15)),0)+IFERROR(--ISNUMBER(SEARCH("R41",G15)),0)+IFERROR(--ISNUMBER(SEARCH("R42",G15)),0)+IFERROR(--ISNUMBER(SEARCH("R43",G15)),0)+IFERROR(--ISNUMBER(SEARCH("R44",G15)),0)+IFERROR(--ISNUMBER(SEARCH("R45",G15)),0)+IFERROR(--ISNUMBER(SEARCH("R46",G15)),0)+IFERROR(--ISNUMBER(SEARCH("R47",G15)),0)+IFERROR(--ISNUMBER(SEARCH("R48",G15)),0)+IFERROR(--ISNUMBER(SEARCH("R49",G15)),0)+IFERROR(--ISNUMBER(SEARCH("R50",G15)),0)+IFERROR(--ISNUMBER(SEARCH("R51",G15)),0)+IFERROR(--ISNUMBER(SEARCH("R52",G15)),0)+IFERROR(--ISNUMBER(SEARCH("R53",G15)),0)+IFERROR(--ISNUMBER(SEARCH("R54",G15)),0)+IFERROR(--ISNUMBER(SEARCH("R55",G15)),0)+IFERROR(--ISNUMBER(SEARCH("R56",G15)),0)+IFERROR(--ISNUMBER(SEARCH("R57",G15)),0)+IFERROR(--ISNUMBER(SEARCH("R58",G15)),0)+IFERROR(--ISNUMBER(SEARCH("R59",G15)),0)+IFERROR(--ISNUMBER(SEARCH("R60",G15)),0)+IFERROR(--ISNUMBER(SEARCH("R61",G15)),0)+IFERROR(--ISNUMBER(SEARCH("R62",G15)),0)+IFERROR(--ISNUMBER(SEARCH("R63",G15)),0)+IFERROR(--ISNUMBER(SEARCH("R64",G15)),0)+IFERROR(--ISNUMBER(SEARCH("R65",G15)),0)+IFERROR(--ISNUMBER(SEARCH("R66",G15)),0)+IFERROR(--ISNUMBER(SEARCH("R67",G15)),0)+IFERROR(--ISNUMBER(SEARCH("R68",G15)),0)+IFERROR(--ISNUMBER(SEARCH("R69",G15)),0)+IFERROR(--ISNUMBER(SEARCH("R70",G15)),0)+IFERROR(--ISNUMBER(SEARCH("R71",G15)),0)+IFERROR(--ISNUMBER(SEARCH("R72",G15)),0)+IFERROR(--ISNUMBER(SEARCH("R73",G15)),0)+IFERROR(--ISNUMBER(SEARCH("R74",G15)),0)+IFERROR(--ISNUMBER(SEARCH("R75",G15)),0)+IFERROR(--ISNUMBER(SEARCH("R76",G15)),0)+IFERROR(--ISNUMBER(SEARCH("R77",G15)),0)+IFERROR(--ISNUMBER(SEARCH("R78",G15)),0)+IFERROR(--ISNUMBER(SEARCH("R79",G15)),0)+IFERROR(--ISNUMBER(SEARCH("R80",G15)),0)+IFERROR(--ISNUMBER(SEARCH("R81",G15)),0)+IFERROR(--ISNUMBER(SEARCH("R82",G15)),0)+IFERROR(--ISNUMBER(SEARCH("R83",G15)),0)+IFERROR(--ISNUMBER(SEARCH("R84",G15)),0)+IFERROR(--ISNUMBER(SEARCH("R85",G15)),0)+IFERROR(--ISNUMBER(SEARCH("R86",G15)),0)+IFERROR(--ISNUMBER(SEARCH("R87",G15)),0)+IFERROR(--ISNUMBER(SEARCH("R88",G15)),0)+IFERROR(--ISNUMBER(SEARCH("R89",G15)),0)+IFERROR(--ISNUMBER(SEARCH("R90",G15)),0)+IFERROR(--ISNUMBER(SEARCH("R91",G15)),0)+IFERROR(--ISNUMBER(SEARCH("R92",G15)),0)+IFERROR(--ISNUMBER(SEARCH("R93",G15)),0)+IFERROR(--ISNUMBER(SEARCH("R94",G15)),0)+IFERROR(--ISNUMBER(SEARCH("R95",G15)),0)+IFERROR(--ISNUMBER(SEARCH("R96",G15)),0)+IFERROR(--ISNUMBER(SEARCH("R97",G15)),0)+IFERROR(--ISNUMBER(SEARCH("R98",G15)),0)+IFERROR(--ISNUMBER(SEARCH("R99",G15)),0)+IFERROR(--ISNUMBER(SEARCH("R100",G15)),0)+IFERROR(--ISNUMBER(SEARCH("R101",G15)),0)+IFERROR(--ISNUMBER(SEARCH("R102",G15)),0)+IFERROR(--ISNUMBER(SEARCH("R103",G15)),0)+IFERROR(--ISNUMBER(SEARCH("R104",G15)),0)+IFERROR(--ISNUMBER(SEARCH("R105",G15)),0)+IFERROR(--ISNUMBER(SEARCH("R106",G15)),0)+IFERROR(--ISNUMBER(SEARCH("R107",G15)),0)+IFERROR(--ISNUMBER(SEARCH("R108",G15)),0)+IFERROR(--ISNUMBER(SEARCH("R109",G15)),0)+IFERROR(--ISNUMBER(SEARCH("R110",G15)),0)+IFERROR(--ISNUMBER(SEARCH("R111",G15)),0)+IFERROR(--ISNUMBER(SEARCH("R112",G15)),0)+IFERROR(--ISNUMBER(SEARCH("R113",G15)),0)+IFERROR(--ISNUMBER(SEARCH("R114",G15)),0)+IFERROR(--ISNUMBER(SEARCH("R115",G15)),0)+IFERROR(--ISNUMBER(SEARCH("R116",G15)),0)+IFERROR(--ISNUMBER(SEARCH("R117",G15)),0)+IFERROR(--ISNUMBER(SEARCH("R118",G15)),0)+IFERROR(--ISNUMBER(SEARCH("R119",G15)),0)+IFERROR(--ISNUMBER(SEARCH("R120",G15)),0)+IFERROR(--ISNUMBER(SEARCH("R121",G15)),0)+IFERROR(--ISNUMBER(SEARCH("R122",G15)),0)+IFERROR(--ISNUMBER(SEARCH("R123",G15)),0)+IFERROR(--ISNUMBER(SEARCH("R124",G15)),0)+IFERROR(--ISNUMBER(SEARCH("R125",G15)),0)+IFERROR(--ISNUMBER(SEARCH("R126",G15)),0)+IFERROR(--ISNUMBER(SEARCH("R127",G15)),0)+IFERROR(--ISNUMBER(SEARCH("R128",G15)),0)+IFERROR(--ISNUMBER(SEARCH("R129",G15)),0)+IFERROR(--ISNUMBER(SEARCH("R130",G15)),0)+IFERROR(--ISNUMBER(SEARCH("R131",G15)),0)+IFERROR(--ISNUMBER(SEARCH("R132",G15)),0)+IFERROR(--ISNUMBER(SEARCH("R133",G15)),0)+IFERROR(--ISNUMBER(SEARCH("R134",G15)),0)+IFERROR(--ISNUMBER(SEARCH("R135",G15)),0)+IFERROR(--ISNUMBER(SEARCH("R136",G15)),0)+IFERROR(--ISNUMBER(SEARCH("R137",G15)),0)+IFERROR(--ISNUMBER(SEARCH("R138",G15)),0)+IFERROR(--ISNUMBER(SEARCH("R139",G15)),0)+IFERROR(--ISNUMBER(SEARCH("R140",G15)),0)+IFERROR(--ISNUMBER(SEARCH("R141",G15)),0))</f>
        <v/>
      </c>
      <c r="T15" s="58">
        <f>IF(A15="","",IFERROR(--ISNUMBER(SEARCH("R28",G15)),0)+IFERROR(--ISNUMBER(SEARCH("R29",G15)),0)+IFERROR(--ISNUMBER(SEARCH("R30",G15)),0)+IFERROR(--ISNUMBER(SEARCH("R32",G15)),0)+IFERROR(--ISNUMBER(SEARCH("R33",G15)),0)+IFERROR(--ISNUMBER(SEARCH("R35",G15)),0)+IFERROR(--ISNUMBER(SEARCH("R36",G15)),0)+IFERROR(--ISNUMBER(SEARCH("R38",G15)),0)+IFERROR(--ISNUMBER(SEARCH("R39",G15)),0)+IFERROR(--ISNUMBER(SEARCH("R43",G15)),0)+IFERROR(--ISNUMBER(SEARCH("R44",G15)),0)+IFERROR(--ISNUMBER(SEARCH("R45",G15)),0)+IFERROR(--ISNUMBER(SEARCH("R47",G15)),0)+IFERROR(--ISNUMBER(SEARCH("R48",G15)),0)+IFERROR(--ISNUMBER(SEARCH("R50",G15)),0)+IFERROR(--ISNUMBER(SEARCH("R51",G15)),0)+IFERROR(--ISNUMBER(SEARCH("R56",G15)),0)+IFERROR(--ISNUMBER(SEARCH("R58",G15)),0)+IFERROR(--ISNUMBER(SEARCH("R59",G15)),0)+IFERROR(--ISNUMBER(SEARCH("R60",G15)),0)+IFERROR(--ISNUMBER(SEARCH("R62",G15)),0)+IFERROR(--ISNUMBER(SEARCH("R63",G15)),0)+IFERROR(--ISNUMBER(SEARCH("R64",G15)),0)+IFERROR(--ISNUMBER(SEARCH("R66",G15)),0)+IFERROR(--ISNUMBER(SEARCH("R67",G15)),0)+IFERROR(--ISNUMBER(SEARCH("R72",G15)),0)+IFERROR(--ISNUMBER(SEARCH("R74",G15)),0)+IFERROR(--ISNUMBER(SEARCH("R75",G15)),0)+IFERROR(--ISNUMBER(SEARCH("R76",G15)),0)+IFERROR(--ISNUMBER(SEARCH("R77",G15)),0)+IFERROR(--ISNUMBER(SEARCH("R79",G15)),0)+IFERROR(--ISNUMBER(SEARCH("R80",G15)),0)+IFERROR(--ISNUMBER(SEARCH("R81",G15)),0)+IFERROR(--ISNUMBER(SEARCH("R83",G15)),0)+IFERROR(--ISNUMBER(SEARCH("R84",G15)),0)+IFERROR(--ISNUMBER(SEARCH("R89",G15)),0)+IFERROR(--ISNUMBER(SEARCH("R94",G15)),0)+IFERROR(--ISNUMBER(SEARCH("R95",G15)),0)+IFERROR(--ISNUMBER(SEARCH("R96",G15)),0)+IFERROR(--ISNUMBER(SEARCH("R98",G15)),0)+IFERROR(--ISNUMBER(SEARCH("R99",G15)),0)+IFERROR(--ISNUMBER(SEARCH("R100",G15)),0)+IFERROR(--ISNUMBER(SEARCH("R104",G15)),0)+IFERROR(--ISNUMBER(SEARCH("R105",G15)),0)+IFERROR(--ISNUMBER(SEARCH("R107",G15)),0)+IFERROR(--ISNUMBER(SEARCH("R108",G15)),0)+IFERROR(--ISNUMBER(SEARCH("R109",G15)),0)+IFERROR(--ISNUMBER(SEARCH("R110",G15)),0)+IFERROR(--ISNUMBER(SEARCH("R112",G15)),0)+IFERROR(--ISNUMBER(SEARCH("R113",G15)),0)+IFERROR(--ISNUMBER(SEARCH("R114",G15)),0)+IFERROR(--ISNUMBER(SEARCH("R118",G15)),0)+IFERROR(--ISNUMBER(SEARCH("R119",G15)),0)+IFERROR(--ISNUMBER(SEARCH("R120",G15)),0)+IFERROR(--ISNUMBER(SEARCH("R122",G15)),0)+IFERROR(--ISNUMBER(SEARCH("R123",G15)),0)+IFERROR(--ISNUMBER(SEARCH("R124",G15)),0)+IFERROR(--ISNUMBER(SEARCH("R128",G15)),0)+IFERROR(--ISNUMBER(SEARCH("R130",G15)),0)+IFERROR(--ISNUMBER(SEARCH("R131",G15)),0)+IFERROR(--ISNUMBER(SEARCH("R132",G15)),0)+IFERROR(--ISNUMBER(SEARCH("R135",G15)),0)+IFERROR(--ISNUMBER(SEARCH("R138",G15)),0)+IFERROR(--ISNUMBER(SEARCH("R141",G15)),0))</f>
        <v/>
      </c>
      <c r="U15" s="58">
        <f>IF(A15="","",IFERROR(--ISNUMBER(SEARCH("R28",G15))*28,0)+IFERROR(--ISNUMBER(SEARCH("R29",G15))*29,0)+IFERROR(--ISNUMBER(SEARCH("R30",G15))*30,0)+IFERROR(--ISNUMBER(SEARCH("R31",G15))*31,0)+IFERROR(--ISNUMBER(SEARCH("R32",G15))*32,0)+IFERROR(--ISNUMBER(SEARCH("R33",G15))*33,0)+IFERROR(--ISNUMBER(SEARCH("R34",G15))*34,0)+IFERROR(--ISNUMBER(SEARCH("R35",G15))*35,0)+IFERROR(--ISNUMBER(SEARCH("R36",G15))*36,0)+IFERROR(--ISNUMBER(SEARCH("R37",G15))*37,0)+IFERROR(--ISNUMBER(SEARCH("R38",G15))*38,0)+IFERROR(--ISNUMBER(SEARCH("R39",G15))*39,0)+IFERROR(--ISNUMBER(SEARCH("R40",G15))*40,0)+IFERROR(--ISNUMBER(SEARCH("R41",G15))*41,0)+IFERROR(--ISNUMBER(SEARCH("R42",G15))*42,0)+IFERROR(--ISNUMBER(SEARCH("R43",G15))*43,0)+IFERROR(--ISNUMBER(SEARCH("R44",G15))*44,0)+IFERROR(--ISNUMBER(SEARCH("R45",G15))*45,0)+IFERROR(--ISNUMBER(SEARCH("R46",G15))*46,0)+IFERROR(--ISNUMBER(SEARCH("R47",G15))*47,0)+IFERROR(--ISNUMBER(SEARCH("R48",G15))*48,0)+IFERROR(--ISNUMBER(SEARCH("R49",G15))*49,0)+IFERROR(--ISNUMBER(SEARCH("R50",G15))*50,0)+IFERROR(--ISNUMBER(SEARCH("R51",G15))*51,0)+IFERROR(--ISNUMBER(SEARCH("R52",G15))*52,0)+IFERROR(--ISNUMBER(SEARCH("R53",G15))*53,0)+IFERROR(--ISNUMBER(SEARCH("R54",G15))*54,0)+IFERROR(--ISNUMBER(SEARCH("R55",G15))*55,0)+IFERROR(--ISNUMBER(SEARCH("R56",G15))*56,0)+IFERROR(--ISNUMBER(SEARCH("R57",G15))*57,0)+IFERROR(--ISNUMBER(SEARCH("R58",G15))*58,0)+IFERROR(--ISNUMBER(SEARCH("R59",G15))*59,0)+IFERROR(--ISNUMBER(SEARCH("R60",G15))*60,0)+IFERROR(--ISNUMBER(SEARCH("R61",G15))*61,0)+IFERROR(--ISNUMBER(SEARCH("R62",G15))*62,0)+IFERROR(--ISNUMBER(SEARCH("R63",G15))*63,0)+IFERROR(--ISNUMBER(SEARCH("R64",G15))*64,0)+IFERROR(--ISNUMBER(SEARCH("R65",G15))*65,0)+IFERROR(--ISNUMBER(SEARCH("R66",G15))*66,0)+IFERROR(--ISNUMBER(SEARCH("R67",G15))*67,0)+IFERROR(--ISNUMBER(SEARCH("R68",G15))*68,0)+IFERROR(--ISNUMBER(SEARCH("R69",G15))*69,0)+IFERROR(--ISNUMBER(SEARCH("R70",G15))*70,0)+IFERROR(--ISNUMBER(SEARCH("R71",G15))*71,0)+IFERROR(--ISNUMBER(SEARCH("R72",G15))*72,0)+IFERROR(--ISNUMBER(SEARCH("R73",G15))*73,0)+IFERROR(--ISNUMBER(SEARCH("R74",G15))*74,0)+IFERROR(--ISNUMBER(SEARCH("R75",G15))*75,0)+IFERROR(--ISNUMBER(SEARCH("R76",G15))*76,0)+IFERROR(--ISNUMBER(SEARCH("R77",G15))*77,0)+IFERROR(--ISNUMBER(SEARCH("R78",G15))*78,0)+IFERROR(--ISNUMBER(SEARCH("R79",G15))*79,0)+IFERROR(--ISNUMBER(SEARCH("R80",G15))*80,0)+IFERROR(--ISNUMBER(SEARCH("R81",G15))*81,0)+IFERROR(--ISNUMBER(SEARCH("R82",G15))*82,0)+IFERROR(--ISNUMBER(SEARCH("R83",G15))*83,0)+IFERROR(--ISNUMBER(SEARCH("R84",G15))*84,0)+IFERROR(--ISNUMBER(SEARCH("R85",G15))*85,0)+IFERROR(--ISNUMBER(SEARCH("R86",G15))*86,0)+IFERROR(--ISNUMBER(SEARCH("R87",G15))*87,0)+IFERROR(--ISNUMBER(SEARCH("R88",G15))*88,0)+IFERROR(--ISNUMBER(SEARCH("R89",G15))*89,0)+IFERROR(--ISNUMBER(SEARCH("R90",G15))*90,0)+IFERROR(--ISNUMBER(SEARCH("R91",G15))*91,0)+IFERROR(--ISNUMBER(SEARCH("R92",G15))*92,0)+IFERROR(--ISNUMBER(SEARCH("R93",G15))*93,0)+IFERROR(--ISNUMBER(SEARCH("R94",G15))*94,0)+IFERROR(--ISNUMBER(SEARCH("R95",G15))*95,0)+IFERROR(--ISNUMBER(SEARCH("R96",G15))*96,0)+IFERROR(--ISNUMBER(SEARCH("R97",G15))*97,0)+IFERROR(--ISNUMBER(SEARCH("R98",G15))*98,0)+IFERROR(--ISNUMBER(SEARCH("R99",G15))*99,0)+IFERROR(--ISNUMBER(SEARCH("R100",G15))*100,0)+IFERROR(--ISNUMBER(SEARCH("R101",G15))*101,0)+IFERROR(--ISNUMBER(SEARCH("R102",G15))*102,0)+IFERROR(--ISNUMBER(SEARCH("R103",G15))*103,0)+IFERROR(--ISNUMBER(SEARCH("R104",G15))*104,0)+IFERROR(--ISNUMBER(SEARCH("R105",G15))*105,0)+IFERROR(--ISNUMBER(SEARCH("R106",G15))*106,0)+IFERROR(--ISNUMBER(SEARCH("R107",G15))*107,0)+IFERROR(--ISNUMBER(SEARCH("R108",G15))*108,0)+IFERROR(--ISNUMBER(SEARCH("R109",G15))*109,0)+IFERROR(--ISNUMBER(SEARCH("R110",G15))*110,0)+IFERROR(--ISNUMBER(SEARCH("R111",G15))*111,0)+IFERROR(--ISNUMBER(SEARCH("R112",G15))*112,0)+IFERROR(--ISNUMBER(SEARCH("R113",G15))*113,0)+IFERROR(--ISNUMBER(SEARCH("R114",G15))*114,0)+IFERROR(--ISNUMBER(SEARCH("R115",G15))*115,0)+IFERROR(--ISNUMBER(SEARCH("R116",G15))*116,0)+IFERROR(--ISNUMBER(SEARCH("R117",G15))*117,0)+IFERROR(--ISNUMBER(SEARCH("R118",G15))*118,0)+IFERROR(--ISNUMBER(SEARCH("R119",G15))*119,0)+IFERROR(--ISNUMBER(SEARCH("R120",G15))*120,0)+IFERROR(--ISNUMBER(SEARCH("R121",G15))*121,0)+IFERROR(--ISNUMBER(SEARCH("R122",G15))*122,0)+IFERROR(--ISNUMBER(SEARCH("R123",G15))*123,0)+IFERROR(--ISNUMBER(SEARCH("R124",G15))*124,0)+IFERROR(--ISNUMBER(SEARCH("R125",G15))*125,0)+IFERROR(--ISNUMBER(SEARCH("R126",G15))*126,0)+IFERROR(--ISNUMBER(SEARCH("R127",G15))*127,0)+IFERROR(--ISNUMBER(SEARCH("R128",G15))*128,0)+IFERROR(--ISNUMBER(SEARCH("R129",G15))*129,0)+IFERROR(--ISNUMBER(SEARCH("R130",G15))*130,0)+IFERROR(--ISNUMBER(SEARCH("R131",G15))*131,0)+IFERROR(--ISNUMBER(SEARCH("R132",G15))*132,0)+IFERROR(--ISNUMBER(SEARCH("R133",G15))*133,0)+IFERROR(--ISNUMBER(SEARCH("R134",G15))*134,0)+IFERROR(--ISNUMBER(SEARCH("R135",G15))*135,0)+IFERROR(--ISNUMBER(SEARCH("R136",G15))*136,0)+IFERROR(--ISNUMBER(SEARCH("R137",G15))*137,0)+IFERROR(--ISNUMBER(SEARCH("R138",G15))*138,0)+IFERROR(--ISNUMBER(SEARCH("R139",G15))*139,0)+IFERROR(--ISNUMBER(SEARCH("R140",G15))*140,0)+IFERROR(--ISNUMBER(SEARCH("R141",G15))*141,0))</f>
        <v/>
      </c>
      <c r="V15" s="59">
        <f>IF(A15="","",IF(K15&lt;&gt;"",K15,J15))</f>
        <v/>
      </c>
      <c r="W15" s="59">
        <f>IF(A15="","",IF(AND(V15=29,O15&lt;&gt;"",COUNTIFS($V$6:$V$505,29,$F$6:$F$505,F15,$C$6:$C$505,C15,$O$6:$O$505,"&lt;&gt;")&gt;1),IF(COUNTIFS($V$6:V15,29,$F$6:F15,F15,$C$6:C15,C15,$O$6:O15,"&lt;&gt;")=1,"Esta es la fila que se debe CONSERVAR (aparición 1 de "&amp;COUNTIFS($V$6:$V$505,29,$F$6:$F$505,F15,$C$6:$C$505,C15,$O$6:$O$505,"&lt;&gt;")&amp;" con el mismo tercero y valor, casilla 29). Si hay más filas iguales, bórreles el valor a ELLAS, no a esta.","DUPLICADO — ya existe otra fila con el mismo tercero y valor para casilla 29 (aparición "&amp;COUNTIFS($V$6:V15,29,$F$6:F15,F15,$C$6:C15,C15,$O$6:O15,"&lt;&gt;")&amp;" de "&amp;COUNTIFS($V$6:$V$505,29,$F$6:$F$505,F15,$C$6:$C$505,C15,$O$6:$O$505,"&lt;&gt;")&amp;"). Para resolverlo: seleccione la celda O"&amp;ROW()&amp;" (columna Valor a declarar de ESTA fila) y presione Supr."),""))</f>
        <v/>
      </c>
      <c r="X15" s="463">
        <f>IF(A15="","",F15)</f>
        <v/>
      </c>
      <c r="Y15" s="463">
        <f>IF(A15="","",SUMIF(Entrada_Manual!$I$88:$I$187,A15,Entrada_Manual!$F$88:$F$187))</f>
        <v/>
      </c>
      <c r="Z15" s="463">
        <f>IF(A15="","",X15-Y15)</f>
        <v/>
      </c>
      <c r="AA15">
        <f>IF(A15="","",SUMPRODUCT((Entrada_Manual!$I$88:$I$187=A15)*1))</f>
        <v/>
      </c>
      <c r="AB15">
        <f>IF(A15="","",IF(S15&lt;=1,"",IF(AA15=0,"PENDIENTE — SIN ASIGNAR",IF(Z15=0,"RESUELTO","PARCIAL — DIFERENCIA "&amp;TEXT(Z15,"#,##0")))))</f>
        <v/>
      </c>
    </row>
    <row r="16" ht="27.75" customHeight="1" s="235">
      <c r="A16" s="47">
        <f>IF(Exogena_RAW!E25&lt;&gt;"",ROW()-5,"")</f>
        <v/>
      </c>
      <c r="B16" s="48">
        <f>IF(A16="","",25)</f>
        <v/>
      </c>
      <c r="C16" s="48">
        <f>IF(A16="","",IFERROR(Exogena_RAW!A25,""))</f>
        <v/>
      </c>
      <c r="D16" s="48">
        <f>IF(A16="","",IFERROR(Exogena_RAW!B25,""))</f>
        <v/>
      </c>
      <c r="E16" s="48">
        <f>IF(A16="","",Exogena_RAW!E25)</f>
        <v/>
      </c>
      <c r="F16" s="461">
        <f>IF(A16="","",Exogena_RAW!F25)</f>
        <v/>
      </c>
      <c r="G16" s="48">
        <f>IF(A16="","",IFERROR(Exogena_RAW!G25,""))</f>
        <v/>
      </c>
      <c r="H16" s="48">
        <f>IF(A16="","",IFERROR(Exogena_RAW!H25,""))</f>
        <v/>
      </c>
      <c r="I16" s="48">
        <f>IF(A16="","",IFERROR(IF(S16&gt;1,"VARIAS CASILLAS",IF(S16=1,IF(T16=1,"PROPUESTA DE CASILLA","REVISIÓN: CASILLA NO DIRECTA"),IF(OR(ISNUMBER(SEARCH("TOPE",UPPER(E16))),ISNUMBER(SEARCH("TOPE",UPPER(G16)))),"SOLO CONTROL",IF(ISNUMBER(SEARCH("RETEN",UPPER(E16))),"RETENCIÓN","REVISAR")))),"REVISAR"))</f>
        <v/>
      </c>
      <c r="J16" s="61">
        <f>IF(A16="","",IF(ISNUMBER(SEARCH("ingreso laboral promedio de los últimos seis meses",E16)),"",IFERROR(IF(AND(S16=1,T16=1),U16,""),"")))</f>
        <v/>
      </c>
      <c r="K16" s="216" t="n"/>
      <c r="L16" s="48">
        <f>IF(A16="","",IFERROR(IF(K16&lt;&gt;"","Casilla elegida por usuario",IF(S16&gt;1,"Varias casillas — elegir en K",IF(J16&lt;&gt;"","Sugerencia directa",IF(S16=1,"No trasladar directo — revisar",IF(OR(ISNUMBER(SEARCH("TOPE",UPPER(E16))),ISNUMBER(SEARCH("TOPE",UPPER(G16)))),"Solo control","Revisar manualmente"))))),"Revisar manualmente"))</f>
        <v/>
      </c>
      <c r="M16" s="461">
        <f>IF(A16="","",IF(IF(K16&lt;&gt;"",K16,J16)="",0,IF(COUNTIFS(Reglas!$I$5:$I$118,IF(K16&lt;&gt;"",K16,J16),Reglas!$J$5:$J$118,"Sí")=1,F16,0)))</f>
        <v/>
      </c>
      <c r="N16" s="56" t="n"/>
      <c r="O16" s="462">
        <f>IF(A16="","",IF(M16=0,"",M16))</f>
        <v/>
      </c>
      <c r="P16" s="461">
        <f>IF(A16="","",IF(O16="",0,IF(ISNUMBER(O16),O16,0)))</f>
        <v/>
      </c>
      <c r="Q16" s="48">
        <f>IF(A16="","",IF(Exogena_RAW!$C$4="","BLOQUEADO: FALTA AÑO",IF(Exogena_RAW!$K$10&lt;&gt;Reglas!$B$5,"BLOQUEADO: AÑO",IF(IF(K16&lt;&gt;"",K16,J16)="",IF(S16&gt;1,"REQUIERE ASIGNACIÓN MANUAL (VARIAS CASILLAS)","INFORMATIVO (sin casilla — no se declara)"),IF(COUNTIFS(Reglas!$I$5:$I$118,IF(K16&lt;&gt;"",K16,J16),Reglas!$J$5:$J$118,"Sí")=0,"BLOQUEADO: CASILLA NO DIRECTA",IF(O16="","EXCLUIDO (valor borrado por el usuario)",IF(_xlfn.ISFORMULA(O16),IF(W16&lt;&gt;"","BORRADOR — VALOR SUGERIDO DIAN ⚠ VER ALERTA","BORRADOR — VALOR SUGERIDO DIAN"),IF(W16&lt;&gt;"","ACEPTADO ⚠ VER ALERTA","ACEPTADO"))))))))</f>
        <v/>
      </c>
      <c r="R16" s="218" t="n"/>
      <c r="S16" s="58">
        <f>IF(A16="","",IFERROR(--ISNUMBER(SEARCH("R28",G16)),0)+IFERROR(--ISNUMBER(SEARCH("R29",G16)),0)+IFERROR(--ISNUMBER(SEARCH("R30",G16)),0)+IFERROR(--ISNUMBER(SEARCH("R31",G16)),0)+IFERROR(--ISNUMBER(SEARCH("R32",G16)),0)+IFERROR(--ISNUMBER(SEARCH("R33",G16)),0)+IFERROR(--ISNUMBER(SEARCH("R34",G16)),0)+IFERROR(--ISNUMBER(SEARCH("R35",G16)),0)+IFERROR(--ISNUMBER(SEARCH("R36",G16)),0)+IFERROR(--ISNUMBER(SEARCH("R37",G16)),0)+IFERROR(--ISNUMBER(SEARCH("R38",G16)),0)+IFERROR(--ISNUMBER(SEARCH("R39",G16)),0)+IFERROR(--ISNUMBER(SEARCH("R40",G16)),0)+IFERROR(--ISNUMBER(SEARCH("R41",G16)),0)+IFERROR(--ISNUMBER(SEARCH("R42",G16)),0)+IFERROR(--ISNUMBER(SEARCH("R43",G16)),0)+IFERROR(--ISNUMBER(SEARCH("R44",G16)),0)+IFERROR(--ISNUMBER(SEARCH("R45",G16)),0)+IFERROR(--ISNUMBER(SEARCH("R46",G16)),0)+IFERROR(--ISNUMBER(SEARCH("R47",G16)),0)+IFERROR(--ISNUMBER(SEARCH("R48",G16)),0)+IFERROR(--ISNUMBER(SEARCH("R49",G16)),0)+IFERROR(--ISNUMBER(SEARCH("R50",G16)),0)+IFERROR(--ISNUMBER(SEARCH("R51",G16)),0)+IFERROR(--ISNUMBER(SEARCH("R52",G16)),0)+IFERROR(--ISNUMBER(SEARCH("R53",G16)),0)+IFERROR(--ISNUMBER(SEARCH("R54",G16)),0)+IFERROR(--ISNUMBER(SEARCH("R55",G16)),0)+IFERROR(--ISNUMBER(SEARCH("R56",G16)),0)+IFERROR(--ISNUMBER(SEARCH("R57",G16)),0)+IFERROR(--ISNUMBER(SEARCH("R58",G16)),0)+IFERROR(--ISNUMBER(SEARCH("R59",G16)),0)+IFERROR(--ISNUMBER(SEARCH("R60",G16)),0)+IFERROR(--ISNUMBER(SEARCH("R61",G16)),0)+IFERROR(--ISNUMBER(SEARCH("R62",G16)),0)+IFERROR(--ISNUMBER(SEARCH("R63",G16)),0)+IFERROR(--ISNUMBER(SEARCH("R64",G16)),0)+IFERROR(--ISNUMBER(SEARCH("R65",G16)),0)+IFERROR(--ISNUMBER(SEARCH("R66",G16)),0)+IFERROR(--ISNUMBER(SEARCH("R67",G16)),0)+IFERROR(--ISNUMBER(SEARCH("R68",G16)),0)+IFERROR(--ISNUMBER(SEARCH("R69",G16)),0)+IFERROR(--ISNUMBER(SEARCH("R70",G16)),0)+IFERROR(--ISNUMBER(SEARCH("R71",G16)),0)+IFERROR(--ISNUMBER(SEARCH("R72",G16)),0)+IFERROR(--ISNUMBER(SEARCH("R73",G16)),0)+IFERROR(--ISNUMBER(SEARCH("R74",G16)),0)+IFERROR(--ISNUMBER(SEARCH("R75",G16)),0)+IFERROR(--ISNUMBER(SEARCH("R76",G16)),0)+IFERROR(--ISNUMBER(SEARCH("R77",G16)),0)+IFERROR(--ISNUMBER(SEARCH("R78",G16)),0)+IFERROR(--ISNUMBER(SEARCH("R79",G16)),0)+IFERROR(--ISNUMBER(SEARCH("R80",G16)),0)+IFERROR(--ISNUMBER(SEARCH("R81",G16)),0)+IFERROR(--ISNUMBER(SEARCH("R82",G16)),0)+IFERROR(--ISNUMBER(SEARCH("R83",G16)),0)+IFERROR(--ISNUMBER(SEARCH("R84",G16)),0)+IFERROR(--ISNUMBER(SEARCH("R85",G16)),0)+IFERROR(--ISNUMBER(SEARCH("R86",G16)),0)+IFERROR(--ISNUMBER(SEARCH("R87",G16)),0)+IFERROR(--ISNUMBER(SEARCH("R88",G16)),0)+IFERROR(--ISNUMBER(SEARCH("R89",G16)),0)+IFERROR(--ISNUMBER(SEARCH("R90",G16)),0)+IFERROR(--ISNUMBER(SEARCH("R91",G16)),0)+IFERROR(--ISNUMBER(SEARCH("R92",G16)),0)+IFERROR(--ISNUMBER(SEARCH("R93",G16)),0)+IFERROR(--ISNUMBER(SEARCH("R94",G16)),0)+IFERROR(--ISNUMBER(SEARCH("R95",G16)),0)+IFERROR(--ISNUMBER(SEARCH("R96",G16)),0)+IFERROR(--ISNUMBER(SEARCH("R97",G16)),0)+IFERROR(--ISNUMBER(SEARCH("R98",G16)),0)+IFERROR(--ISNUMBER(SEARCH("R99",G16)),0)+IFERROR(--ISNUMBER(SEARCH("R100",G16)),0)+IFERROR(--ISNUMBER(SEARCH("R101",G16)),0)+IFERROR(--ISNUMBER(SEARCH("R102",G16)),0)+IFERROR(--ISNUMBER(SEARCH("R103",G16)),0)+IFERROR(--ISNUMBER(SEARCH("R104",G16)),0)+IFERROR(--ISNUMBER(SEARCH("R105",G16)),0)+IFERROR(--ISNUMBER(SEARCH("R106",G16)),0)+IFERROR(--ISNUMBER(SEARCH("R107",G16)),0)+IFERROR(--ISNUMBER(SEARCH("R108",G16)),0)+IFERROR(--ISNUMBER(SEARCH("R109",G16)),0)+IFERROR(--ISNUMBER(SEARCH("R110",G16)),0)+IFERROR(--ISNUMBER(SEARCH("R111",G16)),0)+IFERROR(--ISNUMBER(SEARCH("R112",G16)),0)+IFERROR(--ISNUMBER(SEARCH("R113",G16)),0)+IFERROR(--ISNUMBER(SEARCH("R114",G16)),0)+IFERROR(--ISNUMBER(SEARCH("R115",G16)),0)+IFERROR(--ISNUMBER(SEARCH("R116",G16)),0)+IFERROR(--ISNUMBER(SEARCH("R117",G16)),0)+IFERROR(--ISNUMBER(SEARCH("R118",G16)),0)+IFERROR(--ISNUMBER(SEARCH("R119",G16)),0)+IFERROR(--ISNUMBER(SEARCH("R120",G16)),0)+IFERROR(--ISNUMBER(SEARCH("R121",G16)),0)+IFERROR(--ISNUMBER(SEARCH("R122",G16)),0)+IFERROR(--ISNUMBER(SEARCH("R123",G16)),0)+IFERROR(--ISNUMBER(SEARCH("R124",G16)),0)+IFERROR(--ISNUMBER(SEARCH("R125",G16)),0)+IFERROR(--ISNUMBER(SEARCH("R126",G16)),0)+IFERROR(--ISNUMBER(SEARCH("R127",G16)),0)+IFERROR(--ISNUMBER(SEARCH("R128",G16)),0)+IFERROR(--ISNUMBER(SEARCH("R129",G16)),0)+IFERROR(--ISNUMBER(SEARCH("R130",G16)),0)+IFERROR(--ISNUMBER(SEARCH("R131",G16)),0)+IFERROR(--ISNUMBER(SEARCH("R132",G16)),0)+IFERROR(--ISNUMBER(SEARCH("R133",G16)),0)+IFERROR(--ISNUMBER(SEARCH("R134",G16)),0)+IFERROR(--ISNUMBER(SEARCH("R135",G16)),0)+IFERROR(--ISNUMBER(SEARCH("R136",G16)),0)+IFERROR(--ISNUMBER(SEARCH("R137",G16)),0)+IFERROR(--ISNUMBER(SEARCH("R138",G16)),0)+IFERROR(--ISNUMBER(SEARCH("R139",G16)),0)+IFERROR(--ISNUMBER(SEARCH("R140",G16)),0)+IFERROR(--ISNUMBER(SEARCH("R141",G16)),0))</f>
        <v/>
      </c>
      <c r="T16" s="58">
        <f>IF(A16="","",IFERROR(--ISNUMBER(SEARCH("R28",G16)),0)+IFERROR(--ISNUMBER(SEARCH("R29",G16)),0)+IFERROR(--ISNUMBER(SEARCH("R30",G16)),0)+IFERROR(--ISNUMBER(SEARCH("R32",G16)),0)+IFERROR(--ISNUMBER(SEARCH("R33",G16)),0)+IFERROR(--ISNUMBER(SEARCH("R35",G16)),0)+IFERROR(--ISNUMBER(SEARCH("R36",G16)),0)+IFERROR(--ISNUMBER(SEARCH("R38",G16)),0)+IFERROR(--ISNUMBER(SEARCH("R39",G16)),0)+IFERROR(--ISNUMBER(SEARCH("R43",G16)),0)+IFERROR(--ISNUMBER(SEARCH("R44",G16)),0)+IFERROR(--ISNUMBER(SEARCH("R45",G16)),0)+IFERROR(--ISNUMBER(SEARCH("R47",G16)),0)+IFERROR(--ISNUMBER(SEARCH("R48",G16)),0)+IFERROR(--ISNUMBER(SEARCH("R50",G16)),0)+IFERROR(--ISNUMBER(SEARCH("R51",G16)),0)+IFERROR(--ISNUMBER(SEARCH("R56",G16)),0)+IFERROR(--ISNUMBER(SEARCH("R58",G16)),0)+IFERROR(--ISNUMBER(SEARCH("R59",G16)),0)+IFERROR(--ISNUMBER(SEARCH("R60",G16)),0)+IFERROR(--ISNUMBER(SEARCH("R62",G16)),0)+IFERROR(--ISNUMBER(SEARCH("R63",G16)),0)+IFERROR(--ISNUMBER(SEARCH("R64",G16)),0)+IFERROR(--ISNUMBER(SEARCH("R66",G16)),0)+IFERROR(--ISNUMBER(SEARCH("R67",G16)),0)+IFERROR(--ISNUMBER(SEARCH("R72",G16)),0)+IFERROR(--ISNUMBER(SEARCH("R74",G16)),0)+IFERROR(--ISNUMBER(SEARCH("R75",G16)),0)+IFERROR(--ISNUMBER(SEARCH("R76",G16)),0)+IFERROR(--ISNUMBER(SEARCH("R77",G16)),0)+IFERROR(--ISNUMBER(SEARCH("R79",G16)),0)+IFERROR(--ISNUMBER(SEARCH("R80",G16)),0)+IFERROR(--ISNUMBER(SEARCH("R81",G16)),0)+IFERROR(--ISNUMBER(SEARCH("R83",G16)),0)+IFERROR(--ISNUMBER(SEARCH("R84",G16)),0)+IFERROR(--ISNUMBER(SEARCH("R89",G16)),0)+IFERROR(--ISNUMBER(SEARCH("R94",G16)),0)+IFERROR(--ISNUMBER(SEARCH("R95",G16)),0)+IFERROR(--ISNUMBER(SEARCH("R96",G16)),0)+IFERROR(--ISNUMBER(SEARCH("R98",G16)),0)+IFERROR(--ISNUMBER(SEARCH("R99",G16)),0)+IFERROR(--ISNUMBER(SEARCH("R100",G16)),0)+IFERROR(--ISNUMBER(SEARCH("R104",G16)),0)+IFERROR(--ISNUMBER(SEARCH("R105",G16)),0)+IFERROR(--ISNUMBER(SEARCH("R107",G16)),0)+IFERROR(--ISNUMBER(SEARCH("R108",G16)),0)+IFERROR(--ISNUMBER(SEARCH("R109",G16)),0)+IFERROR(--ISNUMBER(SEARCH("R110",G16)),0)+IFERROR(--ISNUMBER(SEARCH("R112",G16)),0)+IFERROR(--ISNUMBER(SEARCH("R113",G16)),0)+IFERROR(--ISNUMBER(SEARCH("R114",G16)),0)+IFERROR(--ISNUMBER(SEARCH("R118",G16)),0)+IFERROR(--ISNUMBER(SEARCH("R119",G16)),0)+IFERROR(--ISNUMBER(SEARCH("R120",G16)),0)+IFERROR(--ISNUMBER(SEARCH("R122",G16)),0)+IFERROR(--ISNUMBER(SEARCH("R123",G16)),0)+IFERROR(--ISNUMBER(SEARCH("R124",G16)),0)+IFERROR(--ISNUMBER(SEARCH("R128",G16)),0)+IFERROR(--ISNUMBER(SEARCH("R130",G16)),0)+IFERROR(--ISNUMBER(SEARCH("R131",G16)),0)+IFERROR(--ISNUMBER(SEARCH("R132",G16)),0)+IFERROR(--ISNUMBER(SEARCH("R135",G16)),0)+IFERROR(--ISNUMBER(SEARCH("R138",G16)),0)+IFERROR(--ISNUMBER(SEARCH("R141",G16)),0))</f>
        <v/>
      </c>
      <c r="U16" s="58">
        <f>IF(A16="","",IFERROR(--ISNUMBER(SEARCH("R28",G16))*28,0)+IFERROR(--ISNUMBER(SEARCH("R29",G16))*29,0)+IFERROR(--ISNUMBER(SEARCH("R30",G16))*30,0)+IFERROR(--ISNUMBER(SEARCH("R31",G16))*31,0)+IFERROR(--ISNUMBER(SEARCH("R32",G16))*32,0)+IFERROR(--ISNUMBER(SEARCH("R33",G16))*33,0)+IFERROR(--ISNUMBER(SEARCH("R34",G16))*34,0)+IFERROR(--ISNUMBER(SEARCH("R35",G16))*35,0)+IFERROR(--ISNUMBER(SEARCH("R36",G16))*36,0)+IFERROR(--ISNUMBER(SEARCH("R37",G16))*37,0)+IFERROR(--ISNUMBER(SEARCH("R38",G16))*38,0)+IFERROR(--ISNUMBER(SEARCH("R39",G16))*39,0)+IFERROR(--ISNUMBER(SEARCH("R40",G16))*40,0)+IFERROR(--ISNUMBER(SEARCH("R41",G16))*41,0)+IFERROR(--ISNUMBER(SEARCH("R42",G16))*42,0)+IFERROR(--ISNUMBER(SEARCH("R43",G16))*43,0)+IFERROR(--ISNUMBER(SEARCH("R44",G16))*44,0)+IFERROR(--ISNUMBER(SEARCH("R45",G16))*45,0)+IFERROR(--ISNUMBER(SEARCH("R46",G16))*46,0)+IFERROR(--ISNUMBER(SEARCH("R47",G16))*47,0)+IFERROR(--ISNUMBER(SEARCH("R48",G16))*48,0)+IFERROR(--ISNUMBER(SEARCH("R49",G16))*49,0)+IFERROR(--ISNUMBER(SEARCH("R50",G16))*50,0)+IFERROR(--ISNUMBER(SEARCH("R51",G16))*51,0)+IFERROR(--ISNUMBER(SEARCH("R52",G16))*52,0)+IFERROR(--ISNUMBER(SEARCH("R53",G16))*53,0)+IFERROR(--ISNUMBER(SEARCH("R54",G16))*54,0)+IFERROR(--ISNUMBER(SEARCH("R55",G16))*55,0)+IFERROR(--ISNUMBER(SEARCH("R56",G16))*56,0)+IFERROR(--ISNUMBER(SEARCH("R57",G16))*57,0)+IFERROR(--ISNUMBER(SEARCH("R58",G16))*58,0)+IFERROR(--ISNUMBER(SEARCH("R59",G16))*59,0)+IFERROR(--ISNUMBER(SEARCH("R60",G16))*60,0)+IFERROR(--ISNUMBER(SEARCH("R61",G16))*61,0)+IFERROR(--ISNUMBER(SEARCH("R62",G16))*62,0)+IFERROR(--ISNUMBER(SEARCH("R63",G16))*63,0)+IFERROR(--ISNUMBER(SEARCH("R64",G16))*64,0)+IFERROR(--ISNUMBER(SEARCH("R65",G16))*65,0)+IFERROR(--ISNUMBER(SEARCH("R66",G16))*66,0)+IFERROR(--ISNUMBER(SEARCH("R67",G16))*67,0)+IFERROR(--ISNUMBER(SEARCH("R68",G16))*68,0)+IFERROR(--ISNUMBER(SEARCH("R69",G16))*69,0)+IFERROR(--ISNUMBER(SEARCH("R70",G16))*70,0)+IFERROR(--ISNUMBER(SEARCH("R71",G16))*71,0)+IFERROR(--ISNUMBER(SEARCH("R72",G16))*72,0)+IFERROR(--ISNUMBER(SEARCH("R73",G16))*73,0)+IFERROR(--ISNUMBER(SEARCH("R74",G16))*74,0)+IFERROR(--ISNUMBER(SEARCH("R75",G16))*75,0)+IFERROR(--ISNUMBER(SEARCH("R76",G16))*76,0)+IFERROR(--ISNUMBER(SEARCH("R77",G16))*77,0)+IFERROR(--ISNUMBER(SEARCH("R78",G16))*78,0)+IFERROR(--ISNUMBER(SEARCH("R79",G16))*79,0)+IFERROR(--ISNUMBER(SEARCH("R80",G16))*80,0)+IFERROR(--ISNUMBER(SEARCH("R81",G16))*81,0)+IFERROR(--ISNUMBER(SEARCH("R82",G16))*82,0)+IFERROR(--ISNUMBER(SEARCH("R83",G16))*83,0)+IFERROR(--ISNUMBER(SEARCH("R84",G16))*84,0)+IFERROR(--ISNUMBER(SEARCH("R85",G16))*85,0)+IFERROR(--ISNUMBER(SEARCH("R86",G16))*86,0)+IFERROR(--ISNUMBER(SEARCH("R87",G16))*87,0)+IFERROR(--ISNUMBER(SEARCH("R88",G16))*88,0)+IFERROR(--ISNUMBER(SEARCH("R89",G16))*89,0)+IFERROR(--ISNUMBER(SEARCH("R90",G16))*90,0)+IFERROR(--ISNUMBER(SEARCH("R91",G16))*91,0)+IFERROR(--ISNUMBER(SEARCH("R92",G16))*92,0)+IFERROR(--ISNUMBER(SEARCH("R93",G16))*93,0)+IFERROR(--ISNUMBER(SEARCH("R94",G16))*94,0)+IFERROR(--ISNUMBER(SEARCH("R95",G16))*95,0)+IFERROR(--ISNUMBER(SEARCH("R96",G16))*96,0)+IFERROR(--ISNUMBER(SEARCH("R97",G16))*97,0)+IFERROR(--ISNUMBER(SEARCH("R98",G16))*98,0)+IFERROR(--ISNUMBER(SEARCH("R99",G16))*99,0)+IFERROR(--ISNUMBER(SEARCH("R100",G16))*100,0)+IFERROR(--ISNUMBER(SEARCH("R101",G16))*101,0)+IFERROR(--ISNUMBER(SEARCH("R102",G16))*102,0)+IFERROR(--ISNUMBER(SEARCH("R103",G16))*103,0)+IFERROR(--ISNUMBER(SEARCH("R104",G16))*104,0)+IFERROR(--ISNUMBER(SEARCH("R105",G16))*105,0)+IFERROR(--ISNUMBER(SEARCH("R106",G16))*106,0)+IFERROR(--ISNUMBER(SEARCH("R107",G16))*107,0)+IFERROR(--ISNUMBER(SEARCH("R108",G16))*108,0)+IFERROR(--ISNUMBER(SEARCH("R109",G16))*109,0)+IFERROR(--ISNUMBER(SEARCH("R110",G16))*110,0)+IFERROR(--ISNUMBER(SEARCH("R111",G16))*111,0)+IFERROR(--ISNUMBER(SEARCH("R112",G16))*112,0)+IFERROR(--ISNUMBER(SEARCH("R113",G16))*113,0)+IFERROR(--ISNUMBER(SEARCH("R114",G16))*114,0)+IFERROR(--ISNUMBER(SEARCH("R115",G16))*115,0)+IFERROR(--ISNUMBER(SEARCH("R116",G16))*116,0)+IFERROR(--ISNUMBER(SEARCH("R117",G16))*117,0)+IFERROR(--ISNUMBER(SEARCH("R118",G16))*118,0)+IFERROR(--ISNUMBER(SEARCH("R119",G16))*119,0)+IFERROR(--ISNUMBER(SEARCH("R120",G16))*120,0)+IFERROR(--ISNUMBER(SEARCH("R121",G16))*121,0)+IFERROR(--ISNUMBER(SEARCH("R122",G16))*122,0)+IFERROR(--ISNUMBER(SEARCH("R123",G16))*123,0)+IFERROR(--ISNUMBER(SEARCH("R124",G16))*124,0)+IFERROR(--ISNUMBER(SEARCH("R125",G16))*125,0)+IFERROR(--ISNUMBER(SEARCH("R126",G16))*126,0)+IFERROR(--ISNUMBER(SEARCH("R127",G16))*127,0)+IFERROR(--ISNUMBER(SEARCH("R128",G16))*128,0)+IFERROR(--ISNUMBER(SEARCH("R129",G16))*129,0)+IFERROR(--ISNUMBER(SEARCH("R130",G16))*130,0)+IFERROR(--ISNUMBER(SEARCH("R131",G16))*131,0)+IFERROR(--ISNUMBER(SEARCH("R132",G16))*132,0)+IFERROR(--ISNUMBER(SEARCH("R133",G16))*133,0)+IFERROR(--ISNUMBER(SEARCH("R134",G16))*134,0)+IFERROR(--ISNUMBER(SEARCH("R135",G16))*135,0)+IFERROR(--ISNUMBER(SEARCH("R136",G16))*136,0)+IFERROR(--ISNUMBER(SEARCH("R137",G16))*137,0)+IFERROR(--ISNUMBER(SEARCH("R138",G16))*138,0)+IFERROR(--ISNUMBER(SEARCH("R139",G16))*139,0)+IFERROR(--ISNUMBER(SEARCH("R140",G16))*140,0)+IFERROR(--ISNUMBER(SEARCH("R141",G16))*141,0))</f>
        <v/>
      </c>
      <c r="V16" s="59">
        <f>IF(A16="","",IF(K16&lt;&gt;"",K16,J16))</f>
        <v/>
      </c>
      <c r="W16" s="59">
        <f>IF(A16="","",IF(AND(V16=29,O16&lt;&gt;"",COUNTIFS($V$6:$V$505,29,$F$6:$F$505,F16,$C$6:$C$505,C16,$O$6:$O$505,"&lt;&gt;")&gt;1),IF(COUNTIFS($V$6:V16,29,$F$6:F16,F16,$C$6:C16,C16,$O$6:O16,"&lt;&gt;")=1,"Esta es la fila que se debe CONSERVAR (aparición 1 de "&amp;COUNTIFS($V$6:$V$505,29,$F$6:$F$505,F16,$C$6:$C$505,C16,$O$6:$O$505,"&lt;&gt;")&amp;" con el mismo tercero y valor, casilla 29). Si hay más filas iguales, bórreles el valor a ELLAS, no a esta.","DUPLICADO — ya existe otra fila con el mismo tercero y valor para casilla 29 (aparición "&amp;COUNTIFS($V$6:V16,29,$F$6:F16,F16,$C$6:C16,C16,$O$6:O16,"&lt;&gt;")&amp;" de "&amp;COUNTIFS($V$6:$V$505,29,$F$6:$F$505,F16,$C$6:$C$505,C16,$O$6:$O$505,"&lt;&gt;")&amp;"). Para resolverlo: seleccione la celda O"&amp;ROW()&amp;" (columna Valor a declarar de ESTA fila) y presione Supr."),""))</f>
        <v/>
      </c>
      <c r="X16" s="463">
        <f>IF(A16="","",F16)</f>
        <v/>
      </c>
      <c r="Y16" s="463">
        <f>IF(A16="","",SUMIF(Entrada_Manual!$I$88:$I$187,A16,Entrada_Manual!$F$88:$F$187))</f>
        <v/>
      </c>
      <c r="Z16" s="463">
        <f>IF(A16="","",X16-Y16)</f>
        <v/>
      </c>
      <c r="AA16">
        <f>IF(A16="","",SUMPRODUCT((Entrada_Manual!$I$88:$I$187=A16)*1))</f>
        <v/>
      </c>
      <c r="AB16">
        <f>IF(A16="","",IF(S16&lt;=1,"",IF(AA16=0,"PENDIENTE — SIN ASIGNAR",IF(Z16=0,"RESUELTO","PARCIAL — DIFERENCIA "&amp;TEXT(Z16,"#,##0")))))</f>
        <v/>
      </c>
    </row>
    <row r="17" ht="41.25" customHeight="1" s="235">
      <c r="A17" s="47">
        <f>IF(Exogena_RAW!E26&lt;&gt;"",ROW()-5,"")</f>
        <v/>
      </c>
      <c r="B17" s="48">
        <f>IF(A17="","",26)</f>
        <v/>
      </c>
      <c r="C17" s="48">
        <f>IF(A17="","",IFERROR(Exogena_RAW!A26,""))</f>
        <v/>
      </c>
      <c r="D17" s="48">
        <f>IF(A17="","",IFERROR(Exogena_RAW!B26,""))</f>
        <v/>
      </c>
      <c r="E17" s="48">
        <f>IF(A17="","",Exogena_RAW!E26)</f>
        <v/>
      </c>
      <c r="F17" s="461">
        <f>IF(A17="","",Exogena_RAW!F26)</f>
        <v/>
      </c>
      <c r="G17" s="48">
        <f>IF(A17="","",IFERROR(Exogena_RAW!G26,""))</f>
        <v/>
      </c>
      <c r="H17" s="48">
        <f>IF(A17="","",IFERROR(Exogena_RAW!H26,""))</f>
        <v/>
      </c>
      <c r="I17" s="48">
        <f>IF(A17="","",IFERROR(IF(S17&gt;1,"VARIAS CASILLAS",IF(S17=1,IF(T17=1,"PROPUESTA DE CASILLA","REVISIÓN: CASILLA NO DIRECTA"),IF(OR(ISNUMBER(SEARCH("TOPE",UPPER(E17))),ISNUMBER(SEARCH("TOPE",UPPER(G17)))),"SOLO CONTROL",IF(ISNUMBER(SEARCH("RETEN",UPPER(E17))),"RETENCIÓN","REVISAR")))),"REVISAR"))</f>
        <v/>
      </c>
      <c r="J17" s="48">
        <f>IF(A17="","",IF(ISNUMBER(SEARCH("ingreso laboral promedio de los últimos seis meses",E17)),"",IFERROR(IF(AND(S17=1,T17=1),U17,""),"")))</f>
        <v/>
      </c>
      <c r="K17" s="216" t="n"/>
      <c r="L17" s="48">
        <f>IF(A17="","",IFERROR(IF(K17&lt;&gt;"","Casilla elegida por usuario",IF(S17&gt;1,"Varias casillas — elegir en K",IF(J17&lt;&gt;"","Sugerencia directa",IF(S17=1,"No trasladar directo — revisar",IF(OR(ISNUMBER(SEARCH("TOPE",UPPER(E17))),ISNUMBER(SEARCH("TOPE",UPPER(G17)))),"Solo control","Revisar manualmente"))))),"Revisar manualmente"))</f>
        <v/>
      </c>
      <c r="M17" s="461">
        <f>IF(A17="","",IF(IF(K17&lt;&gt;"",K17,J17)="",0,IF(COUNTIFS(Reglas!$I$5:$I$118,IF(K17&lt;&gt;"",K17,J17),Reglas!$J$5:$J$118,"Sí")=1,F17,0)))</f>
        <v/>
      </c>
      <c r="N17" s="56" t="n"/>
      <c r="O17" s="462">
        <f>IF(A17="","",IF(M17=0,"",M17))</f>
        <v/>
      </c>
      <c r="P17" s="461">
        <f>IF(A17="","",IF(O17="",0,IF(ISNUMBER(O17),O17,0)))</f>
        <v/>
      </c>
      <c r="Q17" s="48">
        <f>IF(A17="","",IF(Exogena_RAW!$C$4="","BLOQUEADO: FALTA AÑO",IF(Exogena_RAW!$K$10&lt;&gt;Reglas!$B$5,"BLOQUEADO: AÑO",IF(IF(K17&lt;&gt;"",K17,J17)="",IF(S17&gt;1,"REQUIERE ASIGNACIÓN MANUAL (VARIAS CASILLAS)","INFORMATIVO (sin casilla — no se declara)"),IF(COUNTIFS(Reglas!$I$5:$I$118,IF(K17&lt;&gt;"",K17,J17),Reglas!$J$5:$J$118,"Sí")=0,"BLOQUEADO: CASILLA NO DIRECTA",IF(O17="","EXCLUIDO (valor borrado por el usuario)",IF(_xlfn.ISFORMULA(O17),IF(W17&lt;&gt;"","BORRADOR — VALOR SUGERIDO DIAN ⚠ VER ALERTA","BORRADOR — VALOR SUGERIDO DIAN"),IF(W17&lt;&gt;"","ACEPTADO ⚠ VER ALERTA","ACEPTADO"))))))))</f>
        <v/>
      </c>
      <c r="R17" s="218" t="n"/>
      <c r="S17" s="58">
        <f>IF(A17="","",IFERROR(--ISNUMBER(SEARCH("R28",G17)),0)+IFERROR(--ISNUMBER(SEARCH("R29",G17)),0)+IFERROR(--ISNUMBER(SEARCH("R30",G17)),0)+IFERROR(--ISNUMBER(SEARCH("R31",G17)),0)+IFERROR(--ISNUMBER(SEARCH("R32",G17)),0)+IFERROR(--ISNUMBER(SEARCH("R33",G17)),0)+IFERROR(--ISNUMBER(SEARCH("R34",G17)),0)+IFERROR(--ISNUMBER(SEARCH("R35",G17)),0)+IFERROR(--ISNUMBER(SEARCH("R36",G17)),0)+IFERROR(--ISNUMBER(SEARCH("R37",G17)),0)+IFERROR(--ISNUMBER(SEARCH("R38",G17)),0)+IFERROR(--ISNUMBER(SEARCH("R39",G17)),0)+IFERROR(--ISNUMBER(SEARCH("R40",G17)),0)+IFERROR(--ISNUMBER(SEARCH("R41",G17)),0)+IFERROR(--ISNUMBER(SEARCH("R42",G17)),0)+IFERROR(--ISNUMBER(SEARCH("R43",G17)),0)+IFERROR(--ISNUMBER(SEARCH("R44",G17)),0)+IFERROR(--ISNUMBER(SEARCH("R45",G17)),0)+IFERROR(--ISNUMBER(SEARCH("R46",G17)),0)+IFERROR(--ISNUMBER(SEARCH("R47",G17)),0)+IFERROR(--ISNUMBER(SEARCH("R48",G17)),0)+IFERROR(--ISNUMBER(SEARCH("R49",G17)),0)+IFERROR(--ISNUMBER(SEARCH("R50",G17)),0)+IFERROR(--ISNUMBER(SEARCH("R51",G17)),0)+IFERROR(--ISNUMBER(SEARCH("R52",G17)),0)+IFERROR(--ISNUMBER(SEARCH("R53",G17)),0)+IFERROR(--ISNUMBER(SEARCH("R54",G17)),0)+IFERROR(--ISNUMBER(SEARCH("R55",G17)),0)+IFERROR(--ISNUMBER(SEARCH("R56",G17)),0)+IFERROR(--ISNUMBER(SEARCH("R57",G17)),0)+IFERROR(--ISNUMBER(SEARCH("R58",G17)),0)+IFERROR(--ISNUMBER(SEARCH("R59",G17)),0)+IFERROR(--ISNUMBER(SEARCH("R60",G17)),0)+IFERROR(--ISNUMBER(SEARCH("R61",G17)),0)+IFERROR(--ISNUMBER(SEARCH("R62",G17)),0)+IFERROR(--ISNUMBER(SEARCH("R63",G17)),0)+IFERROR(--ISNUMBER(SEARCH("R64",G17)),0)+IFERROR(--ISNUMBER(SEARCH("R65",G17)),0)+IFERROR(--ISNUMBER(SEARCH("R66",G17)),0)+IFERROR(--ISNUMBER(SEARCH("R67",G17)),0)+IFERROR(--ISNUMBER(SEARCH("R68",G17)),0)+IFERROR(--ISNUMBER(SEARCH("R69",G17)),0)+IFERROR(--ISNUMBER(SEARCH("R70",G17)),0)+IFERROR(--ISNUMBER(SEARCH("R71",G17)),0)+IFERROR(--ISNUMBER(SEARCH("R72",G17)),0)+IFERROR(--ISNUMBER(SEARCH("R73",G17)),0)+IFERROR(--ISNUMBER(SEARCH("R74",G17)),0)+IFERROR(--ISNUMBER(SEARCH("R75",G17)),0)+IFERROR(--ISNUMBER(SEARCH("R76",G17)),0)+IFERROR(--ISNUMBER(SEARCH("R77",G17)),0)+IFERROR(--ISNUMBER(SEARCH("R78",G17)),0)+IFERROR(--ISNUMBER(SEARCH("R79",G17)),0)+IFERROR(--ISNUMBER(SEARCH("R80",G17)),0)+IFERROR(--ISNUMBER(SEARCH("R81",G17)),0)+IFERROR(--ISNUMBER(SEARCH("R82",G17)),0)+IFERROR(--ISNUMBER(SEARCH("R83",G17)),0)+IFERROR(--ISNUMBER(SEARCH("R84",G17)),0)+IFERROR(--ISNUMBER(SEARCH("R85",G17)),0)+IFERROR(--ISNUMBER(SEARCH("R86",G17)),0)+IFERROR(--ISNUMBER(SEARCH("R87",G17)),0)+IFERROR(--ISNUMBER(SEARCH("R88",G17)),0)+IFERROR(--ISNUMBER(SEARCH("R89",G17)),0)+IFERROR(--ISNUMBER(SEARCH("R90",G17)),0)+IFERROR(--ISNUMBER(SEARCH("R91",G17)),0)+IFERROR(--ISNUMBER(SEARCH("R92",G17)),0)+IFERROR(--ISNUMBER(SEARCH("R93",G17)),0)+IFERROR(--ISNUMBER(SEARCH("R94",G17)),0)+IFERROR(--ISNUMBER(SEARCH("R95",G17)),0)+IFERROR(--ISNUMBER(SEARCH("R96",G17)),0)+IFERROR(--ISNUMBER(SEARCH("R97",G17)),0)+IFERROR(--ISNUMBER(SEARCH("R98",G17)),0)+IFERROR(--ISNUMBER(SEARCH("R99",G17)),0)+IFERROR(--ISNUMBER(SEARCH("R100",G17)),0)+IFERROR(--ISNUMBER(SEARCH("R101",G17)),0)+IFERROR(--ISNUMBER(SEARCH("R102",G17)),0)+IFERROR(--ISNUMBER(SEARCH("R103",G17)),0)+IFERROR(--ISNUMBER(SEARCH("R104",G17)),0)+IFERROR(--ISNUMBER(SEARCH("R105",G17)),0)+IFERROR(--ISNUMBER(SEARCH("R106",G17)),0)+IFERROR(--ISNUMBER(SEARCH("R107",G17)),0)+IFERROR(--ISNUMBER(SEARCH("R108",G17)),0)+IFERROR(--ISNUMBER(SEARCH("R109",G17)),0)+IFERROR(--ISNUMBER(SEARCH("R110",G17)),0)+IFERROR(--ISNUMBER(SEARCH("R111",G17)),0)+IFERROR(--ISNUMBER(SEARCH("R112",G17)),0)+IFERROR(--ISNUMBER(SEARCH("R113",G17)),0)+IFERROR(--ISNUMBER(SEARCH("R114",G17)),0)+IFERROR(--ISNUMBER(SEARCH("R115",G17)),0)+IFERROR(--ISNUMBER(SEARCH("R116",G17)),0)+IFERROR(--ISNUMBER(SEARCH("R117",G17)),0)+IFERROR(--ISNUMBER(SEARCH("R118",G17)),0)+IFERROR(--ISNUMBER(SEARCH("R119",G17)),0)+IFERROR(--ISNUMBER(SEARCH("R120",G17)),0)+IFERROR(--ISNUMBER(SEARCH("R121",G17)),0)+IFERROR(--ISNUMBER(SEARCH("R122",G17)),0)+IFERROR(--ISNUMBER(SEARCH("R123",G17)),0)+IFERROR(--ISNUMBER(SEARCH("R124",G17)),0)+IFERROR(--ISNUMBER(SEARCH("R125",G17)),0)+IFERROR(--ISNUMBER(SEARCH("R126",G17)),0)+IFERROR(--ISNUMBER(SEARCH("R127",G17)),0)+IFERROR(--ISNUMBER(SEARCH("R128",G17)),0)+IFERROR(--ISNUMBER(SEARCH("R129",G17)),0)+IFERROR(--ISNUMBER(SEARCH("R130",G17)),0)+IFERROR(--ISNUMBER(SEARCH("R131",G17)),0)+IFERROR(--ISNUMBER(SEARCH("R132",G17)),0)+IFERROR(--ISNUMBER(SEARCH("R133",G17)),0)+IFERROR(--ISNUMBER(SEARCH("R134",G17)),0)+IFERROR(--ISNUMBER(SEARCH("R135",G17)),0)+IFERROR(--ISNUMBER(SEARCH("R136",G17)),0)+IFERROR(--ISNUMBER(SEARCH("R137",G17)),0)+IFERROR(--ISNUMBER(SEARCH("R138",G17)),0)+IFERROR(--ISNUMBER(SEARCH("R139",G17)),0)+IFERROR(--ISNUMBER(SEARCH("R140",G17)),0)+IFERROR(--ISNUMBER(SEARCH("R141",G17)),0))</f>
        <v/>
      </c>
      <c r="T17" s="58">
        <f>IF(A17="","",IFERROR(--ISNUMBER(SEARCH("R28",G17)),0)+IFERROR(--ISNUMBER(SEARCH("R29",G17)),0)+IFERROR(--ISNUMBER(SEARCH("R30",G17)),0)+IFERROR(--ISNUMBER(SEARCH("R32",G17)),0)+IFERROR(--ISNUMBER(SEARCH("R33",G17)),0)+IFERROR(--ISNUMBER(SEARCH("R35",G17)),0)+IFERROR(--ISNUMBER(SEARCH("R36",G17)),0)+IFERROR(--ISNUMBER(SEARCH("R38",G17)),0)+IFERROR(--ISNUMBER(SEARCH("R39",G17)),0)+IFERROR(--ISNUMBER(SEARCH("R43",G17)),0)+IFERROR(--ISNUMBER(SEARCH("R44",G17)),0)+IFERROR(--ISNUMBER(SEARCH("R45",G17)),0)+IFERROR(--ISNUMBER(SEARCH("R47",G17)),0)+IFERROR(--ISNUMBER(SEARCH("R48",G17)),0)+IFERROR(--ISNUMBER(SEARCH("R50",G17)),0)+IFERROR(--ISNUMBER(SEARCH("R51",G17)),0)+IFERROR(--ISNUMBER(SEARCH("R56",G17)),0)+IFERROR(--ISNUMBER(SEARCH("R58",G17)),0)+IFERROR(--ISNUMBER(SEARCH("R59",G17)),0)+IFERROR(--ISNUMBER(SEARCH("R60",G17)),0)+IFERROR(--ISNUMBER(SEARCH("R62",G17)),0)+IFERROR(--ISNUMBER(SEARCH("R63",G17)),0)+IFERROR(--ISNUMBER(SEARCH("R64",G17)),0)+IFERROR(--ISNUMBER(SEARCH("R66",G17)),0)+IFERROR(--ISNUMBER(SEARCH("R67",G17)),0)+IFERROR(--ISNUMBER(SEARCH("R72",G17)),0)+IFERROR(--ISNUMBER(SEARCH("R74",G17)),0)+IFERROR(--ISNUMBER(SEARCH("R75",G17)),0)+IFERROR(--ISNUMBER(SEARCH("R76",G17)),0)+IFERROR(--ISNUMBER(SEARCH("R77",G17)),0)+IFERROR(--ISNUMBER(SEARCH("R79",G17)),0)+IFERROR(--ISNUMBER(SEARCH("R80",G17)),0)+IFERROR(--ISNUMBER(SEARCH("R81",G17)),0)+IFERROR(--ISNUMBER(SEARCH("R83",G17)),0)+IFERROR(--ISNUMBER(SEARCH("R84",G17)),0)+IFERROR(--ISNUMBER(SEARCH("R89",G17)),0)+IFERROR(--ISNUMBER(SEARCH("R94",G17)),0)+IFERROR(--ISNUMBER(SEARCH("R95",G17)),0)+IFERROR(--ISNUMBER(SEARCH("R96",G17)),0)+IFERROR(--ISNUMBER(SEARCH("R98",G17)),0)+IFERROR(--ISNUMBER(SEARCH("R99",G17)),0)+IFERROR(--ISNUMBER(SEARCH("R100",G17)),0)+IFERROR(--ISNUMBER(SEARCH("R104",G17)),0)+IFERROR(--ISNUMBER(SEARCH("R105",G17)),0)+IFERROR(--ISNUMBER(SEARCH("R107",G17)),0)+IFERROR(--ISNUMBER(SEARCH("R108",G17)),0)+IFERROR(--ISNUMBER(SEARCH("R109",G17)),0)+IFERROR(--ISNUMBER(SEARCH("R110",G17)),0)+IFERROR(--ISNUMBER(SEARCH("R112",G17)),0)+IFERROR(--ISNUMBER(SEARCH("R113",G17)),0)+IFERROR(--ISNUMBER(SEARCH("R114",G17)),0)+IFERROR(--ISNUMBER(SEARCH("R118",G17)),0)+IFERROR(--ISNUMBER(SEARCH("R119",G17)),0)+IFERROR(--ISNUMBER(SEARCH("R120",G17)),0)+IFERROR(--ISNUMBER(SEARCH("R122",G17)),0)+IFERROR(--ISNUMBER(SEARCH("R123",G17)),0)+IFERROR(--ISNUMBER(SEARCH("R124",G17)),0)+IFERROR(--ISNUMBER(SEARCH("R128",G17)),0)+IFERROR(--ISNUMBER(SEARCH("R130",G17)),0)+IFERROR(--ISNUMBER(SEARCH("R131",G17)),0)+IFERROR(--ISNUMBER(SEARCH("R132",G17)),0)+IFERROR(--ISNUMBER(SEARCH("R135",G17)),0)+IFERROR(--ISNUMBER(SEARCH("R138",G17)),0)+IFERROR(--ISNUMBER(SEARCH("R141",G17)),0))</f>
        <v/>
      </c>
      <c r="U17" s="58">
        <f>IF(A17="","",IFERROR(--ISNUMBER(SEARCH("R28",G17))*28,0)+IFERROR(--ISNUMBER(SEARCH("R29",G17))*29,0)+IFERROR(--ISNUMBER(SEARCH("R30",G17))*30,0)+IFERROR(--ISNUMBER(SEARCH("R31",G17))*31,0)+IFERROR(--ISNUMBER(SEARCH("R32",G17))*32,0)+IFERROR(--ISNUMBER(SEARCH("R33",G17))*33,0)+IFERROR(--ISNUMBER(SEARCH("R34",G17))*34,0)+IFERROR(--ISNUMBER(SEARCH("R35",G17))*35,0)+IFERROR(--ISNUMBER(SEARCH("R36",G17))*36,0)+IFERROR(--ISNUMBER(SEARCH("R37",G17))*37,0)+IFERROR(--ISNUMBER(SEARCH("R38",G17))*38,0)+IFERROR(--ISNUMBER(SEARCH("R39",G17))*39,0)+IFERROR(--ISNUMBER(SEARCH("R40",G17))*40,0)+IFERROR(--ISNUMBER(SEARCH("R41",G17))*41,0)+IFERROR(--ISNUMBER(SEARCH("R42",G17))*42,0)+IFERROR(--ISNUMBER(SEARCH("R43",G17))*43,0)+IFERROR(--ISNUMBER(SEARCH("R44",G17))*44,0)+IFERROR(--ISNUMBER(SEARCH("R45",G17))*45,0)+IFERROR(--ISNUMBER(SEARCH("R46",G17))*46,0)+IFERROR(--ISNUMBER(SEARCH("R47",G17))*47,0)+IFERROR(--ISNUMBER(SEARCH("R48",G17))*48,0)+IFERROR(--ISNUMBER(SEARCH("R49",G17))*49,0)+IFERROR(--ISNUMBER(SEARCH("R50",G17))*50,0)+IFERROR(--ISNUMBER(SEARCH("R51",G17))*51,0)+IFERROR(--ISNUMBER(SEARCH("R52",G17))*52,0)+IFERROR(--ISNUMBER(SEARCH("R53",G17))*53,0)+IFERROR(--ISNUMBER(SEARCH("R54",G17))*54,0)+IFERROR(--ISNUMBER(SEARCH("R55",G17))*55,0)+IFERROR(--ISNUMBER(SEARCH("R56",G17))*56,0)+IFERROR(--ISNUMBER(SEARCH("R57",G17))*57,0)+IFERROR(--ISNUMBER(SEARCH("R58",G17))*58,0)+IFERROR(--ISNUMBER(SEARCH("R59",G17))*59,0)+IFERROR(--ISNUMBER(SEARCH("R60",G17))*60,0)+IFERROR(--ISNUMBER(SEARCH("R61",G17))*61,0)+IFERROR(--ISNUMBER(SEARCH("R62",G17))*62,0)+IFERROR(--ISNUMBER(SEARCH("R63",G17))*63,0)+IFERROR(--ISNUMBER(SEARCH("R64",G17))*64,0)+IFERROR(--ISNUMBER(SEARCH("R65",G17))*65,0)+IFERROR(--ISNUMBER(SEARCH("R66",G17))*66,0)+IFERROR(--ISNUMBER(SEARCH("R67",G17))*67,0)+IFERROR(--ISNUMBER(SEARCH("R68",G17))*68,0)+IFERROR(--ISNUMBER(SEARCH("R69",G17))*69,0)+IFERROR(--ISNUMBER(SEARCH("R70",G17))*70,0)+IFERROR(--ISNUMBER(SEARCH("R71",G17))*71,0)+IFERROR(--ISNUMBER(SEARCH("R72",G17))*72,0)+IFERROR(--ISNUMBER(SEARCH("R73",G17))*73,0)+IFERROR(--ISNUMBER(SEARCH("R74",G17))*74,0)+IFERROR(--ISNUMBER(SEARCH("R75",G17))*75,0)+IFERROR(--ISNUMBER(SEARCH("R76",G17))*76,0)+IFERROR(--ISNUMBER(SEARCH("R77",G17))*77,0)+IFERROR(--ISNUMBER(SEARCH("R78",G17))*78,0)+IFERROR(--ISNUMBER(SEARCH("R79",G17))*79,0)+IFERROR(--ISNUMBER(SEARCH("R80",G17))*80,0)+IFERROR(--ISNUMBER(SEARCH("R81",G17))*81,0)+IFERROR(--ISNUMBER(SEARCH("R82",G17))*82,0)+IFERROR(--ISNUMBER(SEARCH("R83",G17))*83,0)+IFERROR(--ISNUMBER(SEARCH("R84",G17))*84,0)+IFERROR(--ISNUMBER(SEARCH("R85",G17))*85,0)+IFERROR(--ISNUMBER(SEARCH("R86",G17))*86,0)+IFERROR(--ISNUMBER(SEARCH("R87",G17))*87,0)+IFERROR(--ISNUMBER(SEARCH("R88",G17))*88,0)+IFERROR(--ISNUMBER(SEARCH("R89",G17))*89,0)+IFERROR(--ISNUMBER(SEARCH("R90",G17))*90,0)+IFERROR(--ISNUMBER(SEARCH("R91",G17))*91,0)+IFERROR(--ISNUMBER(SEARCH("R92",G17))*92,0)+IFERROR(--ISNUMBER(SEARCH("R93",G17))*93,0)+IFERROR(--ISNUMBER(SEARCH("R94",G17))*94,0)+IFERROR(--ISNUMBER(SEARCH("R95",G17))*95,0)+IFERROR(--ISNUMBER(SEARCH("R96",G17))*96,0)+IFERROR(--ISNUMBER(SEARCH("R97",G17))*97,0)+IFERROR(--ISNUMBER(SEARCH("R98",G17))*98,0)+IFERROR(--ISNUMBER(SEARCH("R99",G17))*99,0)+IFERROR(--ISNUMBER(SEARCH("R100",G17))*100,0)+IFERROR(--ISNUMBER(SEARCH("R101",G17))*101,0)+IFERROR(--ISNUMBER(SEARCH("R102",G17))*102,0)+IFERROR(--ISNUMBER(SEARCH("R103",G17))*103,0)+IFERROR(--ISNUMBER(SEARCH("R104",G17))*104,0)+IFERROR(--ISNUMBER(SEARCH("R105",G17))*105,0)+IFERROR(--ISNUMBER(SEARCH("R106",G17))*106,0)+IFERROR(--ISNUMBER(SEARCH("R107",G17))*107,0)+IFERROR(--ISNUMBER(SEARCH("R108",G17))*108,0)+IFERROR(--ISNUMBER(SEARCH("R109",G17))*109,0)+IFERROR(--ISNUMBER(SEARCH("R110",G17))*110,0)+IFERROR(--ISNUMBER(SEARCH("R111",G17))*111,0)+IFERROR(--ISNUMBER(SEARCH("R112",G17))*112,0)+IFERROR(--ISNUMBER(SEARCH("R113",G17))*113,0)+IFERROR(--ISNUMBER(SEARCH("R114",G17))*114,0)+IFERROR(--ISNUMBER(SEARCH("R115",G17))*115,0)+IFERROR(--ISNUMBER(SEARCH("R116",G17))*116,0)+IFERROR(--ISNUMBER(SEARCH("R117",G17))*117,0)+IFERROR(--ISNUMBER(SEARCH("R118",G17))*118,0)+IFERROR(--ISNUMBER(SEARCH("R119",G17))*119,0)+IFERROR(--ISNUMBER(SEARCH("R120",G17))*120,0)+IFERROR(--ISNUMBER(SEARCH("R121",G17))*121,0)+IFERROR(--ISNUMBER(SEARCH("R122",G17))*122,0)+IFERROR(--ISNUMBER(SEARCH("R123",G17))*123,0)+IFERROR(--ISNUMBER(SEARCH("R124",G17))*124,0)+IFERROR(--ISNUMBER(SEARCH("R125",G17))*125,0)+IFERROR(--ISNUMBER(SEARCH("R126",G17))*126,0)+IFERROR(--ISNUMBER(SEARCH("R127",G17))*127,0)+IFERROR(--ISNUMBER(SEARCH("R128",G17))*128,0)+IFERROR(--ISNUMBER(SEARCH("R129",G17))*129,0)+IFERROR(--ISNUMBER(SEARCH("R130",G17))*130,0)+IFERROR(--ISNUMBER(SEARCH("R131",G17))*131,0)+IFERROR(--ISNUMBER(SEARCH("R132",G17))*132,0)+IFERROR(--ISNUMBER(SEARCH("R133",G17))*133,0)+IFERROR(--ISNUMBER(SEARCH("R134",G17))*134,0)+IFERROR(--ISNUMBER(SEARCH("R135",G17))*135,0)+IFERROR(--ISNUMBER(SEARCH("R136",G17))*136,0)+IFERROR(--ISNUMBER(SEARCH("R137",G17))*137,0)+IFERROR(--ISNUMBER(SEARCH("R138",G17))*138,0)+IFERROR(--ISNUMBER(SEARCH("R139",G17))*139,0)+IFERROR(--ISNUMBER(SEARCH("R140",G17))*140,0)+IFERROR(--ISNUMBER(SEARCH("R141",G17))*141,0))</f>
        <v/>
      </c>
      <c r="V17" s="59">
        <f>IF(A17="","",IF(K17&lt;&gt;"",K17,J17))</f>
        <v/>
      </c>
      <c r="W17" s="59">
        <f>IF(A17="","",IF(AND(V17=29,O17&lt;&gt;"",COUNTIFS($V$6:$V$505,29,$F$6:$F$505,F17,$C$6:$C$505,C17,$O$6:$O$505,"&lt;&gt;")&gt;1),IF(COUNTIFS($V$6:V17,29,$F$6:F17,F17,$C$6:C17,C17,$O$6:O17,"&lt;&gt;")=1,"Esta es la fila que se debe CONSERVAR (aparición 1 de "&amp;COUNTIFS($V$6:$V$505,29,$F$6:$F$505,F17,$C$6:$C$505,C17,$O$6:$O$505,"&lt;&gt;")&amp;" con el mismo tercero y valor, casilla 29). Si hay más filas iguales, bórreles el valor a ELLAS, no a esta.","DUPLICADO — ya existe otra fila con el mismo tercero y valor para casilla 29 (aparición "&amp;COUNTIFS($V$6:V17,29,$F$6:F17,F17,$C$6:C17,C17,$O$6:O17,"&lt;&gt;")&amp;" de "&amp;COUNTIFS($V$6:$V$505,29,$F$6:$F$505,F17,$C$6:$C$505,C17,$O$6:$O$505,"&lt;&gt;")&amp;"). Para resolverlo: seleccione la celda O"&amp;ROW()&amp;" (columna Valor a declarar de ESTA fila) y presione Supr."),""))</f>
        <v/>
      </c>
      <c r="X17" s="463">
        <f>IF(A17="","",F17)</f>
        <v/>
      </c>
      <c r="Y17" s="463">
        <f>IF(A17="","",SUMIF(Entrada_Manual!$I$88:$I$187,A17,Entrada_Manual!$F$88:$F$187))</f>
        <v/>
      </c>
      <c r="Z17" s="463">
        <f>IF(A17="","",X17-Y17)</f>
        <v/>
      </c>
      <c r="AA17">
        <f>IF(A17="","",SUMPRODUCT((Entrada_Manual!$I$88:$I$187=A17)*1))</f>
        <v/>
      </c>
      <c r="AB17">
        <f>IF(A17="","",IF(S17&lt;=1,"",IF(AA17=0,"PENDIENTE — SIN ASIGNAR",IF(Z17=0,"RESUELTO","PARCIAL — DIFERENCIA "&amp;TEXT(Z17,"#,##0")))))</f>
        <v/>
      </c>
    </row>
    <row r="18" ht="27.75" customHeight="1" s="235">
      <c r="A18" s="47">
        <f>IF(Exogena_RAW!E27&lt;&gt;"",ROW()-5,"")</f>
        <v/>
      </c>
      <c r="B18" s="48">
        <f>IF(A18="","",27)</f>
        <v/>
      </c>
      <c r="C18" s="48">
        <f>IF(A18="","",IFERROR(Exogena_RAW!A27,""))</f>
        <v/>
      </c>
      <c r="D18" s="48">
        <f>IF(A18="","",IFERROR(Exogena_RAW!B27,""))</f>
        <v/>
      </c>
      <c r="E18" s="48">
        <f>IF(A18="","",Exogena_RAW!E27)</f>
        <v/>
      </c>
      <c r="F18" s="461">
        <f>IF(A18="","",Exogena_RAW!F27)</f>
        <v/>
      </c>
      <c r="G18" s="48">
        <f>IF(A18="","",IFERROR(Exogena_RAW!G27,""))</f>
        <v/>
      </c>
      <c r="H18" s="48">
        <f>IF(A18="","",IFERROR(Exogena_RAW!H27,""))</f>
        <v/>
      </c>
      <c r="I18" s="48">
        <f>IF(A18="","",IFERROR(IF(S18&gt;1,"VARIAS CASILLAS",IF(S18=1,IF(T18=1,"PROPUESTA DE CASILLA","REVISIÓN: CASILLA NO DIRECTA"),IF(OR(ISNUMBER(SEARCH("TOPE",UPPER(E18))),ISNUMBER(SEARCH("TOPE",UPPER(G18)))),"SOLO CONTROL",IF(ISNUMBER(SEARCH("RETEN",UPPER(E18))),"RETENCIÓN","REVISAR")))),"REVISAR"))</f>
        <v/>
      </c>
      <c r="J18" s="61">
        <f>IF(A18="","",IF(ISNUMBER(SEARCH("ingreso laboral promedio de los últimos seis meses",E18)),"",IFERROR(IF(AND(S18=1,T18=1),U18,""),"")))</f>
        <v/>
      </c>
      <c r="K18" s="216" t="n"/>
      <c r="L18" s="48">
        <f>IF(A18="","",IFERROR(IF(K18&lt;&gt;"","Casilla elegida por usuario",IF(S18&gt;1,"Varias casillas — elegir en K",IF(J18&lt;&gt;"","Sugerencia directa",IF(S18=1,"No trasladar directo — revisar",IF(OR(ISNUMBER(SEARCH("TOPE",UPPER(E18))),ISNUMBER(SEARCH("TOPE",UPPER(G18)))),"Solo control","Revisar manualmente"))))),"Revisar manualmente"))</f>
        <v/>
      </c>
      <c r="M18" s="461">
        <f>IF(A18="","",IF(IF(K18&lt;&gt;"",K18,J18)="",0,IF(COUNTIFS(Reglas!$I$5:$I$118,IF(K18&lt;&gt;"",K18,J18),Reglas!$J$5:$J$118,"Sí")=1,F18,0)))</f>
        <v/>
      </c>
      <c r="N18" s="56" t="n"/>
      <c r="O18" s="462">
        <f>IF(A18="","",IF(M18=0,"",M18))</f>
        <v/>
      </c>
      <c r="P18" s="461">
        <f>IF(A18="","",IF(O18="",0,IF(ISNUMBER(O18),O18,0)))</f>
        <v/>
      </c>
      <c r="Q18" s="48">
        <f>IF(A18="","",IF(Exogena_RAW!$C$4="","BLOQUEADO: FALTA AÑO",IF(Exogena_RAW!$K$10&lt;&gt;Reglas!$B$5,"BLOQUEADO: AÑO",IF(IF(K18&lt;&gt;"",K18,J18)="",IF(S18&gt;1,"REQUIERE ASIGNACIÓN MANUAL (VARIAS CASILLAS)","INFORMATIVO (sin casilla — no se declara)"),IF(COUNTIFS(Reglas!$I$5:$I$118,IF(K18&lt;&gt;"",K18,J18),Reglas!$J$5:$J$118,"Sí")=0,"BLOQUEADO: CASILLA NO DIRECTA",IF(O18="","EXCLUIDO (valor borrado por el usuario)",IF(_xlfn.ISFORMULA(O18),IF(W18&lt;&gt;"","BORRADOR — VALOR SUGERIDO DIAN ⚠ VER ALERTA","BORRADOR — VALOR SUGERIDO DIAN"),IF(W18&lt;&gt;"","ACEPTADO ⚠ VER ALERTA","ACEPTADO"))))))))</f>
        <v/>
      </c>
      <c r="R18" s="218" t="n"/>
      <c r="S18" s="58">
        <f>IF(A18="","",IFERROR(--ISNUMBER(SEARCH("R28",G18)),0)+IFERROR(--ISNUMBER(SEARCH("R29",G18)),0)+IFERROR(--ISNUMBER(SEARCH("R30",G18)),0)+IFERROR(--ISNUMBER(SEARCH("R31",G18)),0)+IFERROR(--ISNUMBER(SEARCH("R32",G18)),0)+IFERROR(--ISNUMBER(SEARCH("R33",G18)),0)+IFERROR(--ISNUMBER(SEARCH("R34",G18)),0)+IFERROR(--ISNUMBER(SEARCH("R35",G18)),0)+IFERROR(--ISNUMBER(SEARCH("R36",G18)),0)+IFERROR(--ISNUMBER(SEARCH("R37",G18)),0)+IFERROR(--ISNUMBER(SEARCH("R38",G18)),0)+IFERROR(--ISNUMBER(SEARCH("R39",G18)),0)+IFERROR(--ISNUMBER(SEARCH("R40",G18)),0)+IFERROR(--ISNUMBER(SEARCH("R41",G18)),0)+IFERROR(--ISNUMBER(SEARCH("R42",G18)),0)+IFERROR(--ISNUMBER(SEARCH("R43",G18)),0)+IFERROR(--ISNUMBER(SEARCH("R44",G18)),0)+IFERROR(--ISNUMBER(SEARCH("R45",G18)),0)+IFERROR(--ISNUMBER(SEARCH("R46",G18)),0)+IFERROR(--ISNUMBER(SEARCH("R47",G18)),0)+IFERROR(--ISNUMBER(SEARCH("R48",G18)),0)+IFERROR(--ISNUMBER(SEARCH("R49",G18)),0)+IFERROR(--ISNUMBER(SEARCH("R50",G18)),0)+IFERROR(--ISNUMBER(SEARCH("R51",G18)),0)+IFERROR(--ISNUMBER(SEARCH("R52",G18)),0)+IFERROR(--ISNUMBER(SEARCH("R53",G18)),0)+IFERROR(--ISNUMBER(SEARCH("R54",G18)),0)+IFERROR(--ISNUMBER(SEARCH("R55",G18)),0)+IFERROR(--ISNUMBER(SEARCH("R56",G18)),0)+IFERROR(--ISNUMBER(SEARCH("R57",G18)),0)+IFERROR(--ISNUMBER(SEARCH("R58",G18)),0)+IFERROR(--ISNUMBER(SEARCH("R59",G18)),0)+IFERROR(--ISNUMBER(SEARCH("R60",G18)),0)+IFERROR(--ISNUMBER(SEARCH("R61",G18)),0)+IFERROR(--ISNUMBER(SEARCH("R62",G18)),0)+IFERROR(--ISNUMBER(SEARCH("R63",G18)),0)+IFERROR(--ISNUMBER(SEARCH("R64",G18)),0)+IFERROR(--ISNUMBER(SEARCH("R65",G18)),0)+IFERROR(--ISNUMBER(SEARCH("R66",G18)),0)+IFERROR(--ISNUMBER(SEARCH("R67",G18)),0)+IFERROR(--ISNUMBER(SEARCH("R68",G18)),0)+IFERROR(--ISNUMBER(SEARCH("R69",G18)),0)+IFERROR(--ISNUMBER(SEARCH("R70",G18)),0)+IFERROR(--ISNUMBER(SEARCH("R71",G18)),0)+IFERROR(--ISNUMBER(SEARCH("R72",G18)),0)+IFERROR(--ISNUMBER(SEARCH("R73",G18)),0)+IFERROR(--ISNUMBER(SEARCH("R74",G18)),0)+IFERROR(--ISNUMBER(SEARCH("R75",G18)),0)+IFERROR(--ISNUMBER(SEARCH("R76",G18)),0)+IFERROR(--ISNUMBER(SEARCH("R77",G18)),0)+IFERROR(--ISNUMBER(SEARCH("R78",G18)),0)+IFERROR(--ISNUMBER(SEARCH("R79",G18)),0)+IFERROR(--ISNUMBER(SEARCH("R80",G18)),0)+IFERROR(--ISNUMBER(SEARCH("R81",G18)),0)+IFERROR(--ISNUMBER(SEARCH("R82",G18)),0)+IFERROR(--ISNUMBER(SEARCH("R83",G18)),0)+IFERROR(--ISNUMBER(SEARCH("R84",G18)),0)+IFERROR(--ISNUMBER(SEARCH("R85",G18)),0)+IFERROR(--ISNUMBER(SEARCH("R86",G18)),0)+IFERROR(--ISNUMBER(SEARCH("R87",G18)),0)+IFERROR(--ISNUMBER(SEARCH("R88",G18)),0)+IFERROR(--ISNUMBER(SEARCH("R89",G18)),0)+IFERROR(--ISNUMBER(SEARCH("R90",G18)),0)+IFERROR(--ISNUMBER(SEARCH("R91",G18)),0)+IFERROR(--ISNUMBER(SEARCH("R92",G18)),0)+IFERROR(--ISNUMBER(SEARCH("R93",G18)),0)+IFERROR(--ISNUMBER(SEARCH("R94",G18)),0)+IFERROR(--ISNUMBER(SEARCH("R95",G18)),0)+IFERROR(--ISNUMBER(SEARCH("R96",G18)),0)+IFERROR(--ISNUMBER(SEARCH("R97",G18)),0)+IFERROR(--ISNUMBER(SEARCH("R98",G18)),0)+IFERROR(--ISNUMBER(SEARCH("R99",G18)),0)+IFERROR(--ISNUMBER(SEARCH("R100",G18)),0)+IFERROR(--ISNUMBER(SEARCH("R101",G18)),0)+IFERROR(--ISNUMBER(SEARCH("R102",G18)),0)+IFERROR(--ISNUMBER(SEARCH("R103",G18)),0)+IFERROR(--ISNUMBER(SEARCH("R104",G18)),0)+IFERROR(--ISNUMBER(SEARCH("R105",G18)),0)+IFERROR(--ISNUMBER(SEARCH("R106",G18)),0)+IFERROR(--ISNUMBER(SEARCH("R107",G18)),0)+IFERROR(--ISNUMBER(SEARCH("R108",G18)),0)+IFERROR(--ISNUMBER(SEARCH("R109",G18)),0)+IFERROR(--ISNUMBER(SEARCH("R110",G18)),0)+IFERROR(--ISNUMBER(SEARCH("R111",G18)),0)+IFERROR(--ISNUMBER(SEARCH("R112",G18)),0)+IFERROR(--ISNUMBER(SEARCH("R113",G18)),0)+IFERROR(--ISNUMBER(SEARCH("R114",G18)),0)+IFERROR(--ISNUMBER(SEARCH("R115",G18)),0)+IFERROR(--ISNUMBER(SEARCH("R116",G18)),0)+IFERROR(--ISNUMBER(SEARCH("R117",G18)),0)+IFERROR(--ISNUMBER(SEARCH("R118",G18)),0)+IFERROR(--ISNUMBER(SEARCH("R119",G18)),0)+IFERROR(--ISNUMBER(SEARCH("R120",G18)),0)+IFERROR(--ISNUMBER(SEARCH("R121",G18)),0)+IFERROR(--ISNUMBER(SEARCH("R122",G18)),0)+IFERROR(--ISNUMBER(SEARCH("R123",G18)),0)+IFERROR(--ISNUMBER(SEARCH("R124",G18)),0)+IFERROR(--ISNUMBER(SEARCH("R125",G18)),0)+IFERROR(--ISNUMBER(SEARCH("R126",G18)),0)+IFERROR(--ISNUMBER(SEARCH("R127",G18)),0)+IFERROR(--ISNUMBER(SEARCH("R128",G18)),0)+IFERROR(--ISNUMBER(SEARCH("R129",G18)),0)+IFERROR(--ISNUMBER(SEARCH("R130",G18)),0)+IFERROR(--ISNUMBER(SEARCH("R131",G18)),0)+IFERROR(--ISNUMBER(SEARCH("R132",G18)),0)+IFERROR(--ISNUMBER(SEARCH("R133",G18)),0)+IFERROR(--ISNUMBER(SEARCH("R134",G18)),0)+IFERROR(--ISNUMBER(SEARCH("R135",G18)),0)+IFERROR(--ISNUMBER(SEARCH("R136",G18)),0)+IFERROR(--ISNUMBER(SEARCH("R137",G18)),0)+IFERROR(--ISNUMBER(SEARCH("R138",G18)),0)+IFERROR(--ISNUMBER(SEARCH("R139",G18)),0)+IFERROR(--ISNUMBER(SEARCH("R140",G18)),0)+IFERROR(--ISNUMBER(SEARCH("R141",G18)),0))</f>
        <v/>
      </c>
      <c r="T18" s="58">
        <f>IF(A18="","",IFERROR(--ISNUMBER(SEARCH("R28",G18)),0)+IFERROR(--ISNUMBER(SEARCH("R29",G18)),0)+IFERROR(--ISNUMBER(SEARCH("R30",G18)),0)+IFERROR(--ISNUMBER(SEARCH("R32",G18)),0)+IFERROR(--ISNUMBER(SEARCH("R33",G18)),0)+IFERROR(--ISNUMBER(SEARCH("R35",G18)),0)+IFERROR(--ISNUMBER(SEARCH("R36",G18)),0)+IFERROR(--ISNUMBER(SEARCH("R38",G18)),0)+IFERROR(--ISNUMBER(SEARCH("R39",G18)),0)+IFERROR(--ISNUMBER(SEARCH("R43",G18)),0)+IFERROR(--ISNUMBER(SEARCH("R44",G18)),0)+IFERROR(--ISNUMBER(SEARCH("R45",G18)),0)+IFERROR(--ISNUMBER(SEARCH("R47",G18)),0)+IFERROR(--ISNUMBER(SEARCH("R48",G18)),0)+IFERROR(--ISNUMBER(SEARCH("R50",G18)),0)+IFERROR(--ISNUMBER(SEARCH("R51",G18)),0)+IFERROR(--ISNUMBER(SEARCH("R56",G18)),0)+IFERROR(--ISNUMBER(SEARCH("R58",G18)),0)+IFERROR(--ISNUMBER(SEARCH("R59",G18)),0)+IFERROR(--ISNUMBER(SEARCH("R60",G18)),0)+IFERROR(--ISNUMBER(SEARCH("R62",G18)),0)+IFERROR(--ISNUMBER(SEARCH("R63",G18)),0)+IFERROR(--ISNUMBER(SEARCH("R64",G18)),0)+IFERROR(--ISNUMBER(SEARCH("R66",G18)),0)+IFERROR(--ISNUMBER(SEARCH("R67",G18)),0)+IFERROR(--ISNUMBER(SEARCH("R72",G18)),0)+IFERROR(--ISNUMBER(SEARCH("R74",G18)),0)+IFERROR(--ISNUMBER(SEARCH("R75",G18)),0)+IFERROR(--ISNUMBER(SEARCH("R76",G18)),0)+IFERROR(--ISNUMBER(SEARCH("R77",G18)),0)+IFERROR(--ISNUMBER(SEARCH("R79",G18)),0)+IFERROR(--ISNUMBER(SEARCH("R80",G18)),0)+IFERROR(--ISNUMBER(SEARCH("R81",G18)),0)+IFERROR(--ISNUMBER(SEARCH("R83",G18)),0)+IFERROR(--ISNUMBER(SEARCH("R84",G18)),0)+IFERROR(--ISNUMBER(SEARCH("R89",G18)),0)+IFERROR(--ISNUMBER(SEARCH("R94",G18)),0)+IFERROR(--ISNUMBER(SEARCH("R95",G18)),0)+IFERROR(--ISNUMBER(SEARCH("R96",G18)),0)+IFERROR(--ISNUMBER(SEARCH("R98",G18)),0)+IFERROR(--ISNUMBER(SEARCH("R99",G18)),0)+IFERROR(--ISNUMBER(SEARCH("R100",G18)),0)+IFERROR(--ISNUMBER(SEARCH("R104",G18)),0)+IFERROR(--ISNUMBER(SEARCH("R105",G18)),0)+IFERROR(--ISNUMBER(SEARCH("R107",G18)),0)+IFERROR(--ISNUMBER(SEARCH("R108",G18)),0)+IFERROR(--ISNUMBER(SEARCH("R109",G18)),0)+IFERROR(--ISNUMBER(SEARCH("R110",G18)),0)+IFERROR(--ISNUMBER(SEARCH("R112",G18)),0)+IFERROR(--ISNUMBER(SEARCH("R113",G18)),0)+IFERROR(--ISNUMBER(SEARCH("R114",G18)),0)+IFERROR(--ISNUMBER(SEARCH("R118",G18)),0)+IFERROR(--ISNUMBER(SEARCH("R119",G18)),0)+IFERROR(--ISNUMBER(SEARCH("R120",G18)),0)+IFERROR(--ISNUMBER(SEARCH("R122",G18)),0)+IFERROR(--ISNUMBER(SEARCH("R123",G18)),0)+IFERROR(--ISNUMBER(SEARCH("R124",G18)),0)+IFERROR(--ISNUMBER(SEARCH("R128",G18)),0)+IFERROR(--ISNUMBER(SEARCH("R130",G18)),0)+IFERROR(--ISNUMBER(SEARCH("R131",G18)),0)+IFERROR(--ISNUMBER(SEARCH("R132",G18)),0)+IFERROR(--ISNUMBER(SEARCH("R135",G18)),0)+IFERROR(--ISNUMBER(SEARCH("R138",G18)),0)+IFERROR(--ISNUMBER(SEARCH("R141",G18)),0))</f>
        <v/>
      </c>
      <c r="U18" s="58">
        <f>IF(A18="","",IFERROR(--ISNUMBER(SEARCH("R28",G18))*28,0)+IFERROR(--ISNUMBER(SEARCH("R29",G18))*29,0)+IFERROR(--ISNUMBER(SEARCH("R30",G18))*30,0)+IFERROR(--ISNUMBER(SEARCH("R31",G18))*31,0)+IFERROR(--ISNUMBER(SEARCH("R32",G18))*32,0)+IFERROR(--ISNUMBER(SEARCH("R33",G18))*33,0)+IFERROR(--ISNUMBER(SEARCH("R34",G18))*34,0)+IFERROR(--ISNUMBER(SEARCH("R35",G18))*35,0)+IFERROR(--ISNUMBER(SEARCH("R36",G18))*36,0)+IFERROR(--ISNUMBER(SEARCH("R37",G18))*37,0)+IFERROR(--ISNUMBER(SEARCH("R38",G18))*38,0)+IFERROR(--ISNUMBER(SEARCH("R39",G18))*39,0)+IFERROR(--ISNUMBER(SEARCH("R40",G18))*40,0)+IFERROR(--ISNUMBER(SEARCH("R41",G18))*41,0)+IFERROR(--ISNUMBER(SEARCH("R42",G18))*42,0)+IFERROR(--ISNUMBER(SEARCH("R43",G18))*43,0)+IFERROR(--ISNUMBER(SEARCH("R44",G18))*44,0)+IFERROR(--ISNUMBER(SEARCH("R45",G18))*45,0)+IFERROR(--ISNUMBER(SEARCH("R46",G18))*46,0)+IFERROR(--ISNUMBER(SEARCH("R47",G18))*47,0)+IFERROR(--ISNUMBER(SEARCH("R48",G18))*48,0)+IFERROR(--ISNUMBER(SEARCH("R49",G18))*49,0)+IFERROR(--ISNUMBER(SEARCH("R50",G18))*50,0)+IFERROR(--ISNUMBER(SEARCH("R51",G18))*51,0)+IFERROR(--ISNUMBER(SEARCH("R52",G18))*52,0)+IFERROR(--ISNUMBER(SEARCH("R53",G18))*53,0)+IFERROR(--ISNUMBER(SEARCH("R54",G18))*54,0)+IFERROR(--ISNUMBER(SEARCH("R55",G18))*55,0)+IFERROR(--ISNUMBER(SEARCH("R56",G18))*56,0)+IFERROR(--ISNUMBER(SEARCH("R57",G18))*57,0)+IFERROR(--ISNUMBER(SEARCH("R58",G18))*58,0)+IFERROR(--ISNUMBER(SEARCH("R59",G18))*59,0)+IFERROR(--ISNUMBER(SEARCH("R60",G18))*60,0)+IFERROR(--ISNUMBER(SEARCH("R61",G18))*61,0)+IFERROR(--ISNUMBER(SEARCH("R62",G18))*62,0)+IFERROR(--ISNUMBER(SEARCH("R63",G18))*63,0)+IFERROR(--ISNUMBER(SEARCH("R64",G18))*64,0)+IFERROR(--ISNUMBER(SEARCH("R65",G18))*65,0)+IFERROR(--ISNUMBER(SEARCH("R66",G18))*66,0)+IFERROR(--ISNUMBER(SEARCH("R67",G18))*67,0)+IFERROR(--ISNUMBER(SEARCH("R68",G18))*68,0)+IFERROR(--ISNUMBER(SEARCH("R69",G18))*69,0)+IFERROR(--ISNUMBER(SEARCH("R70",G18))*70,0)+IFERROR(--ISNUMBER(SEARCH("R71",G18))*71,0)+IFERROR(--ISNUMBER(SEARCH("R72",G18))*72,0)+IFERROR(--ISNUMBER(SEARCH("R73",G18))*73,0)+IFERROR(--ISNUMBER(SEARCH("R74",G18))*74,0)+IFERROR(--ISNUMBER(SEARCH("R75",G18))*75,0)+IFERROR(--ISNUMBER(SEARCH("R76",G18))*76,0)+IFERROR(--ISNUMBER(SEARCH("R77",G18))*77,0)+IFERROR(--ISNUMBER(SEARCH("R78",G18))*78,0)+IFERROR(--ISNUMBER(SEARCH("R79",G18))*79,0)+IFERROR(--ISNUMBER(SEARCH("R80",G18))*80,0)+IFERROR(--ISNUMBER(SEARCH("R81",G18))*81,0)+IFERROR(--ISNUMBER(SEARCH("R82",G18))*82,0)+IFERROR(--ISNUMBER(SEARCH("R83",G18))*83,0)+IFERROR(--ISNUMBER(SEARCH("R84",G18))*84,0)+IFERROR(--ISNUMBER(SEARCH("R85",G18))*85,0)+IFERROR(--ISNUMBER(SEARCH("R86",G18))*86,0)+IFERROR(--ISNUMBER(SEARCH("R87",G18))*87,0)+IFERROR(--ISNUMBER(SEARCH("R88",G18))*88,0)+IFERROR(--ISNUMBER(SEARCH("R89",G18))*89,0)+IFERROR(--ISNUMBER(SEARCH("R90",G18))*90,0)+IFERROR(--ISNUMBER(SEARCH("R91",G18))*91,0)+IFERROR(--ISNUMBER(SEARCH("R92",G18))*92,0)+IFERROR(--ISNUMBER(SEARCH("R93",G18))*93,0)+IFERROR(--ISNUMBER(SEARCH("R94",G18))*94,0)+IFERROR(--ISNUMBER(SEARCH("R95",G18))*95,0)+IFERROR(--ISNUMBER(SEARCH("R96",G18))*96,0)+IFERROR(--ISNUMBER(SEARCH("R97",G18))*97,0)+IFERROR(--ISNUMBER(SEARCH("R98",G18))*98,0)+IFERROR(--ISNUMBER(SEARCH("R99",G18))*99,0)+IFERROR(--ISNUMBER(SEARCH("R100",G18))*100,0)+IFERROR(--ISNUMBER(SEARCH("R101",G18))*101,0)+IFERROR(--ISNUMBER(SEARCH("R102",G18))*102,0)+IFERROR(--ISNUMBER(SEARCH("R103",G18))*103,0)+IFERROR(--ISNUMBER(SEARCH("R104",G18))*104,0)+IFERROR(--ISNUMBER(SEARCH("R105",G18))*105,0)+IFERROR(--ISNUMBER(SEARCH("R106",G18))*106,0)+IFERROR(--ISNUMBER(SEARCH("R107",G18))*107,0)+IFERROR(--ISNUMBER(SEARCH("R108",G18))*108,0)+IFERROR(--ISNUMBER(SEARCH("R109",G18))*109,0)+IFERROR(--ISNUMBER(SEARCH("R110",G18))*110,0)+IFERROR(--ISNUMBER(SEARCH("R111",G18))*111,0)+IFERROR(--ISNUMBER(SEARCH("R112",G18))*112,0)+IFERROR(--ISNUMBER(SEARCH("R113",G18))*113,0)+IFERROR(--ISNUMBER(SEARCH("R114",G18))*114,0)+IFERROR(--ISNUMBER(SEARCH("R115",G18))*115,0)+IFERROR(--ISNUMBER(SEARCH("R116",G18))*116,0)+IFERROR(--ISNUMBER(SEARCH("R117",G18))*117,0)+IFERROR(--ISNUMBER(SEARCH("R118",G18))*118,0)+IFERROR(--ISNUMBER(SEARCH("R119",G18))*119,0)+IFERROR(--ISNUMBER(SEARCH("R120",G18))*120,0)+IFERROR(--ISNUMBER(SEARCH("R121",G18))*121,0)+IFERROR(--ISNUMBER(SEARCH("R122",G18))*122,0)+IFERROR(--ISNUMBER(SEARCH("R123",G18))*123,0)+IFERROR(--ISNUMBER(SEARCH("R124",G18))*124,0)+IFERROR(--ISNUMBER(SEARCH("R125",G18))*125,0)+IFERROR(--ISNUMBER(SEARCH("R126",G18))*126,0)+IFERROR(--ISNUMBER(SEARCH("R127",G18))*127,0)+IFERROR(--ISNUMBER(SEARCH("R128",G18))*128,0)+IFERROR(--ISNUMBER(SEARCH("R129",G18))*129,0)+IFERROR(--ISNUMBER(SEARCH("R130",G18))*130,0)+IFERROR(--ISNUMBER(SEARCH("R131",G18))*131,0)+IFERROR(--ISNUMBER(SEARCH("R132",G18))*132,0)+IFERROR(--ISNUMBER(SEARCH("R133",G18))*133,0)+IFERROR(--ISNUMBER(SEARCH("R134",G18))*134,0)+IFERROR(--ISNUMBER(SEARCH("R135",G18))*135,0)+IFERROR(--ISNUMBER(SEARCH("R136",G18))*136,0)+IFERROR(--ISNUMBER(SEARCH("R137",G18))*137,0)+IFERROR(--ISNUMBER(SEARCH("R138",G18))*138,0)+IFERROR(--ISNUMBER(SEARCH("R139",G18))*139,0)+IFERROR(--ISNUMBER(SEARCH("R140",G18))*140,0)+IFERROR(--ISNUMBER(SEARCH("R141",G18))*141,0))</f>
        <v/>
      </c>
      <c r="V18" s="59">
        <f>IF(A18="","",IF(K18&lt;&gt;"",K18,J18))</f>
        <v/>
      </c>
      <c r="W18" s="59">
        <f>IF(A18="","",IF(AND(V18=29,O18&lt;&gt;"",COUNTIFS($V$6:$V$505,29,$F$6:$F$505,F18,$C$6:$C$505,C18,$O$6:$O$505,"&lt;&gt;")&gt;1),IF(COUNTIFS($V$6:V18,29,$F$6:F18,F18,$C$6:C18,C18,$O$6:O18,"&lt;&gt;")=1,"Esta es la fila que se debe CONSERVAR (aparición 1 de "&amp;COUNTIFS($V$6:$V$505,29,$F$6:$F$505,F18,$C$6:$C$505,C18,$O$6:$O$505,"&lt;&gt;")&amp;" con el mismo tercero y valor, casilla 29). Si hay más filas iguales, bórreles el valor a ELLAS, no a esta.","DUPLICADO — ya existe otra fila con el mismo tercero y valor para casilla 29 (aparición "&amp;COUNTIFS($V$6:V18,29,$F$6:F18,F18,$C$6:C18,C18,$O$6:O18,"&lt;&gt;")&amp;" de "&amp;COUNTIFS($V$6:$V$505,29,$F$6:$F$505,F18,$C$6:$C$505,C18,$O$6:$O$505,"&lt;&gt;")&amp;"). Para resolverlo: seleccione la celda O"&amp;ROW()&amp;" (columna Valor a declarar de ESTA fila) y presione Supr."),""))</f>
        <v/>
      </c>
      <c r="X18" s="463">
        <f>IF(A18="","",F18)</f>
        <v/>
      </c>
      <c r="Y18" s="463">
        <f>IF(A18="","",SUMIF(Entrada_Manual!$I$88:$I$187,A18,Entrada_Manual!$F$88:$F$187))</f>
        <v/>
      </c>
      <c r="Z18" s="463">
        <f>IF(A18="","",X18-Y18)</f>
        <v/>
      </c>
      <c r="AA18">
        <f>IF(A18="","",SUMPRODUCT((Entrada_Manual!$I$88:$I$187=A18)*1))</f>
        <v/>
      </c>
      <c r="AB18">
        <f>IF(A18="","",IF(S18&lt;=1,"",IF(AA18=0,"PENDIENTE — SIN ASIGNAR",IF(Z18=0,"RESUELTO","PARCIAL — DIFERENCIA "&amp;TEXT(Z18,"#,##0")))))</f>
        <v/>
      </c>
    </row>
    <row r="19" ht="41.25" customHeight="1" s="235">
      <c r="A19" s="47">
        <f>IF(Exogena_RAW!E28&lt;&gt;"",ROW()-5,"")</f>
        <v/>
      </c>
      <c r="B19" s="48">
        <f>IF(A19="","",28)</f>
        <v/>
      </c>
      <c r="C19" s="48">
        <f>IF(A19="","",IFERROR(Exogena_RAW!A28,""))</f>
        <v/>
      </c>
      <c r="D19" s="48">
        <f>IF(A19="","",IFERROR(Exogena_RAW!B28,""))</f>
        <v/>
      </c>
      <c r="E19" s="48">
        <f>IF(A19="","",Exogena_RAW!E28)</f>
        <v/>
      </c>
      <c r="F19" s="461">
        <f>IF(A19="","",Exogena_RAW!F28)</f>
        <v/>
      </c>
      <c r="G19" s="48">
        <f>IF(A19="","",IFERROR(Exogena_RAW!G28,""))</f>
        <v/>
      </c>
      <c r="H19" s="48">
        <f>IF(A19="","",IFERROR(Exogena_RAW!H28,""))</f>
        <v/>
      </c>
      <c r="I19" s="48">
        <f>IF(A19="","",IFERROR(IF(S19&gt;1,"VARIAS CASILLAS",IF(S19=1,IF(T19=1,"PROPUESTA DE CASILLA","REVISIÓN: CASILLA NO DIRECTA"),IF(OR(ISNUMBER(SEARCH("TOPE",UPPER(E19))),ISNUMBER(SEARCH("TOPE",UPPER(G19)))),"SOLO CONTROL",IF(ISNUMBER(SEARCH("RETEN",UPPER(E19))),"RETENCIÓN","REVISAR")))),"REVISAR"))</f>
        <v/>
      </c>
      <c r="J19" s="48">
        <f>IF(A19="","",IF(ISNUMBER(SEARCH("ingreso laboral promedio de los últimos seis meses",E19)),"",IFERROR(IF(AND(S19=1,T19=1),U19,""),"")))</f>
        <v/>
      </c>
      <c r="K19" s="216" t="n"/>
      <c r="L19" s="48">
        <f>IF(A19="","",IFERROR(IF(K19&lt;&gt;"","Casilla elegida por usuario",IF(S19&gt;1,"Varias casillas — elegir en K",IF(J19&lt;&gt;"","Sugerencia directa",IF(S19=1,"No trasladar directo — revisar",IF(OR(ISNUMBER(SEARCH("TOPE",UPPER(E19))),ISNUMBER(SEARCH("TOPE",UPPER(G19)))),"Solo control","Revisar manualmente"))))),"Revisar manualmente"))</f>
        <v/>
      </c>
      <c r="M19" s="461">
        <f>IF(A19="","",IF(IF(K19&lt;&gt;"",K19,J19)="",0,IF(COUNTIFS(Reglas!$I$5:$I$118,IF(K19&lt;&gt;"",K19,J19),Reglas!$J$5:$J$118,"Sí")=1,F19,0)))</f>
        <v/>
      </c>
      <c r="N19" s="56" t="n"/>
      <c r="O19" s="462">
        <f>IF(A19="","",IF(M19=0,"",M19))</f>
        <v/>
      </c>
      <c r="P19" s="461">
        <f>IF(A19="","",IF(O19="",0,IF(ISNUMBER(O19),O19,0)))</f>
        <v/>
      </c>
      <c r="Q19" s="48">
        <f>IF(A19="","",IF(Exogena_RAW!$C$4="","BLOQUEADO: FALTA AÑO",IF(Exogena_RAW!$K$10&lt;&gt;Reglas!$B$5,"BLOQUEADO: AÑO",IF(IF(K19&lt;&gt;"",K19,J19)="",IF(S19&gt;1,"REQUIERE ASIGNACIÓN MANUAL (VARIAS CASILLAS)","INFORMATIVO (sin casilla — no se declara)"),IF(COUNTIFS(Reglas!$I$5:$I$118,IF(K19&lt;&gt;"",K19,J19),Reglas!$J$5:$J$118,"Sí")=0,"BLOQUEADO: CASILLA NO DIRECTA",IF(O19="","EXCLUIDO (valor borrado por el usuario)",IF(_xlfn.ISFORMULA(O19),IF(W19&lt;&gt;"","BORRADOR — VALOR SUGERIDO DIAN ⚠ VER ALERTA","BORRADOR — VALOR SUGERIDO DIAN"),IF(W19&lt;&gt;"","ACEPTADO ⚠ VER ALERTA","ACEPTADO"))))))))</f>
        <v/>
      </c>
      <c r="R19" s="218" t="n"/>
      <c r="S19" s="58">
        <f>IF(A19="","",IFERROR(--ISNUMBER(SEARCH("R28",G19)),0)+IFERROR(--ISNUMBER(SEARCH("R29",G19)),0)+IFERROR(--ISNUMBER(SEARCH("R30",G19)),0)+IFERROR(--ISNUMBER(SEARCH("R31",G19)),0)+IFERROR(--ISNUMBER(SEARCH("R32",G19)),0)+IFERROR(--ISNUMBER(SEARCH("R33",G19)),0)+IFERROR(--ISNUMBER(SEARCH("R34",G19)),0)+IFERROR(--ISNUMBER(SEARCH("R35",G19)),0)+IFERROR(--ISNUMBER(SEARCH("R36",G19)),0)+IFERROR(--ISNUMBER(SEARCH("R37",G19)),0)+IFERROR(--ISNUMBER(SEARCH("R38",G19)),0)+IFERROR(--ISNUMBER(SEARCH("R39",G19)),0)+IFERROR(--ISNUMBER(SEARCH("R40",G19)),0)+IFERROR(--ISNUMBER(SEARCH("R41",G19)),0)+IFERROR(--ISNUMBER(SEARCH("R42",G19)),0)+IFERROR(--ISNUMBER(SEARCH("R43",G19)),0)+IFERROR(--ISNUMBER(SEARCH("R44",G19)),0)+IFERROR(--ISNUMBER(SEARCH("R45",G19)),0)+IFERROR(--ISNUMBER(SEARCH("R46",G19)),0)+IFERROR(--ISNUMBER(SEARCH("R47",G19)),0)+IFERROR(--ISNUMBER(SEARCH("R48",G19)),0)+IFERROR(--ISNUMBER(SEARCH("R49",G19)),0)+IFERROR(--ISNUMBER(SEARCH("R50",G19)),0)+IFERROR(--ISNUMBER(SEARCH("R51",G19)),0)+IFERROR(--ISNUMBER(SEARCH("R52",G19)),0)+IFERROR(--ISNUMBER(SEARCH("R53",G19)),0)+IFERROR(--ISNUMBER(SEARCH("R54",G19)),0)+IFERROR(--ISNUMBER(SEARCH("R55",G19)),0)+IFERROR(--ISNUMBER(SEARCH("R56",G19)),0)+IFERROR(--ISNUMBER(SEARCH("R57",G19)),0)+IFERROR(--ISNUMBER(SEARCH("R58",G19)),0)+IFERROR(--ISNUMBER(SEARCH("R59",G19)),0)+IFERROR(--ISNUMBER(SEARCH("R60",G19)),0)+IFERROR(--ISNUMBER(SEARCH("R61",G19)),0)+IFERROR(--ISNUMBER(SEARCH("R62",G19)),0)+IFERROR(--ISNUMBER(SEARCH("R63",G19)),0)+IFERROR(--ISNUMBER(SEARCH("R64",G19)),0)+IFERROR(--ISNUMBER(SEARCH("R65",G19)),0)+IFERROR(--ISNUMBER(SEARCH("R66",G19)),0)+IFERROR(--ISNUMBER(SEARCH("R67",G19)),0)+IFERROR(--ISNUMBER(SEARCH("R68",G19)),0)+IFERROR(--ISNUMBER(SEARCH("R69",G19)),0)+IFERROR(--ISNUMBER(SEARCH("R70",G19)),0)+IFERROR(--ISNUMBER(SEARCH("R71",G19)),0)+IFERROR(--ISNUMBER(SEARCH("R72",G19)),0)+IFERROR(--ISNUMBER(SEARCH("R73",G19)),0)+IFERROR(--ISNUMBER(SEARCH("R74",G19)),0)+IFERROR(--ISNUMBER(SEARCH("R75",G19)),0)+IFERROR(--ISNUMBER(SEARCH("R76",G19)),0)+IFERROR(--ISNUMBER(SEARCH("R77",G19)),0)+IFERROR(--ISNUMBER(SEARCH("R78",G19)),0)+IFERROR(--ISNUMBER(SEARCH("R79",G19)),0)+IFERROR(--ISNUMBER(SEARCH("R80",G19)),0)+IFERROR(--ISNUMBER(SEARCH("R81",G19)),0)+IFERROR(--ISNUMBER(SEARCH("R82",G19)),0)+IFERROR(--ISNUMBER(SEARCH("R83",G19)),0)+IFERROR(--ISNUMBER(SEARCH("R84",G19)),0)+IFERROR(--ISNUMBER(SEARCH("R85",G19)),0)+IFERROR(--ISNUMBER(SEARCH("R86",G19)),0)+IFERROR(--ISNUMBER(SEARCH("R87",G19)),0)+IFERROR(--ISNUMBER(SEARCH("R88",G19)),0)+IFERROR(--ISNUMBER(SEARCH("R89",G19)),0)+IFERROR(--ISNUMBER(SEARCH("R90",G19)),0)+IFERROR(--ISNUMBER(SEARCH("R91",G19)),0)+IFERROR(--ISNUMBER(SEARCH("R92",G19)),0)+IFERROR(--ISNUMBER(SEARCH("R93",G19)),0)+IFERROR(--ISNUMBER(SEARCH("R94",G19)),0)+IFERROR(--ISNUMBER(SEARCH("R95",G19)),0)+IFERROR(--ISNUMBER(SEARCH("R96",G19)),0)+IFERROR(--ISNUMBER(SEARCH("R97",G19)),0)+IFERROR(--ISNUMBER(SEARCH("R98",G19)),0)+IFERROR(--ISNUMBER(SEARCH("R99",G19)),0)+IFERROR(--ISNUMBER(SEARCH("R100",G19)),0)+IFERROR(--ISNUMBER(SEARCH("R101",G19)),0)+IFERROR(--ISNUMBER(SEARCH("R102",G19)),0)+IFERROR(--ISNUMBER(SEARCH("R103",G19)),0)+IFERROR(--ISNUMBER(SEARCH("R104",G19)),0)+IFERROR(--ISNUMBER(SEARCH("R105",G19)),0)+IFERROR(--ISNUMBER(SEARCH("R106",G19)),0)+IFERROR(--ISNUMBER(SEARCH("R107",G19)),0)+IFERROR(--ISNUMBER(SEARCH("R108",G19)),0)+IFERROR(--ISNUMBER(SEARCH("R109",G19)),0)+IFERROR(--ISNUMBER(SEARCH("R110",G19)),0)+IFERROR(--ISNUMBER(SEARCH("R111",G19)),0)+IFERROR(--ISNUMBER(SEARCH("R112",G19)),0)+IFERROR(--ISNUMBER(SEARCH("R113",G19)),0)+IFERROR(--ISNUMBER(SEARCH("R114",G19)),0)+IFERROR(--ISNUMBER(SEARCH("R115",G19)),0)+IFERROR(--ISNUMBER(SEARCH("R116",G19)),0)+IFERROR(--ISNUMBER(SEARCH("R117",G19)),0)+IFERROR(--ISNUMBER(SEARCH("R118",G19)),0)+IFERROR(--ISNUMBER(SEARCH("R119",G19)),0)+IFERROR(--ISNUMBER(SEARCH("R120",G19)),0)+IFERROR(--ISNUMBER(SEARCH("R121",G19)),0)+IFERROR(--ISNUMBER(SEARCH("R122",G19)),0)+IFERROR(--ISNUMBER(SEARCH("R123",G19)),0)+IFERROR(--ISNUMBER(SEARCH("R124",G19)),0)+IFERROR(--ISNUMBER(SEARCH("R125",G19)),0)+IFERROR(--ISNUMBER(SEARCH("R126",G19)),0)+IFERROR(--ISNUMBER(SEARCH("R127",G19)),0)+IFERROR(--ISNUMBER(SEARCH("R128",G19)),0)+IFERROR(--ISNUMBER(SEARCH("R129",G19)),0)+IFERROR(--ISNUMBER(SEARCH("R130",G19)),0)+IFERROR(--ISNUMBER(SEARCH("R131",G19)),0)+IFERROR(--ISNUMBER(SEARCH("R132",G19)),0)+IFERROR(--ISNUMBER(SEARCH("R133",G19)),0)+IFERROR(--ISNUMBER(SEARCH("R134",G19)),0)+IFERROR(--ISNUMBER(SEARCH("R135",G19)),0)+IFERROR(--ISNUMBER(SEARCH("R136",G19)),0)+IFERROR(--ISNUMBER(SEARCH("R137",G19)),0)+IFERROR(--ISNUMBER(SEARCH("R138",G19)),0)+IFERROR(--ISNUMBER(SEARCH("R139",G19)),0)+IFERROR(--ISNUMBER(SEARCH("R140",G19)),0)+IFERROR(--ISNUMBER(SEARCH("R141",G19)),0))</f>
        <v/>
      </c>
      <c r="T19" s="58">
        <f>IF(A19="","",IFERROR(--ISNUMBER(SEARCH("R28",G19)),0)+IFERROR(--ISNUMBER(SEARCH("R29",G19)),0)+IFERROR(--ISNUMBER(SEARCH("R30",G19)),0)+IFERROR(--ISNUMBER(SEARCH("R32",G19)),0)+IFERROR(--ISNUMBER(SEARCH("R33",G19)),0)+IFERROR(--ISNUMBER(SEARCH("R35",G19)),0)+IFERROR(--ISNUMBER(SEARCH("R36",G19)),0)+IFERROR(--ISNUMBER(SEARCH("R38",G19)),0)+IFERROR(--ISNUMBER(SEARCH("R39",G19)),0)+IFERROR(--ISNUMBER(SEARCH("R43",G19)),0)+IFERROR(--ISNUMBER(SEARCH("R44",G19)),0)+IFERROR(--ISNUMBER(SEARCH("R45",G19)),0)+IFERROR(--ISNUMBER(SEARCH("R47",G19)),0)+IFERROR(--ISNUMBER(SEARCH("R48",G19)),0)+IFERROR(--ISNUMBER(SEARCH("R50",G19)),0)+IFERROR(--ISNUMBER(SEARCH("R51",G19)),0)+IFERROR(--ISNUMBER(SEARCH("R56",G19)),0)+IFERROR(--ISNUMBER(SEARCH("R58",G19)),0)+IFERROR(--ISNUMBER(SEARCH("R59",G19)),0)+IFERROR(--ISNUMBER(SEARCH("R60",G19)),0)+IFERROR(--ISNUMBER(SEARCH("R62",G19)),0)+IFERROR(--ISNUMBER(SEARCH("R63",G19)),0)+IFERROR(--ISNUMBER(SEARCH("R64",G19)),0)+IFERROR(--ISNUMBER(SEARCH("R66",G19)),0)+IFERROR(--ISNUMBER(SEARCH("R67",G19)),0)+IFERROR(--ISNUMBER(SEARCH("R72",G19)),0)+IFERROR(--ISNUMBER(SEARCH("R74",G19)),0)+IFERROR(--ISNUMBER(SEARCH("R75",G19)),0)+IFERROR(--ISNUMBER(SEARCH("R76",G19)),0)+IFERROR(--ISNUMBER(SEARCH("R77",G19)),0)+IFERROR(--ISNUMBER(SEARCH("R79",G19)),0)+IFERROR(--ISNUMBER(SEARCH("R80",G19)),0)+IFERROR(--ISNUMBER(SEARCH("R81",G19)),0)+IFERROR(--ISNUMBER(SEARCH("R83",G19)),0)+IFERROR(--ISNUMBER(SEARCH("R84",G19)),0)+IFERROR(--ISNUMBER(SEARCH("R89",G19)),0)+IFERROR(--ISNUMBER(SEARCH("R94",G19)),0)+IFERROR(--ISNUMBER(SEARCH("R95",G19)),0)+IFERROR(--ISNUMBER(SEARCH("R96",G19)),0)+IFERROR(--ISNUMBER(SEARCH("R98",G19)),0)+IFERROR(--ISNUMBER(SEARCH("R99",G19)),0)+IFERROR(--ISNUMBER(SEARCH("R100",G19)),0)+IFERROR(--ISNUMBER(SEARCH("R104",G19)),0)+IFERROR(--ISNUMBER(SEARCH("R105",G19)),0)+IFERROR(--ISNUMBER(SEARCH("R107",G19)),0)+IFERROR(--ISNUMBER(SEARCH("R108",G19)),0)+IFERROR(--ISNUMBER(SEARCH("R109",G19)),0)+IFERROR(--ISNUMBER(SEARCH("R110",G19)),0)+IFERROR(--ISNUMBER(SEARCH("R112",G19)),0)+IFERROR(--ISNUMBER(SEARCH("R113",G19)),0)+IFERROR(--ISNUMBER(SEARCH("R114",G19)),0)+IFERROR(--ISNUMBER(SEARCH("R118",G19)),0)+IFERROR(--ISNUMBER(SEARCH("R119",G19)),0)+IFERROR(--ISNUMBER(SEARCH("R120",G19)),0)+IFERROR(--ISNUMBER(SEARCH("R122",G19)),0)+IFERROR(--ISNUMBER(SEARCH("R123",G19)),0)+IFERROR(--ISNUMBER(SEARCH("R124",G19)),0)+IFERROR(--ISNUMBER(SEARCH("R128",G19)),0)+IFERROR(--ISNUMBER(SEARCH("R130",G19)),0)+IFERROR(--ISNUMBER(SEARCH("R131",G19)),0)+IFERROR(--ISNUMBER(SEARCH("R132",G19)),0)+IFERROR(--ISNUMBER(SEARCH("R135",G19)),0)+IFERROR(--ISNUMBER(SEARCH("R138",G19)),0)+IFERROR(--ISNUMBER(SEARCH("R141",G19)),0))</f>
        <v/>
      </c>
      <c r="U19" s="58">
        <f>IF(A19="","",IFERROR(--ISNUMBER(SEARCH("R28",G19))*28,0)+IFERROR(--ISNUMBER(SEARCH("R29",G19))*29,0)+IFERROR(--ISNUMBER(SEARCH("R30",G19))*30,0)+IFERROR(--ISNUMBER(SEARCH("R31",G19))*31,0)+IFERROR(--ISNUMBER(SEARCH("R32",G19))*32,0)+IFERROR(--ISNUMBER(SEARCH("R33",G19))*33,0)+IFERROR(--ISNUMBER(SEARCH("R34",G19))*34,0)+IFERROR(--ISNUMBER(SEARCH("R35",G19))*35,0)+IFERROR(--ISNUMBER(SEARCH("R36",G19))*36,0)+IFERROR(--ISNUMBER(SEARCH("R37",G19))*37,0)+IFERROR(--ISNUMBER(SEARCH("R38",G19))*38,0)+IFERROR(--ISNUMBER(SEARCH("R39",G19))*39,0)+IFERROR(--ISNUMBER(SEARCH("R40",G19))*40,0)+IFERROR(--ISNUMBER(SEARCH("R41",G19))*41,0)+IFERROR(--ISNUMBER(SEARCH("R42",G19))*42,0)+IFERROR(--ISNUMBER(SEARCH("R43",G19))*43,0)+IFERROR(--ISNUMBER(SEARCH("R44",G19))*44,0)+IFERROR(--ISNUMBER(SEARCH("R45",G19))*45,0)+IFERROR(--ISNUMBER(SEARCH("R46",G19))*46,0)+IFERROR(--ISNUMBER(SEARCH("R47",G19))*47,0)+IFERROR(--ISNUMBER(SEARCH("R48",G19))*48,0)+IFERROR(--ISNUMBER(SEARCH("R49",G19))*49,0)+IFERROR(--ISNUMBER(SEARCH("R50",G19))*50,0)+IFERROR(--ISNUMBER(SEARCH("R51",G19))*51,0)+IFERROR(--ISNUMBER(SEARCH("R52",G19))*52,0)+IFERROR(--ISNUMBER(SEARCH("R53",G19))*53,0)+IFERROR(--ISNUMBER(SEARCH("R54",G19))*54,0)+IFERROR(--ISNUMBER(SEARCH("R55",G19))*55,0)+IFERROR(--ISNUMBER(SEARCH("R56",G19))*56,0)+IFERROR(--ISNUMBER(SEARCH("R57",G19))*57,0)+IFERROR(--ISNUMBER(SEARCH("R58",G19))*58,0)+IFERROR(--ISNUMBER(SEARCH("R59",G19))*59,0)+IFERROR(--ISNUMBER(SEARCH("R60",G19))*60,0)+IFERROR(--ISNUMBER(SEARCH("R61",G19))*61,0)+IFERROR(--ISNUMBER(SEARCH("R62",G19))*62,0)+IFERROR(--ISNUMBER(SEARCH("R63",G19))*63,0)+IFERROR(--ISNUMBER(SEARCH("R64",G19))*64,0)+IFERROR(--ISNUMBER(SEARCH("R65",G19))*65,0)+IFERROR(--ISNUMBER(SEARCH("R66",G19))*66,0)+IFERROR(--ISNUMBER(SEARCH("R67",G19))*67,0)+IFERROR(--ISNUMBER(SEARCH("R68",G19))*68,0)+IFERROR(--ISNUMBER(SEARCH("R69",G19))*69,0)+IFERROR(--ISNUMBER(SEARCH("R70",G19))*70,0)+IFERROR(--ISNUMBER(SEARCH("R71",G19))*71,0)+IFERROR(--ISNUMBER(SEARCH("R72",G19))*72,0)+IFERROR(--ISNUMBER(SEARCH("R73",G19))*73,0)+IFERROR(--ISNUMBER(SEARCH("R74",G19))*74,0)+IFERROR(--ISNUMBER(SEARCH("R75",G19))*75,0)+IFERROR(--ISNUMBER(SEARCH("R76",G19))*76,0)+IFERROR(--ISNUMBER(SEARCH("R77",G19))*77,0)+IFERROR(--ISNUMBER(SEARCH("R78",G19))*78,0)+IFERROR(--ISNUMBER(SEARCH("R79",G19))*79,0)+IFERROR(--ISNUMBER(SEARCH("R80",G19))*80,0)+IFERROR(--ISNUMBER(SEARCH("R81",G19))*81,0)+IFERROR(--ISNUMBER(SEARCH("R82",G19))*82,0)+IFERROR(--ISNUMBER(SEARCH("R83",G19))*83,0)+IFERROR(--ISNUMBER(SEARCH("R84",G19))*84,0)+IFERROR(--ISNUMBER(SEARCH("R85",G19))*85,0)+IFERROR(--ISNUMBER(SEARCH("R86",G19))*86,0)+IFERROR(--ISNUMBER(SEARCH("R87",G19))*87,0)+IFERROR(--ISNUMBER(SEARCH("R88",G19))*88,0)+IFERROR(--ISNUMBER(SEARCH("R89",G19))*89,0)+IFERROR(--ISNUMBER(SEARCH("R90",G19))*90,0)+IFERROR(--ISNUMBER(SEARCH("R91",G19))*91,0)+IFERROR(--ISNUMBER(SEARCH("R92",G19))*92,0)+IFERROR(--ISNUMBER(SEARCH("R93",G19))*93,0)+IFERROR(--ISNUMBER(SEARCH("R94",G19))*94,0)+IFERROR(--ISNUMBER(SEARCH("R95",G19))*95,0)+IFERROR(--ISNUMBER(SEARCH("R96",G19))*96,0)+IFERROR(--ISNUMBER(SEARCH("R97",G19))*97,0)+IFERROR(--ISNUMBER(SEARCH("R98",G19))*98,0)+IFERROR(--ISNUMBER(SEARCH("R99",G19))*99,0)+IFERROR(--ISNUMBER(SEARCH("R100",G19))*100,0)+IFERROR(--ISNUMBER(SEARCH("R101",G19))*101,0)+IFERROR(--ISNUMBER(SEARCH("R102",G19))*102,0)+IFERROR(--ISNUMBER(SEARCH("R103",G19))*103,0)+IFERROR(--ISNUMBER(SEARCH("R104",G19))*104,0)+IFERROR(--ISNUMBER(SEARCH("R105",G19))*105,0)+IFERROR(--ISNUMBER(SEARCH("R106",G19))*106,0)+IFERROR(--ISNUMBER(SEARCH("R107",G19))*107,0)+IFERROR(--ISNUMBER(SEARCH("R108",G19))*108,0)+IFERROR(--ISNUMBER(SEARCH("R109",G19))*109,0)+IFERROR(--ISNUMBER(SEARCH("R110",G19))*110,0)+IFERROR(--ISNUMBER(SEARCH("R111",G19))*111,0)+IFERROR(--ISNUMBER(SEARCH("R112",G19))*112,0)+IFERROR(--ISNUMBER(SEARCH("R113",G19))*113,0)+IFERROR(--ISNUMBER(SEARCH("R114",G19))*114,0)+IFERROR(--ISNUMBER(SEARCH("R115",G19))*115,0)+IFERROR(--ISNUMBER(SEARCH("R116",G19))*116,0)+IFERROR(--ISNUMBER(SEARCH("R117",G19))*117,0)+IFERROR(--ISNUMBER(SEARCH("R118",G19))*118,0)+IFERROR(--ISNUMBER(SEARCH("R119",G19))*119,0)+IFERROR(--ISNUMBER(SEARCH("R120",G19))*120,0)+IFERROR(--ISNUMBER(SEARCH("R121",G19))*121,0)+IFERROR(--ISNUMBER(SEARCH("R122",G19))*122,0)+IFERROR(--ISNUMBER(SEARCH("R123",G19))*123,0)+IFERROR(--ISNUMBER(SEARCH("R124",G19))*124,0)+IFERROR(--ISNUMBER(SEARCH("R125",G19))*125,0)+IFERROR(--ISNUMBER(SEARCH("R126",G19))*126,0)+IFERROR(--ISNUMBER(SEARCH("R127",G19))*127,0)+IFERROR(--ISNUMBER(SEARCH("R128",G19))*128,0)+IFERROR(--ISNUMBER(SEARCH("R129",G19))*129,0)+IFERROR(--ISNUMBER(SEARCH("R130",G19))*130,0)+IFERROR(--ISNUMBER(SEARCH("R131",G19))*131,0)+IFERROR(--ISNUMBER(SEARCH("R132",G19))*132,0)+IFERROR(--ISNUMBER(SEARCH("R133",G19))*133,0)+IFERROR(--ISNUMBER(SEARCH("R134",G19))*134,0)+IFERROR(--ISNUMBER(SEARCH("R135",G19))*135,0)+IFERROR(--ISNUMBER(SEARCH("R136",G19))*136,0)+IFERROR(--ISNUMBER(SEARCH("R137",G19))*137,0)+IFERROR(--ISNUMBER(SEARCH("R138",G19))*138,0)+IFERROR(--ISNUMBER(SEARCH("R139",G19))*139,0)+IFERROR(--ISNUMBER(SEARCH("R140",G19))*140,0)+IFERROR(--ISNUMBER(SEARCH("R141",G19))*141,0))</f>
        <v/>
      </c>
      <c r="V19" s="59">
        <f>IF(A19="","",IF(K19&lt;&gt;"",K19,J19))</f>
        <v/>
      </c>
      <c r="W19" s="59">
        <f>IF(A19="","",IF(AND(V19=29,O19&lt;&gt;"",COUNTIFS($V$6:$V$505,29,$F$6:$F$505,F19,$C$6:$C$505,C19,$O$6:$O$505,"&lt;&gt;")&gt;1),IF(COUNTIFS($V$6:V19,29,$F$6:F19,F19,$C$6:C19,C19,$O$6:O19,"&lt;&gt;")=1,"Esta es la fila que se debe CONSERVAR (aparición 1 de "&amp;COUNTIFS($V$6:$V$505,29,$F$6:$F$505,F19,$C$6:$C$505,C19,$O$6:$O$505,"&lt;&gt;")&amp;" con el mismo tercero y valor, casilla 29). Si hay más filas iguales, bórreles el valor a ELLAS, no a esta.","DUPLICADO — ya existe otra fila con el mismo tercero y valor para casilla 29 (aparición "&amp;COUNTIFS($V$6:V19,29,$F$6:F19,F19,$C$6:C19,C19,$O$6:O19,"&lt;&gt;")&amp;" de "&amp;COUNTIFS($V$6:$V$505,29,$F$6:$F$505,F19,$C$6:$C$505,C19,$O$6:$O$505,"&lt;&gt;")&amp;"). Para resolverlo: seleccione la celda O"&amp;ROW()&amp;" (columna Valor a declarar de ESTA fila) y presione Supr."),""))</f>
        <v/>
      </c>
      <c r="X19" s="463">
        <f>IF(A19="","",F19)</f>
        <v/>
      </c>
      <c r="Y19" s="463">
        <f>IF(A19="","",SUMIF(Entrada_Manual!$I$88:$I$187,A19,Entrada_Manual!$F$88:$F$187))</f>
        <v/>
      </c>
      <c r="Z19" s="463">
        <f>IF(A19="","",X19-Y19)</f>
        <v/>
      </c>
      <c r="AA19">
        <f>IF(A19="","",SUMPRODUCT((Entrada_Manual!$I$88:$I$187=A19)*1))</f>
        <v/>
      </c>
      <c r="AB19">
        <f>IF(A19="","",IF(S19&lt;=1,"",IF(AA19=0,"PENDIENTE — SIN ASIGNAR",IF(Z19=0,"RESUELTO","PARCIAL — DIFERENCIA "&amp;TEXT(Z19,"#,##0")))))</f>
        <v/>
      </c>
    </row>
    <row r="20" ht="54.75" customHeight="1" s="235">
      <c r="A20" s="47">
        <f>IF(Exogena_RAW!E29&lt;&gt;"",ROW()-5,"")</f>
        <v/>
      </c>
      <c r="B20" s="48">
        <f>IF(A20="","",29)</f>
        <v/>
      </c>
      <c r="C20" s="48">
        <f>IF(A20="","",IFERROR(Exogena_RAW!A29,""))</f>
        <v/>
      </c>
      <c r="D20" s="48">
        <f>IF(A20="","",IFERROR(Exogena_RAW!B29,""))</f>
        <v/>
      </c>
      <c r="E20" s="48">
        <f>IF(A20="","",Exogena_RAW!E29)</f>
        <v/>
      </c>
      <c r="F20" s="461">
        <f>IF(A20="","",Exogena_RAW!F29)</f>
        <v/>
      </c>
      <c r="G20" s="48">
        <f>IF(A20="","",IFERROR(Exogena_RAW!G29,""))</f>
        <v/>
      </c>
      <c r="H20" s="48">
        <f>IF(A20="","",IFERROR(Exogena_RAW!H29,""))</f>
        <v/>
      </c>
      <c r="I20" s="48">
        <f>IF(A20="","",IFERROR(IF(S20&gt;1,"VARIAS CASILLAS",IF(S20=1,IF(T20=1,"PROPUESTA DE CASILLA","REVISIÓN: CASILLA NO DIRECTA"),IF(OR(ISNUMBER(SEARCH("TOPE",UPPER(E20))),ISNUMBER(SEARCH("TOPE",UPPER(G20)))),"SOLO CONTROL",IF(ISNUMBER(SEARCH("RETEN",UPPER(E20))),"RETENCIÓN","REVISAR")))),"REVISAR"))</f>
        <v/>
      </c>
      <c r="J20" s="48">
        <f>IF(A20="","",IF(ISNUMBER(SEARCH("ingreso laboral promedio de los últimos seis meses",E20)),"",IFERROR(IF(AND(S20=1,T20=1),U20,""),"")))</f>
        <v/>
      </c>
      <c r="K20" s="216" t="n"/>
      <c r="L20" s="48">
        <f>IF(A20="","",IFERROR(IF(K20&lt;&gt;"","Casilla elegida por usuario",IF(S20&gt;1,"Varias casillas — elegir en K",IF(J20&lt;&gt;"","Sugerencia directa",IF(S20=1,"No trasladar directo — revisar",IF(OR(ISNUMBER(SEARCH("TOPE",UPPER(E20))),ISNUMBER(SEARCH("TOPE",UPPER(G20)))),"Solo control","Revisar manualmente"))))),"Revisar manualmente"))</f>
        <v/>
      </c>
      <c r="M20" s="461">
        <f>IF(A20="","",IF(IF(K20&lt;&gt;"",K20,J20)="",0,IF(COUNTIFS(Reglas!$I$5:$I$118,IF(K20&lt;&gt;"",K20,J20),Reglas!$J$5:$J$118,"Sí")=1,F20,0)))</f>
        <v/>
      </c>
      <c r="N20" s="56" t="n"/>
      <c r="O20" s="462">
        <f>IF(A20="","",IF(M20=0,"",M20))</f>
        <v/>
      </c>
      <c r="P20" s="461">
        <f>IF(A20="","",IF(O20="",0,IF(ISNUMBER(O20),O20,0)))</f>
        <v/>
      </c>
      <c r="Q20" s="48">
        <f>IF(A20="","",IF(Exogena_RAW!$C$4="","BLOQUEADO: FALTA AÑO",IF(Exogena_RAW!$K$10&lt;&gt;Reglas!$B$5,"BLOQUEADO: AÑO",IF(IF(K20&lt;&gt;"",K20,J20)="",IF(S20&gt;1,"REQUIERE ASIGNACIÓN MANUAL (VARIAS CASILLAS)","INFORMATIVO (sin casilla — no se declara)"),IF(COUNTIFS(Reglas!$I$5:$I$118,IF(K20&lt;&gt;"",K20,J20),Reglas!$J$5:$J$118,"Sí")=0,"BLOQUEADO: CASILLA NO DIRECTA",IF(O20="","EXCLUIDO (valor borrado por el usuario)",IF(_xlfn.ISFORMULA(O20),IF(W20&lt;&gt;"","BORRADOR — VALOR SUGERIDO DIAN ⚠ VER ALERTA","BORRADOR — VALOR SUGERIDO DIAN"),IF(W20&lt;&gt;"","ACEPTADO ⚠ VER ALERTA","ACEPTADO"))))))))</f>
        <v/>
      </c>
      <c r="R20" s="218" t="n"/>
      <c r="S20" s="58">
        <f>IF(A20="","",IFERROR(--ISNUMBER(SEARCH("R28",G20)),0)+IFERROR(--ISNUMBER(SEARCH("R29",G20)),0)+IFERROR(--ISNUMBER(SEARCH("R30",G20)),0)+IFERROR(--ISNUMBER(SEARCH("R31",G20)),0)+IFERROR(--ISNUMBER(SEARCH("R32",G20)),0)+IFERROR(--ISNUMBER(SEARCH("R33",G20)),0)+IFERROR(--ISNUMBER(SEARCH("R34",G20)),0)+IFERROR(--ISNUMBER(SEARCH("R35",G20)),0)+IFERROR(--ISNUMBER(SEARCH("R36",G20)),0)+IFERROR(--ISNUMBER(SEARCH("R37",G20)),0)+IFERROR(--ISNUMBER(SEARCH("R38",G20)),0)+IFERROR(--ISNUMBER(SEARCH("R39",G20)),0)+IFERROR(--ISNUMBER(SEARCH("R40",G20)),0)+IFERROR(--ISNUMBER(SEARCH("R41",G20)),0)+IFERROR(--ISNUMBER(SEARCH("R42",G20)),0)+IFERROR(--ISNUMBER(SEARCH("R43",G20)),0)+IFERROR(--ISNUMBER(SEARCH("R44",G20)),0)+IFERROR(--ISNUMBER(SEARCH("R45",G20)),0)+IFERROR(--ISNUMBER(SEARCH("R46",G20)),0)+IFERROR(--ISNUMBER(SEARCH("R47",G20)),0)+IFERROR(--ISNUMBER(SEARCH("R48",G20)),0)+IFERROR(--ISNUMBER(SEARCH("R49",G20)),0)+IFERROR(--ISNUMBER(SEARCH("R50",G20)),0)+IFERROR(--ISNUMBER(SEARCH("R51",G20)),0)+IFERROR(--ISNUMBER(SEARCH("R52",G20)),0)+IFERROR(--ISNUMBER(SEARCH("R53",G20)),0)+IFERROR(--ISNUMBER(SEARCH("R54",G20)),0)+IFERROR(--ISNUMBER(SEARCH("R55",G20)),0)+IFERROR(--ISNUMBER(SEARCH("R56",G20)),0)+IFERROR(--ISNUMBER(SEARCH("R57",G20)),0)+IFERROR(--ISNUMBER(SEARCH("R58",G20)),0)+IFERROR(--ISNUMBER(SEARCH("R59",G20)),0)+IFERROR(--ISNUMBER(SEARCH("R60",G20)),0)+IFERROR(--ISNUMBER(SEARCH("R61",G20)),0)+IFERROR(--ISNUMBER(SEARCH("R62",G20)),0)+IFERROR(--ISNUMBER(SEARCH("R63",G20)),0)+IFERROR(--ISNUMBER(SEARCH("R64",G20)),0)+IFERROR(--ISNUMBER(SEARCH("R65",G20)),0)+IFERROR(--ISNUMBER(SEARCH("R66",G20)),0)+IFERROR(--ISNUMBER(SEARCH("R67",G20)),0)+IFERROR(--ISNUMBER(SEARCH("R68",G20)),0)+IFERROR(--ISNUMBER(SEARCH("R69",G20)),0)+IFERROR(--ISNUMBER(SEARCH("R70",G20)),0)+IFERROR(--ISNUMBER(SEARCH("R71",G20)),0)+IFERROR(--ISNUMBER(SEARCH("R72",G20)),0)+IFERROR(--ISNUMBER(SEARCH("R73",G20)),0)+IFERROR(--ISNUMBER(SEARCH("R74",G20)),0)+IFERROR(--ISNUMBER(SEARCH("R75",G20)),0)+IFERROR(--ISNUMBER(SEARCH("R76",G20)),0)+IFERROR(--ISNUMBER(SEARCH("R77",G20)),0)+IFERROR(--ISNUMBER(SEARCH("R78",G20)),0)+IFERROR(--ISNUMBER(SEARCH("R79",G20)),0)+IFERROR(--ISNUMBER(SEARCH("R80",G20)),0)+IFERROR(--ISNUMBER(SEARCH("R81",G20)),0)+IFERROR(--ISNUMBER(SEARCH("R82",G20)),0)+IFERROR(--ISNUMBER(SEARCH("R83",G20)),0)+IFERROR(--ISNUMBER(SEARCH("R84",G20)),0)+IFERROR(--ISNUMBER(SEARCH("R85",G20)),0)+IFERROR(--ISNUMBER(SEARCH("R86",G20)),0)+IFERROR(--ISNUMBER(SEARCH("R87",G20)),0)+IFERROR(--ISNUMBER(SEARCH("R88",G20)),0)+IFERROR(--ISNUMBER(SEARCH("R89",G20)),0)+IFERROR(--ISNUMBER(SEARCH("R90",G20)),0)+IFERROR(--ISNUMBER(SEARCH("R91",G20)),0)+IFERROR(--ISNUMBER(SEARCH("R92",G20)),0)+IFERROR(--ISNUMBER(SEARCH("R93",G20)),0)+IFERROR(--ISNUMBER(SEARCH("R94",G20)),0)+IFERROR(--ISNUMBER(SEARCH("R95",G20)),0)+IFERROR(--ISNUMBER(SEARCH("R96",G20)),0)+IFERROR(--ISNUMBER(SEARCH("R97",G20)),0)+IFERROR(--ISNUMBER(SEARCH("R98",G20)),0)+IFERROR(--ISNUMBER(SEARCH("R99",G20)),0)+IFERROR(--ISNUMBER(SEARCH("R100",G20)),0)+IFERROR(--ISNUMBER(SEARCH("R101",G20)),0)+IFERROR(--ISNUMBER(SEARCH("R102",G20)),0)+IFERROR(--ISNUMBER(SEARCH("R103",G20)),0)+IFERROR(--ISNUMBER(SEARCH("R104",G20)),0)+IFERROR(--ISNUMBER(SEARCH("R105",G20)),0)+IFERROR(--ISNUMBER(SEARCH("R106",G20)),0)+IFERROR(--ISNUMBER(SEARCH("R107",G20)),0)+IFERROR(--ISNUMBER(SEARCH("R108",G20)),0)+IFERROR(--ISNUMBER(SEARCH("R109",G20)),0)+IFERROR(--ISNUMBER(SEARCH("R110",G20)),0)+IFERROR(--ISNUMBER(SEARCH("R111",G20)),0)+IFERROR(--ISNUMBER(SEARCH("R112",G20)),0)+IFERROR(--ISNUMBER(SEARCH("R113",G20)),0)+IFERROR(--ISNUMBER(SEARCH("R114",G20)),0)+IFERROR(--ISNUMBER(SEARCH("R115",G20)),0)+IFERROR(--ISNUMBER(SEARCH("R116",G20)),0)+IFERROR(--ISNUMBER(SEARCH("R117",G20)),0)+IFERROR(--ISNUMBER(SEARCH("R118",G20)),0)+IFERROR(--ISNUMBER(SEARCH("R119",G20)),0)+IFERROR(--ISNUMBER(SEARCH("R120",G20)),0)+IFERROR(--ISNUMBER(SEARCH("R121",G20)),0)+IFERROR(--ISNUMBER(SEARCH("R122",G20)),0)+IFERROR(--ISNUMBER(SEARCH("R123",G20)),0)+IFERROR(--ISNUMBER(SEARCH("R124",G20)),0)+IFERROR(--ISNUMBER(SEARCH("R125",G20)),0)+IFERROR(--ISNUMBER(SEARCH("R126",G20)),0)+IFERROR(--ISNUMBER(SEARCH("R127",G20)),0)+IFERROR(--ISNUMBER(SEARCH("R128",G20)),0)+IFERROR(--ISNUMBER(SEARCH("R129",G20)),0)+IFERROR(--ISNUMBER(SEARCH("R130",G20)),0)+IFERROR(--ISNUMBER(SEARCH("R131",G20)),0)+IFERROR(--ISNUMBER(SEARCH("R132",G20)),0)+IFERROR(--ISNUMBER(SEARCH("R133",G20)),0)+IFERROR(--ISNUMBER(SEARCH("R134",G20)),0)+IFERROR(--ISNUMBER(SEARCH("R135",G20)),0)+IFERROR(--ISNUMBER(SEARCH("R136",G20)),0)+IFERROR(--ISNUMBER(SEARCH("R137",G20)),0)+IFERROR(--ISNUMBER(SEARCH("R138",G20)),0)+IFERROR(--ISNUMBER(SEARCH("R139",G20)),0)+IFERROR(--ISNUMBER(SEARCH("R140",G20)),0)+IFERROR(--ISNUMBER(SEARCH("R141",G20)),0))</f>
        <v/>
      </c>
      <c r="T20" s="58">
        <f>IF(A20="","",IFERROR(--ISNUMBER(SEARCH("R28",G20)),0)+IFERROR(--ISNUMBER(SEARCH("R29",G20)),0)+IFERROR(--ISNUMBER(SEARCH("R30",G20)),0)+IFERROR(--ISNUMBER(SEARCH("R32",G20)),0)+IFERROR(--ISNUMBER(SEARCH("R33",G20)),0)+IFERROR(--ISNUMBER(SEARCH("R35",G20)),0)+IFERROR(--ISNUMBER(SEARCH("R36",G20)),0)+IFERROR(--ISNUMBER(SEARCH("R38",G20)),0)+IFERROR(--ISNUMBER(SEARCH("R39",G20)),0)+IFERROR(--ISNUMBER(SEARCH("R43",G20)),0)+IFERROR(--ISNUMBER(SEARCH("R44",G20)),0)+IFERROR(--ISNUMBER(SEARCH("R45",G20)),0)+IFERROR(--ISNUMBER(SEARCH("R47",G20)),0)+IFERROR(--ISNUMBER(SEARCH("R48",G20)),0)+IFERROR(--ISNUMBER(SEARCH("R50",G20)),0)+IFERROR(--ISNUMBER(SEARCH("R51",G20)),0)+IFERROR(--ISNUMBER(SEARCH("R56",G20)),0)+IFERROR(--ISNUMBER(SEARCH("R58",G20)),0)+IFERROR(--ISNUMBER(SEARCH("R59",G20)),0)+IFERROR(--ISNUMBER(SEARCH("R60",G20)),0)+IFERROR(--ISNUMBER(SEARCH("R62",G20)),0)+IFERROR(--ISNUMBER(SEARCH("R63",G20)),0)+IFERROR(--ISNUMBER(SEARCH("R64",G20)),0)+IFERROR(--ISNUMBER(SEARCH("R66",G20)),0)+IFERROR(--ISNUMBER(SEARCH("R67",G20)),0)+IFERROR(--ISNUMBER(SEARCH("R72",G20)),0)+IFERROR(--ISNUMBER(SEARCH("R74",G20)),0)+IFERROR(--ISNUMBER(SEARCH("R75",G20)),0)+IFERROR(--ISNUMBER(SEARCH("R76",G20)),0)+IFERROR(--ISNUMBER(SEARCH("R77",G20)),0)+IFERROR(--ISNUMBER(SEARCH("R79",G20)),0)+IFERROR(--ISNUMBER(SEARCH("R80",G20)),0)+IFERROR(--ISNUMBER(SEARCH("R81",G20)),0)+IFERROR(--ISNUMBER(SEARCH("R83",G20)),0)+IFERROR(--ISNUMBER(SEARCH("R84",G20)),0)+IFERROR(--ISNUMBER(SEARCH("R89",G20)),0)+IFERROR(--ISNUMBER(SEARCH("R94",G20)),0)+IFERROR(--ISNUMBER(SEARCH("R95",G20)),0)+IFERROR(--ISNUMBER(SEARCH("R96",G20)),0)+IFERROR(--ISNUMBER(SEARCH("R98",G20)),0)+IFERROR(--ISNUMBER(SEARCH("R99",G20)),0)+IFERROR(--ISNUMBER(SEARCH("R100",G20)),0)+IFERROR(--ISNUMBER(SEARCH("R104",G20)),0)+IFERROR(--ISNUMBER(SEARCH("R105",G20)),0)+IFERROR(--ISNUMBER(SEARCH("R107",G20)),0)+IFERROR(--ISNUMBER(SEARCH("R108",G20)),0)+IFERROR(--ISNUMBER(SEARCH("R109",G20)),0)+IFERROR(--ISNUMBER(SEARCH("R110",G20)),0)+IFERROR(--ISNUMBER(SEARCH("R112",G20)),0)+IFERROR(--ISNUMBER(SEARCH("R113",G20)),0)+IFERROR(--ISNUMBER(SEARCH("R114",G20)),0)+IFERROR(--ISNUMBER(SEARCH("R118",G20)),0)+IFERROR(--ISNUMBER(SEARCH("R119",G20)),0)+IFERROR(--ISNUMBER(SEARCH("R120",G20)),0)+IFERROR(--ISNUMBER(SEARCH("R122",G20)),0)+IFERROR(--ISNUMBER(SEARCH("R123",G20)),0)+IFERROR(--ISNUMBER(SEARCH("R124",G20)),0)+IFERROR(--ISNUMBER(SEARCH("R128",G20)),0)+IFERROR(--ISNUMBER(SEARCH("R130",G20)),0)+IFERROR(--ISNUMBER(SEARCH("R131",G20)),0)+IFERROR(--ISNUMBER(SEARCH("R132",G20)),0)+IFERROR(--ISNUMBER(SEARCH("R135",G20)),0)+IFERROR(--ISNUMBER(SEARCH("R138",G20)),0)+IFERROR(--ISNUMBER(SEARCH("R141",G20)),0))</f>
        <v/>
      </c>
      <c r="U20" s="58">
        <f>IF(A20="","",IFERROR(--ISNUMBER(SEARCH("R28",G20))*28,0)+IFERROR(--ISNUMBER(SEARCH("R29",G20))*29,0)+IFERROR(--ISNUMBER(SEARCH("R30",G20))*30,0)+IFERROR(--ISNUMBER(SEARCH("R31",G20))*31,0)+IFERROR(--ISNUMBER(SEARCH("R32",G20))*32,0)+IFERROR(--ISNUMBER(SEARCH("R33",G20))*33,0)+IFERROR(--ISNUMBER(SEARCH("R34",G20))*34,0)+IFERROR(--ISNUMBER(SEARCH("R35",G20))*35,0)+IFERROR(--ISNUMBER(SEARCH("R36",G20))*36,0)+IFERROR(--ISNUMBER(SEARCH("R37",G20))*37,0)+IFERROR(--ISNUMBER(SEARCH("R38",G20))*38,0)+IFERROR(--ISNUMBER(SEARCH("R39",G20))*39,0)+IFERROR(--ISNUMBER(SEARCH("R40",G20))*40,0)+IFERROR(--ISNUMBER(SEARCH("R41",G20))*41,0)+IFERROR(--ISNUMBER(SEARCH("R42",G20))*42,0)+IFERROR(--ISNUMBER(SEARCH("R43",G20))*43,0)+IFERROR(--ISNUMBER(SEARCH("R44",G20))*44,0)+IFERROR(--ISNUMBER(SEARCH("R45",G20))*45,0)+IFERROR(--ISNUMBER(SEARCH("R46",G20))*46,0)+IFERROR(--ISNUMBER(SEARCH("R47",G20))*47,0)+IFERROR(--ISNUMBER(SEARCH("R48",G20))*48,0)+IFERROR(--ISNUMBER(SEARCH("R49",G20))*49,0)+IFERROR(--ISNUMBER(SEARCH("R50",G20))*50,0)+IFERROR(--ISNUMBER(SEARCH("R51",G20))*51,0)+IFERROR(--ISNUMBER(SEARCH("R52",G20))*52,0)+IFERROR(--ISNUMBER(SEARCH("R53",G20))*53,0)+IFERROR(--ISNUMBER(SEARCH("R54",G20))*54,0)+IFERROR(--ISNUMBER(SEARCH("R55",G20))*55,0)+IFERROR(--ISNUMBER(SEARCH("R56",G20))*56,0)+IFERROR(--ISNUMBER(SEARCH("R57",G20))*57,0)+IFERROR(--ISNUMBER(SEARCH("R58",G20))*58,0)+IFERROR(--ISNUMBER(SEARCH("R59",G20))*59,0)+IFERROR(--ISNUMBER(SEARCH("R60",G20))*60,0)+IFERROR(--ISNUMBER(SEARCH("R61",G20))*61,0)+IFERROR(--ISNUMBER(SEARCH("R62",G20))*62,0)+IFERROR(--ISNUMBER(SEARCH("R63",G20))*63,0)+IFERROR(--ISNUMBER(SEARCH("R64",G20))*64,0)+IFERROR(--ISNUMBER(SEARCH("R65",G20))*65,0)+IFERROR(--ISNUMBER(SEARCH("R66",G20))*66,0)+IFERROR(--ISNUMBER(SEARCH("R67",G20))*67,0)+IFERROR(--ISNUMBER(SEARCH("R68",G20))*68,0)+IFERROR(--ISNUMBER(SEARCH("R69",G20))*69,0)+IFERROR(--ISNUMBER(SEARCH("R70",G20))*70,0)+IFERROR(--ISNUMBER(SEARCH("R71",G20))*71,0)+IFERROR(--ISNUMBER(SEARCH("R72",G20))*72,0)+IFERROR(--ISNUMBER(SEARCH("R73",G20))*73,0)+IFERROR(--ISNUMBER(SEARCH("R74",G20))*74,0)+IFERROR(--ISNUMBER(SEARCH("R75",G20))*75,0)+IFERROR(--ISNUMBER(SEARCH("R76",G20))*76,0)+IFERROR(--ISNUMBER(SEARCH("R77",G20))*77,0)+IFERROR(--ISNUMBER(SEARCH("R78",G20))*78,0)+IFERROR(--ISNUMBER(SEARCH("R79",G20))*79,0)+IFERROR(--ISNUMBER(SEARCH("R80",G20))*80,0)+IFERROR(--ISNUMBER(SEARCH("R81",G20))*81,0)+IFERROR(--ISNUMBER(SEARCH("R82",G20))*82,0)+IFERROR(--ISNUMBER(SEARCH("R83",G20))*83,0)+IFERROR(--ISNUMBER(SEARCH("R84",G20))*84,0)+IFERROR(--ISNUMBER(SEARCH("R85",G20))*85,0)+IFERROR(--ISNUMBER(SEARCH("R86",G20))*86,0)+IFERROR(--ISNUMBER(SEARCH("R87",G20))*87,0)+IFERROR(--ISNUMBER(SEARCH("R88",G20))*88,0)+IFERROR(--ISNUMBER(SEARCH("R89",G20))*89,0)+IFERROR(--ISNUMBER(SEARCH("R90",G20))*90,0)+IFERROR(--ISNUMBER(SEARCH("R91",G20))*91,0)+IFERROR(--ISNUMBER(SEARCH("R92",G20))*92,0)+IFERROR(--ISNUMBER(SEARCH("R93",G20))*93,0)+IFERROR(--ISNUMBER(SEARCH("R94",G20))*94,0)+IFERROR(--ISNUMBER(SEARCH("R95",G20))*95,0)+IFERROR(--ISNUMBER(SEARCH("R96",G20))*96,0)+IFERROR(--ISNUMBER(SEARCH("R97",G20))*97,0)+IFERROR(--ISNUMBER(SEARCH("R98",G20))*98,0)+IFERROR(--ISNUMBER(SEARCH("R99",G20))*99,0)+IFERROR(--ISNUMBER(SEARCH("R100",G20))*100,0)+IFERROR(--ISNUMBER(SEARCH("R101",G20))*101,0)+IFERROR(--ISNUMBER(SEARCH("R102",G20))*102,0)+IFERROR(--ISNUMBER(SEARCH("R103",G20))*103,0)+IFERROR(--ISNUMBER(SEARCH("R104",G20))*104,0)+IFERROR(--ISNUMBER(SEARCH("R105",G20))*105,0)+IFERROR(--ISNUMBER(SEARCH("R106",G20))*106,0)+IFERROR(--ISNUMBER(SEARCH("R107",G20))*107,0)+IFERROR(--ISNUMBER(SEARCH("R108",G20))*108,0)+IFERROR(--ISNUMBER(SEARCH("R109",G20))*109,0)+IFERROR(--ISNUMBER(SEARCH("R110",G20))*110,0)+IFERROR(--ISNUMBER(SEARCH("R111",G20))*111,0)+IFERROR(--ISNUMBER(SEARCH("R112",G20))*112,0)+IFERROR(--ISNUMBER(SEARCH("R113",G20))*113,0)+IFERROR(--ISNUMBER(SEARCH("R114",G20))*114,0)+IFERROR(--ISNUMBER(SEARCH("R115",G20))*115,0)+IFERROR(--ISNUMBER(SEARCH("R116",G20))*116,0)+IFERROR(--ISNUMBER(SEARCH("R117",G20))*117,0)+IFERROR(--ISNUMBER(SEARCH("R118",G20))*118,0)+IFERROR(--ISNUMBER(SEARCH("R119",G20))*119,0)+IFERROR(--ISNUMBER(SEARCH("R120",G20))*120,0)+IFERROR(--ISNUMBER(SEARCH("R121",G20))*121,0)+IFERROR(--ISNUMBER(SEARCH("R122",G20))*122,0)+IFERROR(--ISNUMBER(SEARCH("R123",G20))*123,0)+IFERROR(--ISNUMBER(SEARCH("R124",G20))*124,0)+IFERROR(--ISNUMBER(SEARCH("R125",G20))*125,0)+IFERROR(--ISNUMBER(SEARCH("R126",G20))*126,0)+IFERROR(--ISNUMBER(SEARCH("R127",G20))*127,0)+IFERROR(--ISNUMBER(SEARCH("R128",G20))*128,0)+IFERROR(--ISNUMBER(SEARCH("R129",G20))*129,0)+IFERROR(--ISNUMBER(SEARCH("R130",G20))*130,0)+IFERROR(--ISNUMBER(SEARCH("R131",G20))*131,0)+IFERROR(--ISNUMBER(SEARCH("R132",G20))*132,0)+IFERROR(--ISNUMBER(SEARCH("R133",G20))*133,0)+IFERROR(--ISNUMBER(SEARCH("R134",G20))*134,0)+IFERROR(--ISNUMBER(SEARCH("R135",G20))*135,0)+IFERROR(--ISNUMBER(SEARCH("R136",G20))*136,0)+IFERROR(--ISNUMBER(SEARCH("R137",G20))*137,0)+IFERROR(--ISNUMBER(SEARCH("R138",G20))*138,0)+IFERROR(--ISNUMBER(SEARCH("R139",G20))*139,0)+IFERROR(--ISNUMBER(SEARCH("R140",G20))*140,0)+IFERROR(--ISNUMBER(SEARCH("R141",G20))*141,0))</f>
        <v/>
      </c>
      <c r="V20" s="59">
        <f>IF(A20="","",IF(K20&lt;&gt;"",K20,J20))</f>
        <v/>
      </c>
      <c r="W20" s="59">
        <f>IF(A20="","",IF(AND(V20=29,O20&lt;&gt;"",COUNTIFS($V$6:$V$505,29,$F$6:$F$505,F20,$C$6:$C$505,C20,$O$6:$O$505,"&lt;&gt;")&gt;1),IF(COUNTIFS($V$6:V20,29,$F$6:F20,F20,$C$6:C20,C20,$O$6:O20,"&lt;&gt;")=1,"Esta es la fila que se debe CONSERVAR (aparición 1 de "&amp;COUNTIFS($V$6:$V$505,29,$F$6:$F$505,F20,$C$6:$C$505,C20,$O$6:$O$505,"&lt;&gt;")&amp;" con el mismo tercero y valor, casilla 29). Si hay más filas iguales, bórreles el valor a ELLAS, no a esta.","DUPLICADO — ya existe otra fila con el mismo tercero y valor para casilla 29 (aparición "&amp;COUNTIFS($V$6:V20,29,$F$6:F20,F20,$C$6:C20,C20,$O$6:O20,"&lt;&gt;")&amp;" de "&amp;COUNTIFS($V$6:$V$505,29,$F$6:$F$505,F20,$C$6:$C$505,C20,$O$6:$O$505,"&lt;&gt;")&amp;"). Para resolverlo: seleccione la celda O"&amp;ROW()&amp;" (columna Valor a declarar de ESTA fila) y presione Supr."),""))</f>
        <v/>
      </c>
      <c r="X20" s="463">
        <f>IF(A20="","",F20)</f>
        <v/>
      </c>
      <c r="Y20" s="463">
        <f>IF(A20="","",SUMIF(Entrada_Manual!$I$88:$I$187,A20,Entrada_Manual!$F$88:$F$187))</f>
        <v/>
      </c>
      <c r="Z20" s="463">
        <f>IF(A20="","",X20-Y20)</f>
        <v/>
      </c>
      <c r="AA20">
        <f>IF(A20="","",SUMPRODUCT((Entrada_Manual!$I$88:$I$187=A20)*1))</f>
        <v/>
      </c>
      <c r="AB20">
        <f>IF(A20="","",IF(S20&lt;=1,"",IF(AA20=0,"PENDIENTE — SIN ASIGNAR",IF(Z20=0,"RESUELTO","PARCIAL — DIFERENCIA "&amp;TEXT(Z20,"#,##0")))))</f>
        <v/>
      </c>
    </row>
    <row r="21" ht="41.25" customHeight="1" s="235">
      <c r="A21" s="47">
        <f>IF(Exogena_RAW!E30&lt;&gt;"",ROW()-5,"")</f>
        <v/>
      </c>
      <c r="B21" s="48">
        <f>IF(A21="","",30)</f>
        <v/>
      </c>
      <c r="C21" s="48">
        <f>IF(A21="","",IFERROR(Exogena_RAW!A30,""))</f>
        <v/>
      </c>
      <c r="D21" s="48">
        <f>IF(A21="","",IFERROR(Exogena_RAW!B30,""))</f>
        <v/>
      </c>
      <c r="E21" s="48">
        <f>IF(A21="","",Exogena_RAW!E30)</f>
        <v/>
      </c>
      <c r="F21" s="461">
        <f>IF(A21="","",Exogena_RAW!F30)</f>
        <v/>
      </c>
      <c r="G21" s="48">
        <f>IF(A21="","",IFERROR(Exogena_RAW!G30,""))</f>
        <v/>
      </c>
      <c r="H21" s="48">
        <f>IF(A21="","",IFERROR(Exogena_RAW!H30,""))</f>
        <v/>
      </c>
      <c r="I21" s="48">
        <f>IF(A21="","",IFERROR(IF(S21&gt;1,"VARIAS CASILLAS",IF(S21=1,IF(T21=1,"PROPUESTA DE CASILLA","REVISIÓN: CASILLA NO DIRECTA"),IF(OR(ISNUMBER(SEARCH("TOPE",UPPER(E21))),ISNUMBER(SEARCH("TOPE",UPPER(G21)))),"SOLO CONTROL",IF(ISNUMBER(SEARCH("RETEN",UPPER(E21))),"RETENCIÓN","REVISAR")))),"REVISAR"))</f>
        <v/>
      </c>
      <c r="J21" s="48">
        <f>IF(A21="","",IF(ISNUMBER(SEARCH("ingreso laboral promedio de los últimos seis meses",E21)),"",IFERROR(IF(AND(S21=1,T21=1),U21,""),"")))</f>
        <v/>
      </c>
      <c r="K21" s="216" t="n"/>
      <c r="L21" s="48">
        <f>IF(A21="","",IFERROR(IF(K21&lt;&gt;"","Casilla elegida por usuario",IF(S21&gt;1,"Varias casillas — elegir en K",IF(J21&lt;&gt;"","Sugerencia directa",IF(S21=1,"No trasladar directo — revisar",IF(OR(ISNUMBER(SEARCH("TOPE",UPPER(E21))),ISNUMBER(SEARCH("TOPE",UPPER(G21)))),"Solo control","Revisar manualmente"))))),"Revisar manualmente"))</f>
        <v/>
      </c>
      <c r="M21" s="461">
        <f>IF(A21="","",IF(IF(K21&lt;&gt;"",K21,J21)="",0,IF(COUNTIFS(Reglas!$I$5:$I$118,IF(K21&lt;&gt;"",K21,J21),Reglas!$J$5:$J$118,"Sí")=1,F21,0)))</f>
        <v/>
      </c>
      <c r="N21" s="56" t="n"/>
      <c r="O21" s="462">
        <f>IF(A21="","",IF(M21=0,"",M21))</f>
        <v/>
      </c>
      <c r="P21" s="461">
        <f>IF(A21="","",IF(O21="",0,IF(ISNUMBER(O21),O21,0)))</f>
        <v/>
      </c>
      <c r="Q21" s="48">
        <f>IF(A21="","",IF(Exogena_RAW!$C$4="","BLOQUEADO: FALTA AÑO",IF(Exogena_RAW!$K$10&lt;&gt;Reglas!$B$5,"BLOQUEADO: AÑO",IF(IF(K21&lt;&gt;"",K21,J21)="",IF(S21&gt;1,"REQUIERE ASIGNACIÓN MANUAL (VARIAS CASILLAS)","INFORMATIVO (sin casilla — no se declara)"),IF(COUNTIFS(Reglas!$I$5:$I$118,IF(K21&lt;&gt;"",K21,J21),Reglas!$J$5:$J$118,"Sí")=0,"BLOQUEADO: CASILLA NO DIRECTA",IF(O21="","EXCLUIDO (valor borrado por el usuario)",IF(_xlfn.ISFORMULA(O21),IF(W21&lt;&gt;"","BORRADOR — VALOR SUGERIDO DIAN ⚠ VER ALERTA","BORRADOR — VALOR SUGERIDO DIAN"),IF(W21&lt;&gt;"","ACEPTADO ⚠ VER ALERTA","ACEPTADO"))))))))</f>
        <v/>
      </c>
      <c r="R21" s="218" t="n"/>
      <c r="S21" s="58">
        <f>IF(A21="","",IFERROR(--ISNUMBER(SEARCH("R28",G21)),0)+IFERROR(--ISNUMBER(SEARCH("R29",G21)),0)+IFERROR(--ISNUMBER(SEARCH("R30",G21)),0)+IFERROR(--ISNUMBER(SEARCH("R31",G21)),0)+IFERROR(--ISNUMBER(SEARCH("R32",G21)),0)+IFERROR(--ISNUMBER(SEARCH("R33",G21)),0)+IFERROR(--ISNUMBER(SEARCH("R34",G21)),0)+IFERROR(--ISNUMBER(SEARCH("R35",G21)),0)+IFERROR(--ISNUMBER(SEARCH("R36",G21)),0)+IFERROR(--ISNUMBER(SEARCH("R37",G21)),0)+IFERROR(--ISNUMBER(SEARCH("R38",G21)),0)+IFERROR(--ISNUMBER(SEARCH("R39",G21)),0)+IFERROR(--ISNUMBER(SEARCH("R40",G21)),0)+IFERROR(--ISNUMBER(SEARCH("R41",G21)),0)+IFERROR(--ISNUMBER(SEARCH("R42",G21)),0)+IFERROR(--ISNUMBER(SEARCH("R43",G21)),0)+IFERROR(--ISNUMBER(SEARCH("R44",G21)),0)+IFERROR(--ISNUMBER(SEARCH("R45",G21)),0)+IFERROR(--ISNUMBER(SEARCH("R46",G21)),0)+IFERROR(--ISNUMBER(SEARCH("R47",G21)),0)+IFERROR(--ISNUMBER(SEARCH("R48",G21)),0)+IFERROR(--ISNUMBER(SEARCH("R49",G21)),0)+IFERROR(--ISNUMBER(SEARCH("R50",G21)),0)+IFERROR(--ISNUMBER(SEARCH("R51",G21)),0)+IFERROR(--ISNUMBER(SEARCH("R52",G21)),0)+IFERROR(--ISNUMBER(SEARCH("R53",G21)),0)+IFERROR(--ISNUMBER(SEARCH("R54",G21)),0)+IFERROR(--ISNUMBER(SEARCH("R55",G21)),0)+IFERROR(--ISNUMBER(SEARCH("R56",G21)),0)+IFERROR(--ISNUMBER(SEARCH("R57",G21)),0)+IFERROR(--ISNUMBER(SEARCH("R58",G21)),0)+IFERROR(--ISNUMBER(SEARCH("R59",G21)),0)+IFERROR(--ISNUMBER(SEARCH("R60",G21)),0)+IFERROR(--ISNUMBER(SEARCH("R61",G21)),0)+IFERROR(--ISNUMBER(SEARCH("R62",G21)),0)+IFERROR(--ISNUMBER(SEARCH("R63",G21)),0)+IFERROR(--ISNUMBER(SEARCH("R64",G21)),0)+IFERROR(--ISNUMBER(SEARCH("R65",G21)),0)+IFERROR(--ISNUMBER(SEARCH("R66",G21)),0)+IFERROR(--ISNUMBER(SEARCH("R67",G21)),0)+IFERROR(--ISNUMBER(SEARCH("R68",G21)),0)+IFERROR(--ISNUMBER(SEARCH("R69",G21)),0)+IFERROR(--ISNUMBER(SEARCH("R70",G21)),0)+IFERROR(--ISNUMBER(SEARCH("R71",G21)),0)+IFERROR(--ISNUMBER(SEARCH("R72",G21)),0)+IFERROR(--ISNUMBER(SEARCH("R73",G21)),0)+IFERROR(--ISNUMBER(SEARCH("R74",G21)),0)+IFERROR(--ISNUMBER(SEARCH("R75",G21)),0)+IFERROR(--ISNUMBER(SEARCH("R76",G21)),0)+IFERROR(--ISNUMBER(SEARCH("R77",G21)),0)+IFERROR(--ISNUMBER(SEARCH("R78",G21)),0)+IFERROR(--ISNUMBER(SEARCH("R79",G21)),0)+IFERROR(--ISNUMBER(SEARCH("R80",G21)),0)+IFERROR(--ISNUMBER(SEARCH("R81",G21)),0)+IFERROR(--ISNUMBER(SEARCH("R82",G21)),0)+IFERROR(--ISNUMBER(SEARCH("R83",G21)),0)+IFERROR(--ISNUMBER(SEARCH("R84",G21)),0)+IFERROR(--ISNUMBER(SEARCH("R85",G21)),0)+IFERROR(--ISNUMBER(SEARCH("R86",G21)),0)+IFERROR(--ISNUMBER(SEARCH("R87",G21)),0)+IFERROR(--ISNUMBER(SEARCH("R88",G21)),0)+IFERROR(--ISNUMBER(SEARCH("R89",G21)),0)+IFERROR(--ISNUMBER(SEARCH("R90",G21)),0)+IFERROR(--ISNUMBER(SEARCH("R91",G21)),0)+IFERROR(--ISNUMBER(SEARCH("R92",G21)),0)+IFERROR(--ISNUMBER(SEARCH("R93",G21)),0)+IFERROR(--ISNUMBER(SEARCH("R94",G21)),0)+IFERROR(--ISNUMBER(SEARCH("R95",G21)),0)+IFERROR(--ISNUMBER(SEARCH("R96",G21)),0)+IFERROR(--ISNUMBER(SEARCH("R97",G21)),0)+IFERROR(--ISNUMBER(SEARCH("R98",G21)),0)+IFERROR(--ISNUMBER(SEARCH("R99",G21)),0)+IFERROR(--ISNUMBER(SEARCH("R100",G21)),0)+IFERROR(--ISNUMBER(SEARCH("R101",G21)),0)+IFERROR(--ISNUMBER(SEARCH("R102",G21)),0)+IFERROR(--ISNUMBER(SEARCH("R103",G21)),0)+IFERROR(--ISNUMBER(SEARCH("R104",G21)),0)+IFERROR(--ISNUMBER(SEARCH("R105",G21)),0)+IFERROR(--ISNUMBER(SEARCH("R106",G21)),0)+IFERROR(--ISNUMBER(SEARCH("R107",G21)),0)+IFERROR(--ISNUMBER(SEARCH("R108",G21)),0)+IFERROR(--ISNUMBER(SEARCH("R109",G21)),0)+IFERROR(--ISNUMBER(SEARCH("R110",G21)),0)+IFERROR(--ISNUMBER(SEARCH("R111",G21)),0)+IFERROR(--ISNUMBER(SEARCH("R112",G21)),0)+IFERROR(--ISNUMBER(SEARCH("R113",G21)),0)+IFERROR(--ISNUMBER(SEARCH("R114",G21)),0)+IFERROR(--ISNUMBER(SEARCH("R115",G21)),0)+IFERROR(--ISNUMBER(SEARCH("R116",G21)),0)+IFERROR(--ISNUMBER(SEARCH("R117",G21)),0)+IFERROR(--ISNUMBER(SEARCH("R118",G21)),0)+IFERROR(--ISNUMBER(SEARCH("R119",G21)),0)+IFERROR(--ISNUMBER(SEARCH("R120",G21)),0)+IFERROR(--ISNUMBER(SEARCH("R121",G21)),0)+IFERROR(--ISNUMBER(SEARCH("R122",G21)),0)+IFERROR(--ISNUMBER(SEARCH("R123",G21)),0)+IFERROR(--ISNUMBER(SEARCH("R124",G21)),0)+IFERROR(--ISNUMBER(SEARCH("R125",G21)),0)+IFERROR(--ISNUMBER(SEARCH("R126",G21)),0)+IFERROR(--ISNUMBER(SEARCH("R127",G21)),0)+IFERROR(--ISNUMBER(SEARCH("R128",G21)),0)+IFERROR(--ISNUMBER(SEARCH("R129",G21)),0)+IFERROR(--ISNUMBER(SEARCH("R130",G21)),0)+IFERROR(--ISNUMBER(SEARCH("R131",G21)),0)+IFERROR(--ISNUMBER(SEARCH("R132",G21)),0)+IFERROR(--ISNUMBER(SEARCH("R133",G21)),0)+IFERROR(--ISNUMBER(SEARCH("R134",G21)),0)+IFERROR(--ISNUMBER(SEARCH("R135",G21)),0)+IFERROR(--ISNUMBER(SEARCH("R136",G21)),0)+IFERROR(--ISNUMBER(SEARCH("R137",G21)),0)+IFERROR(--ISNUMBER(SEARCH("R138",G21)),0)+IFERROR(--ISNUMBER(SEARCH("R139",G21)),0)+IFERROR(--ISNUMBER(SEARCH("R140",G21)),0)+IFERROR(--ISNUMBER(SEARCH("R141",G21)),0))</f>
        <v/>
      </c>
      <c r="T21" s="58">
        <f>IF(A21="","",IFERROR(--ISNUMBER(SEARCH("R28",G21)),0)+IFERROR(--ISNUMBER(SEARCH("R29",G21)),0)+IFERROR(--ISNUMBER(SEARCH("R30",G21)),0)+IFERROR(--ISNUMBER(SEARCH("R32",G21)),0)+IFERROR(--ISNUMBER(SEARCH("R33",G21)),0)+IFERROR(--ISNUMBER(SEARCH("R35",G21)),0)+IFERROR(--ISNUMBER(SEARCH("R36",G21)),0)+IFERROR(--ISNUMBER(SEARCH("R38",G21)),0)+IFERROR(--ISNUMBER(SEARCH("R39",G21)),0)+IFERROR(--ISNUMBER(SEARCH("R43",G21)),0)+IFERROR(--ISNUMBER(SEARCH("R44",G21)),0)+IFERROR(--ISNUMBER(SEARCH("R45",G21)),0)+IFERROR(--ISNUMBER(SEARCH("R47",G21)),0)+IFERROR(--ISNUMBER(SEARCH("R48",G21)),0)+IFERROR(--ISNUMBER(SEARCH("R50",G21)),0)+IFERROR(--ISNUMBER(SEARCH("R51",G21)),0)+IFERROR(--ISNUMBER(SEARCH("R56",G21)),0)+IFERROR(--ISNUMBER(SEARCH("R58",G21)),0)+IFERROR(--ISNUMBER(SEARCH("R59",G21)),0)+IFERROR(--ISNUMBER(SEARCH("R60",G21)),0)+IFERROR(--ISNUMBER(SEARCH("R62",G21)),0)+IFERROR(--ISNUMBER(SEARCH("R63",G21)),0)+IFERROR(--ISNUMBER(SEARCH("R64",G21)),0)+IFERROR(--ISNUMBER(SEARCH("R66",G21)),0)+IFERROR(--ISNUMBER(SEARCH("R67",G21)),0)+IFERROR(--ISNUMBER(SEARCH("R72",G21)),0)+IFERROR(--ISNUMBER(SEARCH("R74",G21)),0)+IFERROR(--ISNUMBER(SEARCH("R75",G21)),0)+IFERROR(--ISNUMBER(SEARCH("R76",G21)),0)+IFERROR(--ISNUMBER(SEARCH("R77",G21)),0)+IFERROR(--ISNUMBER(SEARCH("R79",G21)),0)+IFERROR(--ISNUMBER(SEARCH("R80",G21)),0)+IFERROR(--ISNUMBER(SEARCH("R81",G21)),0)+IFERROR(--ISNUMBER(SEARCH("R83",G21)),0)+IFERROR(--ISNUMBER(SEARCH("R84",G21)),0)+IFERROR(--ISNUMBER(SEARCH("R89",G21)),0)+IFERROR(--ISNUMBER(SEARCH("R94",G21)),0)+IFERROR(--ISNUMBER(SEARCH("R95",G21)),0)+IFERROR(--ISNUMBER(SEARCH("R96",G21)),0)+IFERROR(--ISNUMBER(SEARCH("R98",G21)),0)+IFERROR(--ISNUMBER(SEARCH("R99",G21)),0)+IFERROR(--ISNUMBER(SEARCH("R100",G21)),0)+IFERROR(--ISNUMBER(SEARCH("R104",G21)),0)+IFERROR(--ISNUMBER(SEARCH("R105",G21)),0)+IFERROR(--ISNUMBER(SEARCH("R107",G21)),0)+IFERROR(--ISNUMBER(SEARCH("R108",G21)),0)+IFERROR(--ISNUMBER(SEARCH("R109",G21)),0)+IFERROR(--ISNUMBER(SEARCH("R110",G21)),0)+IFERROR(--ISNUMBER(SEARCH("R112",G21)),0)+IFERROR(--ISNUMBER(SEARCH("R113",G21)),0)+IFERROR(--ISNUMBER(SEARCH("R114",G21)),0)+IFERROR(--ISNUMBER(SEARCH("R118",G21)),0)+IFERROR(--ISNUMBER(SEARCH("R119",G21)),0)+IFERROR(--ISNUMBER(SEARCH("R120",G21)),0)+IFERROR(--ISNUMBER(SEARCH("R122",G21)),0)+IFERROR(--ISNUMBER(SEARCH("R123",G21)),0)+IFERROR(--ISNUMBER(SEARCH("R124",G21)),0)+IFERROR(--ISNUMBER(SEARCH("R128",G21)),0)+IFERROR(--ISNUMBER(SEARCH("R130",G21)),0)+IFERROR(--ISNUMBER(SEARCH("R131",G21)),0)+IFERROR(--ISNUMBER(SEARCH("R132",G21)),0)+IFERROR(--ISNUMBER(SEARCH("R135",G21)),0)+IFERROR(--ISNUMBER(SEARCH("R138",G21)),0)+IFERROR(--ISNUMBER(SEARCH("R141",G21)),0))</f>
        <v/>
      </c>
      <c r="U21" s="58">
        <f>IF(A21="","",IFERROR(--ISNUMBER(SEARCH("R28",G21))*28,0)+IFERROR(--ISNUMBER(SEARCH("R29",G21))*29,0)+IFERROR(--ISNUMBER(SEARCH("R30",G21))*30,0)+IFERROR(--ISNUMBER(SEARCH("R31",G21))*31,0)+IFERROR(--ISNUMBER(SEARCH("R32",G21))*32,0)+IFERROR(--ISNUMBER(SEARCH("R33",G21))*33,0)+IFERROR(--ISNUMBER(SEARCH("R34",G21))*34,0)+IFERROR(--ISNUMBER(SEARCH("R35",G21))*35,0)+IFERROR(--ISNUMBER(SEARCH("R36",G21))*36,0)+IFERROR(--ISNUMBER(SEARCH("R37",G21))*37,0)+IFERROR(--ISNUMBER(SEARCH("R38",G21))*38,0)+IFERROR(--ISNUMBER(SEARCH("R39",G21))*39,0)+IFERROR(--ISNUMBER(SEARCH("R40",G21))*40,0)+IFERROR(--ISNUMBER(SEARCH("R41",G21))*41,0)+IFERROR(--ISNUMBER(SEARCH("R42",G21))*42,0)+IFERROR(--ISNUMBER(SEARCH("R43",G21))*43,0)+IFERROR(--ISNUMBER(SEARCH("R44",G21))*44,0)+IFERROR(--ISNUMBER(SEARCH("R45",G21))*45,0)+IFERROR(--ISNUMBER(SEARCH("R46",G21))*46,0)+IFERROR(--ISNUMBER(SEARCH("R47",G21))*47,0)+IFERROR(--ISNUMBER(SEARCH("R48",G21))*48,0)+IFERROR(--ISNUMBER(SEARCH("R49",G21))*49,0)+IFERROR(--ISNUMBER(SEARCH("R50",G21))*50,0)+IFERROR(--ISNUMBER(SEARCH("R51",G21))*51,0)+IFERROR(--ISNUMBER(SEARCH("R52",G21))*52,0)+IFERROR(--ISNUMBER(SEARCH("R53",G21))*53,0)+IFERROR(--ISNUMBER(SEARCH("R54",G21))*54,0)+IFERROR(--ISNUMBER(SEARCH("R55",G21))*55,0)+IFERROR(--ISNUMBER(SEARCH("R56",G21))*56,0)+IFERROR(--ISNUMBER(SEARCH("R57",G21))*57,0)+IFERROR(--ISNUMBER(SEARCH("R58",G21))*58,0)+IFERROR(--ISNUMBER(SEARCH("R59",G21))*59,0)+IFERROR(--ISNUMBER(SEARCH("R60",G21))*60,0)+IFERROR(--ISNUMBER(SEARCH("R61",G21))*61,0)+IFERROR(--ISNUMBER(SEARCH("R62",G21))*62,0)+IFERROR(--ISNUMBER(SEARCH("R63",G21))*63,0)+IFERROR(--ISNUMBER(SEARCH("R64",G21))*64,0)+IFERROR(--ISNUMBER(SEARCH("R65",G21))*65,0)+IFERROR(--ISNUMBER(SEARCH("R66",G21))*66,0)+IFERROR(--ISNUMBER(SEARCH("R67",G21))*67,0)+IFERROR(--ISNUMBER(SEARCH("R68",G21))*68,0)+IFERROR(--ISNUMBER(SEARCH("R69",G21))*69,0)+IFERROR(--ISNUMBER(SEARCH("R70",G21))*70,0)+IFERROR(--ISNUMBER(SEARCH("R71",G21))*71,0)+IFERROR(--ISNUMBER(SEARCH("R72",G21))*72,0)+IFERROR(--ISNUMBER(SEARCH("R73",G21))*73,0)+IFERROR(--ISNUMBER(SEARCH("R74",G21))*74,0)+IFERROR(--ISNUMBER(SEARCH("R75",G21))*75,0)+IFERROR(--ISNUMBER(SEARCH("R76",G21))*76,0)+IFERROR(--ISNUMBER(SEARCH("R77",G21))*77,0)+IFERROR(--ISNUMBER(SEARCH("R78",G21))*78,0)+IFERROR(--ISNUMBER(SEARCH("R79",G21))*79,0)+IFERROR(--ISNUMBER(SEARCH("R80",G21))*80,0)+IFERROR(--ISNUMBER(SEARCH("R81",G21))*81,0)+IFERROR(--ISNUMBER(SEARCH("R82",G21))*82,0)+IFERROR(--ISNUMBER(SEARCH("R83",G21))*83,0)+IFERROR(--ISNUMBER(SEARCH("R84",G21))*84,0)+IFERROR(--ISNUMBER(SEARCH("R85",G21))*85,0)+IFERROR(--ISNUMBER(SEARCH("R86",G21))*86,0)+IFERROR(--ISNUMBER(SEARCH("R87",G21))*87,0)+IFERROR(--ISNUMBER(SEARCH("R88",G21))*88,0)+IFERROR(--ISNUMBER(SEARCH("R89",G21))*89,0)+IFERROR(--ISNUMBER(SEARCH("R90",G21))*90,0)+IFERROR(--ISNUMBER(SEARCH("R91",G21))*91,0)+IFERROR(--ISNUMBER(SEARCH("R92",G21))*92,0)+IFERROR(--ISNUMBER(SEARCH("R93",G21))*93,0)+IFERROR(--ISNUMBER(SEARCH("R94",G21))*94,0)+IFERROR(--ISNUMBER(SEARCH("R95",G21))*95,0)+IFERROR(--ISNUMBER(SEARCH("R96",G21))*96,0)+IFERROR(--ISNUMBER(SEARCH("R97",G21))*97,0)+IFERROR(--ISNUMBER(SEARCH("R98",G21))*98,0)+IFERROR(--ISNUMBER(SEARCH("R99",G21))*99,0)+IFERROR(--ISNUMBER(SEARCH("R100",G21))*100,0)+IFERROR(--ISNUMBER(SEARCH("R101",G21))*101,0)+IFERROR(--ISNUMBER(SEARCH("R102",G21))*102,0)+IFERROR(--ISNUMBER(SEARCH("R103",G21))*103,0)+IFERROR(--ISNUMBER(SEARCH("R104",G21))*104,0)+IFERROR(--ISNUMBER(SEARCH("R105",G21))*105,0)+IFERROR(--ISNUMBER(SEARCH("R106",G21))*106,0)+IFERROR(--ISNUMBER(SEARCH("R107",G21))*107,0)+IFERROR(--ISNUMBER(SEARCH("R108",G21))*108,0)+IFERROR(--ISNUMBER(SEARCH("R109",G21))*109,0)+IFERROR(--ISNUMBER(SEARCH("R110",G21))*110,0)+IFERROR(--ISNUMBER(SEARCH("R111",G21))*111,0)+IFERROR(--ISNUMBER(SEARCH("R112",G21))*112,0)+IFERROR(--ISNUMBER(SEARCH("R113",G21))*113,0)+IFERROR(--ISNUMBER(SEARCH("R114",G21))*114,0)+IFERROR(--ISNUMBER(SEARCH("R115",G21))*115,0)+IFERROR(--ISNUMBER(SEARCH("R116",G21))*116,0)+IFERROR(--ISNUMBER(SEARCH("R117",G21))*117,0)+IFERROR(--ISNUMBER(SEARCH("R118",G21))*118,0)+IFERROR(--ISNUMBER(SEARCH("R119",G21))*119,0)+IFERROR(--ISNUMBER(SEARCH("R120",G21))*120,0)+IFERROR(--ISNUMBER(SEARCH("R121",G21))*121,0)+IFERROR(--ISNUMBER(SEARCH("R122",G21))*122,0)+IFERROR(--ISNUMBER(SEARCH("R123",G21))*123,0)+IFERROR(--ISNUMBER(SEARCH("R124",G21))*124,0)+IFERROR(--ISNUMBER(SEARCH("R125",G21))*125,0)+IFERROR(--ISNUMBER(SEARCH("R126",G21))*126,0)+IFERROR(--ISNUMBER(SEARCH("R127",G21))*127,0)+IFERROR(--ISNUMBER(SEARCH("R128",G21))*128,0)+IFERROR(--ISNUMBER(SEARCH("R129",G21))*129,0)+IFERROR(--ISNUMBER(SEARCH("R130",G21))*130,0)+IFERROR(--ISNUMBER(SEARCH("R131",G21))*131,0)+IFERROR(--ISNUMBER(SEARCH("R132",G21))*132,0)+IFERROR(--ISNUMBER(SEARCH("R133",G21))*133,0)+IFERROR(--ISNUMBER(SEARCH("R134",G21))*134,0)+IFERROR(--ISNUMBER(SEARCH("R135",G21))*135,0)+IFERROR(--ISNUMBER(SEARCH("R136",G21))*136,0)+IFERROR(--ISNUMBER(SEARCH("R137",G21))*137,0)+IFERROR(--ISNUMBER(SEARCH("R138",G21))*138,0)+IFERROR(--ISNUMBER(SEARCH("R139",G21))*139,0)+IFERROR(--ISNUMBER(SEARCH("R140",G21))*140,0)+IFERROR(--ISNUMBER(SEARCH("R141",G21))*141,0))</f>
        <v/>
      </c>
      <c r="V21" s="59">
        <f>IF(A21="","",IF(K21&lt;&gt;"",K21,J21))</f>
        <v/>
      </c>
      <c r="W21" s="59">
        <f>IF(A21="","",IF(AND(V21=29,O21&lt;&gt;"",COUNTIFS($V$6:$V$505,29,$F$6:$F$505,F21,$C$6:$C$505,C21,$O$6:$O$505,"&lt;&gt;")&gt;1),IF(COUNTIFS($V$6:V21,29,$F$6:F21,F21,$C$6:C21,C21,$O$6:O21,"&lt;&gt;")=1,"Esta es la fila que se debe CONSERVAR (aparición 1 de "&amp;COUNTIFS($V$6:$V$505,29,$F$6:$F$505,F21,$C$6:$C$505,C21,$O$6:$O$505,"&lt;&gt;")&amp;" con el mismo tercero y valor, casilla 29). Si hay más filas iguales, bórreles el valor a ELLAS, no a esta.","DUPLICADO — ya existe otra fila con el mismo tercero y valor para casilla 29 (aparición "&amp;COUNTIFS($V$6:V21,29,$F$6:F21,F21,$C$6:C21,C21,$O$6:O21,"&lt;&gt;")&amp;" de "&amp;COUNTIFS($V$6:$V$505,29,$F$6:$F$505,F21,$C$6:$C$505,C21,$O$6:$O$505,"&lt;&gt;")&amp;"). Para resolverlo: seleccione la celda O"&amp;ROW()&amp;" (columna Valor a declarar de ESTA fila) y presione Supr."),""))</f>
        <v/>
      </c>
      <c r="X21" s="463">
        <f>IF(A21="","",F21)</f>
        <v/>
      </c>
      <c r="Y21" s="463">
        <f>IF(A21="","",SUMIF(Entrada_Manual!$I$88:$I$187,A21,Entrada_Manual!$F$88:$F$187))</f>
        <v/>
      </c>
      <c r="Z21" s="463">
        <f>IF(A21="","",X21-Y21)</f>
        <v/>
      </c>
      <c r="AA21">
        <f>IF(A21="","",SUMPRODUCT((Entrada_Manual!$I$88:$I$187=A21)*1))</f>
        <v/>
      </c>
      <c r="AB21">
        <f>IF(A21="","",IF(S21&lt;=1,"",IF(AA21=0,"PENDIENTE — SIN ASIGNAR",IF(Z21=0,"RESUELTO","PARCIAL — DIFERENCIA "&amp;TEXT(Z21,"#,##0")))))</f>
        <v/>
      </c>
    </row>
    <row r="22" ht="54.75" customHeight="1" s="235">
      <c r="A22" s="47">
        <f>IF(Exogena_RAW!E31&lt;&gt;"",ROW()-5,"")</f>
        <v/>
      </c>
      <c r="B22" s="48">
        <f>IF(A22="","",31)</f>
        <v/>
      </c>
      <c r="C22" s="48">
        <f>IF(A22="","",IFERROR(Exogena_RAW!A31,""))</f>
        <v/>
      </c>
      <c r="D22" s="48">
        <f>IF(A22="","",IFERROR(Exogena_RAW!B31,""))</f>
        <v/>
      </c>
      <c r="E22" s="48">
        <f>IF(A22="","",Exogena_RAW!E31)</f>
        <v/>
      </c>
      <c r="F22" s="461">
        <f>IF(A22="","",Exogena_RAW!F31)</f>
        <v/>
      </c>
      <c r="G22" s="48">
        <f>IF(A22="","",IFERROR(Exogena_RAW!G31,""))</f>
        <v/>
      </c>
      <c r="H22" s="48">
        <f>IF(A22="","",IFERROR(Exogena_RAW!H31,""))</f>
        <v/>
      </c>
      <c r="I22" s="48">
        <f>IF(A22="","",IFERROR(IF(S22&gt;1,"VARIAS CASILLAS",IF(S22=1,IF(T22=1,"PROPUESTA DE CASILLA","REVISIÓN: CASILLA NO DIRECTA"),IF(OR(ISNUMBER(SEARCH("TOPE",UPPER(E22))),ISNUMBER(SEARCH("TOPE",UPPER(G22)))),"SOLO CONTROL",IF(ISNUMBER(SEARCH("RETEN",UPPER(E22))),"RETENCIÓN","REVISAR")))),"REVISAR"))</f>
        <v/>
      </c>
      <c r="J22" s="48">
        <f>IF(A22="","",IF(ISNUMBER(SEARCH("ingreso laboral promedio de los últimos seis meses",E22)),"",IFERROR(IF(AND(S22=1,T22=1),U22,""),"")))</f>
        <v/>
      </c>
      <c r="K22" s="216" t="n"/>
      <c r="L22" s="48">
        <f>IF(A22="","",IFERROR(IF(K22&lt;&gt;"","Casilla elegida por usuario",IF(S22&gt;1,"Varias casillas — elegir en K",IF(J22&lt;&gt;"","Sugerencia directa",IF(S22=1,"No trasladar directo — revisar",IF(OR(ISNUMBER(SEARCH("TOPE",UPPER(E22))),ISNUMBER(SEARCH("TOPE",UPPER(G22)))),"Solo control","Revisar manualmente"))))),"Revisar manualmente"))</f>
        <v/>
      </c>
      <c r="M22" s="461">
        <f>IF(A22="","",IF(IF(K22&lt;&gt;"",K22,J22)="",0,IF(COUNTIFS(Reglas!$I$5:$I$118,IF(K22&lt;&gt;"",K22,J22),Reglas!$J$5:$J$118,"Sí")=1,F22,0)))</f>
        <v/>
      </c>
      <c r="N22" s="56" t="n"/>
      <c r="O22" s="462">
        <f>IF(A22="","",IF(M22=0,"",M22))</f>
        <v/>
      </c>
      <c r="P22" s="461">
        <f>IF(A22="","",IF(O22="",0,IF(ISNUMBER(O22),O22,0)))</f>
        <v/>
      </c>
      <c r="Q22" s="48">
        <f>IF(A22="","",IF(Exogena_RAW!$C$4="","BLOQUEADO: FALTA AÑO",IF(Exogena_RAW!$K$10&lt;&gt;Reglas!$B$5,"BLOQUEADO: AÑO",IF(IF(K22&lt;&gt;"",K22,J22)="",IF(S22&gt;1,"REQUIERE ASIGNACIÓN MANUAL (VARIAS CASILLAS)","INFORMATIVO (sin casilla — no se declara)"),IF(COUNTIFS(Reglas!$I$5:$I$118,IF(K22&lt;&gt;"",K22,J22),Reglas!$J$5:$J$118,"Sí")=0,"BLOQUEADO: CASILLA NO DIRECTA",IF(O22="","EXCLUIDO (valor borrado por el usuario)",IF(_xlfn.ISFORMULA(O22),IF(W22&lt;&gt;"","BORRADOR — VALOR SUGERIDO DIAN ⚠ VER ALERTA","BORRADOR — VALOR SUGERIDO DIAN"),IF(W22&lt;&gt;"","ACEPTADO ⚠ VER ALERTA","ACEPTADO"))))))))</f>
        <v/>
      </c>
      <c r="R22" s="218" t="n"/>
      <c r="S22" s="58">
        <f>IF(A22="","",IFERROR(--ISNUMBER(SEARCH("R28",G22)),0)+IFERROR(--ISNUMBER(SEARCH("R29",G22)),0)+IFERROR(--ISNUMBER(SEARCH("R30",G22)),0)+IFERROR(--ISNUMBER(SEARCH("R31",G22)),0)+IFERROR(--ISNUMBER(SEARCH("R32",G22)),0)+IFERROR(--ISNUMBER(SEARCH("R33",G22)),0)+IFERROR(--ISNUMBER(SEARCH("R34",G22)),0)+IFERROR(--ISNUMBER(SEARCH("R35",G22)),0)+IFERROR(--ISNUMBER(SEARCH("R36",G22)),0)+IFERROR(--ISNUMBER(SEARCH("R37",G22)),0)+IFERROR(--ISNUMBER(SEARCH("R38",G22)),0)+IFERROR(--ISNUMBER(SEARCH("R39",G22)),0)+IFERROR(--ISNUMBER(SEARCH("R40",G22)),0)+IFERROR(--ISNUMBER(SEARCH("R41",G22)),0)+IFERROR(--ISNUMBER(SEARCH("R42",G22)),0)+IFERROR(--ISNUMBER(SEARCH("R43",G22)),0)+IFERROR(--ISNUMBER(SEARCH("R44",G22)),0)+IFERROR(--ISNUMBER(SEARCH("R45",G22)),0)+IFERROR(--ISNUMBER(SEARCH("R46",G22)),0)+IFERROR(--ISNUMBER(SEARCH("R47",G22)),0)+IFERROR(--ISNUMBER(SEARCH("R48",G22)),0)+IFERROR(--ISNUMBER(SEARCH("R49",G22)),0)+IFERROR(--ISNUMBER(SEARCH("R50",G22)),0)+IFERROR(--ISNUMBER(SEARCH("R51",G22)),0)+IFERROR(--ISNUMBER(SEARCH("R52",G22)),0)+IFERROR(--ISNUMBER(SEARCH("R53",G22)),0)+IFERROR(--ISNUMBER(SEARCH("R54",G22)),0)+IFERROR(--ISNUMBER(SEARCH("R55",G22)),0)+IFERROR(--ISNUMBER(SEARCH("R56",G22)),0)+IFERROR(--ISNUMBER(SEARCH("R57",G22)),0)+IFERROR(--ISNUMBER(SEARCH("R58",G22)),0)+IFERROR(--ISNUMBER(SEARCH("R59",G22)),0)+IFERROR(--ISNUMBER(SEARCH("R60",G22)),0)+IFERROR(--ISNUMBER(SEARCH("R61",G22)),0)+IFERROR(--ISNUMBER(SEARCH("R62",G22)),0)+IFERROR(--ISNUMBER(SEARCH("R63",G22)),0)+IFERROR(--ISNUMBER(SEARCH("R64",G22)),0)+IFERROR(--ISNUMBER(SEARCH("R65",G22)),0)+IFERROR(--ISNUMBER(SEARCH("R66",G22)),0)+IFERROR(--ISNUMBER(SEARCH("R67",G22)),0)+IFERROR(--ISNUMBER(SEARCH("R68",G22)),0)+IFERROR(--ISNUMBER(SEARCH("R69",G22)),0)+IFERROR(--ISNUMBER(SEARCH("R70",G22)),0)+IFERROR(--ISNUMBER(SEARCH("R71",G22)),0)+IFERROR(--ISNUMBER(SEARCH("R72",G22)),0)+IFERROR(--ISNUMBER(SEARCH("R73",G22)),0)+IFERROR(--ISNUMBER(SEARCH("R74",G22)),0)+IFERROR(--ISNUMBER(SEARCH("R75",G22)),0)+IFERROR(--ISNUMBER(SEARCH("R76",G22)),0)+IFERROR(--ISNUMBER(SEARCH("R77",G22)),0)+IFERROR(--ISNUMBER(SEARCH("R78",G22)),0)+IFERROR(--ISNUMBER(SEARCH("R79",G22)),0)+IFERROR(--ISNUMBER(SEARCH("R80",G22)),0)+IFERROR(--ISNUMBER(SEARCH("R81",G22)),0)+IFERROR(--ISNUMBER(SEARCH("R82",G22)),0)+IFERROR(--ISNUMBER(SEARCH("R83",G22)),0)+IFERROR(--ISNUMBER(SEARCH("R84",G22)),0)+IFERROR(--ISNUMBER(SEARCH("R85",G22)),0)+IFERROR(--ISNUMBER(SEARCH("R86",G22)),0)+IFERROR(--ISNUMBER(SEARCH("R87",G22)),0)+IFERROR(--ISNUMBER(SEARCH("R88",G22)),0)+IFERROR(--ISNUMBER(SEARCH("R89",G22)),0)+IFERROR(--ISNUMBER(SEARCH("R90",G22)),0)+IFERROR(--ISNUMBER(SEARCH("R91",G22)),0)+IFERROR(--ISNUMBER(SEARCH("R92",G22)),0)+IFERROR(--ISNUMBER(SEARCH("R93",G22)),0)+IFERROR(--ISNUMBER(SEARCH("R94",G22)),0)+IFERROR(--ISNUMBER(SEARCH("R95",G22)),0)+IFERROR(--ISNUMBER(SEARCH("R96",G22)),0)+IFERROR(--ISNUMBER(SEARCH("R97",G22)),0)+IFERROR(--ISNUMBER(SEARCH("R98",G22)),0)+IFERROR(--ISNUMBER(SEARCH("R99",G22)),0)+IFERROR(--ISNUMBER(SEARCH("R100",G22)),0)+IFERROR(--ISNUMBER(SEARCH("R101",G22)),0)+IFERROR(--ISNUMBER(SEARCH("R102",G22)),0)+IFERROR(--ISNUMBER(SEARCH("R103",G22)),0)+IFERROR(--ISNUMBER(SEARCH("R104",G22)),0)+IFERROR(--ISNUMBER(SEARCH("R105",G22)),0)+IFERROR(--ISNUMBER(SEARCH("R106",G22)),0)+IFERROR(--ISNUMBER(SEARCH("R107",G22)),0)+IFERROR(--ISNUMBER(SEARCH("R108",G22)),0)+IFERROR(--ISNUMBER(SEARCH("R109",G22)),0)+IFERROR(--ISNUMBER(SEARCH("R110",G22)),0)+IFERROR(--ISNUMBER(SEARCH("R111",G22)),0)+IFERROR(--ISNUMBER(SEARCH("R112",G22)),0)+IFERROR(--ISNUMBER(SEARCH("R113",G22)),0)+IFERROR(--ISNUMBER(SEARCH("R114",G22)),0)+IFERROR(--ISNUMBER(SEARCH("R115",G22)),0)+IFERROR(--ISNUMBER(SEARCH("R116",G22)),0)+IFERROR(--ISNUMBER(SEARCH("R117",G22)),0)+IFERROR(--ISNUMBER(SEARCH("R118",G22)),0)+IFERROR(--ISNUMBER(SEARCH("R119",G22)),0)+IFERROR(--ISNUMBER(SEARCH("R120",G22)),0)+IFERROR(--ISNUMBER(SEARCH("R121",G22)),0)+IFERROR(--ISNUMBER(SEARCH("R122",G22)),0)+IFERROR(--ISNUMBER(SEARCH("R123",G22)),0)+IFERROR(--ISNUMBER(SEARCH("R124",G22)),0)+IFERROR(--ISNUMBER(SEARCH("R125",G22)),0)+IFERROR(--ISNUMBER(SEARCH("R126",G22)),0)+IFERROR(--ISNUMBER(SEARCH("R127",G22)),0)+IFERROR(--ISNUMBER(SEARCH("R128",G22)),0)+IFERROR(--ISNUMBER(SEARCH("R129",G22)),0)+IFERROR(--ISNUMBER(SEARCH("R130",G22)),0)+IFERROR(--ISNUMBER(SEARCH("R131",G22)),0)+IFERROR(--ISNUMBER(SEARCH("R132",G22)),0)+IFERROR(--ISNUMBER(SEARCH("R133",G22)),0)+IFERROR(--ISNUMBER(SEARCH("R134",G22)),0)+IFERROR(--ISNUMBER(SEARCH("R135",G22)),0)+IFERROR(--ISNUMBER(SEARCH("R136",G22)),0)+IFERROR(--ISNUMBER(SEARCH("R137",G22)),0)+IFERROR(--ISNUMBER(SEARCH("R138",G22)),0)+IFERROR(--ISNUMBER(SEARCH("R139",G22)),0)+IFERROR(--ISNUMBER(SEARCH("R140",G22)),0)+IFERROR(--ISNUMBER(SEARCH("R141",G22)),0))</f>
        <v/>
      </c>
      <c r="T22" s="58">
        <f>IF(A22="","",IFERROR(--ISNUMBER(SEARCH("R28",G22)),0)+IFERROR(--ISNUMBER(SEARCH("R29",G22)),0)+IFERROR(--ISNUMBER(SEARCH("R30",G22)),0)+IFERROR(--ISNUMBER(SEARCH("R32",G22)),0)+IFERROR(--ISNUMBER(SEARCH("R33",G22)),0)+IFERROR(--ISNUMBER(SEARCH("R35",G22)),0)+IFERROR(--ISNUMBER(SEARCH("R36",G22)),0)+IFERROR(--ISNUMBER(SEARCH("R38",G22)),0)+IFERROR(--ISNUMBER(SEARCH("R39",G22)),0)+IFERROR(--ISNUMBER(SEARCH("R43",G22)),0)+IFERROR(--ISNUMBER(SEARCH("R44",G22)),0)+IFERROR(--ISNUMBER(SEARCH("R45",G22)),0)+IFERROR(--ISNUMBER(SEARCH("R47",G22)),0)+IFERROR(--ISNUMBER(SEARCH("R48",G22)),0)+IFERROR(--ISNUMBER(SEARCH("R50",G22)),0)+IFERROR(--ISNUMBER(SEARCH("R51",G22)),0)+IFERROR(--ISNUMBER(SEARCH("R56",G22)),0)+IFERROR(--ISNUMBER(SEARCH("R58",G22)),0)+IFERROR(--ISNUMBER(SEARCH("R59",G22)),0)+IFERROR(--ISNUMBER(SEARCH("R60",G22)),0)+IFERROR(--ISNUMBER(SEARCH("R62",G22)),0)+IFERROR(--ISNUMBER(SEARCH("R63",G22)),0)+IFERROR(--ISNUMBER(SEARCH("R64",G22)),0)+IFERROR(--ISNUMBER(SEARCH("R66",G22)),0)+IFERROR(--ISNUMBER(SEARCH("R67",G22)),0)+IFERROR(--ISNUMBER(SEARCH("R72",G22)),0)+IFERROR(--ISNUMBER(SEARCH("R74",G22)),0)+IFERROR(--ISNUMBER(SEARCH("R75",G22)),0)+IFERROR(--ISNUMBER(SEARCH("R76",G22)),0)+IFERROR(--ISNUMBER(SEARCH("R77",G22)),0)+IFERROR(--ISNUMBER(SEARCH("R79",G22)),0)+IFERROR(--ISNUMBER(SEARCH("R80",G22)),0)+IFERROR(--ISNUMBER(SEARCH("R81",G22)),0)+IFERROR(--ISNUMBER(SEARCH("R83",G22)),0)+IFERROR(--ISNUMBER(SEARCH("R84",G22)),0)+IFERROR(--ISNUMBER(SEARCH("R89",G22)),0)+IFERROR(--ISNUMBER(SEARCH("R94",G22)),0)+IFERROR(--ISNUMBER(SEARCH("R95",G22)),0)+IFERROR(--ISNUMBER(SEARCH("R96",G22)),0)+IFERROR(--ISNUMBER(SEARCH("R98",G22)),0)+IFERROR(--ISNUMBER(SEARCH("R99",G22)),0)+IFERROR(--ISNUMBER(SEARCH("R100",G22)),0)+IFERROR(--ISNUMBER(SEARCH("R104",G22)),0)+IFERROR(--ISNUMBER(SEARCH("R105",G22)),0)+IFERROR(--ISNUMBER(SEARCH("R107",G22)),0)+IFERROR(--ISNUMBER(SEARCH("R108",G22)),0)+IFERROR(--ISNUMBER(SEARCH("R109",G22)),0)+IFERROR(--ISNUMBER(SEARCH("R110",G22)),0)+IFERROR(--ISNUMBER(SEARCH("R112",G22)),0)+IFERROR(--ISNUMBER(SEARCH("R113",G22)),0)+IFERROR(--ISNUMBER(SEARCH("R114",G22)),0)+IFERROR(--ISNUMBER(SEARCH("R118",G22)),0)+IFERROR(--ISNUMBER(SEARCH("R119",G22)),0)+IFERROR(--ISNUMBER(SEARCH("R120",G22)),0)+IFERROR(--ISNUMBER(SEARCH("R122",G22)),0)+IFERROR(--ISNUMBER(SEARCH("R123",G22)),0)+IFERROR(--ISNUMBER(SEARCH("R124",G22)),0)+IFERROR(--ISNUMBER(SEARCH("R128",G22)),0)+IFERROR(--ISNUMBER(SEARCH("R130",G22)),0)+IFERROR(--ISNUMBER(SEARCH("R131",G22)),0)+IFERROR(--ISNUMBER(SEARCH("R132",G22)),0)+IFERROR(--ISNUMBER(SEARCH("R135",G22)),0)+IFERROR(--ISNUMBER(SEARCH("R138",G22)),0)+IFERROR(--ISNUMBER(SEARCH("R141",G22)),0))</f>
        <v/>
      </c>
      <c r="U22" s="58">
        <f>IF(A22="","",IFERROR(--ISNUMBER(SEARCH("R28",G22))*28,0)+IFERROR(--ISNUMBER(SEARCH("R29",G22))*29,0)+IFERROR(--ISNUMBER(SEARCH("R30",G22))*30,0)+IFERROR(--ISNUMBER(SEARCH("R31",G22))*31,0)+IFERROR(--ISNUMBER(SEARCH("R32",G22))*32,0)+IFERROR(--ISNUMBER(SEARCH("R33",G22))*33,0)+IFERROR(--ISNUMBER(SEARCH("R34",G22))*34,0)+IFERROR(--ISNUMBER(SEARCH("R35",G22))*35,0)+IFERROR(--ISNUMBER(SEARCH("R36",G22))*36,0)+IFERROR(--ISNUMBER(SEARCH("R37",G22))*37,0)+IFERROR(--ISNUMBER(SEARCH("R38",G22))*38,0)+IFERROR(--ISNUMBER(SEARCH("R39",G22))*39,0)+IFERROR(--ISNUMBER(SEARCH("R40",G22))*40,0)+IFERROR(--ISNUMBER(SEARCH("R41",G22))*41,0)+IFERROR(--ISNUMBER(SEARCH("R42",G22))*42,0)+IFERROR(--ISNUMBER(SEARCH("R43",G22))*43,0)+IFERROR(--ISNUMBER(SEARCH("R44",G22))*44,0)+IFERROR(--ISNUMBER(SEARCH("R45",G22))*45,0)+IFERROR(--ISNUMBER(SEARCH("R46",G22))*46,0)+IFERROR(--ISNUMBER(SEARCH("R47",G22))*47,0)+IFERROR(--ISNUMBER(SEARCH("R48",G22))*48,0)+IFERROR(--ISNUMBER(SEARCH("R49",G22))*49,0)+IFERROR(--ISNUMBER(SEARCH("R50",G22))*50,0)+IFERROR(--ISNUMBER(SEARCH("R51",G22))*51,0)+IFERROR(--ISNUMBER(SEARCH("R52",G22))*52,0)+IFERROR(--ISNUMBER(SEARCH("R53",G22))*53,0)+IFERROR(--ISNUMBER(SEARCH("R54",G22))*54,0)+IFERROR(--ISNUMBER(SEARCH("R55",G22))*55,0)+IFERROR(--ISNUMBER(SEARCH("R56",G22))*56,0)+IFERROR(--ISNUMBER(SEARCH("R57",G22))*57,0)+IFERROR(--ISNUMBER(SEARCH("R58",G22))*58,0)+IFERROR(--ISNUMBER(SEARCH("R59",G22))*59,0)+IFERROR(--ISNUMBER(SEARCH("R60",G22))*60,0)+IFERROR(--ISNUMBER(SEARCH("R61",G22))*61,0)+IFERROR(--ISNUMBER(SEARCH("R62",G22))*62,0)+IFERROR(--ISNUMBER(SEARCH("R63",G22))*63,0)+IFERROR(--ISNUMBER(SEARCH("R64",G22))*64,0)+IFERROR(--ISNUMBER(SEARCH("R65",G22))*65,0)+IFERROR(--ISNUMBER(SEARCH("R66",G22))*66,0)+IFERROR(--ISNUMBER(SEARCH("R67",G22))*67,0)+IFERROR(--ISNUMBER(SEARCH("R68",G22))*68,0)+IFERROR(--ISNUMBER(SEARCH("R69",G22))*69,0)+IFERROR(--ISNUMBER(SEARCH("R70",G22))*70,0)+IFERROR(--ISNUMBER(SEARCH("R71",G22))*71,0)+IFERROR(--ISNUMBER(SEARCH("R72",G22))*72,0)+IFERROR(--ISNUMBER(SEARCH("R73",G22))*73,0)+IFERROR(--ISNUMBER(SEARCH("R74",G22))*74,0)+IFERROR(--ISNUMBER(SEARCH("R75",G22))*75,0)+IFERROR(--ISNUMBER(SEARCH("R76",G22))*76,0)+IFERROR(--ISNUMBER(SEARCH("R77",G22))*77,0)+IFERROR(--ISNUMBER(SEARCH("R78",G22))*78,0)+IFERROR(--ISNUMBER(SEARCH("R79",G22))*79,0)+IFERROR(--ISNUMBER(SEARCH("R80",G22))*80,0)+IFERROR(--ISNUMBER(SEARCH("R81",G22))*81,0)+IFERROR(--ISNUMBER(SEARCH("R82",G22))*82,0)+IFERROR(--ISNUMBER(SEARCH("R83",G22))*83,0)+IFERROR(--ISNUMBER(SEARCH("R84",G22))*84,0)+IFERROR(--ISNUMBER(SEARCH("R85",G22))*85,0)+IFERROR(--ISNUMBER(SEARCH("R86",G22))*86,0)+IFERROR(--ISNUMBER(SEARCH("R87",G22))*87,0)+IFERROR(--ISNUMBER(SEARCH("R88",G22))*88,0)+IFERROR(--ISNUMBER(SEARCH("R89",G22))*89,0)+IFERROR(--ISNUMBER(SEARCH("R90",G22))*90,0)+IFERROR(--ISNUMBER(SEARCH("R91",G22))*91,0)+IFERROR(--ISNUMBER(SEARCH("R92",G22))*92,0)+IFERROR(--ISNUMBER(SEARCH("R93",G22))*93,0)+IFERROR(--ISNUMBER(SEARCH("R94",G22))*94,0)+IFERROR(--ISNUMBER(SEARCH("R95",G22))*95,0)+IFERROR(--ISNUMBER(SEARCH("R96",G22))*96,0)+IFERROR(--ISNUMBER(SEARCH("R97",G22))*97,0)+IFERROR(--ISNUMBER(SEARCH("R98",G22))*98,0)+IFERROR(--ISNUMBER(SEARCH("R99",G22))*99,0)+IFERROR(--ISNUMBER(SEARCH("R100",G22))*100,0)+IFERROR(--ISNUMBER(SEARCH("R101",G22))*101,0)+IFERROR(--ISNUMBER(SEARCH("R102",G22))*102,0)+IFERROR(--ISNUMBER(SEARCH("R103",G22))*103,0)+IFERROR(--ISNUMBER(SEARCH("R104",G22))*104,0)+IFERROR(--ISNUMBER(SEARCH("R105",G22))*105,0)+IFERROR(--ISNUMBER(SEARCH("R106",G22))*106,0)+IFERROR(--ISNUMBER(SEARCH("R107",G22))*107,0)+IFERROR(--ISNUMBER(SEARCH("R108",G22))*108,0)+IFERROR(--ISNUMBER(SEARCH("R109",G22))*109,0)+IFERROR(--ISNUMBER(SEARCH("R110",G22))*110,0)+IFERROR(--ISNUMBER(SEARCH("R111",G22))*111,0)+IFERROR(--ISNUMBER(SEARCH("R112",G22))*112,0)+IFERROR(--ISNUMBER(SEARCH("R113",G22))*113,0)+IFERROR(--ISNUMBER(SEARCH("R114",G22))*114,0)+IFERROR(--ISNUMBER(SEARCH("R115",G22))*115,0)+IFERROR(--ISNUMBER(SEARCH("R116",G22))*116,0)+IFERROR(--ISNUMBER(SEARCH("R117",G22))*117,0)+IFERROR(--ISNUMBER(SEARCH("R118",G22))*118,0)+IFERROR(--ISNUMBER(SEARCH("R119",G22))*119,0)+IFERROR(--ISNUMBER(SEARCH("R120",G22))*120,0)+IFERROR(--ISNUMBER(SEARCH("R121",G22))*121,0)+IFERROR(--ISNUMBER(SEARCH("R122",G22))*122,0)+IFERROR(--ISNUMBER(SEARCH("R123",G22))*123,0)+IFERROR(--ISNUMBER(SEARCH("R124",G22))*124,0)+IFERROR(--ISNUMBER(SEARCH("R125",G22))*125,0)+IFERROR(--ISNUMBER(SEARCH("R126",G22))*126,0)+IFERROR(--ISNUMBER(SEARCH("R127",G22))*127,0)+IFERROR(--ISNUMBER(SEARCH("R128",G22))*128,0)+IFERROR(--ISNUMBER(SEARCH("R129",G22))*129,0)+IFERROR(--ISNUMBER(SEARCH("R130",G22))*130,0)+IFERROR(--ISNUMBER(SEARCH("R131",G22))*131,0)+IFERROR(--ISNUMBER(SEARCH("R132",G22))*132,0)+IFERROR(--ISNUMBER(SEARCH("R133",G22))*133,0)+IFERROR(--ISNUMBER(SEARCH("R134",G22))*134,0)+IFERROR(--ISNUMBER(SEARCH("R135",G22))*135,0)+IFERROR(--ISNUMBER(SEARCH("R136",G22))*136,0)+IFERROR(--ISNUMBER(SEARCH("R137",G22))*137,0)+IFERROR(--ISNUMBER(SEARCH("R138",G22))*138,0)+IFERROR(--ISNUMBER(SEARCH("R139",G22))*139,0)+IFERROR(--ISNUMBER(SEARCH("R140",G22))*140,0)+IFERROR(--ISNUMBER(SEARCH("R141",G22))*141,0))</f>
        <v/>
      </c>
      <c r="V22" s="59">
        <f>IF(A22="","",IF(K22&lt;&gt;"",K22,J22))</f>
        <v/>
      </c>
      <c r="W22" s="59">
        <f>IF(A22="","",IF(AND(V22=29,O22&lt;&gt;"",COUNTIFS($V$6:$V$505,29,$F$6:$F$505,F22,$C$6:$C$505,C22,$O$6:$O$505,"&lt;&gt;")&gt;1),IF(COUNTIFS($V$6:V22,29,$F$6:F22,F22,$C$6:C22,C22,$O$6:O22,"&lt;&gt;")=1,"Esta es la fila que se debe CONSERVAR (aparición 1 de "&amp;COUNTIFS($V$6:$V$505,29,$F$6:$F$505,F22,$C$6:$C$505,C22,$O$6:$O$505,"&lt;&gt;")&amp;" con el mismo tercero y valor, casilla 29). Si hay más filas iguales, bórreles el valor a ELLAS, no a esta.","DUPLICADO — ya existe otra fila con el mismo tercero y valor para casilla 29 (aparición "&amp;COUNTIFS($V$6:V22,29,$F$6:F22,F22,$C$6:C22,C22,$O$6:O22,"&lt;&gt;")&amp;" de "&amp;COUNTIFS($V$6:$V$505,29,$F$6:$F$505,F22,$C$6:$C$505,C22,$O$6:$O$505,"&lt;&gt;")&amp;"). Para resolverlo: seleccione la celda O"&amp;ROW()&amp;" (columna Valor a declarar de ESTA fila) y presione Supr."),""))</f>
        <v/>
      </c>
      <c r="X22" s="463">
        <f>IF(A22="","",F22)</f>
        <v/>
      </c>
      <c r="Y22" s="463">
        <f>IF(A22="","",SUMIF(Entrada_Manual!$I$88:$I$187,A22,Entrada_Manual!$F$88:$F$187))</f>
        <v/>
      </c>
      <c r="Z22" s="463">
        <f>IF(A22="","",X22-Y22)</f>
        <v/>
      </c>
      <c r="AA22">
        <f>IF(A22="","",SUMPRODUCT((Entrada_Manual!$I$88:$I$187=A22)*1))</f>
        <v/>
      </c>
      <c r="AB22">
        <f>IF(A22="","",IF(S22&lt;=1,"",IF(AA22=0,"PENDIENTE — SIN ASIGNAR",IF(Z22=0,"RESUELTO","PARCIAL — DIFERENCIA "&amp;TEXT(Z22,"#,##0")))))</f>
        <v/>
      </c>
    </row>
    <row r="23" ht="27.75" customHeight="1" s="235">
      <c r="A23" s="47">
        <f>IF(Exogena_RAW!E32&lt;&gt;"",ROW()-5,"")</f>
        <v/>
      </c>
      <c r="B23" s="48">
        <f>IF(A23="","",32)</f>
        <v/>
      </c>
      <c r="C23" s="48">
        <f>IF(A23="","",IFERROR(Exogena_RAW!A32,""))</f>
        <v/>
      </c>
      <c r="D23" s="48">
        <f>IF(A23="","",IFERROR(Exogena_RAW!B32,""))</f>
        <v/>
      </c>
      <c r="E23" s="48">
        <f>IF(A23="","",Exogena_RAW!E32)</f>
        <v/>
      </c>
      <c r="F23" s="461">
        <f>IF(A23="","",Exogena_RAW!F32)</f>
        <v/>
      </c>
      <c r="G23" s="48">
        <f>IF(A23="","",IFERROR(Exogena_RAW!G32,""))</f>
        <v/>
      </c>
      <c r="H23" s="48">
        <f>IF(A23="","",IFERROR(Exogena_RAW!H32,""))</f>
        <v/>
      </c>
      <c r="I23" s="48">
        <f>IF(A23="","",IFERROR(IF(S23&gt;1,"VARIAS CASILLAS",IF(S23=1,IF(T23=1,"PROPUESTA DE CASILLA","REVISIÓN: CASILLA NO DIRECTA"),IF(OR(ISNUMBER(SEARCH("TOPE",UPPER(E23))),ISNUMBER(SEARCH("TOPE",UPPER(G23)))),"SOLO CONTROL",IF(ISNUMBER(SEARCH("RETEN",UPPER(E23))),"RETENCIÓN","REVISAR")))),"REVISAR"))</f>
        <v/>
      </c>
      <c r="J23" s="61">
        <f>IF(A23="","",IF(ISNUMBER(SEARCH("ingreso laboral promedio de los últimos seis meses",E23)),"",IFERROR(IF(AND(S23=1,T23=1),U23,""),"")))</f>
        <v/>
      </c>
      <c r="K23" s="216" t="n"/>
      <c r="L23" s="48">
        <f>IF(A23="","",IFERROR(IF(K23&lt;&gt;"","Casilla elegida por usuario",IF(S23&gt;1,"Varias casillas — elegir en K",IF(J23&lt;&gt;"","Sugerencia directa",IF(S23=1,"No trasladar directo — revisar",IF(OR(ISNUMBER(SEARCH("TOPE",UPPER(E23))),ISNUMBER(SEARCH("TOPE",UPPER(G23)))),"Solo control","Revisar manualmente"))))),"Revisar manualmente"))</f>
        <v/>
      </c>
      <c r="M23" s="461">
        <f>IF(A23="","",IF(IF(K23&lt;&gt;"",K23,J23)="",0,IF(COUNTIFS(Reglas!$I$5:$I$118,IF(K23&lt;&gt;"",K23,J23),Reglas!$J$5:$J$118,"Sí")=1,F23,0)))</f>
        <v/>
      </c>
      <c r="N23" s="56" t="n"/>
      <c r="O23" s="462">
        <f>IF(A23="","",IF(M23=0,"",M23))</f>
        <v/>
      </c>
      <c r="P23" s="461">
        <f>IF(A23="","",IF(O23="",0,IF(ISNUMBER(O23),O23,0)))</f>
        <v/>
      </c>
      <c r="Q23" s="48">
        <f>IF(A23="","",IF(Exogena_RAW!$C$4="","BLOQUEADO: FALTA AÑO",IF(Exogena_RAW!$K$10&lt;&gt;Reglas!$B$5,"BLOQUEADO: AÑO",IF(IF(K23&lt;&gt;"",K23,J23)="",IF(S23&gt;1,"REQUIERE ASIGNACIÓN MANUAL (VARIAS CASILLAS)","INFORMATIVO (sin casilla — no se declara)"),IF(COUNTIFS(Reglas!$I$5:$I$118,IF(K23&lt;&gt;"",K23,J23),Reglas!$J$5:$J$118,"Sí")=0,"BLOQUEADO: CASILLA NO DIRECTA",IF(O23="","EXCLUIDO (valor borrado por el usuario)",IF(_xlfn.ISFORMULA(O23),IF(W23&lt;&gt;"","BORRADOR — VALOR SUGERIDO DIAN ⚠ VER ALERTA","BORRADOR — VALOR SUGERIDO DIAN"),IF(W23&lt;&gt;"","ACEPTADO ⚠ VER ALERTA","ACEPTADO"))))))))</f>
        <v/>
      </c>
      <c r="R23" s="218" t="n"/>
      <c r="S23" s="58">
        <f>IF(A23="","",IFERROR(--ISNUMBER(SEARCH("R28",G23)),0)+IFERROR(--ISNUMBER(SEARCH("R29",G23)),0)+IFERROR(--ISNUMBER(SEARCH("R30",G23)),0)+IFERROR(--ISNUMBER(SEARCH("R31",G23)),0)+IFERROR(--ISNUMBER(SEARCH("R32",G23)),0)+IFERROR(--ISNUMBER(SEARCH("R33",G23)),0)+IFERROR(--ISNUMBER(SEARCH("R34",G23)),0)+IFERROR(--ISNUMBER(SEARCH("R35",G23)),0)+IFERROR(--ISNUMBER(SEARCH("R36",G23)),0)+IFERROR(--ISNUMBER(SEARCH("R37",G23)),0)+IFERROR(--ISNUMBER(SEARCH("R38",G23)),0)+IFERROR(--ISNUMBER(SEARCH("R39",G23)),0)+IFERROR(--ISNUMBER(SEARCH("R40",G23)),0)+IFERROR(--ISNUMBER(SEARCH("R41",G23)),0)+IFERROR(--ISNUMBER(SEARCH("R42",G23)),0)+IFERROR(--ISNUMBER(SEARCH("R43",G23)),0)+IFERROR(--ISNUMBER(SEARCH("R44",G23)),0)+IFERROR(--ISNUMBER(SEARCH("R45",G23)),0)+IFERROR(--ISNUMBER(SEARCH("R46",G23)),0)+IFERROR(--ISNUMBER(SEARCH("R47",G23)),0)+IFERROR(--ISNUMBER(SEARCH("R48",G23)),0)+IFERROR(--ISNUMBER(SEARCH("R49",G23)),0)+IFERROR(--ISNUMBER(SEARCH("R50",G23)),0)+IFERROR(--ISNUMBER(SEARCH("R51",G23)),0)+IFERROR(--ISNUMBER(SEARCH("R52",G23)),0)+IFERROR(--ISNUMBER(SEARCH("R53",G23)),0)+IFERROR(--ISNUMBER(SEARCH("R54",G23)),0)+IFERROR(--ISNUMBER(SEARCH("R55",G23)),0)+IFERROR(--ISNUMBER(SEARCH("R56",G23)),0)+IFERROR(--ISNUMBER(SEARCH("R57",G23)),0)+IFERROR(--ISNUMBER(SEARCH("R58",G23)),0)+IFERROR(--ISNUMBER(SEARCH("R59",G23)),0)+IFERROR(--ISNUMBER(SEARCH("R60",G23)),0)+IFERROR(--ISNUMBER(SEARCH("R61",G23)),0)+IFERROR(--ISNUMBER(SEARCH("R62",G23)),0)+IFERROR(--ISNUMBER(SEARCH("R63",G23)),0)+IFERROR(--ISNUMBER(SEARCH("R64",G23)),0)+IFERROR(--ISNUMBER(SEARCH("R65",G23)),0)+IFERROR(--ISNUMBER(SEARCH("R66",G23)),0)+IFERROR(--ISNUMBER(SEARCH("R67",G23)),0)+IFERROR(--ISNUMBER(SEARCH("R68",G23)),0)+IFERROR(--ISNUMBER(SEARCH("R69",G23)),0)+IFERROR(--ISNUMBER(SEARCH("R70",G23)),0)+IFERROR(--ISNUMBER(SEARCH("R71",G23)),0)+IFERROR(--ISNUMBER(SEARCH("R72",G23)),0)+IFERROR(--ISNUMBER(SEARCH("R73",G23)),0)+IFERROR(--ISNUMBER(SEARCH("R74",G23)),0)+IFERROR(--ISNUMBER(SEARCH("R75",G23)),0)+IFERROR(--ISNUMBER(SEARCH("R76",G23)),0)+IFERROR(--ISNUMBER(SEARCH("R77",G23)),0)+IFERROR(--ISNUMBER(SEARCH("R78",G23)),0)+IFERROR(--ISNUMBER(SEARCH("R79",G23)),0)+IFERROR(--ISNUMBER(SEARCH("R80",G23)),0)+IFERROR(--ISNUMBER(SEARCH("R81",G23)),0)+IFERROR(--ISNUMBER(SEARCH("R82",G23)),0)+IFERROR(--ISNUMBER(SEARCH("R83",G23)),0)+IFERROR(--ISNUMBER(SEARCH("R84",G23)),0)+IFERROR(--ISNUMBER(SEARCH("R85",G23)),0)+IFERROR(--ISNUMBER(SEARCH("R86",G23)),0)+IFERROR(--ISNUMBER(SEARCH("R87",G23)),0)+IFERROR(--ISNUMBER(SEARCH("R88",G23)),0)+IFERROR(--ISNUMBER(SEARCH("R89",G23)),0)+IFERROR(--ISNUMBER(SEARCH("R90",G23)),0)+IFERROR(--ISNUMBER(SEARCH("R91",G23)),0)+IFERROR(--ISNUMBER(SEARCH("R92",G23)),0)+IFERROR(--ISNUMBER(SEARCH("R93",G23)),0)+IFERROR(--ISNUMBER(SEARCH("R94",G23)),0)+IFERROR(--ISNUMBER(SEARCH("R95",G23)),0)+IFERROR(--ISNUMBER(SEARCH("R96",G23)),0)+IFERROR(--ISNUMBER(SEARCH("R97",G23)),0)+IFERROR(--ISNUMBER(SEARCH("R98",G23)),0)+IFERROR(--ISNUMBER(SEARCH("R99",G23)),0)+IFERROR(--ISNUMBER(SEARCH("R100",G23)),0)+IFERROR(--ISNUMBER(SEARCH("R101",G23)),0)+IFERROR(--ISNUMBER(SEARCH("R102",G23)),0)+IFERROR(--ISNUMBER(SEARCH("R103",G23)),0)+IFERROR(--ISNUMBER(SEARCH("R104",G23)),0)+IFERROR(--ISNUMBER(SEARCH("R105",G23)),0)+IFERROR(--ISNUMBER(SEARCH("R106",G23)),0)+IFERROR(--ISNUMBER(SEARCH("R107",G23)),0)+IFERROR(--ISNUMBER(SEARCH("R108",G23)),0)+IFERROR(--ISNUMBER(SEARCH("R109",G23)),0)+IFERROR(--ISNUMBER(SEARCH("R110",G23)),0)+IFERROR(--ISNUMBER(SEARCH("R111",G23)),0)+IFERROR(--ISNUMBER(SEARCH("R112",G23)),0)+IFERROR(--ISNUMBER(SEARCH("R113",G23)),0)+IFERROR(--ISNUMBER(SEARCH("R114",G23)),0)+IFERROR(--ISNUMBER(SEARCH("R115",G23)),0)+IFERROR(--ISNUMBER(SEARCH("R116",G23)),0)+IFERROR(--ISNUMBER(SEARCH("R117",G23)),0)+IFERROR(--ISNUMBER(SEARCH("R118",G23)),0)+IFERROR(--ISNUMBER(SEARCH("R119",G23)),0)+IFERROR(--ISNUMBER(SEARCH("R120",G23)),0)+IFERROR(--ISNUMBER(SEARCH("R121",G23)),0)+IFERROR(--ISNUMBER(SEARCH("R122",G23)),0)+IFERROR(--ISNUMBER(SEARCH("R123",G23)),0)+IFERROR(--ISNUMBER(SEARCH("R124",G23)),0)+IFERROR(--ISNUMBER(SEARCH("R125",G23)),0)+IFERROR(--ISNUMBER(SEARCH("R126",G23)),0)+IFERROR(--ISNUMBER(SEARCH("R127",G23)),0)+IFERROR(--ISNUMBER(SEARCH("R128",G23)),0)+IFERROR(--ISNUMBER(SEARCH("R129",G23)),0)+IFERROR(--ISNUMBER(SEARCH("R130",G23)),0)+IFERROR(--ISNUMBER(SEARCH("R131",G23)),0)+IFERROR(--ISNUMBER(SEARCH("R132",G23)),0)+IFERROR(--ISNUMBER(SEARCH("R133",G23)),0)+IFERROR(--ISNUMBER(SEARCH("R134",G23)),0)+IFERROR(--ISNUMBER(SEARCH("R135",G23)),0)+IFERROR(--ISNUMBER(SEARCH("R136",G23)),0)+IFERROR(--ISNUMBER(SEARCH("R137",G23)),0)+IFERROR(--ISNUMBER(SEARCH("R138",G23)),0)+IFERROR(--ISNUMBER(SEARCH("R139",G23)),0)+IFERROR(--ISNUMBER(SEARCH("R140",G23)),0)+IFERROR(--ISNUMBER(SEARCH("R141",G23)),0))</f>
        <v/>
      </c>
      <c r="T23" s="58">
        <f>IF(A23="","",IFERROR(--ISNUMBER(SEARCH("R28",G23)),0)+IFERROR(--ISNUMBER(SEARCH("R29",G23)),0)+IFERROR(--ISNUMBER(SEARCH("R30",G23)),0)+IFERROR(--ISNUMBER(SEARCH("R32",G23)),0)+IFERROR(--ISNUMBER(SEARCH("R33",G23)),0)+IFERROR(--ISNUMBER(SEARCH("R35",G23)),0)+IFERROR(--ISNUMBER(SEARCH("R36",G23)),0)+IFERROR(--ISNUMBER(SEARCH("R38",G23)),0)+IFERROR(--ISNUMBER(SEARCH("R39",G23)),0)+IFERROR(--ISNUMBER(SEARCH("R43",G23)),0)+IFERROR(--ISNUMBER(SEARCH("R44",G23)),0)+IFERROR(--ISNUMBER(SEARCH("R45",G23)),0)+IFERROR(--ISNUMBER(SEARCH("R47",G23)),0)+IFERROR(--ISNUMBER(SEARCH("R48",G23)),0)+IFERROR(--ISNUMBER(SEARCH("R50",G23)),0)+IFERROR(--ISNUMBER(SEARCH("R51",G23)),0)+IFERROR(--ISNUMBER(SEARCH("R56",G23)),0)+IFERROR(--ISNUMBER(SEARCH("R58",G23)),0)+IFERROR(--ISNUMBER(SEARCH("R59",G23)),0)+IFERROR(--ISNUMBER(SEARCH("R60",G23)),0)+IFERROR(--ISNUMBER(SEARCH("R62",G23)),0)+IFERROR(--ISNUMBER(SEARCH("R63",G23)),0)+IFERROR(--ISNUMBER(SEARCH("R64",G23)),0)+IFERROR(--ISNUMBER(SEARCH("R66",G23)),0)+IFERROR(--ISNUMBER(SEARCH("R67",G23)),0)+IFERROR(--ISNUMBER(SEARCH("R72",G23)),0)+IFERROR(--ISNUMBER(SEARCH("R74",G23)),0)+IFERROR(--ISNUMBER(SEARCH("R75",G23)),0)+IFERROR(--ISNUMBER(SEARCH("R76",G23)),0)+IFERROR(--ISNUMBER(SEARCH("R77",G23)),0)+IFERROR(--ISNUMBER(SEARCH("R79",G23)),0)+IFERROR(--ISNUMBER(SEARCH("R80",G23)),0)+IFERROR(--ISNUMBER(SEARCH("R81",G23)),0)+IFERROR(--ISNUMBER(SEARCH("R83",G23)),0)+IFERROR(--ISNUMBER(SEARCH("R84",G23)),0)+IFERROR(--ISNUMBER(SEARCH("R89",G23)),0)+IFERROR(--ISNUMBER(SEARCH("R94",G23)),0)+IFERROR(--ISNUMBER(SEARCH("R95",G23)),0)+IFERROR(--ISNUMBER(SEARCH("R96",G23)),0)+IFERROR(--ISNUMBER(SEARCH("R98",G23)),0)+IFERROR(--ISNUMBER(SEARCH("R99",G23)),0)+IFERROR(--ISNUMBER(SEARCH("R100",G23)),0)+IFERROR(--ISNUMBER(SEARCH("R104",G23)),0)+IFERROR(--ISNUMBER(SEARCH("R105",G23)),0)+IFERROR(--ISNUMBER(SEARCH("R107",G23)),0)+IFERROR(--ISNUMBER(SEARCH("R108",G23)),0)+IFERROR(--ISNUMBER(SEARCH("R109",G23)),0)+IFERROR(--ISNUMBER(SEARCH("R110",G23)),0)+IFERROR(--ISNUMBER(SEARCH("R112",G23)),0)+IFERROR(--ISNUMBER(SEARCH("R113",G23)),0)+IFERROR(--ISNUMBER(SEARCH("R114",G23)),0)+IFERROR(--ISNUMBER(SEARCH("R118",G23)),0)+IFERROR(--ISNUMBER(SEARCH("R119",G23)),0)+IFERROR(--ISNUMBER(SEARCH("R120",G23)),0)+IFERROR(--ISNUMBER(SEARCH("R122",G23)),0)+IFERROR(--ISNUMBER(SEARCH("R123",G23)),0)+IFERROR(--ISNUMBER(SEARCH("R124",G23)),0)+IFERROR(--ISNUMBER(SEARCH("R128",G23)),0)+IFERROR(--ISNUMBER(SEARCH("R130",G23)),0)+IFERROR(--ISNUMBER(SEARCH("R131",G23)),0)+IFERROR(--ISNUMBER(SEARCH("R132",G23)),0)+IFERROR(--ISNUMBER(SEARCH("R135",G23)),0)+IFERROR(--ISNUMBER(SEARCH("R138",G23)),0)+IFERROR(--ISNUMBER(SEARCH("R141",G23)),0))</f>
        <v/>
      </c>
      <c r="U23" s="58">
        <f>IF(A23="","",IFERROR(--ISNUMBER(SEARCH("R28",G23))*28,0)+IFERROR(--ISNUMBER(SEARCH("R29",G23))*29,0)+IFERROR(--ISNUMBER(SEARCH("R30",G23))*30,0)+IFERROR(--ISNUMBER(SEARCH("R31",G23))*31,0)+IFERROR(--ISNUMBER(SEARCH("R32",G23))*32,0)+IFERROR(--ISNUMBER(SEARCH("R33",G23))*33,0)+IFERROR(--ISNUMBER(SEARCH("R34",G23))*34,0)+IFERROR(--ISNUMBER(SEARCH("R35",G23))*35,0)+IFERROR(--ISNUMBER(SEARCH("R36",G23))*36,0)+IFERROR(--ISNUMBER(SEARCH("R37",G23))*37,0)+IFERROR(--ISNUMBER(SEARCH("R38",G23))*38,0)+IFERROR(--ISNUMBER(SEARCH("R39",G23))*39,0)+IFERROR(--ISNUMBER(SEARCH("R40",G23))*40,0)+IFERROR(--ISNUMBER(SEARCH("R41",G23))*41,0)+IFERROR(--ISNUMBER(SEARCH("R42",G23))*42,0)+IFERROR(--ISNUMBER(SEARCH("R43",G23))*43,0)+IFERROR(--ISNUMBER(SEARCH("R44",G23))*44,0)+IFERROR(--ISNUMBER(SEARCH("R45",G23))*45,0)+IFERROR(--ISNUMBER(SEARCH("R46",G23))*46,0)+IFERROR(--ISNUMBER(SEARCH("R47",G23))*47,0)+IFERROR(--ISNUMBER(SEARCH("R48",G23))*48,0)+IFERROR(--ISNUMBER(SEARCH("R49",G23))*49,0)+IFERROR(--ISNUMBER(SEARCH("R50",G23))*50,0)+IFERROR(--ISNUMBER(SEARCH("R51",G23))*51,0)+IFERROR(--ISNUMBER(SEARCH("R52",G23))*52,0)+IFERROR(--ISNUMBER(SEARCH("R53",G23))*53,0)+IFERROR(--ISNUMBER(SEARCH("R54",G23))*54,0)+IFERROR(--ISNUMBER(SEARCH("R55",G23))*55,0)+IFERROR(--ISNUMBER(SEARCH("R56",G23))*56,0)+IFERROR(--ISNUMBER(SEARCH("R57",G23))*57,0)+IFERROR(--ISNUMBER(SEARCH("R58",G23))*58,0)+IFERROR(--ISNUMBER(SEARCH("R59",G23))*59,0)+IFERROR(--ISNUMBER(SEARCH("R60",G23))*60,0)+IFERROR(--ISNUMBER(SEARCH("R61",G23))*61,0)+IFERROR(--ISNUMBER(SEARCH("R62",G23))*62,0)+IFERROR(--ISNUMBER(SEARCH("R63",G23))*63,0)+IFERROR(--ISNUMBER(SEARCH("R64",G23))*64,0)+IFERROR(--ISNUMBER(SEARCH("R65",G23))*65,0)+IFERROR(--ISNUMBER(SEARCH("R66",G23))*66,0)+IFERROR(--ISNUMBER(SEARCH("R67",G23))*67,0)+IFERROR(--ISNUMBER(SEARCH("R68",G23))*68,0)+IFERROR(--ISNUMBER(SEARCH("R69",G23))*69,0)+IFERROR(--ISNUMBER(SEARCH("R70",G23))*70,0)+IFERROR(--ISNUMBER(SEARCH("R71",G23))*71,0)+IFERROR(--ISNUMBER(SEARCH("R72",G23))*72,0)+IFERROR(--ISNUMBER(SEARCH("R73",G23))*73,0)+IFERROR(--ISNUMBER(SEARCH("R74",G23))*74,0)+IFERROR(--ISNUMBER(SEARCH("R75",G23))*75,0)+IFERROR(--ISNUMBER(SEARCH("R76",G23))*76,0)+IFERROR(--ISNUMBER(SEARCH("R77",G23))*77,0)+IFERROR(--ISNUMBER(SEARCH("R78",G23))*78,0)+IFERROR(--ISNUMBER(SEARCH("R79",G23))*79,0)+IFERROR(--ISNUMBER(SEARCH("R80",G23))*80,0)+IFERROR(--ISNUMBER(SEARCH("R81",G23))*81,0)+IFERROR(--ISNUMBER(SEARCH("R82",G23))*82,0)+IFERROR(--ISNUMBER(SEARCH("R83",G23))*83,0)+IFERROR(--ISNUMBER(SEARCH("R84",G23))*84,0)+IFERROR(--ISNUMBER(SEARCH("R85",G23))*85,0)+IFERROR(--ISNUMBER(SEARCH("R86",G23))*86,0)+IFERROR(--ISNUMBER(SEARCH("R87",G23))*87,0)+IFERROR(--ISNUMBER(SEARCH("R88",G23))*88,0)+IFERROR(--ISNUMBER(SEARCH("R89",G23))*89,0)+IFERROR(--ISNUMBER(SEARCH("R90",G23))*90,0)+IFERROR(--ISNUMBER(SEARCH("R91",G23))*91,0)+IFERROR(--ISNUMBER(SEARCH("R92",G23))*92,0)+IFERROR(--ISNUMBER(SEARCH("R93",G23))*93,0)+IFERROR(--ISNUMBER(SEARCH("R94",G23))*94,0)+IFERROR(--ISNUMBER(SEARCH("R95",G23))*95,0)+IFERROR(--ISNUMBER(SEARCH("R96",G23))*96,0)+IFERROR(--ISNUMBER(SEARCH("R97",G23))*97,0)+IFERROR(--ISNUMBER(SEARCH("R98",G23))*98,0)+IFERROR(--ISNUMBER(SEARCH("R99",G23))*99,0)+IFERROR(--ISNUMBER(SEARCH("R100",G23))*100,0)+IFERROR(--ISNUMBER(SEARCH("R101",G23))*101,0)+IFERROR(--ISNUMBER(SEARCH("R102",G23))*102,0)+IFERROR(--ISNUMBER(SEARCH("R103",G23))*103,0)+IFERROR(--ISNUMBER(SEARCH("R104",G23))*104,0)+IFERROR(--ISNUMBER(SEARCH("R105",G23))*105,0)+IFERROR(--ISNUMBER(SEARCH("R106",G23))*106,0)+IFERROR(--ISNUMBER(SEARCH("R107",G23))*107,0)+IFERROR(--ISNUMBER(SEARCH("R108",G23))*108,0)+IFERROR(--ISNUMBER(SEARCH("R109",G23))*109,0)+IFERROR(--ISNUMBER(SEARCH("R110",G23))*110,0)+IFERROR(--ISNUMBER(SEARCH("R111",G23))*111,0)+IFERROR(--ISNUMBER(SEARCH("R112",G23))*112,0)+IFERROR(--ISNUMBER(SEARCH("R113",G23))*113,0)+IFERROR(--ISNUMBER(SEARCH("R114",G23))*114,0)+IFERROR(--ISNUMBER(SEARCH("R115",G23))*115,0)+IFERROR(--ISNUMBER(SEARCH("R116",G23))*116,0)+IFERROR(--ISNUMBER(SEARCH("R117",G23))*117,0)+IFERROR(--ISNUMBER(SEARCH("R118",G23))*118,0)+IFERROR(--ISNUMBER(SEARCH("R119",G23))*119,0)+IFERROR(--ISNUMBER(SEARCH("R120",G23))*120,0)+IFERROR(--ISNUMBER(SEARCH("R121",G23))*121,0)+IFERROR(--ISNUMBER(SEARCH("R122",G23))*122,0)+IFERROR(--ISNUMBER(SEARCH("R123",G23))*123,0)+IFERROR(--ISNUMBER(SEARCH("R124",G23))*124,0)+IFERROR(--ISNUMBER(SEARCH("R125",G23))*125,0)+IFERROR(--ISNUMBER(SEARCH("R126",G23))*126,0)+IFERROR(--ISNUMBER(SEARCH("R127",G23))*127,0)+IFERROR(--ISNUMBER(SEARCH("R128",G23))*128,0)+IFERROR(--ISNUMBER(SEARCH("R129",G23))*129,0)+IFERROR(--ISNUMBER(SEARCH("R130",G23))*130,0)+IFERROR(--ISNUMBER(SEARCH("R131",G23))*131,0)+IFERROR(--ISNUMBER(SEARCH("R132",G23))*132,0)+IFERROR(--ISNUMBER(SEARCH("R133",G23))*133,0)+IFERROR(--ISNUMBER(SEARCH("R134",G23))*134,0)+IFERROR(--ISNUMBER(SEARCH("R135",G23))*135,0)+IFERROR(--ISNUMBER(SEARCH("R136",G23))*136,0)+IFERROR(--ISNUMBER(SEARCH("R137",G23))*137,0)+IFERROR(--ISNUMBER(SEARCH("R138",G23))*138,0)+IFERROR(--ISNUMBER(SEARCH("R139",G23))*139,0)+IFERROR(--ISNUMBER(SEARCH("R140",G23))*140,0)+IFERROR(--ISNUMBER(SEARCH("R141",G23))*141,0))</f>
        <v/>
      </c>
      <c r="V23" s="59">
        <f>IF(A23="","",IF(K23&lt;&gt;"",K23,J23))</f>
        <v/>
      </c>
      <c r="W23" s="59">
        <f>IF(A23="","",IF(AND(V23=29,O23&lt;&gt;"",COUNTIFS($V$6:$V$505,29,$F$6:$F$505,F23,$C$6:$C$505,C23,$O$6:$O$505,"&lt;&gt;")&gt;1),IF(COUNTIFS($V$6:V23,29,$F$6:F23,F23,$C$6:C23,C23,$O$6:O23,"&lt;&gt;")=1,"Esta es la fila que se debe CONSERVAR (aparición 1 de "&amp;COUNTIFS($V$6:$V$505,29,$F$6:$F$505,F23,$C$6:$C$505,C23,$O$6:$O$505,"&lt;&gt;")&amp;" con el mismo tercero y valor, casilla 29). Si hay más filas iguales, bórreles el valor a ELLAS, no a esta.","DUPLICADO — ya existe otra fila con el mismo tercero y valor para casilla 29 (aparición "&amp;COUNTIFS($V$6:V23,29,$F$6:F23,F23,$C$6:C23,C23,$O$6:O23,"&lt;&gt;")&amp;" de "&amp;COUNTIFS($V$6:$V$505,29,$F$6:$F$505,F23,$C$6:$C$505,C23,$O$6:$O$505,"&lt;&gt;")&amp;"). Para resolverlo: seleccione la celda O"&amp;ROW()&amp;" (columna Valor a declarar de ESTA fila) y presione Supr."),""))</f>
        <v/>
      </c>
      <c r="X23" s="463">
        <f>IF(A23="","",F23)</f>
        <v/>
      </c>
      <c r="Y23" s="463">
        <f>IF(A23="","",SUMIF(Entrada_Manual!$I$88:$I$187,A23,Entrada_Manual!$F$88:$F$187))</f>
        <v/>
      </c>
      <c r="Z23" s="463">
        <f>IF(A23="","",X23-Y23)</f>
        <v/>
      </c>
      <c r="AA23">
        <f>IF(A23="","",SUMPRODUCT((Entrada_Manual!$I$88:$I$187=A23)*1))</f>
        <v/>
      </c>
      <c r="AB23">
        <f>IF(A23="","",IF(S23&lt;=1,"",IF(AA23=0,"PENDIENTE — SIN ASIGNAR",IF(Z23=0,"RESUELTO","PARCIAL — DIFERENCIA "&amp;TEXT(Z23,"#,##0")))))</f>
        <v/>
      </c>
    </row>
    <row r="24" ht="27.75" customHeight="1" s="235">
      <c r="A24" s="47">
        <f>IF(Exogena_RAW!E33&lt;&gt;"",ROW()-5,"")</f>
        <v/>
      </c>
      <c r="B24" s="48">
        <f>IF(A24="","",33)</f>
        <v/>
      </c>
      <c r="C24" s="48">
        <f>IF(A24="","",IFERROR(Exogena_RAW!A33,""))</f>
        <v/>
      </c>
      <c r="D24" s="48">
        <f>IF(A24="","",IFERROR(Exogena_RAW!B33,""))</f>
        <v/>
      </c>
      <c r="E24" s="48">
        <f>IF(A24="","",Exogena_RAW!E33)</f>
        <v/>
      </c>
      <c r="F24" s="461">
        <f>IF(A24="","",Exogena_RAW!F33)</f>
        <v/>
      </c>
      <c r="G24" s="48">
        <f>IF(A24="","",IFERROR(Exogena_RAW!G33,""))</f>
        <v/>
      </c>
      <c r="H24" s="48">
        <f>IF(A24="","",IFERROR(Exogena_RAW!H33,""))</f>
        <v/>
      </c>
      <c r="I24" s="48">
        <f>IF(A24="","",IFERROR(IF(S24&gt;1,"VARIAS CASILLAS",IF(S24=1,IF(T24=1,"PROPUESTA DE CASILLA","REVISIÓN: CASILLA NO DIRECTA"),IF(OR(ISNUMBER(SEARCH("TOPE",UPPER(E24))),ISNUMBER(SEARCH("TOPE",UPPER(G24)))),"SOLO CONTROL",IF(ISNUMBER(SEARCH("RETEN",UPPER(E24))),"RETENCIÓN","REVISAR")))),"REVISAR"))</f>
        <v/>
      </c>
      <c r="J24" s="48">
        <f>IF(A24="","",IF(ISNUMBER(SEARCH("ingreso laboral promedio de los últimos seis meses",E24)),"",IFERROR(IF(AND(S24=1,T24=1),U24,""),"")))</f>
        <v/>
      </c>
      <c r="K24" s="216" t="n"/>
      <c r="L24" s="48">
        <f>IF(A24="","",IFERROR(IF(K24&lt;&gt;"","Casilla elegida por usuario",IF(S24&gt;1,"Varias casillas — elegir en K",IF(J24&lt;&gt;"","Sugerencia directa",IF(S24=1,"No trasladar directo — revisar",IF(OR(ISNUMBER(SEARCH("TOPE",UPPER(E24))),ISNUMBER(SEARCH("TOPE",UPPER(G24)))),"Solo control","Revisar manualmente"))))),"Revisar manualmente"))</f>
        <v/>
      </c>
      <c r="M24" s="461">
        <f>IF(A24="","",IF(IF(K24&lt;&gt;"",K24,J24)="",0,IF(COUNTIFS(Reglas!$I$5:$I$118,IF(K24&lt;&gt;"",K24,J24),Reglas!$J$5:$J$118,"Sí")=1,F24,0)))</f>
        <v/>
      </c>
      <c r="N24" s="56" t="n"/>
      <c r="O24" s="462">
        <f>IF(A24="","",IF(M24=0,"",M24))</f>
        <v/>
      </c>
      <c r="P24" s="461">
        <f>IF(A24="","",IF(O24="",0,IF(ISNUMBER(O24),O24,0)))</f>
        <v/>
      </c>
      <c r="Q24" s="48">
        <f>IF(A24="","",IF(Exogena_RAW!$C$4="","BLOQUEADO: FALTA AÑO",IF(Exogena_RAW!$K$10&lt;&gt;Reglas!$B$5,"BLOQUEADO: AÑO",IF(IF(K24&lt;&gt;"",K24,J24)="",IF(S24&gt;1,"REQUIERE ASIGNACIÓN MANUAL (VARIAS CASILLAS)","INFORMATIVO (sin casilla — no se declara)"),IF(COUNTIFS(Reglas!$I$5:$I$118,IF(K24&lt;&gt;"",K24,J24),Reglas!$J$5:$J$118,"Sí")=0,"BLOQUEADO: CASILLA NO DIRECTA",IF(O24="","EXCLUIDO (valor borrado por el usuario)",IF(_xlfn.ISFORMULA(O24),IF(W24&lt;&gt;"","BORRADOR — VALOR SUGERIDO DIAN ⚠ VER ALERTA","BORRADOR — VALOR SUGERIDO DIAN"),IF(W24&lt;&gt;"","ACEPTADO ⚠ VER ALERTA","ACEPTADO"))))))))</f>
        <v/>
      </c>
      <c r="R24" s="218" t="n"/>
      <c r="S24" s="58">
        <f>IF(A24="","",IFERROR(--ISNUMBER(SEARCH("R28",G24)),0)+IFERROR(--ISNUMBER(SEARCH("R29",G24)),0)+IFERROR(--ISNUMBER(SEARCH("R30",G24)),0)+IFERROR(--ISNUMBER(SEARCH("R31",G24)),0)+IFERROR(--ISNUMBER(SEARCH("R32",G24)),0)+IFERROR(--ISNUMBER(SEARCH("R33",G24)),0)+IFERROR(--ISNUMBER(SEARCH("R34",G24)),0)+IFERROR(--ISNUMBER(SEARCH("R35",G24)),0)+IFERROR(--ISNUMBER(SEARCH("R36",G24)),0)+IFERROR(--ISNUMBER(SEARCH("R37",G24)),0)+IFERROR(--ISNUMBER(SEARCH("R38",G24)),0)+IFERROR(--ISNUMBER(SEARCH("R39",G24)),0)+IFERROR(--ISNUMBER(SEARCH("R40",G24)),0)+IFERROR(--ISNUMBER(SEARCH("R41",G24)),0)+IFERROR(--ISNUMBER(SEARCH("R42",G24)),0)+IFERROR(--ISNUMBER(SEARCH("R43",G24)),0)+IFERROR(--ISNUMBER(SEARCH("R44",G24)),0)+IFERROR(--ISNUMBER(SEARCH("R45",G24)),0)+IFERROR(--ISNUMBER(SEARCH("R46",G24)),0)+IFERROR(--ISNUMBER(SEARCH("R47",G24)),0)+IFERROR(--ISNUMBER(SEARCH("R48",G24)),0)+IFERROR(--ISNUMBER(SEARCH("R49",G24)),0)+IFERROR(--ISNUMBER(SEARCH("R50",G24)),0)+IFERROR(--ISNUMBER(SEARCH("R51",G24)),0)+IFERROR(--ISNUMBER(SEARCH("R52",G24)),0)+IFERROR(--ISNUMBER(SEARCH("R53",G24)),0)+IFERROR(--ISNUMBER(SEARCH("R54",G24)),0)+IFERROR(--ISNUMBER(SEARCH("R55",G24)),0)+IFERROR(--ISNUMBER(SEARCH("R56",G24)),0)+IFERROR(--ISNUMBER(SEARCH("R57",G24)),0)+IFERROR(--ISNUMBER(SEARCH("R58",G24)),0)+IFERROR(--ISNUMBER(SEARCH("R59",G24)),0)+IFERROR(--ISNUMBER(SEARCH("R60",G24)),0)+IFERROR(--ISNUMBER(SEARCH("R61",G24)),0)+IFERROR(--ISNUMBER(SEARCH("R62",G24)),0)+IFERROR(--ISNUMBER(SEARCH("R63",G24)),0)+IFERROR(--ISNUMBER(SEARCH("R64",G24)),0)+IFERROR(--ISNUMBER(SEARCH("R65",G24)),0)+IFERROR(--ISNUMBER(SEARCH("R66",G24)),0)+IFERROR(--ISNUMBER(SEARCH("R67",G24)),0)+IFERROR(--ISNUMBER(SEARCH("R68",G24)),0)+IFERROR(--ISNUMBER(SEARCH("R69",G24)),0)+IFERROR(--ISNUMBER(SEARCH("R70",G24)),0)+IFERROR(--ISNUMBER(SEARCH("R71",G24)),0)+IFERROR(--ISNUMBER(SEARCH("R72",G24)),0)+IFERROR(--ISNUMBER(SEARCH("R73",G24)),0)+IFERROR(--ISNUMBER(SEARCH("R74",G24)),0)+IFERROR(--ISNUMBER(SEARCH("R75",G24)),0)+IFERROR(--ISNUMBER(SEARCH("R76",G24)),0)+IFERROR(--ISNUMBER(SEARCH("R77",G24)),0)+IFERROR(--ISNUMBER(SEARCH("R78",G24)),0)+IFERROR(--ISNUMBER(SEARCH("R79",G24)),0)+IFERROR(--ISNUMBER(SEARCH("R80",G24)),0)+IFERROR(--ISNUMBER(SEARCH("R81",G24)),0)+IFERROR(--ISNUMBER(SEARCH("R82",G24)),0)+IFERROR(--ISNUMBER(SEARCH("R83",G24)),0)+IFERROR(--ISNUMBER(SEARCH("R84",G24)),0)+IFERROR(--ISNUMBER(SEARCH("R85",G24)),0)+IFERROR(--ISNUMBER(SEARCH("R86",G24)),0)+IFERROR(--ISNUMBER(SEARCH("R87",G24)),0)+IFERROR(--ISNUMBER(SEARCH("R88",G24)),0)+IFERROR(--ISNUMBER(SEARCH("R89",G24)),0)+IFERROR(--ISNUMBER(SEARCH("R90",G24)),0)+IFERROR(--ISNUMBER(SEARCH("R91",G24)),0)+IFERROR(--ISNUMBER(SEARCH("R92",G24)),0)+IFERROR(--ISNUMBER(SEARCH("R93",G24)),0)+IFERROR(--ISNUMBER(SEARCH("R94",G24)),0)+IFERROR(--ISNUMBER(SEARCH("R95",G24)),0)+IFERROR(--ISNUMBER(SEARCH("R96",G24)),0)+IFERROR(--ISNUMBER(SEARCH("R97",G24)),0)+IFERROR(--ISNUMBER(SEARCH("R98",G24)),0)+IFERROR(--ISNUMBER(SEARCH("R99",G24)),0)+IFERROR(--ISNUMBER(SEARCH("R100",G24)),0)+IFERROR(--ISNUMBER(SEARCH("R101",G24)),0)+IFERROR(--ISNUMBER(SEARCH("R102",G24)),0)+IFERROR(--ISNUMBER(SEARCH("R103",G24)),0)+IFERROR(--ISNUMBER(SEARCH("R104",G24)),0)+IFERROR(--ISNUMBER(SEARCH("R105",G24)),0)+IFERROR(--ISNUMBER(SEARCH("R106",G24)),0)+IFERROR(--ISNUMBER(SEARCH("R107",G24)),0)+IFERROR(--ISNUMBER(SEARCH("R108",G24)),0)+IFERROR(--ISNUMBER(SEARCH("R109",G24)),0)+IFERROR(--ISNUMBER(SEARCH("R110",G24)),0)+IFERROR(--ISNUMBER(SEARCH("R111",G24)),0)+IFERROR(--ISNUMBER(SEARCH("R112",G24)),0)+IFERROR(--ISNUMBER(SEARCH("R113",G24)),0)+IFERROR(--ISNUMBER(SEARCH("R114",G24)),0)+IFERROR(--ISNUMBER(SEARCH("R115",G24)),0)+IFERROR(--ISNUMBER(SEARCH("R116",G24)),0)+IFERROR(--ISNUMBER(SEARCH("R117",G24)),0)+IFERROR(--ISNUMBER(SEARCH("R118",G24)),0)+IFERROR(--ISNUMBER(SEARCH("R119",G24)),0)+IFERROR(--ISNUMBER(SEARCH("R120",G24)),0)+IFERROR(--ISNUMBER(SEARCH("R121",G24)),0)+IFERROR(--ISNUMBER(SEARCH("R122",G24)),0)+IFERROR(--ISNUMBER(SEARCH("R123",G24)),0)+IFERROR(--ISNUMBER(SEARCH("R124",G24)),0)+IFERROR(--ISNUMBER(SEARCH("R125",G24)),0)+IFERROR(--ISNUMBER(SEARCH("R126",G24)),0)+IFERROR(--ISNUMBER(SEARCH("R127",G24)),0)+IFERROR(--ISNUMBER(SEARCH("R128",G24)),0)+IFERROR(--ISNUMBER(SEARCH("R129",G24)),0)+IFERROR(--ISNUMBER(SEARCH("R130",G24)),0)+IFERROR(--ISNUMBER(SEARCH("R131",G24)),0)+IFERROR(--ISNUMBER(SEARCH("R132",G24)),0)+IFERROR(--ISNUMBER(SEARCH("R133",G24)),0)+IFERROR(--ISNUMBER(SEARCH("R134",G24)),0)+IFERROR(--ISNUMBER(SEARCH("R135",G24)),0)+IFERROR(--ISNUMBER(SEARCH("R136",G24)),0)+IFERROR(--ISNUMBER(SEARCH("R137",G24)),0)+IFERROR(--ISNUMBER(SEARCH("R138",G24)),0)+IFERROR(--ISNUMBER(SEARCH("R139",G24)),0)+IFERROR(--ISNUMBER(SEARCH("R140",G24)),0)+IFERROR(--ISNUMBER(SEARCH("R141",G24)),0))</f>
        <v/>
      </c>
      <c r="T24" s="58">
        <f>IF(A24="","",IFERROR(--ISNUMBER(SEARCH("R28",G24)),0)+IFERROR(--ISNUMBER(SEARCH("R29",G24)),0)+IFERROR(--ISNUMBER(SEARCH("R30",G24)),0)+IFERROR(--ISNUMBER(SEARCH("R32",G24)),0)+IFERROR(--ISNUMBER(SEARCH("R33",G24)),0)+IFERROR(--ISNUMBER(SEARCH("R35",G24)),0)+IFERROR(--ISNUMBER(SEARCH("R36",G24)),0)+IFERROR(--ISNUMBER(SEARCH("R38",G24)),0)+IFERROR(--ISNUMBER(SEARCH("R39",G24)),0)+IFERROR(--ISNUMBER(SEARCH("R43",G24)),0)+IFERROR(--ISNUMBER(SEARCH("R44",G24)),0)+IFERROR(--ISNUMBER(SEARCH("R45",G24)),0)+IFERROR(--ISNUMBER(SEARCH("R47",G24)),0)+IFERROR(--ISNUMBER(SEARCH("R48",G24)),0)+IFERROR(--ISNUMBER(SEARCH("R50",G24)),0)+IFERROR(--ISNUMBER(SEARCH("R51",G24)),0)+IFERROR(--ISNUMBER(SEARCH("R56",G24)),0)+IFERROR(--ISNUMBER(SEARCH("R58",G24)),0)+IFERROR(--ISNUMBER(SEARCH("R59",G24)),0)+IFERROR(--ISNUMBER(SEARCH("R60",G24)),0)+IFERROR(--ISNUMBER(SEARCH("R62",G24)),0)+IFERROR(--ISNUMBER(SEARCH("R63",G24)),0)+IFERROR(--ISNUMBER(SEARCH("R64",G24)),0)+IFERROR(--ISNUMBER(SEARCH("R66",G24)),0)+IFERROR(--ISNUMBER(SEARCH("R67",G24)),0)+IFERROR(--ISNUMBER(SEARCH("R72",G24)),0)+IFERROR(--ISNUMBER(SEARCH("R74",G24)),0)+IFERROR(--ISNUMBER(SEARCH("R75",G24)),0)+IFERROR(--ISNUMBER(SEARCH("R76",G24)),0)+IFERROR(--ISNUMBER(SEARCH("R77",G24)),0)+IFERROR(--ISNUMBER(SEARCH("R79",G24)),0)+IFERROR(--ISNUMBER(SEARCH("R80",G24)),0)+IFERROR(--ISNUMBER(SEARCH("R81",G24)),0)+IFERROR(--ISNUMBER(SEARCH("R83",G24)),0)+IFERROR(--ISNUMBER(SEARCH("R84",G24)),0)+IFERROR(--ISNUMBER(SEARCH("R89",G24)),0)+IFERROR(--ISNUMBER(SEARCH("R94",G24)),0)+IFERROR(--ISNUMBER(SEARCH("R95",G24)),0)+IFERROR(--ISNUMBER(SEARCH("R96",G24)),0)+IFERROR(--ISNUMBER(SEARCH("R98",G24)),0)+IFERROR(--ISNUMBER(SEARCH("R99",G24)),0)+IFERROR(--ISNUMBER(SEARCH("R100",G24)),0)+IFERROR(--ISNUMBER(SEARCH("R104",G24)),0)+IFERROR(--ISNUMBER(SEARCH("R105",G24)),0)+IFERROR(--ISNUMBER(SEARCH("R107",G24)),0)+IFERROR(--ISNUMBER(SEARCH("R108",G24)),0)+IFERROR(--ISNUMBER(SEARCH("R109",G24)),0)+IFERROR(--ISNUMBER(SEARCH("R110",G24)),0)+IFERROR(--ISNUMBER(SEARCH("R112",G24)),0)+IFERROR(--ISNUMBER(SEARCH("R113",G24)),0)+IFERROR(--ISNUMBER(SEARCH("R114",G24)),0)+IFERROR(--ISNUMBER(SEARCH("R118",G24)),0)+IFERROR(--ISNUMBER(SEARCH("R119",G24)),0)+IFERROR(--ISNUMBER(SEARCH("R120",G24)),0)+IFERROR(--ISNUMBER(SEARCH("R122",G24)),0)+IFERROR(--ISNUMBER(SEARCH("R123",G24)),0)+IFERROR(--ISNUMBER(SEARCH("R124",G24)),0)+IFERROR(--ISNUMBER(SEARCH("R128",G24)),0)+IFERROR(--ISNUMBER(SEARCH("R130",G24)),0)+IFERROR(--ISNUMBER(SEARCH("R131",G24)),0)+IFERROR(--ISNUMBER(SEARCH("R132",G24)),0)+IFERROR(--ISNUMBER(SEARCH("R135",G24)),0)+IFERROR(--ISNUMBER(SEARCH("R138",G24)),0)+IFERROR(--ISNUMBER(SEARCH("R141",G24)),0))</f>
        <v/>
      </c>
      <c r="U24" s="58">
        <f>IF(A24="","",IFERROR(--ISNUMBER(SEARCH("R28",G24))*28,0)+IFERROR(--ISNUMBER(SEARCH("R29",G24))*29,0)+IFERROR(--ISNUMBER(SEARCH("R30",G24))*30,0)+IFERROR(--ISNUMBER(SEARCH("R31",G24))*31,0)+IFERROR(--ISNUMBER(SEARCH("R32",G24))*32,0)+IFERROR(--ISNUMBER(SEARCH("R33",G24))*33,0)+IFERROR(--ISNUMBER(SEARCH("R34",G24))*34,0)+IFERROR(--ISNUMBER(SEARCH("R35",G24))*35,0)+IFERROR(--ISNUMBER(SEARCH("R36",G24))*36,0)+IFERROR(--ISNUMBER(SEARCH("R37",G24))*37,0)+IFERROR(--ISNUMBER(SEARCH("R38",G24))*38,0)+IFERROR(--ISNUMBER(SEARCH("R39",G24))*39,0)+IFERROR(--ISNUMBER(SEARCH("R40",G24))*40,0)+IFERROR(--ISNUMBER(SEARCH("R41",G24))*41,0)+IFERROR(--ISNUMBER(SEARCH("R42",G24))*42,0)+IFERROR(--ISNUMBER(SEARCH("R43",G24))*43,0)+IFERROR(--ISNUMBER(SEARCH("R44",G24))*44,0)+IFERROR(--ISNUMBER(SEARCH("R45",G24))*45,0)+IFERROR(--ISNUMBER(SEARCH("R46",G24))*46,0)+IFERROR(--ISNUMBER(SEARCH("R47",G24))*47,0)+IFERROR(--ISNUMBER(SEARCH("R48",G24))*48,0)+IFERROR(--ISNUMBER(SEARCH("R49",G24))*49,0)+IFERROR(--ISNUMBER(SEARCH("R50",G24))*50,0)+IFERROR(--ISNUMBER(SEARCH("R51",G24))*51,0)+IFERROR(--ISNUMBER(SEARCH("R52",G24))*52,0)+IFERROR(--ISNUMBER(SEARCH("R53",G24))*53,0)+IFERROR(--ISNUMBER(SEARCH("R54",G24))*54,0)+IFERROR(--ISNUMBER(SEARCH("R55",G24))*55,0)+IFERROR(--ISNUMBER(SEARCH("R56",G24))*56,0)+IFERROR(--ISNUMBER(SEARCH("R57",G24))*57,0)+IFERROR(--ISNUMBER(SEARCH("R58",G24))*58,0)+IFERROR(--ISNUMBER(SEARCH("R59",G24))*59,0)+IFERROR(--ISNUMBER(SEARCH("R60",G24))*60,0)+IFERROR(--ISNUMBER(SEARCH("R61",G24))*61,0)+IFERROR(--ISNUMBER(SEARCH("R62",G24))*62,0)+IFERROR(--ISNUMBER(SEARCH("R63",G24))*63,0)+IFERROR(--ISNUMBER(SEARCH("R64",G24))*64,0)+IFERROR(--ISNUMBER(SEARCH("R65",G24))*65,0)+IFERROR(--ISNUMBER(SEARCH("R66",G24))*66,0)+IFERROR(--ISNUMBER(SEARCH("R67",G24))*67,0)+IFERROR(--ISNUMBER(SEARCH("R68",G24))*68,0)+IFERROR(--ISNUMBER(SEARCH("R69",G24))*69,0)+IFERROR(--ISNUMBER(SEARCH("R70",G24))*70,0)+IFERROR(--ISNUMBER(SEARCH("R71",G24))*71,0)+IFERROR(--ISNUMBER(SEARCH("R72",G24))*72,0)+IFERROR(--ISNUMBER(SEARCH("R73",G24))*73,0)+IFERROR(--ISNUMBER(SEARCH("R74",G24))*74,0)+IFERROR(--ISNUMBER(SEARCH("R75",G24))*75,0)+IFERROR(--ISNUMBER(SEARCH("R76",G24))*76,0)+IFERROR(--ISNUMBER(SEARCH("R77",G24))*77,0)+IFERROR(--ISNUMBER(SEARCH("R78",G24))*78,0)+IFERROR(--ISNUMBER(SEARCH("R79",G24))*79,0)+IFERROR(--ISNUMBER(SEARCH("R80",G24))*80,0)+IFERROR(--ISNUMBER(SEARCH("R81",G24))*81,0)+IFERROR(--ISNUMBER(SEARCH("R82",G24))*82,0)+IFERROR(--ISNUMBER(SEARCH("R83",G24))*83,0)+IFERROR(--ISNUMBER(SEARCH("R84",G24))*84,0)+IFERROR(--ISNUMBER(SEARCH("R85",G24))*85,0)+IFERROR(--ISNUMBER(SEARCH("R86",G24))*86,0)+IFERROR(--ISNUMBER(SEARCH("R87",G24))*87,0)+IFERROR(--ISNUMBER(SEARCH("R88",G24))*88,0)+IFERROR(--ISNUMBER(SEARCH("R89",G24))*89,0)+IFERROR(--ISNUMBER(SEARCH("R90",G24))*90,0)+IFERROR(--ISNUMBER(SEARCH("R91",G24))*91,0)+IFERROR(--ISNUMBER(SEARCH("R92",G24))*92,0)+IFERROR(--ISNUMBER(SEARCH("R93",G24))*93,0)+IFERROR(--ISNUMBER(SEARCH("R94",G24))*94,0)+IFERROR(--ISNUMBER(SEARCH("R95",G24))*95,0)+IFERROR(--ISNUMBER(SEARCH("R96",G24))*96,0)+IFERROR(--ISNUMBER(SEARCH("R97",G24))*97,0)+IFERROR(--ISNUMBER(SEARCH("R98",G24))*98,0)+IFERROR(--ISNUMBER(SEARCH("R99",G24))*99,0)+IFERROR(--ISNUMBER(SEARCH("R100",G24))*100,0)+IFERROR(--ISNUMBER(SEARCH("R101",G24))*101,0)+IFERROR(--ISNUMBER(SEARCH("R102",G24))*102,0)+IFERROR(--ISNUMBER(SEARCH("R103",G24))*103,0)+IFERROR(--ISNUMBER(SEARCH("R104",G24))*104,0)+IFERROR(--ISNUMBER(SEARCH("R105",G24))*105,0)+IFERROR(--ISNUMBER(SEARCH("R106",G24))*106,0)+IFERROR(--ISNUMBER(SEARCH("R107",G24))*107,0)+IFERROR(--ISNUMBER(SEARCH("R108",G24))*108,0)+IFERROR(--ISNUMBER(SEARCH("R109",G24))*109,0)+IFERROR(--ISNUMBER(SEARCH("R110",G24))*110,0)+IFERROR(--ISNUMBER(SEARCH("R111",G24))*111,0)+IFERROR(--ISNUMBER(SEARCH("R112",G24))*112,0)+IFERROR(--ISNUMBER(SEARCH("R113",G24))*113,0)+IFERROR(--ISNUMBER(SEARCH("R114",G24))*114,0)+IFERROR(--ISNUMBER(SEARCH("R115",G24))*115,0)+IFERROR(--ISNUMBER(SEARCH("R116",G24))*116,0)+IFERROR(--ISNUMBER(SEARCH("R117",G24))*117,0)+IFERROR(--ISNUMBER(SEARCH("R118",G24))*118,0)+IFERROR(--ISNUMBER(SEARCH("R119",G24))*119,0)+IFERROR(--ISNUMBER(SEARCH("R120",G24))*120,0)+IFERROR(--ISNUMBER(SEARCH("R121",G24))*121,0)+IFERROR(--ISNUMBER(SEARCH("R122",G24))*122,0)+IFERROR(--ISNUMBER(SEARCH("R123",G24))*123,0)+IFERROR(--ISNUMBER(SEARCH("R124",G24))*124,0)+IFERROR(--ISNUMBER(SEARCH("R125",G24))*125,0)+IFERROR(--ISNUMBER(SEARCH("R126",G24))*126,0)+IFERROR(--ISNUMBER(SEARCH("R127",G24))*127,0)+IFERROR(--ISNUMBER(SEARCH("R128",G24))*128,0)+IFERROR(--ISNUMBER(SEARCH("R129",G24))*129,0)+IFERROR(--ISNUMBER(SEARCH("R130",G24))*130,0)+IFERROR(--ISNUMBER(SEARCH("R131",G24))*131,0)+IFERROR(--ISNUMBER(SEARCH("R132",G24))*132,0)+IFERROR(--ISNUMBER(SEARCH("R133",G24))*133,0)+IFERROR(--ISNUMBER(SEARCH("R134",G24))*134,0)+IFERROR(--ISNUMBER(SEARCH("R135",G24))*135,0)+IFERROR(--ISNUMBER(SEARCH("R136",G24))*136,0)+IFERROR(--ISNUMBER(SEARCH("R137",G24))*137,0)+IFERROR(--ISNUMBER(SEARCH("R138",G24))*138,0)+IFERROR(--ISNUMBER(SEARCH("R139",G24))*139,0)+IFERROR(--ISNUMBER(SEARCH("R140",G24))*140,0)+IFERROR(--ISNUMBER(SEARCH("R141",G24))*141,0))</f>
        <v/>
      </c>
      <c r="V24" s="59">
        <f>IF(A24="","",IF(K24&lt;&gt;"",K24,J24))</f>
        <v/>
      </c>
      <c r="W24" s="59">
        <f>IF(A24="","",IF(AND(V24=29,O24&lt;&gt;"",COUNTIFS($V$6:$V$505,29,$F$6:$F$505,F24,$C$6:$C$505,C24,$O$6:$O$505,"&lt;&gt;")&gt;1),IF(COUNTIFS($V$6:V24,29,$F$6:F24,F24,$C$6:C24,C24,$O$6:O24,"&lt;&gt;")=1,"Esta es la fila que se debe CONSERVAR (aparición 1 de "&amp;COUNTIFS($V$6:$V$505,29,$F$6:$F$505,F24,$C$6:$C$505,C24,$O$6:$O$505,"&lt;&gt;")&amp;" con el mismo tercero y valor, casilla 29). Si hay más filas iguales, bórreles el valor a ELLAS, no a esta.","DUPLICADO — ya existe otra fila con el mismo tercero y valor para casilla 29 (aparición "&amp;COUNTIFS($V$6:V24,29,$F$6:F24,F24,$C$6:C24,C24,$O$6:O24,"&lt;&gt;")&amp;" de "&amp;COUNTIFS($V$6:$V$505,29,$F$6:$F$505,F24,$C$6:$C$505,C24,$O$6:$O$505,"&lt;&gt;")&amp;"). Para resolverlo: seleccione la celda O"&amp;ROW()&amp;" (columna Valor a declarar de ESTA fila) y presione Supr."),""))</f>
        <v/>
      </c>
      <c r="X24" s="463">
        <f>IF(A24="","",F24)</f>
        <v/>
      </c>
      <c r="Y24" s="463">
        <f>IF(A24="","",SUMIF(Entrada_Manual!$I$88:$I$187,A24,Entrada_Manual!$F$88:$F$187))</f>
        <v/>
      </c>
      <c r="Z24" s="463">
        <f>IF(A24="","",X24-Y24)</f>
        <v/>
      </c>
      <c r="AA24">
        <f>IF(A24="","",SUMPRODUCT((Entrada_Manual!$I$88:$I$187=A24)*1))</f>
        <v/>
      </c>
      <c r="AB24">
        <f>IF(A24="","",IF(S24&lt;=1,"",IF(AA24=0,"PENDIENTE — SIN ASIGNAR",IF(Z24=0,"RESUELTO","PARCIAL — DIFERENCIA "&amp;TEXT(Z24,"#,##0")))))</f>
        <v/>
      </c>
    </row>
    <row r="25" ht="27.75" customHeight="1" s="235">
      <c r="A25" s="47">
        <f>IF(Exogena_RAW!E34&lt;&gt;"",ROW()-5,"")</f>
        <v/>
      </c>
      <c r="B25" s="48">
        <f>IF(A25="","",34)</f>
        <v/>
      </c>
      <c r="C25" s="48">
        <f>IF(A25="","",IFERROR(Exogena_RAW!A34,""))</f>
        <v/>
      </c>
      <c r="D25" s="48">
        <f>IF(A25="","",IFERROR(Exogena_RAW!B34,""))</f>
        <v/>
      </c>
      <c r="E25" s="48">
        <f>IF(A25="","",Exogena_RAW!E34)</f>
        <v/>
      </c>
      <c r="F25" s="461">
        <f>IF(A25="","",Exogena_RAW!F34)</f>
        <v/>
      </c>
      <c r="G25" s="48">
        <f>IF(A25="","",IFERROR(Exogena_RAW!G34,""))</f>
        <v/>
      </c>
      <c r="H25" s="48">
        <f>IF(A25="","",IFERROR(Exogena_RAW!H34,""))</f>
        <v/>
      </c>
      <c r="I25" s="48">
        <f>IF(A25="","",IFERROR(IF(S25&gt;1,"VARIAS CASILLAS",IF(S25=1,IF(T25=1,"PROPUESTA DE CASILLA","REVISIÓN: CASILLA NO DIRECTA"),IF(OR(ISNUMBER(SEARCH("TOPE",UPPER(E25))),ISNUMBER(SEARCH("TOPE",UPPER(G25)))),"SOLO CONTROL",IF(ISNUMBER(SEARCH("RETEN",UPPER(E25))),"RETENCIÓN","REVISAR")))),"REVISAR"))</f>
        <v/>
      </c>
      <c r="J25" s="61">
        <f>IF(A25="","",IF(ISNUMBER(SEARCH("ingreso laboral promedio de los últimos seis meses",E25)),"",IFERROR(IF(AND(S25=1,T25=1),U25,""),"")))</f>
        <v/>
      </c>
      <c r="K25" s="216" t="n"/>
      <c r="L25" s="48">
        <f>IF(A25="","",IFERROR(IF(K25&lt;&gt;"","Casilla elegida por usuario",IF(S25&gt;1,"Varias casillas — elegir en K",IF(J25&lt;&gt;"","Sugerencia directa",IF(S25=1,"No trasladar directo — revisar",IF(OR(ISNUMBER(SEARCH("TOPE",UPPER(E25))),ISNUMBER(SEARCH("TOPE",UPPER(G25)))),"Solo control","Revisar manualmente"))))),"Revisar manualmente"))</f>
        <v/>
      </c>
      <c r="M25" s="461">
        <f>IF(A25="","",IF(IF(K25&lt;&gt;"",K25,J25)="",0,IF(COUNTIFS(Reglas!$I$5:$I$118,IF(K25&lt;&gt;"",K25,J25),Reglas!$J$5:$J$118,"Sí")=1,F25,0)))</f>
        <v/>
      </c>
      <c r="N25" s="56" t="n"/>
      <c r="O25" s="462">
        <f>IF(A25="","",IF(M25=0,"",M25))</f>
        <v/>
      </c>
      <c r="P25" s="461">
        <f>IF(A25="","",IF(O25="",0,IF(ISNUMBER(O25),O25,0)))</f>
        <v/>
      </c>
      <c r="Q25" s="48">
        <f>IF(A25="","",IF(Exogena_RAW!$C$4="","BLOQUEADO: FALTA AÑO",IF(Exogena_RAW!$K$10&lt;&gt;Reglas!$B$5,"BLOQUEADO: AÑO",IF(IF(K25&lt;&gt;"",K25,J25)="",IF(S25&gt;1,"REQUIERE ASIGNACIÓN MANUAL (VARIAS CASILLAS)","INFORMATIVO (sin casilla — no se declara)"),IF(COUNTIFS(Reglas!$I$5:$I$118,IF(K25&lt;&gt;"",K25,J25),Reglas!$J$5:$J$118,"Sí")=0,"BLOQUEADO: CASILLA NO DIRECTA",IF(O25="","EXCLUIDO (valor borrado por el usuario)",IF(_xlfn.ISFORMULA(O25),IF(W25&lt;&gt;"","BORRADOR — VALOR SUGERIDO DIAN ⚠ VER ALERTA","BORRADOR — VALOR SUGERIDO DIAN"),IF(W25&lt;&gt;"","ACEPTADO ⚠ VER ALERTA","ACEPTADO"))))))))</f>
        <v/>
      </c>
      <c r="R25" s="218" t="n"/>
      <c r="S25" s="58">
        <f>IF(A25="","",IFERROR(--ISNUMBER(SEARCH("R28",G25)),0)+IFERROR(--ISNUMBER(SEARCH("R29",G25)),0)+IFERROR(--ISNUMBER(SEARCH("R30",G25)),0)+IFERROR(--ISNUMBER(SEARCH("R31",G25)),0)+IFERROR(--ISNUMBER(SEARCH("R32",G25)),0)+IFERROR(--ISNUMBER(SEARCH("R33",G25)),0)+IFERROR(--ISNUMBER(SEARCH("R34",G25)),0)+IFERROR(--ISNUMBER(SEARCH("R35",G25)),0)+IFERROR(--ISNUMBER(SEARCH("R36",G25)),0)+IFERROR(--ISNUMBER(SEARCH("R37",G25)),0)+IFERROR(--ISNUMBER(SEARCH("R38",G25)),0)+IFERROR(--ISNUMBER(SEARCH("R39",G25)),0)+IFERROR(--ISNUMBER(SEARCH("R40",G25)),0)+IFERROR(--ISNUMBER(SEARCH("R41",G25)),0)+IFERROR(--ISNUMBER(SEARCH("R42",G25)),0)+IFERROR(--ISNUMBER(SEARCH("R43",G25)),0)+IFERROR(--ISNUMBER(SEARCH("R44",G25)),0)+IFERROR(--ISNUMBER(SEARCH("R45",G25)),0)+IFERROR(--ISNUMBER(SEARCH("R46",G25)),0)+IFERROR(--ISNUMBER(SEARCH("R47",G25)),0)+IFERROR(--ISNUMBER(SEARCH("R48",G25)),0)+IFERROR(--ISNUMBER(SEARCH("R49",G25)),0)+IFERROR(--ISNUMBER(SEARCH("R50",G25)),0)+IFERROR(--ISNUMBER(SEARCH("R51",G25)),0)+IFERROR(--ISNUMBER(SEARCH("R52",G25)),0)+IFERROR(--ISNUMBER(SEARCH("R53",G25)),0)+IFERROR(--ISNUMBER(SEARCH("R54",G25)),0)+IFERROR(--ISNUMBER(SEARCH("R55",G25)),0)+IFERROR(--ISNUMBER(SEARCH("R56",G25)),0)+IFERROR(--ISNUMBER(SEARCH("R57",G25)),0)+IFERROR(--ISNUMBER(SEARCH("R58",G25)),0)+IFERROR(--ISNUMBER(SEARCH("R59",G25)),0)+IFERROR(--ISNUMBER(SEARCH("R60",G25)),0)+IFERROR(--ISNUMBER(SEARCH("R61",G25)),0)+IFERROR(--ISNUMBER(SEARCH("R62",G25)),0)+IFERROR(--ISNUMBER(SEARCH("R63",G25)),0)+IFERROR(--ISNUMBER(SEARCH("R64",G25)),0)+IFERROR(--ISNUMBER(SEARCH("R65",G25)),0)+IFERROR(--ISNUMBER(SEARCH("R66",G25)),0)+IFERROR(--ISNUMBER(SEARCH("R67",G25)),0)+IFERROR(--ISNUMBER(SEARCH("R68",G25)),0)+IFERROR(--ISNUMBER(SEARCH("R69",G25)),0)+IFERROR(--ISNUMBER(SEARCH("R70",G25)),0)+IFERROR(--ISNUMBER(SEARCH("R71",G25)),0)+IFERROR(--ISNUMBER(SEARCH("R72",G25)),0)+IFERROR(--ISNUMBER(SEARCH("R73",G25)),0)+IFERROR(--ISNUMBER(SEARCH("R74",G25)),0)+IFERROR(--ISNUMBER(SEARCH("R75",G25)),0)+IFERROR(--ISNUMBER(SEARCH("R76",G25)),0)+IFERROR(--ISNUMBER(SEARCH("R77",G25)),0)+IFERROR(--ISNUMBER(SEARCH("R78",G25)),0)+IFERROR(--ISNUMBER(SEARCH("R79",G25)),0)+IFERROR(--ISNUMBER(SEARCH("R80",G25)),0)+IFERROR(--ISNUMBER(SEARCH("R81",G25)),0)+IFERROR(--ISNUMBER(SEARCH("R82",G25)),0)+IFERROR(--ISNUMBER(SEARCH("R83",G25)),0)+IFERROR(--ISNUMBER(SEARCH("R84",G25)),0)+IFERROR(--ISNUMBER(SEARCH("R85",G25)),0)+IFERROR(--ISNUMBER(SEARCH("R86",G25)),0)+IFERROR(--ISNUMBER(SEARCH("R87",G25)),0)+IFERROR(--ISNUMBER(SEARCH("R88",G25)),0)+IFERROR(--ISNUMBER(SEARCH("R89",G25)),0)+IFERROR(--ISNUMBER(SEARCH("R90",G25)),0)+IFERROR(--ISNUMBER(SEARCH("R91",G25)),0)+IFERROR(--ISNUMBER(SEARCH("R92",G25)),0)+IFERROR(--ISNUMBER(SEARCH("R93",G25)),0)+IFERROR(--ISNUMBER(SEARCH("R94",G25)),0)+IFERROR(--ISNUMBER(SEARCH("R95",G25)),0)+IFERROR(--ISNUMBER(SEARCH("R96",G25)),0)+IFERROR(--ISNUMBER(SEARCH("R97",G25)),0)+IFERROR(--ISNUMBER(SEARCH("R98",G25)),0)+IFERROR(--ISNUMBER(SEARCH("R99",G25)),0)+IFERROR(--ISNUMBER(SEARCH("R100",G25)),0)+IFERROR(--ISNUMBER(SEARCH("R101",G25)),0)+IFERROR(--ISNUMBER(SEARCH("R102",G25)),0)+IFERROR(--ISNUMBER(SEARCH("R103",G25)),0)+IFERROR(--ISNUMBER(SEARCH("R104",G25)),0)+IFERROR(--ISNUMBER(SEARCH("R105",G25)),0)+IFERROR(--ISNUMBER(SEARCH("R106",G25)),0)+IFERROR(--ISNUMBER(SEARCH("R107",G25)),0)+IFERROR(--ISNUMBER(SEARCH("R108",G25)),0)+IFERROR(--ISNUMBER(SEARCH("R109",G25)),0)+IFERROR(--ISNUMBER(SEARCH("R110",G25)),0)+IFERROR(--ISNUMBER(SEARCH("R111",G25)),0)+IFERROR(--ISNUMBER(SEARCH("R112",G25)),0)+IFERROR(--ISNUMBER(SEARCH("R113",G25)),0)+IFERROR(--ISNUMBER(SEARCH("R114",G25)),0)+IFERROR(--ISNUMBER(SEARCH("R115",G25)),0)+IFERROR(--ISNUMBER(SEARCH("R116",G25)),0)+IFERROR(--ISNUMBER(SEARCH("R117",G25)),0)+IFERROR(--ISNUMBER(SEARCH("R118",G25)),0)+IFERROR(--ISNUMBER(SEARCH("R119",G25)),0)+IFERROR(--ISNUMBER(SEARCH("R120",G25)),0)+IFERROR(--ISNUMBER(SEARCH("R121",G25)),0)+IFERROR(--ISNUMBER(SEARCH("R122",G25)),0)+IFERROR(--ISNUMBER(SEARCH("R123",G25)),0)+IFERROR(--ISNUMBER(SEARCH("R124",G25)),0)+IFERROR(--ISNUMBER(SEARCH("R125",G25)),0)+IFERROR(--ISNUMBER(SEARCH("R126",G25)),0)+IFERROR(--ISNUMBER(SEARCH("R127",G25)),0)+IFERROR(--ISNUMBER(SEARCH("R128",G25)),0)+IFERROR(--ISNUMBER(SEARCH("R129",G25)),0)+IFERROR(--ISNUMBER(SEARCH("R130",G25)),0)+IFERROR(--ISNUMBER(SEARCH("R131",G25)),0)+IFERROR(--ISNUMBER(SEARCH("R132",G25)),0)+IFERROR(--ISNUMBER(SEARCH("R133",G25)),0)+IFERROR(--ISNUMBER(SEARCH("R134",G25)),0)+IFERROR(--ISNUMBER(SEARCH("R135",G25)),0)+IFERROR(--ISNUMBER(SEARCH("R136",G25)),0)+IFERROR(--ISNUMBER(SEARCH("R137",G25)),0)+IFERROR(--ISNUMBER(SEARCH("R138",G25)),0)+IFERROR(--ISNUMBER(SEARCH("R139",G25)),0)+IFERROR(--ISNUMBER(SEARCH("R140",G25)),0)+IFERROR(--ISNUMBER(SEARCH("R141",G25)),0))</f>
        <v/>
      </c>
      <c r="T25" s="58">
        <f>IF(A25="","",IFERROR(--ISNUMBER(SEARCH("R28",G25)),0)+IFERROR(--ISNUMBER(SEARCH("R29",G25)),0)+IFERROR(--ISNUMBER(SEARCH("R30",G25)),0)+IFERROR(--ISNUMBER(SEARCH("R32",G25)),0)+IFERROR(--ISNUMBER(SEARCH("R33",G25)),0)+IFERROR(--ISNUMBER(SEARCH("R35",G25)),0)+IFERROR(--ISNUMBER(SEARCH("R36",G25)),0)+IFERROR(--ISNUMBER(SEARCH("R38",G25)),0)+IFERROR(--ISNUMBER(SEARCH("R39",G25)),0)+IFERROR(--ISNUMBER(SEARCH("R43",G25)),0)+IFERROR(--ISNUMBER(SEARCH("R44",G25)),0)+IFERROR(--ISNUMBER(SEARCH("R45",G25)),0)+IFERROR(--ISNUMBER(SEARCH("R47",G25)),0)+IFERROR(--ISNUMBER(SEARCH("R48",G25)),0)+IFERROR(--ISNUMBER(SEARCH("R50",G25)),0)+IFERROR(--ISNUMBER(SEARCH("R51",G25)),0)+IFERROR(--ISNUMBER(SEARCH("R56",G25)),0)+IFERROR(--ISNUMBER(SEARCH("R58",G25)),0)+IFERROR(--ISNUMBER(SEARCH("R59",G25)),0)+IFERROR(--ISNUMBER(SEARCH("R60",G25)),0)+IFERROR(--ISNUMBER(SEARCH("R62",G25)),0)+IFERROR(--ISNUMBER(SEARCH("R63",G25)),0)+IFERROR(--ISNUMBER(SEARCH("R64",G25)),0)+IFERROR(--ISNUMBER(SEARCH("R66",G25)),0)+IFERROR(--ISNUMBER(SEARCH("R67",G25)),0)+IFERROR(--ISNUMBER(SEARCH("R72",G25)),0)+IFERROR(--ISNUMBER(SEARCH("R74",G25)),0)+IFERROR(--ISNUMBER(SEARCH("R75",G25)),0)+IFERROR(--ISNUMBER(SEARCH("R76",G25)),0)+IFERROR(--ISNUMBER(SEARCH("R77",G25)),0)+IFERROR(--ISNUMBER(SEARCH("R79",G25)),0)+IFERROR(--ISNUMBER(SEARCH("R80",G25)),0)+IFERROR(--ISNUMBER(SEARCH("R81",G25)),0)+IFERROR(--ISNUMBER(SEARCH("R83",G25)),0)+IFERROR(--ISNUMBER(SEARCH("R84",G25)),0)+IFERROR(--ISNUMBER(SEARCH("R89",G25)),0)+IFERROR(--ISNUMBER(SEARCH("R94",G25)),0)+IFERROR(--ISNUMBER(SEARCH("R95",G25)),0)+IFERROR(--ISNUMBER(SEARCH("R96",G25)),0)+IFERROR(--ISNUMBER(SEARCH("R98",G25)),0)+IFERROR(--ISNUMBER(SEARCH("R99",G25)),0)+IFERROR(--ISNUMBER(SEARCH("R100",G25)),0)+IFERROR(--ISNUMBER(SEARCH("R104",G25)),0)+IFERROR(--ISNUMBER(SEARCH("R105",G25)),0)+IFERROR(--ISNUMBER(SEARCH("R107",G25)),0)+IFERROR(--ISNUMBER(SEARCH("R108",G25)),0)+IFERROR(--ISNUMBER(SEARCH("R109",G25)),0)+IFERROR(--ISNUMBER(SEARCH("R110",G25)),0)+IFERROR(--ISNUMBER(SEARCH("R112",G25)),0)+IFERROR(--ISNUMBER(SEARCH("R113",G25)),0)+IFERROR(--ISNUMBER(SEARCH("R114",G25)),0)+IFERROR(--ISNUMBER(SEARCH("R118",G25)),0)+IFERROR(--ISNUMBER(SEARCH("R119",G25)),0)+IFERROR(--ISNUMBER(SEARCH("R120",G25)),0)+IFERROR(--ISNUMBER(SEARCH("R122",G25)),0)+IFERROR(--ISNUMBER(SEARCH("R123",G25)),0)+IFERROR(--ISNUMBER(SEARCH("R124",G25)),0)+IFERROR(--ISNUMBER(SEARCH("R128",G25)),0)+IFERROR(--ISNUMBER(SEARCH("R130",G25)),0)+IFERROR(--ISNUMBER(SEARCH("R131",G25)),0)+IFERROR(--ISNUMBER(SEARCH("R132",G25)),0)+IFERROR(--ISNUMBER(SEARCH("R135",G25)),0)+IFERROR(--ISNUMBER(SEARCH("R138",G25)),0)+IFERROR(--ISNUMBER(SEARCH("R141",G25)),0))</f>
        <v/>
      </c>
      <c r="U25" s="58">
        <f>IF(A25="","",IFERROR(--ISNUMBER(SEARCH("R28",G25))*28,0)+IFERROR(--ISNUMBER(SEARCH("R29",G25))*29,0)+IFERROR(--ISNUMBER(SEARCH("R30",G25))*30,0)+IFERROR(--ISNUMBER(SEARCH("R31",G25))*31,0)+IFERROR(--ISNUMBER(SEARCH("R32",G25))*32,0)+IFERROR(--ISNUMBER(SEARCH("R33",G25))*33,0)+IFERROR(--ISNUMBER(SEARCH("R34",G25))*34,0)+IFERROR(--ISNUMBER(SEARCH("R35",G25))*35,0)+IFERROR(--ISNUMBER(SEARCH("R36",G25))*36,0)+IFERROR(--ISNUMBER(SEARCH("R37",G25))*37,0)+IFERROR(--ISNUMBER(SEARCH("R38",G25))*38,0)+IFERROR(--ISNUMBER(SEARCH("R39",G25))*39,0)+IFERROR(--ISNUMBER(SEARCH("R40",G25))*40,0)+IFERROR(--ISNUMBER(SEARCH("R41",G25))*41,0)+IFERROR(--ISNUMBER(SEARCH("R42",G25))*42,0)+IFERROR(--ISNUMBER(SEARCH("R43",G25))*43,0)+IFERROR(--ISNUMBER(SEARCH("R44",G25))*44,0)+IFERROR(--ISNUMBER(SEARCH("R45",G25))*45,0)+IFERROR(--ISNUMBER(SEARCH("R46",G25))*46,0)+IFERROR(--ISNUMBER(SEARCH("R47",G25))*47,0)+IFERROR(--ISNUMBER(SEARCH("R48",G25))*48,0)+IFERROR(--ISNUMBER(SEARCH("R49",G25))*49,0)+IFERROR(--ISNUMBER(SEARCH("R50",G25))*50,0)+IFERROR(--ISNUMBER(SEARCH("R51",G25))*51,0)+IFERROR(--ISNUMBER(SEARCH("R52",G25))*52,0)+IFERROR(--ISNUMBER(SEARCH("R53",G25))*53,0)+IFERROR(--ISNUMBER(SEARCH("R54",G25))*54,0)+IFERROR(--ISNUMBER(SEARCH("R55",G25))*55,0)+IFERROR(--ISNUMBER(SEARCH("R56",G25))*56,0)+IFERROR(--ISNUMBER(SEARCH("R57",G25))*57,0)+IFERROR(--ISNUMBER(SEARCH("R58",G25))*58,0)+IFERROR(--ISNUMBER(SEARCH("R59",G25))*59,0)+IFERROR(--ISNUMBER(SEARCH("R60",G25))*60,0)+IFERROR(--ISNUMBER(SEARCH("R61",G25))*61,0)+IFERROR(--ISNUMBER(SEARCH("R62",G25))*62,0)+IFERROR(--ISNUMBER(SEARCH("R63",G25))*63,0)+IFERROR(--ISNUMBER(SEARCH("R64",G25))*64,0)+IFERROR(--ISNUMBER(SEARCH("R65",G25))*65,0)+IFERROR(--ISNUMBER(SEARCH("R66",G25))*66,0)+IFERROR(--ISNUMBER(SEARCH("R67",G25))*67,0)+IFERROR(--ISNUMBER(SEARCH("R68",G25))*68,0)+IFERROR(--ISNUMBER(SEARCH("R69",G25))*69,0)+IFERROR(--ISNUMBER(SEARCH("R70",G25))*70,0)+IFERROR(--ISNUMBER(SEARCH("R71",G25))*71,0)+IFERROR(--ISNUMBER(SEARCH("R72",G25))*72,0)+IFERROR(--ISNUMBER(SEARCH("R73",G25))*73,0)+IFERROR(--ISNUMBER(SEARCH("R74",G25))*74,0)+IFERROR(--ISNUMBER(SEARCH("R75",G25))*75,0)+IFERROR(--ISNUMBER(SEARCH("R76",G25))*76,0)+IFERROR(--ISNUMBER(SEARCH("R77",G25))*77,0)+IFERROR(--ISNUMBER(SEARCH("R78",G25))*78,0)+IFERROR(--ISNUMBER(SEARCH("R79",G25))*79,0)+IFERROR(--ISNUMBER(SEARCH("R80",G25))*80,0)+IFERROR(--ISNUMBER(SEARCH("R81",G25))*81,0)+IFERROR(--ISNUMBER(SEARCH("R82",G25))*82,0)+IFERROR(--ISNUMBER(SEARCH("R83",G25))*83,0)+IFERROR(--ISNUMBER(SEARCH("R84",G25))*84,0)+IFERROR(--ISNUMBER(SEARCH("R85",G25))*85,0)+IFERROR(--ISNUMBER(SEARCH("R86",G25))*86,0)+IFERROR(--ISNUMBER(SEARCH("R87",G25))*87,0)+IFERROR(--ISNUMBER(SEARCH("R88",G25))*88,0)+IFERROR(--ISNUMBER(SEARCH("R89",G25))*89,0)+IFERROR(--ISNUMBER(SEARCH("R90",G25))*90,0)+IFERROR(--ISNUMBER(SEARCH("R91",G25))*91,0)+IFERROR(--ISNUMBER(SEARCH("R92",G25))*92,0)+IFERROR(--ISNUMBER(SEARCH("R93",G25))*93,0)+IFERROR(--ISNUMBER(SEARCH("R94",G25))*94,0)+IFERROR(--ISNUMBER(SEARCH("R95",G25))*95,0)+IFERROR(--ISNUMBER(SEARCH("R96",G25))*96,0)+IFERROR(--ISNUMBER(SEARCH("R97",G25))*97,0)+IFERROR(--ISNUMBER(SEARCH("R98",G25))*98,0)+IFERROR(--ISNUMBER(SEARCH("R99",G25))*99,0)+IFERROR(--ISNUMBER(SEARCH("R100",G25))*100,0)+IFERROR(--ISNUMBER(SEARCH("R101",G25))*101,0)+IFERROR(--ISNUMBER(SEARCH("R102",G25))*102,0)+IFERROR(--ISNUMBER(SEARCH("R103",G25))*103,0)+IFERROR(--ISNUMBER(SEARCH("R104",G25))*104,0)+IFERROR(--ISNUMBER(SEARCH("R105",G25))*105,0)+IFERROR(--ISNUMBER(SEARCH("R106",G25))*106,0)+IFERROR(--ISNUMBER(SEARCH("R107",G25))*107,0)+IFERROR(--ISNUMBER(SEARCH("R108",G25))*108,0)+IFERROR(--ISNUMBER(SEARCH("R109",G25))*109,0)+IFERROR(--ISNUMBER(SEARCH("R110",G25))*110,0)+IFERROR(--ISNUMBER(SEARCH("R111",G25))*111,0)+IFERROR(--ISNUMBER(SEARCH("R112",G25))*112,0)+IFERROR(--ISNUMBER(SEARCH("R113",G25))*113,0)+IFERROR(--ISNUMBER(SEARCH("R114",G25))*114,0)+IFERROR(--ISNUMBER(SEARCH("R115",G25))*115,0)+IFERROR(--ISNUMBER(SEARCH("R116",G25))*116,0)+IFERROR(--ISNUMBER(SEARCH("R117",G25))*117,0)+IFERROR(--ISNUMBER(SEARCH("R118",G25))*118,0)+IFERROR(--ISNUMBER(SEARCH("R119",G25))*119,0)+IFERROR(--ISNUMBER(SEARCH("R120",G25))*120,0)+IFERROR(--ISNUMBER(SEARCH("R121",G25))*121,0)+IFERROR(--ISNUMBER(SEARCH("R122",G25))*122,0)+IFERROR(--ISNUMBER(SEARCH("R123",G25))*123,0)+IFERROR(--ISNUMBER(SEARCH("R124",G25))*124,0)+IFERROR(--ISNUMBER(SEARCH("R125",G25))*125,0)+IFERROR(--ISNUMBER(SEARCH("R126",G25))*126,0)+IFERROR(--ISNUMBER(SEARCH("R127",G25))*127,0)+IFERROR(--ISNUMBER(SEARCH("R128",G25))*128,0)+IFERROR(--ISNUMBER(SEARCH("R129",G25))*129,0)+IFERROR(--ISNUMBER(SEARCH("R130",G25))*130,0)+IFERROR(--ISNUMBER(SEARCH("R131",G25))*131,0)+IFERROR(--ISNUMBER(SEARCH("R132",G25))*132,0)+IFERROR(--ISNUMBER(SEARCH("R133",G25))*133,0)+IFERROR(--ISNUMBER(SEARCH("R134",G25))*134,0)+IFERROR(--ISNUMBER(SEARCH("R135",G25))*135,0)+IFERROR(--ISNUMBER(SEARCH("R136",G25))*136,0)+IFERROR(--ISNUMBER(SEARCH("R137",G25))*137,0)+IFERROR(--ISNUMBER(SEARCH("R138",G25))*138,0)+IFERROR(--ISNUMBER(SEARCH("R139",G25))*139,0)+IFERROR(--ISNUMBER(SEARCH("R140",G25))*140,0)+IFERROR(--ISNUMBER(SEARCH("R141",G25))*141,0))</f>
        <v/>
      </c>
      <c r="V25" s="59">
        <f>IF(A25="","",IF(K25&lt;&gt;"",K25,J25))</f>
        <v/>
      </c>
      <c r="W25" s="59">
        <f>IF(A25="","",IF(AND(V25=29,O25&lt;&gt;"",COUNTIFS($V$6:$V$505,29,$F$6:$F$505,F25,$C$6:$C$505,C25,$O$6:$O$505,"&lt;&gt;")&gt;1),IF(COUNTIFS($V$6:V25,29,$F$6:F25,F25,$C$6:C25,C25,$O$6:O25,"&lt;&gt;")=1,"Esta es la fila que se debe CONSERVAR (aparición 1 de "&amp;COUNTIFS($V$6:$V$505,29,$F$6:$F$505,F25,$C$6:$C$505,C25,$O$6:$O$505,"&lt;&gt;")&amp;" con el mismo tercero y valor, casilla 29). Si hay más filas iguales, bórreles el valor a ELLAS, no a esta.","DUPLICADO — ya existe otra fila con el mismo tercero y valor para casilla 29 (aparición "&amp;COUNTIFS($V$6:V25,29,$F$6:F25,F25,$C$6:C25,C25,$O$6:O25,"&lt;&gt;")&amp;" de "&amp;COUNTIFS($V$6:$V$505,29,$F$6:$F$505,F25,$C$6:$C$505,C25,$O$6:$O$505,"&lt;&gt;")&amp;"). Para resolverlo: seleccione la celda O"&amp;ROW()&amp;" (columna Valor a declarar de ESTA fila) y presione Supr."),""))</f>
        <v/>
      </c>
      <c r="X25" s="463">
        <f>IF(A25="","",F25)</f>
        <v/>
      </c>
      <c r="Y25" s="463">
        <f>IF(A25="","",SUMIF(Entrada_Manual!$I$88:$I$187,A25,Entrada_Manual!$F$88:$F$187))</f>
        <v/>
      </c>
      <c r="Z25" s="463">
        <f>IF(A25="","",X25-Y25)</f>
        <v/>
      </c>
      <c r="AA25">
        <f>IF(A25="","",SUMPRODUCT((Entrada_Manual!$I$88:$I$187=A25)*1))</f>
        <v/>
      </c>
      <c r="AB25">
        <f>IF(A25="","",IF(S25&lt;=1,"",IF(AA25=0,"PENDIENTE — SIN ASIGNAR",IF(Z25=0,"RESUELTO","PARCIAL — DIFERENCIA "&amp;TEXT(Z25,"#,##0")))))</f>
        <v/>
      </c>
    </row>
    <row r="26" ht="54.75" customHeight="1" s="235">
      <c r="A26" s="47">
        <f>IF(Exogena_RAW!E35&lt;&gt;"",ROW()-5,"")</f>
        <v/>
      </c>
      <c r="B26" s="48">
        <f>IF(A26="","",35)</f>
        <v/>
      </c>
      <c r="C26" s="48">
        <f>IF(A26="","",IFERROR(Exogena_RAW!A35,""))</f>
        <v/>
      </c>
      <c r="D26" s="48">
        <f>IF(A26="","",IFERROR(Exogena_RAW!B35,""))</f>
        <v/>
      </c>
      <c r="E26" s="48">
        <f>IF(A26="","",Exogena_RAW!E35)</f>
        <v/>
      </c>
      <c r="F26" s="461">
        <f>IF(A26="","",Exogena_RAW!F35)</f>
        <v/>
      </c>
      <c r="G26" s="48">
        <f>IF(A26="","",IFERROR(Exogena_RAW!G35,""))</f>
        <v/>
      </c>
      <c r="H26" s="48">
        <f>IF(A26="","",IFERROR(Exogena_RAW!H35,""))</f>
        <v/>
      </c>
      <c r="I26" s="48">
        <f>IF(A26="","",IFERROR(IF(S26&gt;1,"VARIAS CASILLAS",IF(S26=1,IF(T26=1,"PROPUESTA DE CASILLA","REVISIÓN: CASILLA NO DIRECTA"),IF(OR(ISNUMBER(SEARCH("TOPE",UPPER(E26))),ISNUMBER(SEARCH("TOPE",UPPER(G26)))),"SOLO CONTROL",IF(ISNUMBER(SEARCH("RETEN",UPPER(E26))),"RETENCIÓN","REVISAR")))),"REVISAR"))</f>
        <v/>
      </c>
      <c r="J26" s="48">
        <f>IF(A26="","",IF(ISNUMBER(SEARCH("ingreso laboral promedio de los últimos seis meses",E26)),"",IFERROR(IF(AND(S26=1,T26=1),U26,""),"")))</f>
        <v/>
      </c>
      <c r="K26" s="216" t="n"/>
      <c r="L26" s="48">
        <f>IF(A26="","",IFERROR(IF(K26&lt;&gt;"","Casilla elegida por usuario",IF(S26&gt;1,"Varias casillas — elegir en K",IF(J26&lt;&gt;"","Sugerencia directa",IF(S26=1,"No trasladar directo — revisar",IF(OR(ISNUMBER(SEARCH("TOPE",UPPER(E26))),ISNUMBER(SEARCH("TOPE",UPPER(G26)))),"Solo control","Revisar manualmente"))))),"Revisar manualmente"))</f>
        <v/>
      </c>
      <c r="M26" s="461">
        <f>IF(A26="","",IF(IF(K26&lt;&gt;"",K26,J26)="",0,IF(COUNTIFS(Reglas!$I$5:$I$118,IF(K26&lt;&gt;"",K26,J26),Reglas!$J$5:$J$118,"Sí")=1,F26,0)))</f>
        <v/>
      </c>
      <c r="N26" s="56" t="n"/>
      <c r="O26" s="462">
        <f>IF(A26="","",IF(M26=0,"",M26))</f>
        <v/>
      </c>
      <c r="P26" s="461">
        <f>IF(A26="","",IF(O26="",0,IF(ISNUMBER(O26),O26,0)))</f>
        <v/>
      </c>
      <c r="Q26" s="48">
        <f>IF(A26="","",IF(Exogena_RAW!$C$4="","BLOQUEADO: FALTA AÑO",IF(Exogena_RAW!$K$10&lt;&gt;Reglas!$B$5,"BLOQUEADO: AÑO",IF(IF(K26&lt;&gt;"",K26,J26)="",IF(S26&gt;1,"REQUIERE ASIGNACIÓN MANUAL (VARIAS CASILLAS)","INFORMATIVO (sin casilla — no se declara)"),IF(COUNTIFS(Reglas!$I$5:$I$118,IF(K26&lt;&gt;"",K26,J26),Reglas!$J$5:$J$118,"Sí")=0,"BLOQUEADO: CASILLA NO DIRECTA",IF(O26="","EXCLUIDO (valor borrado por el usuario)",IF(_xlfn.ISFORMULA(O26),IF(W26&lt;&gt;"","BORRADOR — VALOR SUGERIDO DIAN ⚠ VER ALERTA","BORRADOR — VALOR SUGERIDO DIAN"),IF(W26&lt;&gt;"","ACEPTADO ⚠ VER ALERTA","ACEPTADO"))))))))</f>
        <v/>
      </c>
      <c r="R26" s="218" t="n"/>
      <c r="S26" s="58">
        <f>IF(A26="","",IFERROR(--ISNUMBER(SEARCH("R28",G26)),0)+IFERROR(--ISNUMBER(SEARCH("R29",G26)),0)+IFERROR(--ISNUMBER(SEARCH("R30",G26)),0)+IFERROR(--ISNUMBER(SEARCH("R31",G26)),0)+IFERROR(--ISNUMBER(SEARCH("R32",G26)),0)+IFERROR(--ISNUMBER(SEARCH("R33",G26)),0)+IFERROR(--ISNUMBER(SEARCH("R34",G26)),0)+IFERROR(--ISNUMBER(SEARCH("R35",G26)),0)+IFERROR(--ISNUMBER(SEARCH("R36",G26)),0)+IFERROR(--ISNUMBER(SEARCH("R37",G26)),0)+IFERROR(--ISNUMBER(SEARCH("R38",G26)),0)+IFERROR(--ISNUMBER(SEARCH("R39",G26)),0)+IFERROR(--ISNUMBER(SEARCH("R40",G26)),0)+IFERROR(--ISNUMBER(SEARCH("R41",G26)),0)+IFERROR(--ISNUMBER(SEARCH("R42",G26)),0)+IFERROR(--ISNUMBER(SEARCH("R43",G26)),0)+IFERROR(--ISNUMBER(SEARCH("R44",G26)),0)+IFERROR(--ISNUMBER(SEARCH("R45",G26)),0)+IFERROR(--ISNUMBER(SEARCH("R46",G26)),0)+IFERROR(--ISNUMBER(SEARCH("R47",G26)),0)+IFERROR(--ISNUMBER(SEARCH("R48",G26)),0)+IFERROR(--ISNUMBER(SEARCH("R49",G26)),0)+IFERROR(--ISNUMBER(SEARCH("R50",G26)),0)+IFERROR(--ISNUMBER(SEARCH("R51",G26)),0)+IFERROR(--ISNUMBER(SEARCH("R52",G26)),0)+IFERROR(--ISNUMBER(SEARCH("R53",G26)),0)+IFERROR(--ISNUMBER(SEARCH("R54",G26)),0)+IFERROR(--ISNUMBER(SEARCH("R55",G26)),0)+IFERROR(--ISNUMBER(SEARCH("R56",G26)),0)+IFERROR(--ISNUMBER(SEARCH("R57",G26)),0)+IFERROR(--ISNUMBER(SEARCH("R58",G26)),0)+IFERROR(--ISNUMBER(SEARCH("R59",G26)),0)+IFERROR(--ISNUMBER(SEARCH("R60",G26)),0)+IFERROR(--ISNUMBER(SEARCH("R61",G26)),0)+IFERROR(--ISNUMBER(SEARCH("R62",G26)),0)+IFERROR(--ISNUMBER(SEARCH("R63",G26)),0)+IFERROR(--ISNUMBER(SEARCH("R64",G26)),0)+IFERROR(--ISNUMBER(SEARCH("R65",G26)),0)+IFERROR(--ISNUMBER(SEARCH("R66",G26)),0)+IFERROR(--ISNUMBER(SEARCH("R67",G26)),0)+IFERROR(--ISNUMBER(SEARCH("R68",G26)),0)+IFERROR(--ISNUMBER(SEARCH("R69",G26)),0)+IFERROR(--ISNUMBER(SEARCH("R70",G26)),0)+IFERROR(--ISNUMBER(SEARCH("R71",G26)),0)+IFERROR(--ISNUMBER(SEARCH("R72",G26)),0)+IFERROR(--ISNUMBER(SEARCH("R73",G26)),0)+IFERROR(--ISNUMBER(SEARCH("R74",G26)),0)+IFERROR(--ISNUMBER(SEARCH("R75",G26)),0)+IFERROR(--ISNUMBER(SEARCH("R76",G26)),0)+IFERROR(--ISNUMBER(SEARCH("R77",G26)),0)+IFERROR(--ISNUMBER(SEARCH("R78",G26)),0)+IFERROR(--ISNUMBER(SEARCH("R79",G26)),0)+IFERROR(--ISNUMBER(SEARCH("R80",G26)),0)+IFERROR(--ISNUMBER(SEARCH("R81",G26)),0)+IFERROR(--ISNUMBER(SEARCH("R82",G26)),0)+IFERROR(--ISNUMBER(SEARCH("R83",G26)),0)+IFERROR(--ISNUMBER(SEARCH("R84",G26)),0)+IFERROR(--ISNUMBER(SEARCH("R85",G26)),0)+IFERROR(--ISNUMBER(SEARCH("R86",G26)),0)+IFERROR(--ISNUMBER(SEARCH("R87",G26)),0)+IFERROR(--ISNUMBER(SEARCH("R88",G26)),0)+IFERROR(--ISNUMBER(SEARCH("R89",G26)),0)+IFERROR(--ISNUMBER(SEARCH("R90",G26)),0)+IFERROR(--ISNUMBER(SEARCH("R91",G26)),0)+IFERROR(--ISNUMBER(SEARCH("R92",G26)),0)+IFERROR(--ISNUMBER(SEARCH("R93",G26)),0)+IFERROR(--ISNUMBER(SEARCH("R94",G26)),0)+IFERROR(--ISNUMBER(SEARCH("R95",G26)),0)+IFERROR(--ISNUMBER(SEARCH("R96",G26)),0)+IFERROR(--ISNUMBER(SEARCH("R97",G26)),0)+IFERROR(--ISNUMBER(SEARCH("R98",G26)),0)+IFERROR(--ISNUMBER(SEARCH("R99",G26)),0)+IFERROR(--ISNUMBER(SEARCH("R100",G26)),0)+IFERROR(--ISNUMBER(SEARCH("R101",G26)),0)+IFERROR(--ISNUMBER(SEARCH("R102",G26)),0)+IFERROR(--ISNUMBER(SEARCH("R103",G26)),0)+IFERROR(--ISNUMBER(SEARCH("R104",G26)),0)+IFERROR(--ISNUMBER(SEARCH("R105",G26)),0)+IFERROR(--ISNUMBER(SEARCH("R106",G26)),0)+IFERROR(--ISNUMBER(SEARCH("R107",G26)),0)+IFERROR(--ISNUMBER(SEARCH("R108",G26)),0)+IFERROR(--ISNUMBER(SEARCH("R109",G26)),0)+IFERROR(--ISNUMBER(SEARCH("R110",G26)),0)+IFERROR(--ISNUMBER(SEARCH("R111",G26)),0)+IFERROR(--ISNUMBER(SEARCH("R112",G26)),0)+IFERROR(--ISNUMBER(SEARCH("R113",G26)),0)+IFERROR(--ISNUMBER(SEARCH("R114",G26)),0)+IFERROR(--ISNUMBER(SEARCH("R115",G26)),0)+IFERROR(--ISNUMBER(SEARCH("R116",G26)),0)+IFERROR(--ISNUMBER(SEARCH("R117",G26)),0)+IFERROR(--ISNUMBER(SEARCH("R118",G26)),0)+IFERROR(--ISNUMBER(SEARCH("R119",G26)),0)+IFERROR(--ISNUMBER(SEARCH("R120",G26)),0)+IFERROR(--ISNUMBER(SEARCH("R121",G26)),0)+IFERROR(--ISNUMBER(SEARCH("R122",G26)),0)+IFERROR(--ISNUMBER(SEARCH("R123",G26)),0)+IFERROR(--ISNUMBER(SEARCH("R124",G26)),0)+IFERROR(--ISNUMBER(SEARCH("R125",G26)),0)+IFERROR(--ISNUMBER(SEARCH("R126",G26)),0)+IFERROR(--ISNUMBER(SEARCH("R127",G26)),0)+IFERROR(--ISNUMBER(SEARCH("R128",G26)),0)+IFERROR(--ISNUMBER(SEARCH("R129",G26)),0)+IFERROR(--ISNUMBER(SEARCH("R130",G26)),0)+IFERROR(--ISNUMBER(SEARCH("R131",G26)),0)+IFERROR(--ISNUMBER(SEARCH("R132",G26)),0)+IFERROR(--ISNUMBER(SEARCH("R133",G26)),0)+IFERROR(--ISNUMBER(SEARCH("R134",G26)),0)+IFERROR(--ISNUMBER(SEARCH("R135",G26)),0)+IFERROR(--ISNUMBER(SEARCH("R136",G26)),0)+IFERROR(--ISNUMBER(SEARCH("R137",G26)),0)+IFERROR(--ISNUMBER(SEARCH("R138",G26)),0)+IFERROR(--ISNUMBER(SEARCH("R139",G26)),0)+IFERROR(--ISNUMBER(SEARCH("R140",G26)),0)+IFERROR(--ISNUMBER(SEARCH("R141",G26)),0))</f>
        <v/>
      </c>
      <c r="T26" s="58">
        <f>IF(A26="","",IFERROR(--ISNUMBER(SEARCH("R28",G26)),0)+IFERROR(--ISNUMBER(SEARCH("R29",G26)),0)+IFERROR(--ISNUMBER(SEARCH("R30",G26)),0)+IFERROR(--ISNUMBER(SEARCH("R32",G26)),0)+IFERROR(--ISNUMBER(SEARCH("R33",G26)),0)+IFERROR(--ISNUMBER(SEARCH("R35",G26)),0)+IFERROR(--ISNUMBER(SEARCH("R36",G26)),0)+IFERROR(--ISNUMBER(SEARCH("R38",G26)),0)+IFERROR(--ISNUMBER(SEARCH("R39",G26)),0)+IFERROR(--ISNUMBER(SEARCH("R43",G26)),0)+IFERROR(--ISNUMBER(SEARCH("R44",G26)),0)+IFERROR(--ISNUMBER(SEARCH("R45",G26)),0)+IFERROR(--ISNUMBER(SEARCH("R47",G26)),0)+IFERROR(--ISNUMBER(SEARCH("R48",G26)),0)+IFERROR(--ISNUMBER(SEARCH("R50",G26)),0)+IFERROR(--ISNUMBER(SEARCH("R51",G26)),0)+IFERROR(--ISNUMBER(SEARCH("R56",G26)),0)+IFERROR(--ISNUMBER(SEARCH("R58",G26)),0)+IFERROR(--ISNUMBER(SEARCH("R59",G26)),0)+IFERROR(--ISNUMBER(SEARCH("R60",G26)),0)+IFERROR(--ISNUMBER(SEARCH("R62",G26)),0)+IFERROR(--ISNUMBER(SEARCH("R63",G26)),0)+IFERROR(--ISNUMBER(SEARCH("R64",G26)),0)+IFERROR(--ISNUMBER(SEARCH("R66",G26)),0)+IFERROR(--ISNUMBER(SEARCH("R67",G26)),0)+IFERROR(--ISNUMBER(SEARCH("R72",G26)),0)+IFERROR(--ISNUMBER(SEARCH("R74",G26)),0)+IFERROR(--ISNUMBER(SEARCH("R75",G26)),0)+IFERROR(--ISNUMBER(SEARCH("R76",G26)),0)+IFERROR(--ISNUMBER(SEARCH("R77",G26)),0)+IFERROR(--ISNUMBER(SEARCH("R79",G26)),0)+IFERROR(--ISNUMBER(SEARCH("R80",G26)),0)+IFERROR(--ISNUMBER(SEARCH("R81",G26)),0)+IFERROR(--ISNUMBER(SEARCH("R83",G26)),0)+IFERROR(--ISNUMBER(SEARCH("R84",G26)),0)+IFERROR(--ISNUMBER(SEARCH("R89",G26)),0)+IFERROR(--ISNUMBER(SEARCH("R94",G26)),0)+IFERROR(--ISNUMBER(SEARCH("R95",G26)),0)+IFERROR(--ISNUMBER(SEARCH("R96",G26)),0)+IFERROR(--ISNUMBER(SEARCH("R98",G26)),0)+IFERROR(--ISNUMBER(SEARCH("R99",G26)),0)+IFERROR(--ISNUMBER(SEARCH("R100",G26)),0)+IFERROR(--ISNUMBER(SEARCH("R104",G26)),0)+IFERROR(--ISNUMBER(SEARCH("R105",G26)),0)+IFERROR(--ISNUMBER(SEARCH("R107",G26)),0)+IFERROR(--ISNUMBER(SEARCH("R108",G26)),0)+IFERROR(--ISNUMBER(SEARCH("R109",G26)),0)+IFERROR(--ISNUMBER(SEARCH("R110",G26)),0)+IFERROR(--ISNUMBER(SEARCH("R112",G26)),0)+IFERROR(--ISNUMBER(SEARCH("R113",G26)),0)+IFERROR(--ISNUMBER(SEARCH("R114",G26)),0)+IFERROR(--ISNUMBER(SEARCH("R118",G26)),0)+IFERROR(--ISNUMBER(SEARCH("R119",G26)),0)+IFERROR(--ISNUMBER(SEARCH("R120",G26)),0)+IFERROR(--ISNUMBER(SEARCH("R122",G26)),0)+IFERROR(--ISNUMBER(SEARCH("R123",G26)),0)+IFERROR(--ISNUMBER(SEARCH("R124",G26)),0)+IFERROR(--ISNUMBER(SEARCH("R128",G26)),0)+IFERROR(--ISNUMBER(SEARCH("R130",G26)),0)+IFERROR(--ISNUMBER(SEARCH("R131",G26)),0)+IFERROR(--ISNUMBER(SEARCH("R132",G26)),0)+IFERROR(--ISNUMBER(SEARCH("R135",G26)),0)+IFERROR(--ISNUMBER(SEARCH("R138",G26)),0)+IFERROR(--ISNUMBER(SEARCH("R141",G26)),0))</f>
        <v/>
      </c>
      <c r="U26" s="58">
        <f>IF(A26="","",IFERROR(--ISNUMBER(SEARCH("R28",G26))*28,0)+IFERROR(--ISNUMBER(SEARCH("R29",G26))*29,0)+IFERROR(--ISNUMBER(SEARCH("R30",G26))*30,0)+IFERROR(--ISNUMBER(SEARCH("R31",G26))*31,0)+IFERROR(--ISNUMBER(SEARCH("R32",G26))*32,0)+IFERROR(--ISNUMBER(SEARCH("R33",G26))*33,0)+IFERROR(--ISNUMBER(SEARCH("R34",G26))*34,0)+IFERROR(--ISNUMBER(SEARCH("R35",G26))*35,0)+IFERROR(--ISNUMBER(SEARCH("R36",G26))*36,0)+IFERROR(--ISNUMBER(SEARCH("R37",G26))*37,0)+IFERROR(--ISNUMBER(SEARCH("R38",G26))*38,0)+IFERROR(--ISNUMBER(SEARCH("R39",G26))*39,0)+IFERROR(--ISNUMBER(SEARCH("R40",G26))*40,0)+IFERROR(--ISNUMBER(SEARCH("R41",G26))*41,0)+IFERROR(--ISNUMBER(SEARCH("R42",G26))*42,0)+IFERROR(--ISNUMBER(SEARCH("R43",G26))*43,0)+IFERROR(--ISNUMBER(SEARCH("R44",G26))*44,0)+IFERROR(--ISNUMBER(SEARCH("R45",G26))*45,0)+IFERROR(--ISNUMBER(SEARCH("R46",G26))*46,0)+IFERROR(--ISNUMBER(SEARCH("R47",G26))*47,0)+IFERROR(--ISNUMBER(SEARCH("R48",G26))*48,0)+IFERROR(--ISNUMBER(SEARCH("R49",G26))*49,0)+IFERROR(--ISNUMBER(SEARCH("R50",G26))*50,0)+IFERROR(--ISNUMBER(SEARCH("R51",G26))*51,0)+IFERROR(--ISNUMBER(SEARCH("R52",G26))*52,0)+IFERROR(--ISNUMBER(SEARCH("R53",G26))*53,0)+IFERROR(--ISNUMBER(SEARCH("R54",G26))*54,0)+IFERROR(--ISNUMBER(SEARCH("R55",G26))*55,0)+IFERROR(--ISNUMBER(SEARCH("R56",G26))*56,0)+IFERROR(--ISNUMBER(SEARCH("R57",G26))*57,0)+IFERROR(--ISNUMBER(SEARCH("R58",G26))*58,0)+IFERROR(--ISNUMBER(SEARCH("R59",G26))*59,0)+IFERROR(--ISNUMBER(SEARCH("R60",G26))*60,0)+IFERROR(--ISNUMBER(SEARCH("R61",G26))*61,0)+IFERROR(--ISNUMBER(SEARCH("R62",G26))*62,0)+IFERROR(--ISNUMBER(SEARCH("R63",G26))*63,0)+IFERROR(--ISNUMBER(SEARCH("R64",G26))*64,0)+IFERROR(--ISNUMBER(SEARCH("R65",G26))*65,0)+IFERROR(--ISNUMBER(SEARCH("R66",G26))*66,0)+IFERROR(--ISNUMBER(SEARCH("R67",G26))*67,0)+IFERROR(--ISNUMBER(SEARCH("R68",G26))*68,0)+IFERROR(--ISNUMBER(SEARCH("R69",G26))*69,0)+IFERROR(--ISNUMBER(SEARCH("R70",G26))*70,0)+IFERROR(--ISNUMBER(SEARCH("R71",G26))*71,0)+IFERROR(--ISNUMBER(SEARCH("R72",G26))*72,0)+IFERROR(--ISNUMBER(SEARCH("R73",G26))*73,0)+IFERROR(--ISNUMBER(SEARCH("R74",G26))*74,0)+IFERROR(--ISNUMBER(SEARCH("R75",G26))*75,0)+IFERROR(--ISNUMBER(SEARCH("R76",G26))*76,0)+IFERROR(--ISNUMBER(SEARCH("R77",G26))*77,0)+IFERROR(--ISNUMBER(SEARCH("R78",G26))*78,0)+IFERROR(--ISNUMBER(SEARCH("R79",G26))*79,0)+IFERROR(--ISNUMBER(SEARCH("R80",G26))*80,0)+IFERROR(--ISNUMBER(SEARCH("R81",G26))*81,0)+IFERROR(--ISNUMBER(SEARCH("R82",G26))*82,0)+IFERROR(--ISNUMBER(SEARCH("R83",G26))*83,0)+IFERROR(--ISNUMBER(SEARCH("R84",G26))*84,0)+IFERROR(--ISNUMBER(SEARCH("R85",G26))*85,0)+IFERROR(--ISNUMBER(SEARCH("R86",G26))*86,0)+IFERROR(--ISNUMBER(SEARCH("R87",G26))*87,0)+IFERROR(--ISNUMBER(SEARCH("R88",G26))*88,0)+IFERROR(--ISNUMBER(SEARCH("R89",G26))*89,0)+IFERROR(--ISNUMBER(SEARCH("R90",G26))*90,0)+IFERROR(--ISNUMBER(SEARCH("R91",G26))*91,0)+IFERROR(--ISNUMBER(SEARCH("R92",G26))*92,0)+IFERROR(--ISNUMBER(SEARCH("R93",G26))*93,0)+IFERROR(--ISNUMBER(SEARCH("R94",G26))*94,0)+IFERROR(--ISNUMBER(SEARCH("R95",G26))*95,0)+IFERROR(--ISNUMBER(SEARCH("R96",G26))*96,0)+IFERROR(--ISNUMBER(SEARCH("R97",G26))*97,0)+IFERROR(--ISNUMBER(SEARCH("R98",G26))*98,0)+IFERROR(--ISNUMBER(SEARCH("R99",G26))*99,0)+IFERROR(--ISNUMBER(SEARCH("R100",G26))*100,0)+IFERROR(--ISNUMBER(SEARCH("R101",G26))*101,0)+IFERROR(--ISNUMBER(SEARCH("R102",G26))*102,0)+IFERROR(--ISNUMBER(SEARCH("R103",G26))*103,0)+IFERROR(--ISNUMBER(SEARCH("R104",G26))*104,0)+IFERROR(--ISNUMBER(SEARCH("R105",G26))*105,0)+IFERROR(--ISNUMBER(SEARCH("R106",G26))*106,0)+IFERROR(--ISNUMBER(SEARCH("R107",G26))*107,0)+IFERROR(--ISNUMBER(SEARCH("R108",G26))*108,0)+IFERROR(--ISNUMBER(SEARCH("R109",G26))*109,0)+IFERROR(--ISNUMBER(SEARCH("R110",G26))*110,0)+IFERROR(--ISNUMBER(SEARCH("R111",G26))*111,0)+IFERROR(--ISNUMBER(SEARCH("R112",G26))*112,0)+IFERROR(--ISNUMBER(SEARCH("R113",G26))*113,0)+IFERROR(--ISNUMBER(SEARCH("R114",G26))*114,0)+IFERROR(--ISNUMBER(SEARCH("R115",G26))*115,0)+IFERROR(--ISNUMBER(SEARCH("R116",G26))*116,0)+IFERROR(--ISNUMBER(SEARCH("R117",G26))*117,0)+IFERROR(--ISNUMBER(SEARCH("R118",G26))*118,0)+IFERROR(--ISNUMBER(SEARCH("R119",G26))*119,0)+IFERROR(--ISNUMBER(SEARCH("R120",G26))*120,0)+IFERROR(--ISNUMBER(SEARCH("R121",G26))*121,0)+IFERROR(--ISNUMBER(SEARCH("R122",G26))*122,0)+IFERROR(--ISNUMBER(SEARCH("R123",G26))*123,0)+IFERROR(--ISNUMBER(SEARCH("R124",G26))*124,0)+IFERROR(--ISNUMBER(SEARCH("R125",G26))*125,0)+IFERROR(--ISNUMBER(SEARCH("R126",G26))*126,0)+IFERROR(--ISNUMBER(SEARCH("R127",G26))*127,0)+IFERROR(--ISNUMBER(SEARCH("R128",G26))*128,0)+IFERROR(--ISNUMBER(SEARCH("R129",G26))*129,0)+IFERROR(--ISNUMBER(SEARCH("R130",G26))*130,0)+IFERROR(--ISNUMBER(SEARCH("R131",G26))*131,0)+IFERROR(--ISNUMBER(SEARCH("R132",G26))*132,0)+IFERROR(--ISNUMBER(SEARCH("R133",G26))*133,0)+IFERROR(--ISNUMBER(SEARCH("R134",G26))*134,0)+IFERROR(--ISNUMBER(SEARCH("R135",G26))*135,0)+IFERROR(--ISNUMBER(SEARCH("R136",G26))*136,0)+IFERROR(--ISNUMBER(SEARCH("R137",G26))*137,0)+IFERROR(--ISNUMBER(SEARCH("R138",G26))*138,0)+IFERROR(--ISNUMBER(SEARCH("R139",G26))*139,0)+IFERROR(--ISNUMBER(SEARCH("R140",G26))*140,0)+IFERROR(--ISNUMBER(SEARCH("R141",G26))*141,0))</f>
        <v/>
      </c>
      <c r="V26" s="59">
        <f>IF(A26="","",IF(K26&lt;&gt;"",K26,J26))</f>
        <v/>
      </c>
      <c r="W26" s="59">
        <f>IF(A26="","",IF(AND(V26=29,O26&lt;&gt;"",COUNTIFS($V$6:$V$505,29,$F$6:$F$505,F26,$C$6:$C$505,C26,$O$6:$O$505,"&lt;&gt;")&gt;1),IF(COUNTIFS($V$6:V26,29,$F$6:F26,F26,$C$6:C26,C26,$O$6:O26,"&lt;&gt;")=1,"Esta es la fila que se debe CONSERVAR (aparición 1 de "&amp;COUNTIFS($V$6:$V$505,29,$F$6:$F$505,F26,$C$6:$C$505,C26,$O$6:$O$505,"&lt;&gt;")&amp;" con el mismo tercero y valor, casilla 29). Si hay más filas iguales, bórreles el valor a ELLAS, no a esta.","DUPLICADO — ya existe otra fila con el mismo tercero y valor para casilla 29 (aparición "&amp;COUNTIFS($V$6:V26,29,$F$6:F26,F26,$C$6:C26,C26,$O$6:O26,"&lt;&gt;")&amp;" de "&amp;COUNTIFS($V$6:$V$505,29,$F$6:$F$505,F26,$C$6:$C$505,C26,$O$6:$O$505,"&lt;&gt;")&amp;"). Para resolverlo: seleccione la celda O"&amp;ROW()&amp;" (columna Valor a declarar de ESTA fila) y presione Supr."),""))</f>
        <v/>
      </c>
      <c r="X26" s="463">
        <f>IF(A26="","",F26)</f>
        <v/>
      </c>
      <c r="Y26" s="463">
        <f>IF(A26="","",SUMIF(Entrada_Manual!$I$88:$I$187,A26,Entrada_Manual!$F$88:$F$187))</f>
        <v/>
      </c>
      <c r="Z26" s="463">
        <f>IF(A26="","",X26-Y26)</f>
        <v/>
      </c>
      <c r="AA26">
        <f>IF(A26="","",SUMPRODUCT((Entrada_Manual!$I$88:$I$187=A26)*1))</f>
        <v/>
      </c>
      <c r="AB26">
        <f>IF(A26="","",IF(S26&lt;=1,"",IF(AA26=0,"PENDIENTE — SIN ASIGNAR",IF(Z26=0,"RESUELTO","PARCIAL — DIFERENCIA "&amp;TEXT(Z26,"#,##0")))))</f>
        <v/>
      </c>
    </row>
    <row r="27" ht="54.75" customHeight="1" s="235">
      <c r="A27" s="47">
        <f>IF(Exogena_RAW!E36&lt;&gt;"",ROW()-5,"")</f>
        <v/>
      </c>
      <c r="B27" s="48">
        <f>IF(A27="","",36)</f>
        <v/>
      </c>
      <c r="C27" s="48">
        <f>IF(A27="","",IFERROR(Exogena_RAW!A36,""))</f>
        <v/>
      </c>
      <c r="D27" s="48">
        <f>IF(A27="","",IFERROR(Exogena_RAW!B36,""))</f>
        <v/>
      </c>
      <c r="E27" s="48">
        <f>IF(A27="","",Exogena_RAW!E36)</f>
        <v/>
      </c>
      <c r="F27" s="461">
        <f>IF(A27="","",Exogena_RAW!F36)</f>
        <v/>
      </c>
      <c r="G27" s="48">
        <f>IF(A27="","",IFERROR(Exogena_RAW!G36,""))</f>
        <v/>
      </c>
      <c r="H27" s="48">
        <f>IF(A27="","",IFERROR(Exogena_RAW!H36,""))</f>
        <v/>
      </c>
      <c r="I27" s="48">
        <f>IF(A27="","",IFERROR(IF(S27&gt;1,"VARIAS CASILLAS",IF(S27=1,IF(T27=1,"PROPUESTA DE CASILLA","REVISIÓN: CASILLA NO DIRECTA"),IF(OR(ISNUMBER(SEARCH("TOPE",UPPER(E27))),ISNUMBER(SEARCH("TOPE",UPPER(G27)))),"SOLO CONTROL",IF(ISNUMBER(SEARCH("RETEN",UPPER(E27))),"RETENCIÓN","REVISAR")))),"REVISAR"))</f>
        <v/>
      </c>
      <c r="J27" s="48">
        <f>IF(A27="","",IF(ISNUMBER(SEARCH("ingreso laboral promedio de los últimos seis meses",E27)),"",IFERROR(IF(AND(S27=1,T27=1),U27,""),"")))</f>
        <v/>
      </c>
      <c r="K27" s="216" t="n"/>
      <c r="L27" s="48">
        <f>IF(A27="","",IFERROR(IF(K27&lt;&gt;"","Casilla elegida por usuario",IF(S27&gt;1,"Varias casillas — elegir en K",IF(J27&lt;&gt;"","Sugerencia directa",IF(S27=1,"No trasladar directo — revisar",IF(OR(ISNUMBER(SEARCH("TOPE",UPPER(E27))),ISNUMBER(SEARCH("TOPE",UPPER(G27)))),"Solo control","Revisar manualmente"))))),"Revisar manualmente"))</f>
        <v/>
      </c>
      <c r="M27" s="461">
        <f>IF(A27="","",IF(IF(K27&lt;&gt;"",K27,J27)="",0,IF(COUNTIFS(Reglas!$I$5:$I$118,IF(K27&lt;&gt;"",K27,J27),Reglas!$J$5:$J$118,"Sí")=1,F27,0)))</f>
        <v/>
      </c>
      <c r="N27" s="56" t="n"/>
      <c r="O27" s="462">
        <f>IF(A27="","",IF(M27=0,"",M27))</f>
        <v/>
      </c>
      <c r="P27" s="461">
        <f>IF(A27="","",IF(O27="",0,IF(ISNUMBER(O27),O27,0)))</f>
        <v/>
      </c>
      <c r="Q27" s="48">
        <f>IF(A27="","",IF(Exogena_RAW!$C$4="","BLOQUEADO: FALTA AÑO",IF(Exogena_RAW!$K$10&lt;&gt;Reglas!$B$5,"BLOQUEADO: AÑO",IF(IF(K27&lt;&gt;"",K27,J27)="",IF(S27&gt;1,"REQUIERE ASIGNACIÓN MANUAL (VARIAS CASILLAS)","INFORMATIVO (sin casilla — no se declara)"),IF(COUNTIFS(Reglas!$I$5:$I$118,IF(K27&lt;&gt;"",K27,J27),Reglas!$J$5:$J$118,"Sí")=0,"BLOQUEADO: CASILLA NO DIRECTA",IF(O27="","EXCLUIDO (valor borrado por el usuario)",IF(_xlfn.ISFORMULA(O27),IF(W27&lt;&gt;"","BORRADOR — VALOR SUGERIDO DIAN ⚠ VER ALERTA","BORRADOR — VALOR SUGERIDO DIAN"),IF(W27&lt;&gt;"","ACEPTADO ⚠ VER ALERTA","ACEPTADO"))))))))</f>
        <v/>
      </c>
      <c r="R27" s="218" t="n"/>
      <c r="S27" s="58">
        <f>IF(A27="","",IFERROR(--ISNUMBER(SEARCH("R28",G27)),0)+IFERROR(--ISNUMBER(SEARCH("R29",G27)),0)+IFERROR(--ISNUMBER(SEARCH("R30",G27)),0)+IFERROR(--ISNUMBER(SEARCH("R31",G27)),0)+IFERROR(--ISNUMBER(SEARCH("R32",G27)),0)+IFERROR(--ISNUMBER(SEARCH("R33",G27)),0)+IFERROR(--ISNUMBER(SEARCH("R34",G27)),0)+IFERROR(--ISNUMBER(SEARCH("R35",G27)),0)+IFERROR(--ISNUMBER(SEARCH("R36",G27)),0)+IFERROR(--ISNUMBER(SEARCH("R37",G27)),0)+IFERROR(--ISNUMBER(SEARCH("R38",G27)),0)+IFERROR(--ISNUMBER(SEARCH("R39",G27)),0)+IFERROR(--ISNUMBER(SEARCH("R40",G27)),0)+IFERROR(--ISNUMBER(SEARCH("R41",G27)),0)+IFERROR(--ISNUMBER(SEARCH("R42",G27)),0)+IFERROR(--ISNUMBER(SEARCH("R43",G27)),0)+IFERROR(--ISNUMBER(SEARCH("R44",G27)),0)+IFERROR(--ISNUMBER(SEARCH("R45",G27)),0)+IFERROR(--ISNUMBER(SEARCH("R46",G27)),0)+IFERROR(--ISNUMBER(SEARCH("R47",G27)),0)+IFERROR(--ISNUMBER(SEARCH("R48",G27)),0)+IFERROR(--ISNUMBER(SEARCH("R49",G27)),0)+IFERROR(--ISNUMBER(SEARCH("R50",G27)),0)+IFERROR(--ISNUMBER(SEARCH("R51",G27)),0)+IFERROR(--ISNUMBER(SEARCH("R52",G27)),0)+IFERROR(--ISNUMBER(SEARCH("R53",G27)),0)+IFERROR(--ISNUMBER(SEARCH("R54",G27)),0)+IFERROR(--ISNUMBER(SEARCH("R55",G27)),0)+IFERROR(--ISNUMBER(SEARCH("R56",G27)),0)+IFERROR(--ISNUMBER(SEARCH("R57",G27)),0)+IFERROR(--ISNUMBER(SEARCH("R58",G27)),0)+IFERROR(--ISNUMBER(SEARCH("R59",G27)),0)+IFERROR(--ISNUMBER(SEARCH("R60",G27)),0)+IFERROR(--ISNUMBER(SEARCH("R61",G27)),0)+IFERROR(--ISNUMBER(SEARCH("R62",G27)),0)+IFERROR(--ISNUMBER(SEARCH("R63",G27)),0)+IFERROR(--ISNUMBER(SEARCH("R64",G27)),0)+IFERROR(--ISNUMBER(SEARCH("R65",G27)),0)+IFERROR(--ISNUMBER(SEARCH("R66",G27)),0)+IFERROR(--ISNUMBER(SEARCH("R67",G27)),0)+IFERROR(--ISNUMBER(SEARCH("R68",G27)),0)+IFERROR(--ISNUMBER(SEARCH("R69",G27)),0)+IFERROR(--ISNUMBER(SEARCH("R70",G27)),0)+IFERROR(--ISNUMBER(SEARCH("R71",G27)),0)+IFERROR(--ISNUMBER(SEARCH("R72",G27)),0)+IFERROR(--ISNUMBER(SEARCH("R73",G27)),0)+IFERROR(--ISNUMBER(SEARCH("R74",G27)),0)+IFERROR(--ISNUMBER(SEARCH("R75",G27)),0)+IFERROR(--ISNUMBER(SEARCH("R76",G27)),0)+IFERROR(--ISNUMBER(SEARCH("R77",G27)),0)+IFERROR(--ISNUMBER(SEARCH("R78",G27)),0)+IFERROR(--ISNUMBER(SEARCH("R79",G27)),0)+IFERROR(--ISNUMBER(SEARCH("R80",G27)),0)+IFERROR(--ISNUMBER(SEARCH("R81",G27)),0)+IFERROR(--ISNUMBER(SEARCH("R82",G27)),0)+IFERROR(--ISNUMBER(SEARCH("R83",G27)),0)+IFERROR(--ISNUMBER(SEARCH("R84",G27)),0)+IFERROR(--ISNUMBER(SEARCH("R85",G27)),0)+IFERROR(--ISNUMBER(SEARCH("R86",G27)),0)+IFERROR(--ISNUMBER(SEARCH("R87",G27)),0)+IFERROR(--ISNUMBER(SEARCH("R88",G27)),0)+IFERROR(--ISNUMBER(SEARCH("R89",G27)),0)+IFERROR(--ISNUMBER(SEARCH("R90",G27)),0)+IFERROR(--ISNUMBER(SEARCH("R91",G27)),0)+IFERROR(--ISNUMBER(SEARCH("R92",G27)),0)+IFERROR(--ISNUMBER(SEARCH("R93",G27)),0)+IFERROR(--ISNUMBER(SEARCH("R94",G27)),0)+IFERROR(--ISNUMBER(SEARCH("R95",G27)),0)+IFERROR(--ISNUMBER(SEARCH("R96",G27)),0)+IFERROR(--ISNUMBER(SEARCH("R97",G27)),0)+IFERROR(--ISNUMBER(SEARCH("R98",G27)),0)+IFERROR(--ISNUMBER(SEARCH("R99",G27)),0)+IFERROR(--ISNUMBER(SEARCH("R100",G27)),0)+IFERROR(--ISNUMBER(SEARCH("R101",G27)),0)+IFERROR(--ISNUMBER(SEARCH("R102",G27)),0)+IFERROR(--ISNUMBER(SEARCH("R103",G27)),0)+IFERROR(--ISNUMBER(SEARCH("R104",G27)),0)+IFERROR(--ISNUMBER(SEARCH("R105",G27)),0)+IFERROR(--ISNUMBER(SEARCH("R106",G27)),0)+IFERROR(--ISNUMBER(SEARCH("R107",G27)),0)+IFERROR(--ISNUMBER(SEARCH("R108",G27)),0)+IFERROR(--ISNUMBER(SEARCH("R109",G27)),0)+IFERROR(--ISNUMBER(SEARCH("R110",G27)),0)+IFERROR(--ISNUMBER(SEARCH("R111",G27)),0)+IFERROR(--ISNUMBER(SEARCH("R112",G27)),0)+IFERROR(--ISNUMBER(SEARCH("R113",G27)),0)+IFERROR(--ISNUMBER(SEARCH("R114",G27)),0)+IFERROR(--ISNUMBER(SEARCH("R115",G27)),0)+IFERROR(--ISNUMBER(SEARCH("R116",G27)),0)+IFERROR(--ISNUMBER(SEARCH("R117",G27)),0)+IFERROR(--ISNUMBER(SEARCH("R118",G27)),0)+IFERROR(--ISNUMBER(SEARCH("R119",G27)),0)+IFERROR(--ISNUMBER(SEARCH("R120",G27)),0)+IFERROR(--ISNUMBER(SEARCH("R121",G27)),0)+IFERROR(--ISNUMBER(SEARCH("R122",G27)),0)+IFERROR(--ISNUMBER(SEARCH("R123",G27)),0)+IFERROR(--ISNUMBER(SEARCH("R124",G27)),0)+IFERROR(--ISNUMBER(SEARCH("R125",G27)),0)+IFERROR(--ISNUMBER(SEARCH("R126",G27)),0)+IFERROR(--ISNUMBER(SEARCH("R127",G27)),0)+IFERROR(--ISNUMBER(SEARCH("R128",G27)),0)+IFERROR(--ISNUMBER(SEARCH("R129",G27)),0)+IFERROR(--ISNUMBER(SEARCH("R130",G27)),0)+IFERROR(--ISNUMBER(SEARCH("R131",G27)),0)+IFERROR(--ISNUMBER(SEARCH("R132",G27)),0)+IFERROR(--ISNUMBER(SEARCH("R133",G27)),0)+IFERROR(--ISNUMBER(SEARCH("R134",G27)),0)+IFERROR(--ISNUMBER(SEARCH("R135",G27)),0)+IFERROR(--ISNUMBER(SEARCH("R136",G27)),0)+IFERROR(--ISNUMBER(SEARCH("R137",G27)),0)+IFERROR(--ISNUMBER(SEARCH("R138",G27)),0)+IFERROR(--ISNUMBER(SEARCH("R139",G27)),0)+IFERROR(--ISNUMBER(SEARCH("R140",G27)),0)+IFERROR(--ISNUMBER(SEARCH("R141",G27)),0))</f>
        <v/>
      </c>
      <c r="T27" s="58">
        <f>IF(A27="","",IFERROR(--ISNUMBER(SEARCH("R28",G27)),0)+IFERROR(--ISNUMBER(SEARCH("R29",G27)),0)+IFERROR(--ISNUMBER(SEARCH("R30",G27)),0)+IFERROR(--ISNUMBER(SEARCH("R32",G27)),0)+IFERROR(--ISNUMBER(SEARCH("R33",G27)),0)+IFERROR(--ISNUMBER(SEARCH("R35",G27)),0)+IFERROR(--ISNUMBER(SEARCH("R36",G27)),0)+IFERROR(--ISNUMBER(SEARCH("R38",G27)),0)+IFERROR(--ISNUMBER(SEARCH("R39",G27)),0)+IFERROR(--ISNUMBER(SEARCH("R43",G27)),0)+IFERROR(--ISNUMBER(SEARCH("R44",G27)),0)+IFERROR(--ISNUMBER(SEARCH("R45",G27)),0)+IFERROR(--ISNUMBER(SEARCH("R47",G27)),0)+IFERROR(--ISNUMBER(SEARCH("R48",G27)),0)+IFERROR(--ISNUMBER(SEARCH("R50",G27)),0)+IFERROR(--ISNUMBER(SEARCH("R51",G27)),0)+IFERROR(--ISNUMBER(SEARCH("R56",G27)),0)+IFERROR(--ISNUMBER(SEARCH("R58",G27)),0)+IFERROR(--ISNUMBER(SEARCH("R59",G27)),0)+IFERROR(--ISNUMBER(SEARCH("R60",G27)),0)+IFERROR(--ISNUMBER(SEARCH("R62",G27)),0)+IFERROR(--ISNUMBER(SEARCH("R63",G27)),0)+IFERROR(--ISNUMBER(SEARCH("R64",G27)),0)+IFERROR(--ISNUMBER(SEARCH("R66",G27)),0)+IFERROR(--ISNUMBER(SEARCH("R67",G27)),0)+IFERROR(--ISNUMBER(SEARCH("R72",G27)),0)+IFERROR(--ISNUMBER(SEARCH("R74",G27)),0)+IFERROR(--ISNUMBER(SEARCH("R75",G27)),0)+IFERROR(--ISNUMBER(SEARCH("R76",G27)),0)+IFERROR(--ISNUMBER(SEARCH("R77",G27)),0)+IFERROR(--ISNUMBER(SEARCH("R79",G27)),0)+IFERROR(--ISNUMBER(SEARCH("R80",G27)),0)+IFERROR(--ISNUMBER(SEARCH("R81",G27)),0)+IFERROR(--ISNUMBER(SEARCH("R83",G27)),0)+IFERROR(--ISNUMBER(SEARCH("R84",G27)),0)+IFERROR(--ISNUMBER(SEARCH("R89",G27)),0)+IFERROR(--ISNUMBER(SEARCH("R94",G27)),0)+IFERROR(--ISNUMBER(SEARCH("R95",G27)),0)+IFERROR(--ISNUMBER(SEARCH("R96",G27)),0)+IFERROR(--ISNUMBER(SEARCH("R98",G27)),0)+IFERROR(--ISNUMBER(SEARCH("R99",G27)),0)+IFERROR(--ISNUMBER(SEARCH("R100",G27)),0)+IFERROR(--ISNUMBER(SEARCH("R104",G27)),0)+IFERROR(--ISNUMBER(SEARCH("R105",G27)),0)+IFERROR(--ISNUMBER(SEARCH("R107",G27)),0)+IFERROR(--ISNUMBER(SEARCH("R108",G27)),0)+IFERROR(--ISNUMBER(SEARCH("R109",G27)),0)+IFERROR(--ISNUMBER(SEARCH("R110",G27)),0)+IFERROR(--ISNUMBER(SEARCH("R112",G27)),0)+IFERROR(--ISNUMBER(SEARCH("R113",G27)),0)+IFERROR(--ISNUMBER(SEARCH("R114",G27)),0)+IFERROR(--ISNUMBER(SEARCH("R118",G27)),0)+IFERROR(--ISNUMBER(SEARCH("R119",G27)),0)+IFERROR(--ISNUMBER(SEARCH("R120",G27)),0)+IFERROR(--ISNUMBER(SEARCH("R122",G27)),0)+IFERROR(--ISNUMBER(SEARCH("R123",G27)),0)+IFERROR(--ISNUMBER(SEARCH("R124",G27)),0)+IFERROR(--ISNUMBER(SEARCH("R128",G27)),0)+IFERROR(--ISNUMBER(SEARCH("R130",G27)),0)+IFERROR(--ISNUMBER(SEARCH("R131",G27)),0)+IFERROR(--ISNUMBER(SEARCH("R132",G27)),0)+IFERROR(--ISNUMBER(SEARCH("R135",G27)),0)+IFERROR(--ISNUMBER(SEARCH("R138",G27)),0)+IFERROR(--ISNUMBER(SEARCH("R141",G27)),0))</f>
        <v/>
      </c>
      <c r="U27" s="58">
        <f>IF(A27="","",IFERROR(--ISNUMBER(SEARCH("R28",G27))*28,0)+IFERROR(--ISNUMBER(SEARCH("R29",G27))*29,0)+IFERROR(--ISNUMBER(SEARCH("R30",G27))*30,0)+IFERROR(--ISNUMBER(SEARCH("R31",G27))*31,0)+IFERROR(--ISNUMBER(SEARCH("R32",G27))*32,0)+IFERROR(--ISNUMBER(SEARCH("R33",G27))*33,0)+IFERROR(--ISNUMBER(SEARCH("R34",G27))*34,0)+IFERROR(--ISNUMBER(SEARCH("R35",G27))*35,0)+IFERROR(--ISNUMBER(SEARCH("R36",G27))*36,0)+IFERROR(--ISNUMBER(SEARCH("R37",G27))*37,0)+IFERROR(--ISNUMBER(SEARCH("R38",G27))*38,0)+IFERROR(--ISNUMBER(SEARCH("R39",G27))*39,0)+IFERROR(--ISNUMBER(SEARCH("R40",G27))*40,0)+IFERROR(--ISNUMBER(SEARCH("R41",G27))*41,0)+IFERROR(--ISNUMBER(SEARCH("R42",G27))*42,0)+IFERROR(--ISNUMBER(SEARCH("R43",G27))*43,0)+IFERROR(--ISNUMBER(SEARCH("R44",G27))*44,0)+IFERROR(--ISNUMBER(SEARCH("R45",G27))*45,0)+IFERROR(--ISNUMBER(SEARCH("R46",G27))*46,0)+IFERROR(--ISNUMBER(SEARCH("R47",G27))*47,0)+IFERROR(--ISNUMBER(SEARCH("R48",G27))*48,0)+IFERROR(--ISNUMBER(SEARCH("R49",G27))*49,0)+IFERROR(--ISNUMBER(SEARCH("R50",G27))*50,0)+IFERROR(--ISNUMBER(SEARCH("R51",G27))*51,0)+IFERROR(--ISNUMBER(SEARCH("R52",G27))*52,0)+IFERROR(--ISNUMBER(SEARCH("R53",G27))*53,0)+IFERROR(--ISNUMBER(SEARCH("R54",G27))*54,0)+IFERROR(--ISNUMBER(SEARCH("R55",G27))*55,0)+IFERROR(--ISNUMBER(SEARCH("R56",G27))*56,0)+IFERROR(--ISNUMBER(SEARCH("R57",G27))*57,0)+IFERROR(--ISNUMBER(SEARCH("R58",G27))*58,0)+IFERROR(--ISNUMBER(SEARCH("R59",G27))*59,0)+IFERROR(--ISNUMBER(SEARCH("R60",G27))*60,0)+IFERROR(--ISNUMBER(SEARCH("R61",G27))*61,0)+IFERROR(--ISNUMBER(SEARCH("R62",G27))*62,0)+IFERROR(--ISNUMBER(SEARCH("R63",G27))*63,0)+IFERROR(--ISNUMBER(SEARCH("R64",G27))*64,0)+IFERROR(--ISNUMBER(SEARCH("R65",G27))*65,0)+IFERROR(--ISNUMBER(SEARCH("R66",G27))*66,0)+IFERROR(--ISNUMBER(SEARCH("R67",G27))*67,0)+IFERROR(--ISNUMBER(SEARCH("R68",G27))*68,0)+IFERROR(--ISNUMBER(SEARCH("R69",G27))*69,0)+IFERROR(--ISNUMBER(SEARCH("R70",G27))*70,0)+IFERROR(--ISNUMBER(SEARCH("R71",G27))*71,0)+IFERROR(--ISNUMBER(SEARCH("R72",G27))*72,0)+IFERROR(--ISNUMBER(SEARCH("R73",G27))*73,0)+IFERROR(--ISNUMBER(SEARCH("R74",G27))*74,0)+IFERROR(--ISNUMBER(SEARCH("R75",G27))*75,0)+IFERROR(--ISNUMBER(SEARCH("R76",G27))*76,0)+IFERROR(--ISNUMBER(SEARCH("R77",G27))*77,0)+IFERROR(--ISNUMBER(SEARCH("R78",G27))*78,0)+IFERROR(--ISNUMBER(SEARCH("R79",G27))*79,0)+IFERROR(--ISNUMBER(SEARCH("R80",G27))*80,0)+IFERROR(--ISNUMBER(SEARCH("R81",G27))*81,0)+IFERROR(--ISNUMBER(SEARCH("R82",G27))*82,0)+IFERROR(--ISNUMBER(SEARCH("R83",G27))*83,0)+IFERROR(--ISNUMBER(SEARCH("R84",G27))*84,0)+IFERROR(--ISNUMBER(SEARCH("R85",G27))*85,0)+IFERROR(--ISNUMBER(SEARCH("R86",G27))*86,0)+IFERROR(--ISNUMBER(SEARCH("R87",G27))*87,0)+IFERROR(--ISNUMBER(SEARCH("R88",G27))*88,0)+IFERROR(--ISNUMBER(SEARCH("R89",G27))*89,0)+IFERROR(--ISNUMBER(SEARCH("R90",G27))*90,0)+IFERROR(--ISNUMBER(SEARCH("R91",G27))*91,0)+IFERROR(--ISNUMBER(SEARCH("R92",G27))*92,0)+IFERROR(--ISNUMBER(SEARCH("R93",G27))*93,0)+IFERROR(--ISNUMBER(SEARCH("R94",G27))*94,0)+IFERROR(--ISNUMBER(SEARCH("R95",G27))*95,0)+IFERROR(--ISNUMBER(SEARCH("R96",G27))*96,0)+IFERROR(--ISNUMBER(SEARCH("R97",G27))*97,0)+IFERROR(--ISNUMBER(SEARCH("R98",G27))*98,0)+IFERROR(--ISNUMBER(SEARCH("R99",G27))*99,0)+IFERROR(--ISNUMBER(SEARCH("R100",G27))*100,0)+IFERROR(--ISNUMBER(SEARCH("R101",G27))*101,0)+IFERROR(--ISNUMBER(SEARCH("R102",G27))*102,0)+IFERROR(--ISNUMBER(SEARCH("R103",G27))*103,0)+IFERROR(--ISNUMBER(SEARCH("R104",G27))*104,0)+IFERROR(--ISNUMBER(SEARCH("R105",G27))*105,0)+IFERROR(--ISNUMBER(SEARCH("R106",G27))*106,0)+IFERROR(--ISNUMBER(SEARCH("R107",G27))*107,0)+IFERROR(--ISNUMBER(SEARCH("R108",G27))*108,0)+IFERROR(--ISNUMBER(SEARCH("R109",G27))*109,0)+IFERROR(--ISNUMBER(SEARCH("R110",G27))*110,0)+IFERROR(--ISNUMBER(SEARCH("R111",G27))*111,0)+IFERROR(--ISNUMBER(SEARCH("R112",G27))*112,0)+IFERROR(--ISNUMBER(SEARCH("R113",G27))*113,0)+IFERROR(--ISNUMBER(SEARCH("R114",G27))*114,0)+IFERROR(--ISNUMBER(SEARCH("R115",G27))*115,0)+IFERROR(--ISNUMBER(SEARCH("R116",G27))*116,0)+IFERROR(--ISNUMBER(SEARCH("R117",G27))*117,0)+IFERROR(--ISNUMBER(SEARCH("R118",G27))*118,0)+IFERROR(--ISNUMBER(SEARCH("R119",G27))*119,0)+IFERROR(--ISNUMBER(SEARCH("R120",G27))*120,0)+IFERROR(--ISNUMBER(SEARCH("R121",G27))*121,0)+IFERROR(--ISNUMBER(SEARCH("R122",G27))*122,0)+IFERROR(--ISNUMBER(SEARCH("R123",G27))*123,0)+IFERROR(--ISNUMBER(SEARCH("R124",G27))*124,0)+IFERROR(--ISNUMBER(SEARCH("R125",G27))*125,0)+IFERROR(--ISNUMBER(SEARCH("R126",G27))*126,0)+IFERROR(--ISNUMBER(SEARCH("R127",G27))*127,0)+IFERROR(--ISNUMBER(SEARCH("R128",G27))*128,0)+IFERROR(--ISNUMBER(SEARCH("R129",G27))*129,0)+IFERROR(--ISNUMBER(SEARCH("R130",G27))*130,0)+IFERROR(--ISNUMBER(SEARCH("R131",G27))*131,0)+IFERROR(--ISNUMBER(SEARCH("R132",G27))*132,0)+IFERROR(--ISNUMBER(SEARCH("R133",G27))*133,0)+IFERROR(--ISNUMBER(SEARCH("R134",G27))*134,0)+IFERROR(--ISNUMBER(SEARCH("R135",G27))*135,0)+IFERROR(--ISNUMBER(SEARCH("R136",G27))*136,0)+IFERROR(--ISNUMBER(SEARCH("R137",G27))*137,0)+IFERROR(--ISNUMBER(SEARCH("R138",G27))*138,0)+IFERROR(--ISNUMBER(SEARCH("R139",G27))*139,0)+IFERROR(--ISNUMBER(SEARCH("R140",G27))*140,0)+IFERROR(--ISNUMBER(SEARCH("R141",G27))*141,0))</f>
        <v/>
      </c>
      <c r="V27" s="59">
        <f>IF(A27="","",IF(K27&lt;&gt;"",K27,J27))</f>
        <v/>
      </c>
      <c r="W27" s="59">
        <f>IF(A27="","",IF(AND(V27=29,O27&lt;&gt;"",COUNTIFS($V$6:$V$505,29,$F$6:$F$505,F27,$C$6:$C$505,C27,$O$6:$O$505,"&lt;&gt;")&gt;1),IF(COUNTIFS($V$6:V27,29,$F$6:F27,F27,$C$6:C27,C27,$O$6:O27,"&lt;&gt;")=1,"Esta es la fila que se debe CONSERVAR (aparición 1 de "&amp;COUNTIFS($V$6:$V$505,29,$F$6:$F$505,F27,$C$6:$C$505,C27,$O$6:$O$505,"&lt;&gt;")&amp;" con el mismo tercero y valor, casilla 29). Si hay más filas iguales, bórreles el valor a ELLAS, no a esta.","DUPLICADO — ya existe otra fila con el mismo tercero y valor para casilla 29 (aparición "&amp;COUNTIFS($V$6:V27,29,$F$6:F27,F27,$C$6:C27,C27,$O$6:O27,"&lt;&gt;")&amp;" de "&amp;COUNTIFS($V$6:$V$505,29,$F$6:$F$505,F27,$C$6:$C$505,C27,$O$6:$O$505,"&lt;&gt;")&amp;"). Para resolverlo: seleccione la celda O"&amp;ROW()&amp;" (columna Valor a declarar de ESTA fila) y presione Supr."),""))</f>
        <v/>
      </c>
      <c r="X27" s="463">
        <f>IF(A27="","",F27)</f>
        <v/>
      </c>
      <c r="Y27" s="463">
        <f>IF(A27="","",SUMIF(Entrada_Manual!$I$88:$I$187,A27,Entrada_Manual!$F$88:$F$187))</f>
        <v/>
      </c>
      <c r="Z27" s="463">
        <f>IF(A27="","",X27-Y27)</f>
        <v/>
      </c>
      <c r="AA27">
        <f>IF(A27="","",SUMPRODUCT((Entrada_Manual!$I$88:$I$187=A27)*1))</f>
        <v/>
      </c>
      <c r="AB27">
        <f>IF(A27="","",IF(S27&lt;=1,"",IF(AA27=0,"PENDIENTE — SIN ASIGNAR",IF(Z27=0,"RESUELTO","PARCIAL — DIFERENCIA "&amp;TEXT(Z27,"#,##0")))))</f>
        <v/>
      </c>
    </row>
    <row r="28" ht="27.75" customHeight="1" s="235">
      <c r="A28" s="47">
        <f>IF(Exogena_RAW!E37&lt;&gt;"",ROW()-5,"")</f>
        <v/>
      </c>
      <c r="B28" s="48">
        <f>IF(A28="","",37)</f>
        <v/>
      </c>
      <c r="C28" s="48">
        <f>IF(A28="","",IFERROR(Exogena_RAW!A37,""))</f>
        <v/>
      </c>
      <c r="D28" s="48">
        <f>IF(A28="","",IFERROR(Exogena_RAW!B37,""))</f>
        <v/>
      </c>
      <c r="E28" s="48">
        <f>IF(A28="","",Exogena_RAW!E37)</f>
        <v/>
      </c>
      <c r="F28" s="461">
        <f>IF(A28="","",Exogena_RAW!F37)</f>
        <v/>
      </c>
      <c r="G28" s="48">
        <f>IF(A28="","",IFERROR(Exogena_RAW!G37,""))</f>
        <v/>
      </c>
      <c r="H28" s="48">
        <f>IF(A28="","",IFERROR(Exogena_RAW!H37,""))</f>
        <v/>
      </c>
      <c r="I28" s="48">
        <f>IF(A28="","",IFERROR(IF(S28&gt;1,"VARIAS CASILLAS",IF(S28=1,IF(T28=1,"PROPUESTA DE CASILLA","REVISIÓN: CASILLA NO DIRECTA"),IF(OR(ISNUMBER(SEARCH("TOPE",UPPER(E28))),ISNUMBER(SEARCH("TOPE",UPPER(G28)))),"SOLO CONTROL",IF(ISNUMBER(SEARCH("RETEN",UPPER(E28))),"RETENCIÓN","REVISAR")))),"REVISAR"))</f>
        <v/>
      </c>
      <c r="J28" s="61">
        <f>IF(A28="","",IF(ISNUMBER(SEARCH("ingreso laboral promedio de los últimos seis meses",E28)),"",IFERROR(IF(AND(S28=1,T28=1),U28,""),"")))</f>
        <v/>
      </c>
      <c r="K28" s="216" t="n"/>
      <c r="L28" s="48">
        <f>IF(A28="","",IFERROR(IF(K28&lt;&gt;"","Casilla elegida por usuario",IF(S28&gt;1,"Varias casillas — elegir en K",IF(J28&lt;&gt;"","Sugerencia directa",IF(S28=1,"No trasladar directo — revisar",IF(OR(ISNUMBER(SEARCH("TOPE",UPPER(E28))),ISNUMBER(SEARCH("TOPE",UPPER(G28)))),"Solo control","Revisar manualmente"))))),"Revisar manualmente"))</f>
        <v/>
      </c>
      <c r="M28" s="461">
        <f>IF(A28="","",IF(IF(K28&lt;&gt;"",K28,J28)="",0,IF(COUNTIFS(Reglas!$I$5:$I$118,IF(K28&lt;&gt;"",K28,J28),Reglas!$J$5:$J$118,"Sí")=1,F28,0)))</f>
        <v/>
      </c>
      <c r="N28" s="56" t="n"/>
      <c r="O28" s="462">
        <f>IF(A28="","",IF(M28=0,"",M28))</f>
        <v/>
      </c>
      <c r="P28" s="461">
        <f>IF(A28="","",IF(O28="",0,IF(ISNUMBER(O28),O28,0)))</f>
        <v/>
      </c>
      <c r="Q28" s="48">
        <f>IF(A28="","",IF(Exogena_RAW!$C$4="","BLOQUEADO: FALTA AÑO",IF(Exogena_RAW!$K$10&lt;&gt;Reglas!$B$5,"BLOQUEADO: AÑO",IF(IF(K28&lt;&gt;"",K28,J28)="",IF(S28&gt;1,"REQUIERE ASIGNACIÓN MANUAL (VARIAS CASILLAS)","INFORMATIVO (sin casilla — no se declara)"),IF(COUNTIFS(Reglas!$I$5:$I$118,IF(K28&lt;&gt;"",K28,J28),Reglas!$J$5:$J$118,"Sí")=0,"BLOQUEADO: CASILLA NO DIRECTA",IF(O28="","EXCLUIDO (valor borrado por el usuario)",IF(_xlfn.ISFORMULA(O28),IF(W28&lt;&gt;"","BORRADOR — VALOR SUGERIDO DIAN ⚠ VER ALERTA","BORRADOR — VALOR SUGERIDO DIAN"),IF(W28&lt;&gt;"","ACEPTADO ⚠ VER ALERTA","ACEPTADO"))))))))</f>
        <v/>
      </c>
      <c r="R28" s="218" t="n"/>
      <c r="S28" s="58">
        <f>IF(A28="","",IFERROR(--ISNUMBER(SEARCH("R28",G28)),0)+IFERROR(--ISNUMBER(SEARCH("R29",G28)),0)+IFERROR(--ISNUMBER(SEARCH("R30",G28)),0)+IFERROR(--ISNUMBER(SEARCH("R31",G28)),0)+IFERROR(--ISNUMBER(SEARCH("R32",G28)),0)+IFERROR(--ISNUMBER(SEARCH("R33",G28)),0)+IFERROR(--ISNUMBER(SEARCH("R34",G28)),0)+IFERROR(--ISNUMBER(SEARCH("R35",G28)),0)+IFERROR(--ISNUMBER(SEARCH("R36",G28)),0)+IFERROR(--ISNUMBER(SEARCH("R37",G28)),0)+IFERROR(--ISNUMBER(SEARCH("R38",G28)),0)+IFERROR(--ISNUMBER(SEARCH("R39",G28)),0)+IFERROR(--ISNUMBER(SEARCH("R40",G28)),0)+IFERROR(--ISNUMBER(SEARCH("R41",G28)),0)+IFERROR(--ISNUMBER(SEARCH("R42",G28)),0)+IFERROR(--ISNUMBER(SEARCH("R43",G28)),0)+IFERROR(--ISNUMBER(SEARCH("R44",G28)),0)+IFERROR(--ISNUMBER(SEARCH("R45",G28)),0)+IFERROR(--ISNUMBER(SEARCH("R46",G28)),0)+IFERROR(--ISNUMBER(SEARCH("R47",G28)),0)+IFERROR(--ISNUMBER(SEARCH("R48",G28)),0)+IFERROR(--ISNUMBER(SEARCH("R49",G28)),0)+IFERROR(--ISNUMBER(SEARCH("R50",G28)),0)+IFERROR(--ISNUMBER(SEARCH("R51",G28)),0)+IFERROR(--ISNUMBER(SEARCH("R52",G28)),0)+IFERROR(--ISNUMBER(SEARCH("R53",G28)),0)+IFERROR(--ISNUMBER(SEARCH("R54",G28)),0)+IFERROR(--ISNUMBER(SEARCH("R55",G28)),0)+IFERROR(--ISNUMBER(SEARCH("R56",G28)),0)+IFERROR(--ISNUMBER(SEARCH("R57",G28)),0)+IFERROR(--ISNUMBER(SEARCH("R58",G28)),0)+IFERROR(--ISNUMBER(SEARCH("R59",G28)),0)+IFERROR(--ISNUMBER(SEARCH("R60",G28)),0)+IFERROR(--ISNUMBER(SEARCH("R61",G28)),0)+IFERROR(--ISNUMBER(SEARCH("R62",G28)),0)+IFERROR(--ISNUMBER(SEARCH("R63",G28)),0)+IFERROR(--ISNUMBER(SEARCH("R64",G28)),0)+IFERROR(--ISNUMBER(SEARCH("R65",G28)),0)+IFERROR(--ISNUMBER(SEARCH("R66",G28)),0)+IFERROR(--ISNUMBER(SEARCH("R67",G28)),0)+IFERROR(--ISNUMBER(SEARCH("R68",G28)),0)+IFERROR(--ISNUMBER(SEARCH("R69",G28)),0)+IFERROR(--ISNUMBER(SEARCH("R70",G28)),0)+IFERROR(--ISNUMBER(SEARCH("R71",G28)),0)+IFERROR(--ISNUMBER(SEARCH("R72",G28)),0)+IFERROR(--ISNUMBER(SEARCH("R73",G28)),0)+IFERROR(--ISNUMBER(SEARCH("R74",G28)),0)+IFERROR(--ISNUMBER(SEARCH("R75",G28)),0)+IFERROR(--ISNUMBER(SEARCH("R76",G28)),0)+IFERROR(--ISNUMBER(SEARCH("R77",G28)),0)+IFERROR(--ISNUMBER(SEARCH("R78",G28)),0)+IFERROR(--ISNUMBER(SEARCH("R79",G28)),0)+IFERROR(--ISNUMBER(SEARCH("R80",G28)),0)+IFERROR(--ISNUMBER(SEARCH("R81",G28)),0)+IFERROR(--ISNUMBER(SEARCH("R82",G28)),0)+IFERROR(--ISNUMBER(SEARCH("R83",G28)),0)+IFERROR(--ISNUMBER(SEARCH("R84",G28)),0)+IFERROR(--ISNUMBER(SEARCH("R85",G28)),0)+IFERROR(--ISNUMBER(SEARCH("R86",G28)),0)+IFERROR(--ISNUMBER(SEARCH("R87",G28)),0)+IFERROR(--ISNUMBER(SEARCH("R88",G28)),0)+IFERROR(--ISNUMBER(SEARCH("R89",G28)),0)+IFERROR(--ISNUMBER(SEARCH("R90",G28)),0)+IFERROR(--ISNUMBER(SEARCH("R91",G28)),0)+IFERROR(--ISNUMBER(SEARCH("R92",G28)),0)+IFERROR(--ISNUMBER(SEARCH("R93",G28)),0)+IFERROR(--ISNUMBER(SEARCH("R94",G28)),0)+IFERROR(--ISNUMBER(SEARCH("R95",G28)),0)+IFERROR(--ISNUMBER(SEARCH("R96",G28)),0)+IFERROR(--ISNUMBER(SEARCH("R97",G28)),0)+IFERROR(--ISNUMBER(SEARCH("R98",G28)),0)+IFERROR(--ISNUMBER(SEARCH("R99",G28)),0)+IFERROR(--ISNUMBER(SEARCH("R100",G28)),0)+IFERROR(--ISNUMBER(SEARCH("R101",G28)),0)+IFERROR(--ISNUMBER(SEARCH("R102",G28)),0)+IFERROR(--ISNUMBER(SEARCH("R103",G28)),0)+IFERROR(--ISNUMBER(SEARCH("R104",G28)),0)+IFERROR(--ISNUMBER(SEARCH("R105",G28)),0)+IFERROR(--ISNUMBER(SEARCH("R106",G28)),0)+IFERROR(--ISNUMBER(SEARCH("R107",G28)),0)+IFERROR(--ISNUMBER(SEARCH("R108",G28)),0)+IFERROR(--ISNUMBER(SEARCH("R109",G28)),0)+IFERROR(--ISNUMBER(SEARCH("R110",G28)),0)+IFERROR(--ISNUMBER(SEARCH("R111",G28)),0)+IFERROR(--ISNUMBER(SEARCH("R112",G28)),0)+IFERROR(--ISNUMBER(SEARCH("R113",G28)),0)+IFERROR(--ISNUMBER(SEARCH("R114",G28)),0)+IFERROR(--ISNUMBER(SEARCH("R115",G28)),0)+IFERROR(--ISNUMBER(SEARCH("R116",G28)),0)+IFERROR(--ISNUMBER(SEARCH("R117",G28)),0)+IFERROR(--ISNUMBER(SEARCH("R118",G28)),0)+IFERROR(--ISNUMBER(SEARCH("R119",G28)),0)+IFERROR(--ISNUMBER(SEARCH("R120",G28)),0)+IFERROR(--ISNUMBER(SEARCH("R121",G28)),0)+IFERROR(--ISNUMBER(SEARCH("R122",G28)),0)+IFERROR(--ISNUMBER(SEARCH("R123",G28)),0)+IFERROR(--ISNUMBER(SEARCH("R124",G28)),0)+IFERROR(--ISNUMBER(SEARCH("R125",G28)),0)+IFERROR(--ISNUMBER(SEARCH("R126",G28)),0)+IFERROR(--ISNUMBER(SEARCH("R127",G28)),0)+IFERROR(--ISNUMBER(SEARCH("R128",G28)),0)+IFERROR(--ISNUMBER(SEARCH("R129",G28)),0)+IFERROR(--ISNUMBER(SEARCH("R130",G28)),0)+IFERROR(--ISNUMBER(SEARCH("R131",G28)),0)+IFERROR(--ISNUMBER(SEARCH("R132",G28)),0)+IFERROR(--ISNUMBER(SEARCH("R133",G28)),0)+IFERROR(--ISNUMBER(SEARCH("R134",G28)),0)+IFERROR(--ISNUMBER(SEARCH("R135",G28)),0)+IFERROR(--ISNUMBER(SEARCH("R136",G28)),0)+IFERROR(--ISNUMBER(SEARCH("R137",G28)),0)+IFERROR(--ISNUMBER(SEARCH("R138",G28)),0)+IFERROR(--ISNUMBER(SEARCH("R139",G28)),0)+IFERROR(--ISNUMBER(SEARCH("R140",G28)),0)+IFERROR(--ISNUMBER(SEARCH("R141",G28)),0))</f>
        <v/>
      </c>
      <c r="T28" s="58">
        <f>IF(A28="","",IFERROR(--ISNUMBER(SEARCH("R28",G28)),0)+IFERROR(--ISNUMBER(SEARCH("R29",G28)),0)+IFERROR(--ISNUMBER(SEARCH("R30",G28)),0)+IFERROR(--ISNUMBER(SEARCH("R32",G28)),0)+IFERROR(--ISNUMBER(SEARCH("R33",G28)),0)+IFERROR(--ISNUMBER(SEARCH("R35",G28)),0)+IFERROR(--ISNUMBER(SEARCH("R36",G28)),0)+IFERROR(--ISNUMBER(SEARCH("R38",G28)),0)+IFERROR(--ISNUMBER(SEARCH("R39",G28)),0)+IFERROR(--ISNUMBER(SEARCH("R43",G28)),0)+IFERROR(--ISNUMBER(SEARCH("R44",G28)),0)+IFERROR(--ISNUMBER(SEARCH("R45",G28)),0)+IFERROR(--ISNUMBER(SEARCH("R47",G28)),0)+IFERROR(--ISNUMBER(SEARCH("R48",G28)),0)+IFERROR(--ISNUMBER(SEARCH("R50",G28)),0)+IFERROR(--ISNUMBER(SEARCH("R51",G28)),0)+IFERROR(--ISNUMBER(SEARCH("R56",G28)),0)+IFERROR(--ISNUMBER(SEARCH("R58",G28)),0)+IFERROR(--ISNUMBER(SEARCH("R59",G28)),0)+IFERROR(--ISNUMBER(SEARCH("R60",G28)),0)+IFERROR(--ISNUMBER(SEARCH("R62",G28)),0)+IFERROR(--ISNUMBER(SEARCH("R63",G28)),0)+IFERROR(--ISNUMBER(SEARCH("R64",G28)),0)+IFERROR(--ISNUMBER(SEARCH("R66",G28)),0)+IFERROR(--ISNUMBER(SEARCH("R67",G28)),0)+IFERROR(--ISNUMBER(SEARCH("R72",G28)),0)+IFERROR(--ISNUMBER(SEARCH("R74",G28)),0)+IFERROR(--ISNUMBER(SEARCH("R75",G28)),0)+IFERROR(--ISNUMBER(SEARCH("R76",G28)),0)+IFERROR(--ISNUMBER(SEARCH("R77",G28)),0)+IFERROR(--ISNUMBER(SEARCH("R79",G28)),0)+IFERROR(--ISNUMBER(SEARCH("R80",G28)),0)+IFERROR(--ISNUMBER(SEARCH("R81",G28)),0)+IFERROR(--ISNUMBER(SEARCH("R83",G28)),0)+IFERROR(--ISNUMBER(SEARCH("R84",G28)),0)+IFERROR(--ISNUMBER(SEARCH("R89",G28)),0)+IFERROR(--ISNUMBER(SEARCH("R94",G28)),0)+IFERROR(--ISNUMBER(SEARCH("R95",G28)),0)+IFERROR(--ISNUMBER(SEARCH("R96",G28)),0)+IFERROR(--ISNUMBER(SEARCH("R98",G28)),0)+IFERROR(--ISNUMBER(SEARCH("R99",G28)),0)+IFERROR(--ISNUMBER(SEARCH("R100",G28)),0)+IFERROR(--ISNUMBER(SEARCH("R104",G28)),0)+IFERROR(--ISNUMBER(SEARCH("R105",G28)),0)+IFERROR(--ISNUMBER(SEARCH("R107",G28)),0)+IFERROR(--ISNUMBER(SEARCH("R108",G28)),0)+IFERROR(--ISNUMBER(SEARCH("R109",G28)),0)+IFERROR(--ISNUMBER(SEARCH("R110",G28)),0)+IFERROR(--ISNUMBER(SEARCH("R112",G28)),0)+IFERROR(--ISNUMBER(SEARCH("R113",G28)),0)+IFERROR(--ISNUMBER(SEARCH("R114",G28)),0)+IFERROR(--ISNUMBER(SEARCH("R118",G28)),0)+IFERROR(--ISNUMBER(SEARCH("R119",G28)),0)+IFERROR(--ISNUMBER(SEARCH("R120",G28)),0)+IFERROR(--ISNUMBER(SEARCH("R122",G28)),0)+IFERROR(--ISNUMBER(SEARCH("R123",G28)),0)+IFERROR(--ISNUMBER(SEARCH("R124",G28)),0)+IFERROR(--ISNUMBER(SEARCH("R128",G28)),0)+IFERROR(--ISNUMBER(SEARCH("R130",G28)),0)+IFERROR(--ISNUMBER(SEARCH("R131",G28)),0)+IFERROR(--ISNUMBER(SEARCH("R132",G28)),0)+IFERROR(--ISNUMBER(SEARCH("R135",G28)),0)+IFERROR(--ISNUMBER(SEARCH("R138",G28)),0)+IFERROR(--ISNUMBER(SEARCH("R141",G28)),0))</f>
        <v/>
      </c>
      <c r="U28" s="58">
        <f>IF(A28="","",IFERROR(--ISNUMBER(SEARCH("R28",G28))*28,0)+IFERROR(--ISNUMBER(SEARCH("R29",G28))*29,0)+IFERROR(--ISNUMBER(SEARCH("R30",G28))*30,0)+IFERROR(--ISNUMBER(SEARCH("R31",G28))*31,0)+IFERROR(--ISNUMBER(SEARCH("R32",G28))*32,0)+IFERROR(--ISNUMBER(SEARCH("R33",G28))*33,0)+IFERROR(--ISNUMBER(SEARCH("R34",G28))*34,0)+IFERROR(--ISNUMBER(SEARCH("R35",G28))*35,0)+IFERROR(--ISNUMBER(SEARCH("R36",G28))*36,0)+IFERROR(--ISNUMBER(SEARCH("R37",G28))*37,0)+IFERROR(--ISNUMBER(SEARCH("R38",G28))*38,0)+IFERROR(--ISNUMBER(SEARCH("R39",G28))*39,0)+IFERROR(--ISNUMBER(SEARCH("R40",G28))*40,0)+IFERROR(--ISNUMBER(SEARCH("R41",G28))*41,0)+IFERROR(--ISNUMBER(SEARCH("R42",G28))*42,0)+IFERROR(--ISNUMBER(SEARCH("R43",G28))*43,0)+IFERROR(--ISNUMBER(SEARCH("R44",G28))*44,0)+IFERROR(--ISNUMBER(SEARCH("R45",G28))*45,0)+IFERROR(--ISNUMBER(SEARCH("R46",G28))*46,0)+IFERROR(--ISNUMBER(SEARCH("R47",G28))*47,0)+IFERROR(--ISNUMBER(SEARCH("R48",G28))*48,0)+IFERROR(--ISNUMBER(SEARCH("R49",G28))*49,0)+IFERROR(--ISNUMBER(SEARCH("R50",G28))*50,0)+IFERROR(--ISNUMBER(SEARCH("R51",G28))*51,0)+IFERROR(--ISNUMBER(SEARCH("R52",G28))*52,0)+IFERROR(--ISNUMBER(SEARCH("R53",G28))*53,0)+IFERROR(--ISNUMBER(SEARCH("R54",G28))*54,0)+IFERROR(--ISNUMBER(SEARCH("R55",G28))*55,0)+IFERROR(--ISNUMBER(SEARCH("R56",G28))*56,0)+IFERROR(--ISNUMBER(SEARCH("R57",G28))*57,0)+IFERROR(--ISNUMBER(SEARCH("R58",G28))*58,0)+IFERROR(--ISNUMBER(SEARCH("R59",G28))*59,0)+IFERROR(--ISNUMBER(SEARCH("R60",G28))*60,0)+IFERROR(--ISNUMBER(SEARCH("R61",G28))*61,0)+IFERROR(--ISNUMBER(SEARCH("R62",G28))*62,0)+IFERROR(--ISNUMBER(SEARCH("R63",G28))*63,0)+IFERROR(--ISNUMBER(SEARCH("R64",G28))*64,0)+IFERROR(--ISNUMBER(SEARCH("R65",G28))*65,0)+IFERROR(--ISNUMBER(SEARCH("R66",G28))*66,0)+IFERROR(--ISNUMBER(SEARCH("R67",G28))*67,0)+IFERROR(--ISNUMBER(SEARCH("R68",G28))*68,0)+IFERROR(--ISNUMBER(SEARCH("R69",G28))*69,0)+IFERROR(--ISNUMBER(SEARCH("R70",G28))*70,0)+IFERROR(--ISNUMBER(SEARCH("R71",G28))*71,0)+IFERROR(--ISNUMBER(SEARCH("R72",G28))*72,0)+IFERROR(--ISNUMBER(SEARCH("R73",G28))*73,0)+IFERROR(--ISNUMBER(SEARCH("R74",G28))*74,0)+IFERROR(--ISNUMBER(SEARCH("R75",G28))*75,0)+IFERROR(--ISNUMBER(SEARCH("R76",G28))*76,0)+IFERROR(--ISNUMBER(SEARCH("R77",G28))*77,0)+IFERROR(--ISNUMBER(SEARCH("R78",G28))*78,0)+IFERROR(--ISNUMBER(SEARCH("R79",G28))*79,0)+IFERROR(--ISNUMBER(SEARCH("R80",G28))*80,0)+IFERROR(--ISNUMBER(SEARCH("R81",G28))*81,0)+IFERROR(--ISNUMBER(SEARCH("R82",G28))*82,0)+IFERROR(--ISNUMBER(SEARCH("R83",G28))*83,0)+IFERROR(--ISNUMBER(SEARCH("R84",G28))*84,0)+IFERROR(--ISNUMBER(SEARCH("R85",G28))*85,0)+IFERROR(--ISNUMBER(SEARCH("R86",G28))*86,0)+IFERROR(--ISNUMBER(SEARCH("R87",G28))*87,0)+IFERROR(--ISNUMBER(SEARCH("R88",G28))*88,0)+IFERROR(--ISNUMBER(SEARCH("R89",G28))*89,0)+IFERROR(--ISNUMBER(SEARCH("R90",G28))*90,0)+IFERROR(--ISNUMBER(SEARCH("R91",G28))*91,0)+IFERROR(--ISNUMBER(SEARCH("R92",G28))*92,0)+IFERROR(--ISNUMBER(SEARCH("R93",G28))*93,0)+IFERROR(--ISNUMBER(SEARCH("R94",G28))*94,0)+IFERROR(--ISNUMBER(SEARCH("R95",G28))*95,0)+IFERROR(--ISNUMBER(SEARCH("R96",G28))*96,0)+IFERROR(--ISNUMBER(SEARCH("R97",G28))*97,0)+IFERROR(--ISNUMBER(SEARCH("R98",G28))*98,0)+IFERROR(--ISNUMBER(SEARCH("R99",G28))*99,0)+IFERROR(--ISNUMBER(SEARCH("R100",G28))*100,0)+IFERROR(--ISNUMBER(SEARCH("R101",G28))*101,0)+IFERROR(--ISNUMBER(SEARCH("R102",G28))*102,0)+IFERROR(--ISNUMBER(SEARCH("R103",G28))*103,0)+IFERROR(--ISNUMBER(SEARCH("R104",G28))*104,0)+IFERROR(--ISNUMBER(SEARCH("R105",G28))*105,0)+IFERROR(--ISNUMBER(SEARCH("R106",G28))*106,0)+IFERROR(--ISNUMBER(SEARCH("R107",G28))*107,0)+IFERROR(--ISNUMBER(SEARCH("R108",G28))*108,0)+IFERROR(--ISNUMBER(SEARCH("R109",G28))*109,0)+IFERROR(--ISNUMBER(SEARCH("R110",G28))*110,0)+IFERROR(--ISNUMBER(SEARCH("R111",G28))*111,0)+IFERROR(--ISNUMBER(SEARCH("R112",G28))*112,0)+IFERROR(--ISNUMBER(SEARCH("R113",G28))*113,0)+IFERROR(--ISNUMBER(SEARCH("R114",G28))*114,0)+IFERROR(--ISNUMBER(SEARCH("R115",G28))*115,0)+IFERROR(--ISNUMBER(SEARCH("R116",G28))*116,0)+IFERROR(--ISNUMBER(SEARCH("R117",G28))*117,0)+IFERROR(--ISNUMBER(SEARCH("R118",G28))*118,0)+IFERROR(--ISNUMBER(SEARCH("R119",G28))*119,0)+IFERROR(--ISNUMBER(SEARCH("R120",G28))*120,0)+IFERROR(--ISNUMBER(SEARCH("R121",G28))*121,0)+IFERROR(--ISNUMBER(SEARCH("R122",G28))*122,0)+IFERROR(--ISNUMBER(SEARCH("R123",G28))*123,0)+IFERROR(--ISNUMBER(SEARCH("R124",G28))*124,0)+IFERROR(--ISNUMBER(SEARCH("R125",G28))*125,0)+IFERROR(--ISNUMBER(SEARCH("R126",G28))*126,0)+IFERROR(--ISNUMBER(SEARCH("R127",G28))*127,0)+IFERROR(--ISNUMBER(SEARCH("R128",G28))*128,0)+IFERROR(--ISNUMBER(SEARCH("R129",G28))*129,0)+IFERROR(--ISNUMBER(SEARCH("R130",G28))*130,0)+IFERROR(--ISNUMBER(SEARCH("R131",G28))*131,0)+IFERROR(--ISNUMBER(SEARCH("R132",G28))*132,0)+IFERROR(--ISNUMBER(SEARCH("R133",G28))*133,0)+IFERROR(--ISNUMBER(SEARCH("R134",G28))*134,0)+IFERROR(--ISNUMBER(SEARCH("R135",G28))*135,0)+IFERROR(--ISNUMBER(SEARCH("R136",G28))*136,0)+IFERROR(--ISNUMBER(SEARCH("R137",G28))*137,0)+IFERROR(--ISNUMBER(SEARCH("R138",G28))*138,0)+IFERROR(--ISNUMBER(SEARCH("R139",G28))*139,0)+IFERROR(--ISNUMBER(SEARCH("R140",G28))*140,0)+IFERROR(--ISNUMBER(SEARCH("R141",G28))*141,0))</f>
        <v/>
      </c>
      <c r="V28" s="59">
        <f>IF(A28="","",IF(K28&lt;&gt;"",K28,J28))</f>
        <v/>
      </c>
      <c r="W28" s="59">
        <f>IF(A28="","",IF(AND(V28=29,O28&lt;&gt;"",COUNTIFS($V$6:$V$505,29,$F$6:$F$505,F28,$C$6:$C$505,C28,$O$6:$O$505,"&lt;&gt;")&gt;1),IF(COUNTIFS($V$6:V28,29,$F$6:F28,F28,$C$6:C28,C28,$O$6:O28,"&lt;&gt;")=1,"Esta es la fila que se debe CONSERVAR (aparición 1 de "&amp;COUNTIFS($V$6:$V$505,29,$F$6:$F$505,F28,$C$6:$C$505,C28,$O$6:$O$505,"&lt;&gt;")&amp;" con el mismo tercero y valor, casilla 29). Si hay más filas iguales, bórreles el valor a ELLAS, no a esta.","DUPLICADO — ya existe otra fila con el mismo tercero y valor para casilla 29 (aparición "&amp;COUNTIFS($V$6:V28,29,$F$6:F28,F28,$C$6:C28,C28,$O$6:O28,"&lt;&gt;")&amp;" de "&amp;COUNTIFS($V$6:$V$505,29,$F$6:$F$505,F28,$C$6:$C$505,C28,$O$6:$O$505,"&lt;&gt;")&amp;"). Para resolverlo: seleccione la celda O"&amp;ROW()&amp;" (columna Valor a declarar de ESTA fila) y presione Supr."),""))</f>
        <v/>
      </c>
      <c r="X28" s="463">
        <f>IF(A28="","",F28)</f>
        <v/>
      </c>
      <c r="Y28" s="463">
        <f>IF(A28="","",SUMIF(Entrada_Manual!$I$88:$I$187,A28,Entrada_Manual!$F$88:$F$187))</f>
        <v/>
      </c>
      <c r="Z28" s="463">
        <f>IF(A28="","",X28-Y28)</f>
        <v/>
      </c>
      <c r="AA28">
        <f>IF(A28="","",SUMPRODUCT((Entrada_Manual!$I$88:$I$187=A28)*1))</f>
        <v/>
      </c>
      <c r="AB28">
        <f>IF(A28="","",IF(S28&lt;=1,"",IF(AA28=0,"PENDIENTE — SIN ASIGNAR",IF(Z28=0,"RESUELTO","PARCIAL — DIFERENCIA "&amp;TEXT(Z28,"#,##0")))))</f>
        <v/>
      </c>
    </row>
    <row r="29" ht="54.75" customHeight="1" s="235">
      <c r="A29" s="47">
        <f>IF(Exogena_RAW!E38&lt;&gt;"",ROW()-5,"")</f>
        <v/>
      </c>
      <c r="B29" s="48">
        <f>IF(A29="","",38)</f>
        <v/>
      </c>
      <c r="C29" s="48">
        <f>IF(A29="","",IFERROR(Exogena_RAW!A38,""))</f>
        <v/>
      </c>
      <c r="D29" s="48">
        <f>IF(A29="","",IFERROR(Exogena_RAW!B38,""))</f>
        <v/>
      </c>
      <c r="E29" s="48">
        <f>IF(A29="","",Exogena_RAW!E38)</f>
        <v/>
      </c>
      <c r="F29" s="461">
        <f>IF(A29="","",Exogena_RAW!F38)</f>
        <v/>
      </c>
      <c r="G29" s="48">
        <f>IF(A29="","",IFERROR(Exogena_RAW!G38,""))</f>
        <v/>
      </c>
      <c r="H29" s="48">
        <f>IF(A29="","",IFERROR(Exogena_RAW!H38,""))</f>
        <v/>
      </c>
      <c r="I29" s="48">
        <f>IF(A29="","",IFERROR(IF(S29&gt;1,"VARIAS CASILLAS",IF(S29=1,IF(T29=1,"PROPUESTA DE CASILLA","REVISIÓN: CASILLA NO DIRECTA"),IF(OR(ISNUMBER(SEARCH("TOPE",UPPER(E29))),ISNUMBER(SEARCH("TOPE",UPPER(G29)))),"SOLO CONTROL",IF(ISNUMBER(SEARCH("RETEN",UPPER(E29))),"RETENCIÓN","REVISAR")))),"REVISAR"))</f>
        <v/>
      </c>
      <c r="J29" s="48">
        <f>IF(A29="","",IF(ISNUMBER(SEARCH("ingreso laboral promedio de los últimos seis meses",E29)),"",IFERROR(IF(AND(S29=1,T29=1),U29,""),"")))</f>
        <v/>
      </c>
      <c r="K29" s="216" t="n"/>
      <c r="L29" s="48">
        <f>IF(A29="","",IFERROR(IF(K29&lt;&gt;"","Casilla elegida por usuario",IF(S29&gt;1,"Varias casillas — elegir en K",IF(J29&lt;&gt;"","Sugerencia directa",IF(S29=1,"No trasladar directo — revisar",IF(OR(ISNUMBER(SEARCH("TOPE",UPPER(E29))),ISNUMBER(SEARCH("TOPE",UPPER(G29)))),"Solo control","Revisar manualmente"))))),"Revisar manualmente"))</f>
        <v/>
      </c>
      <c r="M29" s="461">
        <f>IF(A29="","",IF(IF(K29&lt;&gt;"",K29,J29)="",0,IF(COUNTIFS(Reglas!$I$5:$I$118,IF(K29&lt;&gt;"",K29,J29),Reglas!$J$5:$J$118,"Sí")=1,F29,0)))</f>
        <v/>
      </c>
      <c r="N29" s="56" t="n"/>
      <c r="O29" s="462">
        <f>IF(A29="","",IF(M29=0,"",M29))</f>
        <v/>
      </c>
      <c r="P29" s="461">
        <f>IF(A29="","",IF(O29="",0,IF(ISNUMBER(O29),O29,0)))</f>
        <v/>
      </c>
      <c r="Q29" s="48">
        <f>IF(A29="","",IF(Exogena_RAW!$C$4="","BLOQUEADO: FALTA AÑO",IF(Exogena_RAW!$K$10&lt;&gt;Reglas!$B$5,"BLOQUEADO: AÑO",IF(IF(K29&lt;&gt;"",K29,J29)="",IF(S29&gt;1,"REQUIERE ASIGNACIÓN MANUAL (VARIAS CASILLAS)","INFORMATIVO (sin casilla — no se declara)"),IF(COUNTIFS(Reglas!$I$5:$I$118,IF(K29&lt;&gt;"",K29,J29),Reglas!$J$5:$J$118,"Sí")=0,"BLOQUEADO: CASILLA NO DIRECTA",IF(O29="","EXCLUIDO (valor borrado por el usuario)",IF(_xlfn.ISFORMULA(O29),IF(W29&lt;&gt;"","BORRADOR — VALOR SUGERIDO DIAN ⚠ VER ALERTA","BORRADOR — VALOR SUGERIDO DIAN"),IF(W29&lt;&gt;"","ACEPTADO ⚠ VER ALERTA","ACEPTADO"))))))))</f>
        <v/>
      </c>
      <c r="R29" s="218" t="n"/>
      <c r="S29" s="58">
        <f>IF(A29="","",IFERROR(--ISNUMBER(SEARCH("R28",G29)),0)+IFERROR(--ISNUMBER(SEARCH("R29",G29)),0)+IFERROR(--ISNUMBER(SEARCH("R30",G29)),0)+IFERROR(--ISNUMBER(SEARCH("R31",G29)),0)+IFERROR(--ISNUMBER(SEARCH("R32",G29)),0)+IFERROR(--ISNUMBER(SEARCH("R33",G29)),0)+IFERROR(--ISNUMBER(SEARCH("R34",G29)),0)+IFERROR(--ISNUMBER(SEARCH("R35",G29)),0)+IFERROR(--ISNUMBER(SEARCH("R36",G29)),0)+IFERROR(--ISNUMBER(SEARCH("R37",G29)),0)+IFERROR(--ISNUMBER(SEARCH("R38",G29)),0)+IFERROR(--ISNUMBER(SEARCH("R39",G29)),0)+IFERROR(--ISNUMBER(SEARCH("R40",G29)),0)+IFERROR(--ISNUMBER(SEARCH("R41",G29)),0)+IFERROR(--ISNUMBER(SEARCH("R42",G29)),0)+IFERROR(--ISNUMBER(SEARCH("R43",G29)),0)+IFERROR(--ISNUMBER(SEARCH("R44",G29)),0)+IFERROR(--ISNUMBER(SEARCH("R45",G29)),0)+IFERROR(--ISNUMBER(SEARCH("R46",G29)),0)+IFERROR(--ISNUMBER(SEARCH("R47",G29)),0)+IFERROR(--ISNUMBER(SEARCH("R48",G29)),0)+IFERROR(--ISNUMBER(SEARCH("R49",G29)),0)+IFERROR(--ISNUMBER(SEARCH("R50",G29)),0)+IFERROR(--ISNUMBER(SEARCH("R51",G29)),0)+IFERROR(--ISNUMBER(SEARCH("R52",G29)),0)+IFERROR(--ISNUMBER(SEARCH("R53",G29)),0)+IFERROR(--ISNUMBER(SEARCH("R54",G29)),0)+IFERROR(--ISNUMBER(SEARCH("R55",G29)),0)+IFERROR(--ISNUMBER(SEARCH("R56",G29)),0)+IFERROR(--ISNUMBER(SEARCH("R57",G29)),0)+IFERROR(--ISNUMBER(SEARCH("R58",G29)),0)+IFERROR(--ISNUMBER(SEARCH("R59",G29)),0)+IFERROR(--ISNUMBER(SEARCH("R60",G29)),0)+IFERROR(--ISNUMBER(SEARCH("R61",G29)),0)+IFERROR(--ISNUMBER(SEARCH("R62",G29)),0)+IFERROR(--ISNUMBER(SEARCH("R63",G29)),0)+IFERROR(--ISNUMBER(SEARCH("R64",G29)),0)+IFERROR(--ISNUMBER(SEARCH("R65",G29)),0)+IFERROR(--ISNUMBER(SEARCH("R66",G29)),0)+IFERROR(--ISNUMBER(SEARCH("R67",G29)),0)+IFERROR(--ISNUMBER(SEARCH("R68",G29)),0)+IFERROR(--ISNUMBER(SEARCH("R69",G29)),0)+IFERROR(--ISNUMBER(SEARCH("R70",G29)),0)+IFERROR(--ISNUMBER(SEARCH("R71",G29)),0)+IFERROR(--ISNUMBER(SEARCH("R72",G29)),0)+IFERROR(--ISNUMBER(SEARCH("R73",G29)),0)+IFERROR(--ISNUMBER(SEARCH("R74",G29)),0)+IFERROR(--ISNUMBER(SEARCH("R75",G29)),0)+IFERROR(--ISNUMBER(SEARCH("R76",G29)),0)+IFERROR(--ISNUMBER(SEARCH("R77",G29)),0)+IFERROR(--ISNUMBER(SEARCH("R78",G29)),0)+IFERROR(--ISNUMBER(SEARCH("R79",G29)),0)+IFERROR(--ISNUMBER(SEARCH("R80",G29)),0)+IFERROR(--ISNUMBER(SEARCH("R81",G29)),0)+IFERROR(--ISNUMBER(SEARCH("R82",G29)),0)+IFERROR(--ISNUMBER(SEARCH("R83",G29)),0)+IFERROR(--ISNUMBER(SEARCH("R84",G29)),0)+IFERROR(--ISNUMBER(SEARCH("R85",G29)),0)+IFERROR(--ISNUMBER(SEARCH("R86",G29)),0)+IFERROR(--ISNUMBER(SEARCH("R87",G29)),0)+IFERROR(--ISNUMBER(SEARCH("R88",G29)),0)+IFERROR(--ISNUMBER(SEARCH("R89",G29)),0)+IFERROR(--ISNUMBER(SEARCH("R90",G29)),0)+IFERROR(--ISNUMBER(SEARCH("R91",G29)),0)+IFERROR(--ISNUMBER(SEARCH("R92",G29)),0)+IFERROR(--ISNUMBER(SEARCH("R93",G29)),0)+IFERROR(--ISNUMBER(SEARCH("R94",G29)),0)+IFERROR(--ISNUMBER(SEARCH("R95",G29)),0)+IFERROR(--ISNUMBER(SEARCH("R96",G29)),0)+IFERROR(--ISNUMBER(SEARCH("R97",G29)),0)+IFERROR(--ISNUMBER(SEARCH("R98",G29)),0)+IFERROR(--ISNUMBER(SEARCH("R99",G29)),0)+IFERROR(--ISNUMBER(SEARCH("R100",G29)),0)+IFERROR(--ISNUMBER(SEARCH("R101",G29)),0)+IFERROR(--ISNUMBER(SEARCH("R102",G29)),0)+IFERROR(--ISNUMBER(SEARCH("R103",G29)),0)+IFERROR(--ISNUMBER(SEARCH("R104",G29)),0)+IFERROR(--ISNUMBER(SEARCH("R105",G29)),0)+IFERROR(--ISNUMBER(SEARCH("R106",G29)),0)+IFERROR(--ISNUMBER(SEARCH("R107",G29)),0)+IFERROR(--ISNUMBER(SEARCH("R108",G29)),0)+IFERROR(--ISNUMBER(SEARCH("R109",G29)),0)+IFERROR(--ISNUMBER(SEARCH("R110",G29)),0)+IFERROR(--ISNUMBER(SEARCH("R111",G29)),0)+IFERROR(--ISNUMBER(SEARCH("R112",G29)),0)+IFERROR(--ISNUMBER(SEARCH("R113",G29)),0)+IFERROR(--ISNUMBER(SEARCH("R114",G29)),0)+IFERROR(--ISNUMBER(SEARCH("R115",G29)),0)+IFERROR(--ISNUMBER(SEARCH("R116",G29)),0)+IFERROR(--ISNUMBER(SEARCH("R117",G29)),0)+IFERROR(--ISNUMBER(SEARCH("R118",G29)),0)+IFERROR(--ISNUMBER(SEARCH("R119",G29)),0)+IFERROR(--ISNUMBER(SEARCH("R120",G29)),0)+IFERROR(--ISNUMBER(SEARCH("R121",G29)),0)+IFERROR(--ISNUMBER(SEARCH("R122",G29)),0)+IFERROR(--ISNUMBER(SEARCH("R123",G29)),0)+IFERROR(--ISNUMBER(SEARCH("R124",G29)),0)+IFERROR(--ISNUMBER(SEARCH("R125",G29)),0)+IFERROR(--ISNUMBER(SEARCH("R126",G29)),0)+IFERROR(--ISNUMBER(SEARCH("R127",G29)),0)+IFERROR(--ISNUMBER(SEARCH("R128",G29)),0)+IFERROR(--ISNUMBER(SEARCH("R129",G29)),0)+IFERROR(--ISNUMBER(SEARCH("R130",G29)),0)+IFERROR(--ISNUMBER(SEARCH("R131",G29)),0)+IFERROR(--ISNUMBER(SEARCH("R132",G29)),0)+IFERROR(--ISNUMBER(SEARCH("R133",G29)),0)+IFERROR(--ISNUMBER(SEARCH("R134",G29)),0)+IFERROR(--ISNUMBER(SEARCH("R135",G29)),0)+IFERROR(--ISNUMBER(SEARCH("R136",G29)),0)+IFERROR(--ISNUMBER(SEARCH("R137",G29)),0)+IFERROR(--ISNUMBER(SEARCH("R138",G29)),0)+IFERROR(--ISNUMBER(SEARCH("R139",G29)),0)+IFERROR(--ISNUMBER(SEARCH("R140",G29)),0)+IFERROR(--ISNUMBER(SEARCH("R141",G29)),0))</f>
        <v/>
      </c>
      <c r="T29" s="58">
        <f>IF(A29="","",IFERROR(--ISNUMBER(SEARCH("R28",G29)),0)+IFERROR(--ISNUMBER(SEARCH("R29",G29)),0)+IFERROR(--ISNUMBER(SEARCH("R30",G29)),0)+IFERROR(--ISNUMBER(SEARCH("R32",G29)),0)+IFERROR(--ISNUMBER(SEARCH("R33",G29)),0)+IFERROR(--ISNUMBER(SEARCH("R35",G29)),0)+IFERROR(--ISNUMBER(SEARCH("R36",G29)),0)+IFERROR(--ISNUMBER(SEARCH("R38",G29)),0)+IFERROR(--ISNUMBER(SEARCH("R39",G29)),0)+IFERROR(--ISNUMBER(SEARCH("R43",G29)),0)+IFERROR(--ISNUMBER(SEARCH("R44",G29)),0)+IFERROR(--ISNUMBER(SEARCH("R45",G29)),0)+IFERROR(--ISNUMBER(SEARCH("R47",G29)),0)+IFERROR(--ISNUMBER(SEARCH("R48",G29)),0)+IFERROR(--ISNUMBER(SEARCH("R50",G29)),0)+IFERROR(--ISNUMBER(SEARCH("R51",G29)),0)+IFERROR(--ISNUMBER(SEARCH("R56",G29)),0)+IFERROR(--ISNUMBER(SEARCH("R58",G29)),0)+IFERROR(--ISNUMBER(SEARCH("R59",G29)),0)+IFERROR(--ISNUMBER(SEARCH("R60",G29)),0)+IFERROR(--ISNUMBER(SEARCH("R62",G29)),0)+IFERROR(--ISNUMBER(SEARCH("R63",G29)),0)+IFERROR(--ISNUMBER(SEARCH("R64",G29)),0)+IFERROR(--ISNUMBER(SEARCH("R66",G29)),0)+IFERROR(--ISNUMBER(SEARCH("R67",G29)),0)+IFERROR(--ISNUMBER(SEARCH("R72",G29)),0)+IFERROR(--ISNUMBER(SEARCH("R74",G29)),0)+IFERROR(--ISNUMBER(SEARCH("R75",G29)),0)+IFERROR(--ISNUMBER(SEARCH("R76",G29)),0)+IFERROR(--ISNUMBER(SEARCH("R77",G29)),0)+IFERROR(--ISNUMBER(SEARCH("R79",G29)),0)+IFERROR(--ISNUMBER(SEARCH("R80",G29)),0)+IFERROR(--ISNUMBER(SEARCH("R81",G29)),0)+IFERROR(--ISNUMBER(SEARCH("R83",G29)),0)+IFERROR(--ISNUMBER(SEARCH("R84",G29)),0)+IFERROR(--ISNUMBER(SEARCH("R89",G29)),0)+IFERROR(--ISNUMBER(SEARCH("R94",G29)),0)+IFERROR(--ISNUMBER(SEARCH("R95",G29)),0)+IFERROR(--ISNUMBER(SEARCH("R96",G29)),0)+IFERROR(--ISNUMBER(SEARCH("R98",G29)),0)+IFERROR(--ISNUMBER(SEARCH("R99",G29)),0)+IFERROR(--ISNUMBER(SEARCH("R100",G29)),0)+IFERROR(--ISNUMBER(SEARCH("R104",G29)),0)+IFERROR(--ISNUMBER(SEARCH("R105",G29)),0)+IFERROR(--ISNUMBER(SEARCH("R107",G29)),0)+IFERROR(--ISNUMBER(SEARCH("R108",G29)),0)+IFERROR(--ISNUMBER(SEARCH("R109",G29)),0)+IFERROR(--ISNUMBER(SEARCH("R110",G29)),0)+IFERROR(--ISNUMBER(SEARCH("R112",G29)),0)+IFERROR(--ISNUMBER(SEARCH("R113",G29)),0)+IFERROR(--ISNUMBER(SEARCH("R114",G29)),0)+IFERROR(--ISNUMBER(SEARCH("R118",G29)),0)+IFERROR(--ISNUMBER(SEARCH("R119",G29)),0)+IFERROR(--ISNUMBER(SEARCH("R120",G29)),0)+IFERROR(--ISNUMBER(SEARCH("R122",G29)),0)+IFERROR(--ISNUMBER(SEARCH("R123",G29)),0)+IFERROR(--ISNUMBER(SEARCH("R124",G29)),0)+IFERROR(--ISNUMBER(SEARCH("R128",G29)),0)+IFERROR(--ISNUMBER(SEARCH("R130",G29)),0)+IFERROR(--ISNUMBER(SEARCH("R131",G29)),0)+IFERROR(--ISNUMBER(SEARCH("R132",G29)),0)+IFERROR(--ISNUMBER(SEARCH("R135",G29)),0)+IFERROR(--ISNUMBER(SEARCH("R138",G29)),0)+IFERROR(--ISNUMBER(SEARCH("R141",G29)),0))</f>
        <v/>
      </c>
      <c r="U29" s="58">
        <f>IF(A29="","",IFERROR(--ISNUMBER(SEARCH("R28",G29))*28,0)+IFERROR(--ISNUMBER(SEARCH("R29",G29))*29,0)+IFERROR(--ISNUMBER(SEARCH("R30",G29))*30,0)+IFERROR(--ISNUMBER(SEARCH("R31",G29))*31,0)+IFERROR(--ISNUMBER(SEARCH("R32",G29))*32,0)+IFERROR(--ISNUMBER(SEARCH("R33",G29))*33,0)+IFERROR(--ISNUMBER(SEARCH("R34",G29))*34,0)+IFERROR(--ISNUMBER(SEARCH("R35",G29))*35,0)+IFERROR(--ISNUMBER(SEARCH("R36",G29))*36,0)+IFERROR(--ISNUMBER(SEARCH("R37",G29))*37,0)+IFERROR(--ISNUMBER(SEARCH("R38",G29))*38,0)+IFERROR(--ISNUMBER(SEARCH("R39",G29))*39,0)+IFERROR(--ISNUMBER(SEARCH("R40",G29))*40,0)+IFERROR(--ISNUMBER(SEARCH("R41",G29))*41,0)+IFERROR(--ISNUMBER(SEARCH("R42",G29))*42,0)+IFERROR(--ISNUMBER(SEARCH("R43",G29))*43,0)+IFERROR(--ISNUMBER(SEARCH("R44",G29))*44,0)+IFERROR(--ISNUMBER(SEARCH("R45",G29))*45,0)+IFERROR(--ISNUMBER(SEARCH("R46",G29))*46,0)+IFERROR(--ISNUMBER(SEARCH("R47",G29))*47,0)+IFERROR(--ISNUMBER(SEARCH("R48",G29))*48,0)+IFERROR(--ISNUMBER(SEARCH("R49",G29))*49,0)+IFERROR(--ISNUMBER(SEARCH("R50",G29))*50,0)+IFERROR(--ISNUMBER(SEARCH("R51",G29))*51,0)+IFERROR(--ISNUMBER(SEARCH("R52",G29))*52,0)+IFERROR(--ISNUMBER(SEARCH("R53",G29))*53,0)+IFERROR(--ISNUMBER(SEARCH("R54",G29))*54,0)+IFERROR(--ISNUMBER(SEARCH("R55",G29))*55,0)+IFERROR(--ISNUMBER(SEARCH("R56",G29))*56,0)+IFERROR(--ISNUMBER(SEARCH("R57",G29))*57,0)+IFERROR(--ISNUMBER(SEARCH("R58",G29))*58,0)+IFERROR(--ISNUMBER(SEARCH("R59",G29))*59,0)+IFERROR(--ISNUMBER(SEARCH("R60",G29))*60,0)+IFERROR(--ISNUMBER(SEARCH("R61",G29))*61,0)+IFERROR(--ISNUMBER(SEARCH("R62",G29))*62,0)+IFERROR(--ISNUMBER(SEARCH("R63",G29))*63,0)+IFERROR(--ISNUMBER(SEARCH("R64",G29))*64,0)+IFERROR(--ISNUMBER(SEARCH("R65",G29))*65,0)+IFERROR(--ISNUMBER(SEARCH("R66",G29))*66,0)+IFERROR(--ISNUMBER(SEARCH("R67",G29))*67,0)+IFERROR(--ISNUMBER(SEARCH("R68",G29))*68,0)+IFERROR(--ISNUMBER(SEARCH("R69",G29))*69,0)+IFERROR(--ISNUMBER(SEARCH("R70",G29))*70,0)+IFERROR(--ISNUMBER(SEARCH("R71",G29))*71,0)+IFERROR(--ISNUMBER(SEARCH("R72",G29))*72,0)+IFERROR(--ISNUMBER(SEARCH("R73",G29))*73,0)+IFERROR(--ISNUMBER(SEARCH("R74",G29))*74,0)+IFERROR(--ISNUMBER(SEARCH("R75",G29))*75,0)+IFERROR(--ISNUMBER(SEARCH("R76",G29))*76,0)+IFERROR(--ISNUMBER(SEARCH("R77",G29))*77,0)+IFERROR(--ISNUMBER(SEARCH("R78",G29))*78,0)+IFERROR(--ISNUMBER(SEARCH("R79",G29))*79,0)+IFERROR(--ISNUMBER(SEARCH("R80",G29))*80,0)+IFERROR(--ISNUMBER(SEARCH("R81",G29))*81,0)+IFERROR(--ISNUMBER(SEARCH("R82",G29))*82,0)+IFERROR(--ISNUMBER(SEARCH("R83",G29))*83,0)+IFERROR(--ISNUMBER(SEARCH("R84",G29))*84,0)+IFERROR(--ISNUMBER(SEARCH("R85",G29))*85,0)+IFERROR(--ISNUMBER(SEARCH("R86",G29))*86,0)+IFERROR(--ISNUMBER(SEARCH("R87",G29))*87,0)+IFERROR(--ISNUMBER(SEARCH("R88",G29))*88,0)+IFERROR(--ISNUMBER(SEARCH("R89",G29))*89,0)+IFERROR(--ISNUMBER(SEARCH("R90",G29))*90,0)+IFERROR(--ISNUMBER(SEARCH("R91",G29))*91,0)+IFERROR(--ISNUMBER(SEARCH("R92",G29))*92,0)+IFERROR(--ISNUMBER(SEARCH("R93",G29))*93,0)+IFERROR(--ISNUMBER(SEARCH("R94",G29))*94,0)+IFERROR(--ISNUMBER(SEARCH("R95",G29))*95,0)+IFERROR(--ISNUMBER(SEARCH("R96",G29))*96,0)+IFERROR(--ISNUMBER(SEARCH("R97",G29))*97,0)+IFERROR(--ISNUMBER(SEARCH("R98",G29))*98,0)+IFERROR(--ISNUMBER(SEARCH("R99",G29))*99,0)+IFERROR(--ISNUMBER(SEARCH("R100",G29))*100,0)+IFERROR(--ISNUMBER(SEARCH("R101",G29))*101,0)+IFERROR(--ISNUMBER(SEARCH("R102",G29))*102,0)+IFERROR(--ISNUMBER(SEARCH("R103",G29))*103,0)+IFERROR(--ISNUMBER(SEARCH("R104",G29))*104,0)+IFERROR(--ISNUMBER(SEARCH("R105",G29))*105,0)+IFERROR(--ISNUMBER(SEARCH("R106",G29))*106,0)+IFERROR(--ISNUMBER(SEARCH("R107",G29))*107,0)+IFERROR(--ISNUMBER(SEARCH("R108",G29))*108,0)+IFERROR(--ISNUMBER(SEARCH("R109",G29))*109,0)+IFERROR(--ISNUMBER(SEARCH("R110",G29))*110,0)+IFERROR(--ISNUMBER(SEARCH("R111",G29))*111,0)+IFERROR(--ISNUMBER(SEARCH("R112",G29))*112,0)+IFERROR(--ISNUMBER(SEARCH("R113",G29))*113,0)+IFERROR(--ISNUMBER(SEARCH("R114",G29))*114,0)+IFERROR(--ISNUMBER(SEARCH("R115",G29))*115,0)+IFERROR(--ISNUMBER(SEARCH("R116",G29))*116,0)+IFERROR(--ISNUMBER(SEARCH("R117",G29))*117,0)+IFERROR(--ISNUMBER(SEARCH("R118",G29))*118,0)+IFERROR(--ISNUMBER(SEARCH("R119",G29))*119,0)+IFERROR(--ISNUMBER(SEARCH("R120",G29))*120,0)+IFERROR(--ISNUMBER(SEARCH("R121",G29))*121,0)+IFERROR(--ISNUMBER(SEARCH("R122",G29))*122,0)+IFERROR(--ISNUMBER(SEARCH("R123",G29))*123,0)+IFERROR(--ISNUMBER(SEARCH("R124",G29))*124,0)+IFERROR(--ISNUMBER(SEARCH("R125",G29))*125,0)+IFERROR(--ISNUMBER(SEARCH("R126",G29))*126,0)+IFERROR(--ISNUMBER(SEARCH("R127",G29))*127,0)+IFERROR(--ISNUMBER(SEARCH("R128",G29))*128,0)+IFERROR(--ISNUMBER(SEARCH("R129",G29))*129,0)+IFERROR(--ISNUMBER(SEARCH("R130",G29))*130,0)+IFERROR(--ISNUMBER(SEARCH("R131",G29))*131,0)+IFERROR(--ISNUMBER(SEARCH("R132",G29))*132,0)+IFERROR(--ISNUMBER(SEARCH("R133",G29))*133,0)+IFERROR(--ISNUMBER(SEARCH("R134",G29))*134,0)+IFERROR(--ISNUMBER(SEARCH("R135",G29))*135,0)+IFERROR(--ISNUMBER(SEARCH("R136",G29))*136,0)+IFERROR(--ISNUMBER(SEARCH("R137",G29))*137,0)+IFERROR(--ISNUMBER(SEARCH("R138",G29))*138,0)+IFERROR(--ISNUMBER(SEARCH("R139",G29))*139,0)+IFERROR(--ISNUMBER(SEARCH("R140",G29))*140,0)+IFERROR(--ISNUMBER(SEARCH("R141",G29))*141,0))</f>
        <v/>
      </c>
      <c r="V29" s="59">
        <f>IF(A29="","",IF(K29&lt;&gt;"",K29,J29))</f>
        <v/>
      </c>
      <c r="W29" s="59">
        <f>IF(A29="","",IF(AND(V29=29,O29&lt;&gt;"",COUNTIFS($V$6:$V$505,29,$F$6:$F$505,F29,$C$6:$C$505,C29,$O$6:$O$505,"&lt;&gt;")&gt;1),IF(COUNTIFS($V$6:V29,29,$F$6:F29,F29,$C$6:C29,C29,$O$6:O29,"&lt;&gt;")=1,"Esta es la fila que se debe CONSERVAR (aparición 1 de "&amp;COUNTIFS($V$6:$V$505,29,$F$6:$F$505,F29,$C$6:$C$505,C29,$O$6:$O$505,"&lt;&gt;")&amp;" con el mismo tercero y valor, casilla 29). Si hay más filas iguales, bórreles el valor a ELLAS, no a esta.","DUPLICADO — ya existe otra fila con el mismo tercero y valor para casilla 29 (aparición "&amp;COUNTIFS($V$6:V29,29,$F$6:F29,F29,$C$6:C29,C29,$O$6:O29,"&lt;&gt;")&amp;" de "&amp;COUNTIFS($V$6:$V$505,29,$F$6:$F$505,F29,$C$6:$C$505,C29,$O$6:$O$505,"&lt;&gt;")&amp;"). Para resolverlo: seleccione la celda O"&amp;ROW()&amp;" (columna Valor a declarar de ESTA fila) y presione Supr."),""))</f>
        <v/>
      </c>
      <c r="X29" s="463">
        <f>IF(A29="","",F29)</f>
        <v/>
      </c>
      <c r="Y29" s="463">
        <f>IF(A29="","",SUMIF(Entrada_Manual!$I$88:$I$187,A29,Entrada_Manual!$F$88:$F$187))</f>
        <v/>
      </c>
      <c r="Z29" s="463">
        <f>IF(A29="","",X29-Y29)</f>
        <v/>
      </c>
      <c r="AA29">
        <f>IF(A29="","",SUMPRODUCT((Entrada_Manual!$I$88:$I$187=A29)*1))</f>
        <v/>
      </c>
      <c r="AB29">
        <f>IF(A29="","",IF(S29&lt;=1,"",IF(AA29=0,"PENDIENTE — SIN ASIGNAR",IF(Z29=0,"RESUELTO","PARCIAL — DIFERENCIA "&amp;TEXT(Z29,"#,##0")))))</f>
        <v/>
      </c>
    </row>
    <row r="30" ht="27.75" customHeight="1" s="235">
      <c r="A30" s="47">
        <f>IF(Exogena_RAW!E39&lt;&gt;"",ROW()-5,"")</f>
        <v/>
      </c>
      <c r="B30" s="48">
        <f>IF(A30="","",39)</f>
        <v/>
      </c>
      <c r="C30" s="48">
        <f>IF(A30="","",IFERROR(Exogena_RAW!A39,""))</f>
        <v/>
      </c>
      <c r="D30" s="48">
        <f>IF(A30="","",IFERROR(Exogena_RAW!B39,""))</f>
        <v/>
      </c>
      <c r="E30" s="48">
        <f>IF(A30="","",Exogena_RAW!E39)</f>
        <v/>
      </c>
      <c r="F30" s="461">
        <f>IF(A30="","",Exogena_RAW!F39)</f>
        <v/>
      </c>
      <c r="G30" s="48">
        <f>IF(A30="","",IFERROR(Exogena_RAW!G39,""))</f>
        <v/>
      </c>
      <c r="H30" s="48">
        <f>IF(A30="","",IFERROR(Exogena_RAW!H39,""))</f>
        <v/>
      </c>
      <c r="I30" s="48">
        <f>IF(A30="","",IFERROR(IF(S30&gt;1,"VARIAS CASILLAS",IF(S30=1,IF(T30=1,"PROPUESTA DE CASILLA","REVISIÓN: CASILLA NO DIRECTA"),IF(OR(ISNUMBER(SEARCH("TOPE",UPPER(E30))),ISNUMBER(SEARCH("TOPE",UPPER(G30)))),"SOLO CONTROL",IF(ISNUMBER(SEARCH("RETEN",UPPER(E30))),"RETENCIÓN","REVISAR")))),"REVISAR"))</f>
        <v/>
      </c>
      <c r="J30" s="48">
        <f>IF(A30="","",IF(ISNUMBER(SEARCH("ingreso laboral promedio de los últimos seis meses",E30)),"",IFERROR(IF(AND(S30=1,T30=1),U30,""),"")))</f>
        <v/>
      </c>
      <c r="K30" s="216" t="n"/>
      <c r="L30" s="48">
        <f>IF(A30="","",IFERROR(IF(K30&lt;&gt;"","Casilla elegida por usuario",IF(S30&gt;1,"Varias casillas — elegir en K",IF(J30&lt;&gt;"","Sugerencia directa",IF(S30=1,"No trasladar directo — revisar",IF(OR(ISNUMBER(SEARCH("TOPE",UPPER(E30))),ISNUMBER(SEARCH("TOPE",UPPER(G30)))),"Solo control","Revisar manualmente"))))),"Revisar manualmente"))</f>
        <v/>
      </c>
      <c r="M30" s="461">
        <f>IF(A30="","",IF(IF(K30&lt;&gt;"",K30,J30)="",0,IF(COUNTIFS(Reglas!$I$5:$I$118,IF(K30&lt;&gt;"",K30,J30),Reglas!$J$5:$J$118,"Sí")=1,F30,0)))</f>
        <v/>
      </c>
      <c r="N30" s="56" t="n"/>
      <c r="O30" s="462">
        <f>IF(A30="","",IF(M30=0,"",M30))</f>
        <v/>
      </c>
      <c r="P30" s="461">
        <f>IF(A30="","",IF(O30="",0,IF(ISNUMBER(O30),O30,0)))</f>
        <v/>
      </c>
      <c r="Q30" s="48">
        <f>IF(A30="","",IF(Exogena_RAW!$C$4="","BLOQUEADO: FALTA AÑO",IF(Exogena_RAW!$K$10&lt;&gt;Reglas!$B$5,"BLOQUEADO: AÑO",IF(IF(K30&lt;&gt;"",K30,J30)="",IF(S30&gt;1,"REQUIERE ASIGNACIÓN MANUAL (VARIAS CASILLAS)","INFORMATIVO (sin casilla — no se declara)"),IF(COUNTIFS(Reglas!$I$5:$I$118,IF(K30&lt;&gt;"",K30,J30),Reglas!$J$5:$J$118,"Sí")=0,"BLOQUEADO: CASILLA NO DIRECTA",IF(O30="","EXCLUIDO (valor borrado por el usuario)",IF(_xlfn.ISFORMULA(O30),IF(W30&lt;&gt;"","BORRADOR — VALOR SUGERIDO DIAN ⚠ VER ALERTA","BORRADOR — VALOR SUGERIDO DIAN"),IF(W30&lt;&gt;"","ACEPTADO ⚠ VER ALERTA","ACEPTADO"))))))))</f>
        <v/>
      </c>
      <c r="R30" s="218" t="n"/>
      <c r="S30" s="58">
        <f>IF(A30="","",IFERROR(--ISNUMBER(SEARCH("R28",G30)),0)+IFERROR(--ISNUMBER(SEARCH("R29",G30)),0)+IFERROR(--ISNUMBER(SEARCH("R30",G30)),0)+IFERROR(--ISNUMBER(SEARCH("R31",G30)),0)+IFERROR(--ISNUMBER(SEARCH("R32",G30)),0)+IFERROR(--ISNUMBER(SEARCH("R33",G30)),0)+IFERROR(--ISNUMBER(SEARCH("R34",G30)),0)+IFERROR(--ISNUMBER(SEARCH("R35",G30)),0)+IFERROR(--ISNUMBER(SEARCH("R36",G30)),0)+IFERROR(--ISNUMBER(SEARCH("R37",G30)),0)+IFERROR(--ISNUMBER(SEARCH("R38",G30)),0)+IFERROR(--ISNUMBER(SEARCH("R39",G30)),0)+IFERROR(--ISNUMBER(SEARCH("R40",G30)),0)+IFERROR(--ISNUMBER(SEARCH("R41",G30)),0)+IFERROR(--ISNUMBER(SEARCH("R42",G30)),0)+IFERROR(--ISNUMBER(SEARCH("R43",G30)),0)+IFERROR(--ISNUMBER(SEARCH("R44",G30)),0)+IFERROR(--ISNUMBER(SEARCH("R45",G30)),0)+IFERROR(--ISNUMBER(SEARCH("R46",G30)),0)+IFERROR(--ISNUMBER(SEARCH("R47",G30)),0)+IFERROR(--ISNUMBER(SEARCH("R48",G30)),0)+IFERROR(--ISNUMBER(SEARCH("R49",G30)),0)+IFERROR(--ISNUMBER(SEARCH("R50",G30)),0)+IFERROR(--ISNUMBER(SEARCH("R51",G30)),0)+IFERROR(--ISNUMBER(SEARCH("R52",G30)),0)+IFERROR(--ISNUMBER(SEARCH("R53",G30)),0)+IFERROR(--ISNUMBER(SEARCH("R54",G30)),0)+IFERROR(--ISNUMBER(SEARCH("R55",G30)),0)+IFERROR(--ISNUMBER(SEARCH("R56",G30)),0)+IFERROR(--ISNUMBER(SEARCH("R57",G30)),0)+IFERROR(--ISNUMBER(SEARCH("R58",G30)),0)+IFERROR(--ISNUMBER(SEARCH("R59",G30)),0)+IFERROR(--ISNUMBER(SEARCH("R60",G30)),0)+IFERROR(--ISNUMBER(SEARCH("R61",G30)),0)+IFERROR(--ISNUMBER(SEARCH("R62",G30)),0)+IFERROR(--ISNUMBER(SEARCH("R63",G30)),0)+IFERROR(--ISNUMBER(SEARCH("R64",G30)),0)+IFERROR(--ISNUMBER(SEARCH("R65",G30)),0)+IFERROR(--ISNUMBER(SEARCH("R66",G30)),0)+IFERROR(--ISNUMBER(SEARCH("R67",G30)),0)+IFERROR(--ISNUMBER(SEARCH("R68",G30)),0)+IFERROR(--ISNUMBER(SEARCH("R69",G30)),0)+IFERROR(--ISNUMBER(SEARCH("R70",G30)),0)+IFERROR(--ISNUMBER(SEARCH("R71",G30)),0)+IFERROR(--ISNUMBER(SEARCH("R72",G30)),0)+IFERROR(--ISNUMBER(SEARCH("R73",G30)),0)+IFERROR(--ISNUMBER(SEARCH("R74",G30)),0)+IFERROR(--ISNUMBER(SEARCH("R75",G30)),0)+IFERROR(--ISNUMBER(SEARCH("R76",G30)),0)+IFERROR(--ISNUMBER(SEARCH("R77",G30)),0)+IFERROR(--ISNUMBER(SEARCH("R78",G30)),0)+IFERROR(--ISNUMBER(SEARCH("R79",G30)),0)+IFERROR(--ISNUMBER(SEARCH("R80",G30)),0)+IFERROR(--ISNUMBER(SEARCH("R81",G30)),0)+IFERROR(--ISNUMBER(SEARCH("R82",G30)),0)+IFERROR(--ISNUMBER(SEARCH("R83",G30)),0)+IFERROR(--ISNUMBER(SEARCH("R84",G30)),0)+IFERROR(--ISNUMBER(SEARCH("R85",G30)),0)+IFERROR(--ISNUMBER(SEARCH("R86",G30)),0)+IFERROR(--ISNUMBER(SEARCH("R87",G30)),0)+IFERROR(--ISNUMBER(SEARCH("R88",G30)),0)+IFERROR(--ISNUMBER(SEARCH("R89",G30)),0)+IFERROR(--ISNUMBER(SEARCH("R90",G30)),0)+IFERROR(--ISNUMBER(SEARCH("R91",G30)),0)+IFERROR(--ISNUMBER(SEARCH("R92",G30)),0)+IFERROR(--ISNUMBER(SEARCH("R93",G30)),0)+IFERROR(--ISNUMBER(SEARCH("R94",G30)),0)+IFERROR(--ISNUMBER(SEARCH("R95",G30)),0)+IFERROR(--ISNUMBER(SEARCH("R96",G30)),0)+IFERROR(--ISNUMBER(SEARCH("R97",G30)),0)+IFERROR(--ISNUMBER(SEARCH("R98",G30)),0)+IFERROR(--ISNUMBER(SEARCH("R99",G30)),0)+IFERROR(--ISNUMBER(SEARCH("R100",G30)),0)+IFERROR(--ISNUMBER(SEARCH("R101",G30)),0)+IFERROR(--ISNUMBER(SEARCH("R102",G30)),0)+IFERROR(--ISNUMBER(SEARCH("R103",G30)),0)+IFERROR(--ISNUMBER(SEARCH("R104",G30)),0)+IFERROR(--ISNUMBER(SEARCH("R105",G30)),0)+IFERROR(--ISNUMBER(SEARCH("R106",G30)),0)+IFERROR(--ISNUMBER(SEARCH("R107",G30)),0)+IFERROR(--ISNUMBER(SEARCH("R108",G30)),0)+IFERROR(--ISNUMBER(SEARCH("R109",G30)),0)+IFERROR(--ISNUMBER(SEARCH("R110",G30)),0)+IFERROR(--ISNUMBER(SEARCH("R111",G30)),0)+IFERROR(--ISNUMBER(SEARCH("R112",G30)),0)+IFERROR(--ISNUMBER(SEARCH("R113",G30)),0)+IFERROR(--ISNUMBER(SEARCH("R114",G30)),0)+IFERROR(--ISNUMBER(SEARCH("R115",G30)),0)+IFERROR(--ISNUMBER(SEARCH("R116",G30)),0)+IFERROR(--ISNUMBER(SEARCH("R117",G30)),0)+IFERROR(--ISNUMBER(SEARCH("R118",G30)),0)+IFERROR(--ISNUMBER(SEARCH("R119",G30)),0)+IFERROR(--ISNUMBER(SEARCH("R120",G30)),0)+IFERROR(--ISNUMBER(SEARCH("R121",G30)),0)+IFERROR(--ISNUMBER(SEARCH("R122",G30)),0)+IFERROR(--ISNUMBER(SEARCH("R123",G30)),0)+IFERROR(--ISNUMBER(SEARCH("R124",G30)),0)+IFERROR(--ISNUMBER(SEARCH("R125",G30)),0)+IFERROR(--ISNUMBER(SEARCH("R126",G30)),0)+IFERROR(--ISNUMBER(SEARCH("R127",G30)),0)+IFERROR(--ISNUMBER(SEARCH("R128",G30)),0)+IFERROR(--ISNUMBER(SEARCH("R129",G30)),0)+IFERROR(--ISNUMBER(SEARCH("R130",G30)),0)+IFERROR(--ISNUMBER(SEARCH("R131",G30)),0)+IFERROR(--ISNUMBER(SEARCH("R132",G30)),0)+IFERROR(--ISNUMBER(SEARCH("R133",G30)),0)+IFERROR(--ISNUMBER(SEARCH("R134",G30)),0)+IFERROR(--ISNUMBER(SEARCH("R135",G30)),0)+IFERROR(--ISNUMBER(SEARCH("R136",G30)),0)+IFERROR(--ISNUMBER(SEARCH("R137",G30)),0)+IFERROR(--ISNUMBER(SEARCH("R138",G30)),0)+IFERROR(--ISNUMBER(SEARCH("R139",G30)),0)+IFERROR(--ISNUMBER(SEARCH("R140",G30)),0)+IFERROR(--ISNUMBER(SEARCH("R141",G30)),0))</f>
        <v/>
      </c>
      <c r="T30" s="58">
        <f>IF(A30="","",IFERROR(--ISNUMBER(SEARCH("R28",G30)),0)+IFERROR(--ISNUMBER(SEARCH("R29",G30)),0)+IFERROR(--ISNUMBER(SEARCH("R30",G30)),0)+IFERROR(--ISNUMBER(SEARCH("R32",G30)),0)+IFERROR(--ISNUMBER(SEARCH("R33",G30)),0)+IFERROR(--ISNUMBER(SEARCH("R35",G30)),0)+IFERROR(--ISNUMBER(SEARCH("R36",G30)),0)+IFERROR(--ISNUMBER(SEARCH("R38",G30)),0)+IFERROR(--ISNUMBER(SEARCH("R39",G30)),0)+IFERROR(--ISNUMBER(SEARCH("R43",G30)),0)+IFERROR(--ISNUMBER(SEARCH("R44",G30)),0)+IFERROR(--ISNUMBER(SEARCH("R45",G30)),0)+IFERROR(--ISNUMBER(SEARCH("R47",G30)),0)+IFERROR(--ISNUMBER(SEARCH("R48",G30)),0)+IFERROR(--ISNUMBER(SEARCH("R50",G30)),0)+IFERROR(--ISNUMBER(SEARCH("R51",G30)),0)+IFERROR(--ISNUMBER(SEARCH("R56",G30)),0)+IFERROR(--ISNUMBER(SEARCH("R58",G30)),0)+IFERROR(--ISNUMBER(SEARCH("R59",G30)),0)+IFERROR(--ISNUMBER(SEARCH("R60",G30)),0)+IFERROR(--ISNUMBER(SEARCH("R62",G30)),0)+IFERROR(--ISNUMBER(SEARCH("R63",G30)),0)+IFERROR(--ISNUMBER(SEARCH("R64",G30)),0)+IFERROR(--ISNUMBER(SEARCH("R66",G30)),0)+IFERROR(--ISNUMBER(SEARCH("R67",G30)),0)+IFERROR(--ISNUMBER(SEARCH("R72",G30)),0)+IFERROR(--ISNUMBER(SEARCH("R74",G30)),0)+IFERROR(--ISNUMBER(SEARCH("R75",G30)),0)+IFERROR(--ISNUMBER(SEARCH("R76",G30)),0)+IFERROR(--ISNUMBER(SEARCH("R77",G30)),0)+IFERROR(--ISNUMBER(SEARCH("R79",G30)),0)+IFERROR(--ISNUMBER(SEARCH("R80",G30)),0)+IFERROR(--ISNUMBER(SEARCH("R81",G30)),0)+IFERROR(--ISNUMBER(SEARCH("R83",G30)),0)+IFERROR(--ISNUMBER(SEARCH("R84",G30)),0)+IFERROR(--ISNUMBER(SEARCH("R89",G30)),0)+IFERROR(--ISNUMBER(SEARCH("R94",G30)),0)+IFERROR(--ISNUMBER(SEARCH("R95",G30)),0)+IFERROR(--ISNUMBER(SEARCH("R96",G30)),0)+IFERROR(--ISNUMBER(SEARCH("R98",G30)),0)+IFERROR(--ISNUMBER(SEARCH("R99",G30)),0)+IFERROR(--ISNUMBER(SEARCH("R100",G30)),0)+IFERROR(--ISNUMBER(SEARCH("R104",G30)),0)+IFERROR(--ISNUMBER(SEARCH("R105",G30)),0)+IFERROR(--ISNUMBER(SEARCH("R107",G30)),0)+IFERROR(--ISNUMBER(SEARCH("R108",G30)),0)+IFERROR(--ISNUMBER(SEARCH("R109",G30)),0)+IFERROR(--ISNUMBER(SEARCH("R110",G30)),0)+IFERROR(--ISNUMBER(SEARCH("R112",G30)),0)+IFERROR(--ISNUMBER(SEARCH("R113",G30)),0)+IFERROR(--ISNUMBER(SEARCH("R114",G30)),0)+IFERROR(--ISNUMBER(SEARCH("R118",G30)),0)+IFERROR(--ISNUMBER(SEARCH("R119",G30)),0)+IFERROR(--ISNUMBER(SEARCH("R120",G30)),0)+IFERROR(--ISNUMBER(SEARCH("R122",G30)),0)+IFERROR(--ISNUMBER(SEARCH("R123",G30)),0)+IFERROR(--ISNUMBER(SEARCH("R124",G30)),0)+IFERROR(--ISNUMBER(SEARCH("R128",G30)),0)+IFERROR(--ISNUMBER(SEARCH("R130",G30)),0)+IFERROR(--ISNUMBER(SEARCH("R131",G30)),0)+IFERROR(--ISNUMBER(SEARCH("R132",G30)),0)+IFERROR(--ISNUMBER(SEARCH("R135",G30)),0)+IFERROR(--ISNUMBER(SEARCH("R138",G30)),0)+IFERROR(--ISNUMBER(SEARCH("R141",G30)),0))</f>
        <v/>
      </c>
      <c r="U30" s="58">
        <f>IF(A30="","",IFERROR(--ISNUMBER(SEARCH("R28",G30))*28,0)+IFERROR(--ISNUMBER(SEARCH("R29",G30))*29,0)+IFERROR(--ISNUMBER(SEARCH("R30",G30))*30,0)+IFERROR(--ISNUMBER(SEARCH("R31",G30))*31,0)+IFERROR(--ISNUMBER(SEARCH("R32",G30))*32,0)+IFERROR(--ISNUMBER(SEARCH("R33",G30))*33,0)+IFERROR(--ISNUMBER(SEARCH("R34",G30))*34,0)+IFERROR(--ISNUMBER(SEARCH("R35",G30))*35,0)+IFERROR(--ISNUMBER(SEARCH("R36",G30))*36,0)+IFERROR(--ISNUMBER(SEARCH("R37",G30))*37,0)+IFERROR(--ISNUMBER(SEARCH("R38",G30))*38,0)+IFERROR(--ISNUMBER(SEARCH("R39",G30))*39,0)+IFERROR(--ISNUMBER(SEARCH("R40",G30))*40,0)+IFERROR(--ISNUMBER(SEARCH("R41",G30))*41,0)+IFERROR(--ISNUMBER(SEARCH("R42",G30))*42,0)+IFERROR(--ISNUMBER(SEARCH("R43",G30))*43,0)+IFERROR(--ISNUMBER(SEARCH("R44",G30))*44,0)+IFERROR(--ISNUMBER(SEARCH("R45",G30))*45,0)+IFERROR(--ISNUMBER(SEARCH("R46",G30))*46,0)+IFERROR(--ISNUMBER(SEARCH("R47",G30))*47,0)+IFERROR(--ISNUMBER(SEARCH("R48",G30))*48,0)+IFERROR(--ISNUMBER(SEARCH("R49",G30))*49,0)+IFERROR(--ISNUMBER(SEARCH("R50",G30))*50,0)+IFERROR(--ISNUMBER(SEARCH("R51",G30))*51,0)+IFERROR(--ISNUMBER(SEARCH("R52",G30))*52,0)+IFERROR(--ISNUMBER(SEARCH("R53",G30))*53,0)+IFERROR(--ISNUMBER(SEARCH("R54",G30))*54,0)+IFERROR(--ISNUMBER(SEARCH("R55",G30))*55,0)+IFERROR(--ISNUMBER(SEARCH("R56",G30))*56,0)+IFERROR(--ISNUMBER(SEARCH("R57",G30))*57,0)+IFERROR(--ISNUMBER(SEARCH("R58",G30))*58,0)+IFERROR(--ISNUMBER(SEARCH("R59",G30))*59,0)+IFERROR(--ISNUMBER(SEARCH("R60",G30))*60,0)+IFERROR(--ISNUMBER(SEARCH("R61",G30))*61,0)+IFERROR(--ISNUMBER(SEARCH("R62",G30))*62,0)+IFERROR(--ISNUMBER(SEARCH("R63",G30))*63,0)+IFERROR(--ISNUMBER(SEARCH("R64",G30))*64,0)+IFERROR(--ISNUMBER(SEARCH("R65",G30))*65,0)+IFERROR(--ISNUMBER(SEARCH("R66",G30))*66,0)+IFERROR(--ISNUMBER(SEARCH("R67",G30))*67,0)+IFERROR(--ISNUMBER(SEARCH("R68",G30))*68,0)+IFERROR(--ISNUMBER(SEARCH("R69",G30))*69,0)+IFERROR(--ISNUMBER(SEARCH("R70",G30))*70,0)+IFERROR(--ISNUMBER(SEARCH("R71",G30))*71,0)+IFERROR(--ISNUMBER(SEARCH("R72",G30))*72,0)+IFERROR(--ISNUMBER(SEARCH("R73",G30))*73,0)+IFERROR(--ISNUMBER(SEARCH("R74",G30))*74,0)+IFERROR(--ISNUMBER(SEARCH("R75",G30))*75,0)+IFERROR(--ISNUMBER(SEARCH("R76",G30))*76,0)+IFERROR(--ISNUMBER(SEARCH("R77",G30))*77,0)+IFERROR(--ISNUMBER(SEARCH("R78",G30))*78,0)+IFERROR(--ISNUMBER(SEARCH("R79",G30))*79,0)+IFERROR(--ISNUMBER(SEARCH("R80",G30))*80,0)+IFERROR(--ISNUMBER(SEARCH("R81",G30))*81,0)+IFERROR(--ISNUMBER(SEARCH("R82",G30))*82,0)+IFERROR(--ISNUMBER(SEARCH("R83",G30))*83,0)+IFERROR(--ISNUMBER(SEARCH("R84",G30))*84,0)+IFERROR(--ISNUMBER(SEARCH("R85",G30))*85,0)+IFERROR(--ISNUMBER(SEARCH("R86",G30))*86,0)+IFERROR(--ISNUMBER(SEARCH("R87",G30))*87,0)+IFERROR(--ISNUMBER(SEARCH("R88",G30))*88,0)+IFERROR(--ISNUMBER(SEARCH("R89",G30))*89,0)+IFERROR(--ISNUMBER(SEARCH("R90",G30))*90,0)+IFERROR(--ISNUMBER(SEARCH("R91",G30))*91,0)+IFERROR(--ISNUMBER(SEARCH("R92",G30))*92,0)+IFERROR(--ISNUMBER(SEARCH("R93",G30))*93,0)+IFERROR(--ISNUMBER(SEARCH("R94",G30))*94,0)+IFERROR(--ISNUMBER(SEARCH("R95",G30))*95,0)+IFERROR(--ISNUMBER(SEARCH("R96",G30))*96,0)+IFERROR(--ISNUMBER(SEARCH("R97",G30))*97,0)+IFERROR(--ISNUMBER(SEARCH("R98",G30))*98,0)+IFERROR(--ISNUMBER(SEARCH("R99",G30))*99,0)+IFERROR(--ISNUMBER(SEARCH("R100",G30))*100,0)+IFERROR(--ISNUMBER(SEARCH("R101",G30))*101,0)+IFERROR(--ISNUMBER(SEARCH("R102",G30))*102,0)+IFERROR(--ISNUMBER(SEARCH("R103",G30))*103,0)+IFERROR(--ISNUMBER(SEARCH("R104",G30))*104,0)+IFERROR(--ISNUMBER(SEARCH("R105",G30))*105,0)+IFERROR(--ISNUMBER(SEARCH("R106",G30))*106,0)+IFERROR(--ISNUMBER(SEARCH("R107",G30))*107,0)+IFERROR(--ISNUMBER(SEARCH("R108",G30))*108,0)+IFERROR(--ISNUMBER(SEARCH("R109",G30))*109,0)+IFERROR(--ISNUMBER(SEARCH("R110",G30))*110,0)+IFERROR(--ISNUMBER(SEARCH("R111",G30))*111,0)+IFERROR(--ISNUMBER(SEARCH("R112",G30))*112,0)+IFERROR(--ISNUMBER(SEARCH("R113",G30))*113,0)+IFERROR(--ISNUMBER(SEARCH("R114",G30))*114,0)+IFERROR(--ISNUMBER(SEARCH("R115",G30))*115,0)+IFERROR(--ISNUMBER(SEARCH("R116",G30))*116,0)+IFERROR(--ISNUMBER(SEARCH("R117",G30))*117,0)+IFERROR(--ISNUMBER(SEARCH("R118",G30))*118,0)+IFERROR(--ISNUMBER(SEARCH("R119",G30))*119,0)+IFERROR(--ISNUMBER(SEARCH("R120",G30))*120,0)+IFERROR(--ISNUMBER(SEARCH("R121",G30))*121,0)+IFERROR(--ISNUMBER(SEARCH("R122",G30))*122,0)+IFERROR(--ISNUMBER(SEARCH("R123",G30))*123,0)+IFERROR(--ISNUMBER(SEARCH("R124",G30))*124,0)+IFERROR(--ISNUMBER(SEARCH("R125",G30))*125,0)+IFERROR(--ISNUMBER(SEARCH("R126",G30))*126,0)+IFERROR(--ISNUMBER(SEARCH("R127",G30))*127,0)+IFERROR(--ISNUMBER(SEARCH("R128",G30))*128,0)+IFERROR(--ISNUMBER(SEARCH("R129",G30))*129,0)+IFERROR(--ISNUMBER(SEARCH("R130",G30))*130,0)+IFERROR(--ISNUMBER(SEARCH("R131",G30))*131,0)+IFERROR(--ISNUMBER(SEARCH("R132",G30))*132,0)+IFERROR(--ISNUMBER(SEARCH("R133",G30))*133,0)+IFERROR(--ISNUMBER(SEARCH("R134",G30))*134,0)+IFERROR(--ISNUMBER(SEARCH("R135",G30))*135,0)+IFERROR(--ISNUMBER(SEARCH("R136",G30))*136,0)+IFERROR(--ISNUMBER(SEARCH("R137",G30))*137,0)+IFERROR(--ISNUMBER(SEARCH("R138",G30))*138,0)+IFERROR(--ISNUMBER(SEARCH("R139",G30))*139,0)+IFERROR(--ISNUMBER(SEARCH("R140",G30))*140,0)+IFERROR(--ISNUMBER(SEARCH("R141",G30))*141,0))</f>
        <v/>
      </c>
      <c r="V30" s="59">
        <f>IF(A30="","",IF(K30&lt;&gt;"",K30,J30))</f>
        <v/>
      </c>
      <c r="W30" s="59">
        <f>IF(A30="","",IF(AND(V30=29,O30&lt;&gt;"",COUNTIFS($V$6:$V$505,29,$F$6:$F$505,F30,$C$6:$C$505,C30,$O$6:$O$505,"&lt;&gt;")&gt;1),IF(COUNTIFS($V$6:V30,29,$F$6:F30,F30,$C$6:C30,C30,$O$6:O30,"&lt;&gt;")=1,"Esta es la fila que se debe CONSERVAR (aparición 1 de "&amp;COUNTIFS($V$6:$V$505,29,$F$6:$F$505,F30,$C$6:$C$505,C30,$O$6:$O$505,"&lt;&gt;")&amp;" con el mismo tercero y valor, casilla 29). Si hay más filas iguales, bórreles el valor a ELLAS, no a esta.","DUPLICADO — ya existe otra fila con el mismo tercero y valor para casilla 29 (aparición "&amp;COUNTIFS($V$6:V30,29,$F$6:F30,F30,$C$6:C30,C30,$O$6:O30,"&lt;&gt;")&amp;" de "&amp;COUNTIFS($V$6:$V$505,29,$F$6:$F$505,F30,$C$6:$C$505,C30,$O$6:$O$505,"&lt;&gt;")&amp;"). Para resolverlo: seleccione la celda O"&amp;ROW()&amp;" (columna Valor a declarar de ESTA fila) y presione Supr."),""))</f>
        <v/>
      </c>
      <c r="X30" s="463">
        <f>IF(A30="","",F30)</f>
        <v/>
      </c>
      <c r="Y30" s="463">
        <f>IF(A30="","",SUMIF(Entrada_Manual!$I$88:$I$187,A30,Entrada_Manual!$F$88:$F$187))</f>
        <v/>
      </c>
      <c r="Z30" s="463">
        <f>IF(A30="","",X30-Y30)</f>
        <v/>
      </c>
      <c r="AA30">
        <f>IF(A30="","",SUMPRODUCT((Entrada_Manual!$I$88:$I$187=A30)*1))</f>
        <v/>
      </c>
      <c r="AB30">
        <f>IF(A30="","",IF(S30&lt;=1,"",IF(AA30=0,"PENDIENTE — SIN ASIGNAR",IF(Z30=0,"RESUELTO","PARCIAL — DIFERENCIA "&amp;TEXT(Z30,"#,##0")))))</f>
        <v/>
      </c>
    </row>
    <row r="31" ht="57" customHeight="1" s="235">
      <c r="A31" s="47">
        <f>IF(Exogena_RAW!E40&lt;&gt;"",ROW()-5,"")</f>
        <v/>
      </c>
      <c r="B31" s="48">
        <f>IF(A31="","",40)</f>
        <v/>
      </c>
      <c r="C31" s="48">
        <f>IF(A31="","",IFERROR(Exogena_RAW!A40,""))</f>
        <v/>
      </c>
      <c r="D31" s="48">
        <f>IF(A31="","",IFERROR(Exogena_RAW!B40,""))</f>
        <v/>
      </c>
      <c r="E31" s="48">
        <f>IF(A31="","",Exogena_RAW!E40)</f>
        <v/>
      </c>
      <c r="F31" s="461">
        <f>IF(A31="","",Exogena_RAW!F40)</f>
        <v/>
      </c>
      <c r="G31" s="48">
        <f>IF(A31="","",IFERROR(Exogena_RAW!G40,""))</f>
        <v/>
      </c>
      <c r="H31" s="48">
        <f>IF(A31="","",IFERROR(Exogena_RAW!H40,""))</f>
        <v/>
      </c>
      <c r="I31" s="48">
        <f>IF(A31="","",IFERROR(IF(S31&gt;1,"VARIAS CASILLAS",IF(S31=1,IF(T31=1,"PROPUESTA DE CASILLA","REVISIÓN: CASILLA NO DIRECTA"),IF(OR(ISNUMBER(SEARCH("TOPE",UPPER(E31))),ISNUMBER(SEARCH("TOPE",UPPER(G31)))),"SOLO CONTROL",IF(ISNUMBER(SEARCH("RETEN",UPPER(E31))),"RETENCIÓN","REVISAR")))),"REVISAR"))</f>
        <v/>
      </c>
      <c r="J31" s="48">
        <f>IF(A31="","",IF(ISNUMBER(SEARCH("ingreso laboral promedio de los últimos seis meses",E31)),"",IFERROR(IF(AND(S31=1,T31=1),U31,""),"")))</f>
        <v/>
      </c>
      <c r="K31" s="216" t="n"/>
      <c r="L31" s="48">
        <f>IF(A31="","",IFERROR(IF(K31&lt;&gt;"","Casilla elegida por usuario",IF(S31&gt;1,"Varias casillas — elegir en K",IF(J31&lt;&gt;"","Sugerencia directa",IF(S31=1,"No trasladar directo — revisar",IF(OR(ISNUMBER(SEARCH("TOPE",UPPER(E31))),ISNUMBER(SEARCH("TOPE",UPPER(G31)))),"Solo control","Revisar manualmente"))))),"Revisar manualmente"))</f>
        <v/>
      </c>
      <c r="M31" s="461">
        <f>IF(A31="","",IF(IF(K31&lt;&gt;"",K31,J31)="",0,IF(COUNTIFS(Reglas!$I$5:$I$118,IF(K31&lt;&gt;"",K31,J31),Reglas!$J$5:$J$118,"Sí")=1,F31,0)))</f>
        <v/>
      </c>
      <c r="N31" s="56" t="n"/>
      <c r="O31" s="462">
        <f>IF(A31="","",IF(M31=0,"",M31))</f>
        <v/>
      </c>
      <c r="P31" s="461">
        <f>IF(A31="","",IF(O31="",0,IF(ISNUMBER(O31),O31,0)))</f>
        <v/>
      </c>
      <c r="Q31" s="48">
        <f>IF(A31="","",IF(Exogena_RAW!$C$4="","BLOQUEADO: FALTA AÑO",IF(Exogena_RAW!$K$10&lt;&gt;Reglas!$B$5,"BLOQUEADO: AÑO",IF(IF(K31&lt;&gt;"",K31,J31)="",IF(S31&gt;1,"REQUIERE ASIGNACIÓN MANUAL (VARIAS CASILLAS)","INFORMATIVO (sin casilla — no se declara)"),IF(COUNTIFS(Reglas!$I$5:$I$118,IF(K31&lt;&gt;"",K31,J31),Reglas!$J$5:$J$118,"Sí")=0,"BLOQUEADO: CASILLA NO DIRECTA",IF(O31="","EXCLUIDO (valor borrado por el usuario)",IF(_xlfn.ISFORMULA(O31),IF(W31&lt;&gt;"","BORRADOR — VALOR SUGERIDO DIAN ⚠ VER ALERTA","BORRADOR — VALOR SUGERIDO DIAN"),IF(W31&lt;&gt;"","ACEPTADO ⚠ VER ALERTA","ACEPTADO"))))))))</f>
        <v/>
      </c>
      <c r="R31" s="218" t="n"/>
      <c r="S31" s="58">
        <f>IF(A31="","",IFERROR(--ISNUMBER(SEARCH("R28",G31)),0)+IFERROR(--ISNUMBER(SEARCH("R29",G31)),0)+IFERROR(--ISNUMBER(SEARCH("R30",G31)),0)+IFERROR(--ISNUMBER(SEARCH("R31",G31)),0)+IFERROR(--ISNUMBER(SEARCH("R32",G31)),0)+IFERROR(--ISNUMBER(SEARCH("R33",G31)),0)+IFERROR(--ISNUMBER(SEARCH("R34",G31)),0)+IFERROR(--ISNUMBER(SEARCH("R35",G31)),0)+IFERROR(--ISNUMBER(SEARCH("R36",G31)),0)+IFERROR(--ISNUMBER(SEARCH("R37",G31)),0)+IFERROR(--ISNUMBER(SEARCH("R38",G31)),0)+IFERROR(--ISNUMBER(SEARCH("R39",G31)),0)+IFERROR(--ISNUMBER(SEARCH("R40",G31)),0)+IFERROR(--ISNUMBER(SEARCH("R41",G31)),0)+IFERROR(--ISNUMBER(SEARCH("R42",G31)),0)+IFERROR(--ISNUMBER(SEARCH("R43",G31)),0)+IFERROR(--ISNUMBER(SEARCH("R44",G31)),0)+IFERROR(--ISNUMBER(SEARCH("R45",G31)),0)+IFERROR(--ISNUMBER(SEARCH("R46",G31)),0)+IFERROR(--ISNUMBER(SEARCH("R47",G31)),0)+IFERROR(--ISNUMBER(SEARCH("R48",G31)),0)+IFERROR(--ISNUMBER(SEARCH("R49",G31)),0)+IFERROR(--ISNUMBER(SEARCH("R50",G31)),0)+IFERROR(--ISNUMBER(SEARCH("R51",G31)),0)+IFERROR(--ISNUMBER(SEARCH("R52",G31)),0)+IFERROR(--ISNUMBER(SEARCH("R53",G31)),0)+IFERROR(--ISNUMBER(SEARCH("R54",G31)),0)+IFERROR(--ISNUMBER(SEARCH("R55",G31)),0)+IFERROR(--ISNUMBER(SEARCH("R56",G31)),0)+IFERROR(--ISNUMBER(SEARCH("R57",G31)),0)+IFERROR(--ISNUMBER(SEARCH("R58",G31)),0)+IFERROR(--ISNUMBER(SEARCH("R59",G31)),0)+IFERROR(--ISNUMBER(SEARCH("R60",G31)),0)+IFERROR(--ISNUMBER(SEARCH("R61",G31)),0)+IFERROR(--ISNUMBER(SEARCH("R62",G31)),0)+IFERROR(--ISNUMBER(SEARCH("R63",G31)),0)+IFERROR(--ISNUMBER(SEARCH("R64",G31)),0)+IFERROR(--ISNUMBER(SEARCH("R65",G31)),0)+IFERROR(--ISNUMBER(SEARCH("R66",G31)),0)+IFERROR(--ISNUMBER(SEARCH("R67",G31)),0)+IFERROR(--ISNUMBER(SEARCH("R68",G31)),0)+IFERROR(--ISNUMBER(SEARCH("R69",G31)),0)+IFERROR(--ISNUMBER(SEARCH("R70",G31)),0)+IFERROR(--ISNUMBER(SEARCH("R71",G31)),0)+IFERROR(--ISNUMBER(SEARCH("R72",G31)),0)+IFERROR(--ISNUMBER(SEARCH("R73",G31)),0)+IFERROR(--ISNUMBER(SEARCH("R74",G31)),0)+IFERROR(--ISNUMBER(SEARCH("R75",G31)),0)+IFERROR(--ISNUMBER(SEARCH("R76",G31)),0)+IFERROR(--ISNUMBER(SEARCH("R77",G31)),0)+IFERROR(--ISNUMBER(SEARCH("R78",G31)),0)+IFERROR(--ISNUMBER(SEARCH("R79",G31)),0)+IFERROR(--ISNUMBER(SEARCH("R80",G31)),0)+IFERROR(--ISNUMBER(SEARCH("R81",G31)),0)+IFERROR(--ISNUMBER(SEARCH("R82",G31)),0)+IFERROR(--ISNUMBER(SEARCH("R83",G31)),0)+IFERROR(--ISNUMBER(SEARCH("R84",G31)),0)+IFERROR(--ISNUMBER(SEARCH("R85",G31)),0)+IFERROR(--ISNUMBER(SEARCH("R86",G31)),0)+IFERROR(--ISNUMBER(SEARCH("R87",G31)),0)+IFERROR(--ISNUMBER(SEARCH("R88",G31)),0)+IFERROR(--ISNUMBER(SEARCH("R89",G31)),0)+IFERROR(--ISNUMBER(SEARCH("R90",G31)),0)+IFERROR(--ISNUMBER(SEARCH("R91",G31)),0)+IFERROR(--ISNUMBER(SEARCH("R92",G31)),0)+IFERROR(--ISNUMBER(SEARCH("R93",G31)),0)+IFERROR(--ISNUMBER(SEARCH("R94",G31)),0)+IFERROR(--ISNUMBER(SEARCH("R95",G31)),0)+IFERROR(--ISNUMBER(SEARCH("R96",G31)),0)+IFERROR(--ISNUMBER(SEARCH("R97",G31)),0)+IFERROR(--ISNUMBER(SEARCH("R98",G31)),0)+IFERROR(--ISNUMBER(SEARCH("R99",G31)),0)+IFERROR(--ISNUMBER(SEARCH("R100",G31)),0)+IFERROR(--ISNUMBER(SEARCH("R101",G31)),0)+IFERROR(--ISNUMBER(SEARCH("R102",G31)),0)+IFERROR(--ISNUMBER(SEARCH("R103",G31)),0)+IFERROR(--ISNUMBER(SEARCH("R104",G31)),0)+IFERROR(--ISNUMBER(SEARCH("R105",G31)),0)+IFERROR(--ISNUMBER(SEARCH("R106",G31)),0)+IFERROR(--ISNUMBER(SEARCH("R107",G31)),0)+IFERROR(--ISNUMBER(SEARCH("R108",G31)),0)+IFERROR(--ISNUMBER(SEARCH("R109",G31)),0)+IFERROR(--ISNUMBER(SEARCH("R110",G31)),0)+IFERROR(--ISNUMBER(SEARCH("R111",G31)),0)+IFERROR(--ISNUMBER(SEARCH("R112",G31)),0)+IFERROR(--ISNUMBER(SEARCH("R113",G31)),0)+IFERROR(--ISNUMBER(SEARCH("R114",G31)),0)+IFERROR(--ISNUMBER(SEARCH("R115",G31)),0)+IFERROR(--ISNUMBER(SEARCH("R116",G31)),0)+IFERROR(--ISNUMBER(SEARCH("R117",G31)),0)+IFERROR(--ISNUMBER(SEARCH("R118",G31)),0)+IFERROR(--ISNUMBER(SEARCH("R119",G31)),0)+IFERROR(--ISNUMBER(SEARCH("R120",G31)),0)+IFERROR(--ISNUMBER(SEARCH("R121",G31)),0)+IFERROR(--ISNUMBER(SEARCH("R122",G31)),0)+IFERROR(--ISNUMBER(SEARCH("R123",G31)),0)+IFERROR(--ISNUMBER(SEARCH("R124",G31)),0)+IFERROR(--ISNUMBER(SEARCH("R125",G31)),0)+IFERROR(--ISNUMBER(SEARCH("R126",G31)),0)+IFERROR(--ISNUMBER(SEARCH("R127",G31)),0)+IFERROR(--ISNUMBER(SEARCH("R128",G31)),0)+IFERROR(--ISNUMBER(SEARCH("R129",G31)),0)+IFERROR(--ISNUMBER(SEARCH("R130",G31)),0)+IFERROR(--ISNUMBER(SEARCH("R131",G31)),0)+IFERROR(--ISNUMBER(SEARCH("R132",G31)),0)+IFERROR(--ISNUMBER(SEARCH("R133",G31)),0)+IFERROR(--ISNUMBER(SEARCH("R134",G31)),0)+IFERROR(--ISNUMBER(SEARCH("R135",G31)),0)+IFERROR(--ISNUMBER(SEARCH("R136",G31)),0)+IFERROR(--ISNUMBER(SEARCH("R137",G31)),0)+IFERROR(--ISNUMBER(SEARCH("R138",G31)),0)+IFERROR(--ISNUMBER(SEARCH("R139",G31)),0)+IFERROR(--ISNUMBER(SEARCH("R140",G31)),0)+IFERROR(--ISNUMBER(SEARCH("R141",G31)),0))</f>
        <v/>
      </c>
      <c r="T31" s="58">
        <f>IF(A31="","",IFERROR(--ISNUMBER(SEARCH("R28",G31)),0)+IFERROR(--ISNUMBER(SEARCH("R29",G31)),0)+IFERROR(--ISNUMBER(SEARCH("R30",G31)),0)+IFERROR(--ISNUMBER(SEARCH("R32",G31)),0)+IFERROR(--ISNUMBER(SEARCH("R33",G31)),0)+IFERROR(--ISNUMBER(SEARCH("R35",G31)),0)+IFERROR(--ISNUMBER(SEARCH("R36",G31)),0)+IFERROR(--ISNUMBER(SEARCH("R38",G31)),0)+IFERROR(--ISNUMBER(SEARCH("R39",G31)),0)+IFERROR(--ISNUMBER(SEARCH("R43",G31)),0)+IFERROR(--ISNUMBER(SEARCH("R44",G31)),0)+IFERROR(--ISNUMBER(SEARCH("R45",G31)),0)+IFERROR(--ISNUMBER(SEARCH("R47",G31)),0)+IFERROR(--ISNUMBER(SEARCH("R48",G31)),0)+IFERROR(--ISNUMBER(SEARCH("R50",G31)),0)+IFERROR(--ISNUMBER(SEARCH("R51",G31)),0)+IFERROR(--ISNUMBER(SEARCH("R56",G31)),0)+IFERROR(--ISNUMBER(SEARCH("R58",G31)),0)+IFERROR(--ISNUMBER(SEARCH("R59",G31)),0)+IFERROR(--ISNUMBER(SEARCH("R60",G31)),0)+IFERROR(--ISNUMBER(SEARCH("R62",G31)),0)+IFERROR(--ISNUMBER(SEARCH("R63",G31)),0)+IFERROR(--ISNUMBER(SEARCH("R64",G31)),0)+IFERROR(--ISNUMBER(SEARCH("R66",G31)),0)+IFERROR(--ISNUMBER(SEARCH("R67",G31)),0)+IFERROR(--ISNUMBER(SEARCH("R72",G31)),0)+IFERROR(--ISNUMBER(SEARCH("R74",G31)),0)+IFERROR(--ISNUMBER(SEARCH("R75",G31)),0)+IFERROR(--ISNUMBER(SEARCH("R76",G31)),0)+IFERROR(--ISNUMBER(SEARCH("R77",G31)),0)+IFERROR(--ISNUMBER(SEARCH("R79",G31)),0)+IFERROR(--ISNUMBER(SEARCH("R80",G31)),0)+IFERROR(--ISNUMBER(SEARCH("R81",G31)),0)+IFERROR(--ISNUMBER(SEARCH("R83",G31)),0)+IFERROR(--ISNUMBER(SEARCH("R84",G31)),0)+IFERROR(--ISNUMBER(SEARCH("R89",G31)),0)+IFERROR(--ISNUMBER(SEARCH("R94",G31)),0)+IFERROR(--ISNUMBER(SEARCH("R95",G31)),0)+IFERROR(--ISNUMBER(SEARCH("R96",G31)),0)+IFERROR(--ISNUMBER(SEARCH("R98",G31)),0)+IFERROR(--ISNUMBER(SEARCH("R99",G31)),0)+IFERROR(--ISNUMBER(SEARCH("R100",G31)),0)+IFERROR(--ISNUMBER(SEARCH("R104",G31)),0)+IFERROR(--ISNUMBER(SEARCH("R105",G31)),0)+IFERROR(--ISNUMBER(SEARCH("R107",G31)),0)+IFERROR(--ISNUMBER(SEARCH("R108",G31)),0)+IFERROR(--ISNUMBER(SEARCH("R109",G31)),0)+IFERROR(--ISNUMBER(SEARCH("R110",G31)),0)+IFERROR(--ISNUMBER(SEARCH("R112",G31)),0)+IFERROR(--ISNUMBER(SEARCH("R113",G31)),0)+IFERROR(--ISNUMBER(SEARCH("R114",G31)),0)+IFERROR(--ISNUMBER(SEARCH("R118",G31)),0)+IFERROR(--ISNUMBER(SEARCH("R119",G31)),0)+IFERROR(--ISNUMBER(SEARCH("R120",G31)),0)+IFERROR(--ISNUMBER(SEARCH("R122",G31)),0)+IFERROR(--ISNUMBER(SEARCH("R123",G31)),0)+IFERROR(--ISNUMBER(SEARCH("R124",G31)),0)+IFERROR(--ISNUMBER(SEARCH("R128",G31)),0)+IFERROR(--ISNUMBER(SEARCH("R130",G31)),0)+IFERROR(--ISNUMBER(SEARCH("R131",G31)),0)+IFERROR(--ISNUMBER(SEARCH("R132",G31)),0)+IFERROR(--ISNUMBER(SEARCH("R135",G31)),0)+IFERROR(--ISNUMBER(SEARCH("R138",G31)),0)+IFERROR(--ISNUMBER(SEARCH("R141",G31)),0))</f>
        <v/>
      </c>
      <c r="U31" s="58">
        <f>IF(A31="","",IFERROR(--ISNUMBER(SEARCH("R28",G31))*28,0)+IFERROR(--ISNUMBER(SEARCH("R29",G31))*29,0)+IFERROR(--ISNUMBER(SEARCH("R30",G31))*30,0)+IFERROR(--ISNUMBER(SEARCH("R31",G31))*31,0)+IFERROR(--ISNUMBER(SEARCH("R32",G31))*32,0)+IFERROR(--ISNUMBER(SEARCH("R33",G31))*33,0)+IFERROR(--ISNUMBER(SEARCH("R34",G31))*34,0)+IFERROR(--ISNUMBER(SEARCH("R35",G31))*35,0)+IFERROR(--ISNUMBER(SEARCH("R36",G31))*36,0)+IFERROR(--ISNUMBER(SEARCH("R37",G31))*37,0)+IFERROR(--ISNUMBER(SEARCH("R38",G31))*38,0)+IFERROR(--ISNUMBER(SEARCH("R39",G31))*39,0)+IFERROR(--ISNUMBER(SEARCH("R40",G31))*40,0)+IFERROR(--ISNUMBER(SEARCH("R41",G31))*41,0)+IFERROR(--ISNUMBER(SEARCH("R42",G31))*42,0)+IFERROR(--ISNUMBER(SEARCH("R43",G31))*43,0)+IFERROR(--ISNUMBER(SEARCH("R44",G31))*44,0)+IFERROR(--ISNUMBER(SEARCH("R45",G31))*45,0)+IFERROR(--ISNUMBER(SEARCH("R46",G31))*46,0)+IFERROR(--ISNUMBER(SEARCH("R47",G31))*47,0)+IFERROR(--ISNUMBER(SEARCH("R48",G31))*48,0)+IFERROR(--ISNUMBER(SEARCH("R49",G31))*49,0)+IFERROR(--ISNUMBER(SEARCH("R50",G31))*50,0)+IFERROR(--ISNUMBER(SEARCH("R51",G31))*51,0)+IFERROR(--ISNUMBER(SEARCH("R52",G31))*52,0)+IFERROR(--ISNUMBER(SEARCH("R53",G31))*53,0)+IFERROR(--ISNUMBER(SEARCH("R54",G31))*54,0)+IFERROR(--ISNUMBER(SEARCH("R55",G31))*55,0)+IFERROR(--ISNUMBER(SEARCH("R56",G31))*56,0)+IFERROR(--ISNUMBER(SEARCH("R57",G31))*57,0)+IFERROR(--ISNUMBER(SEARCH("R58",G31))*58,0)+IFERROR(--ISNUMBER(SEARCH("R59",G31))*59,0)+IFERROR(--ISNUMBER(SEARCH("R60",G31))*60,0)+IFERROR(--ISNUMBER(SEARCH("R61",G31))*61,0)+IFERROR(--ISNUMBER(SEARCH("R62",G31))*62,0)+IFERROR(--ISNUMBER(SEARCH("R63",G31))*63,0)+IFERROR(--ISNUMBER(SEARCH("R64",G31))*64,0)+IFERROR(--ISNUMBER(SEARCH("R65",G31))*65,0)+IFERROR(--ISNUMBER(SEARCH("R66",G31))*66,0)+IFERROR(--ISNUMBER(SEARCH("R67",G31))*67,0)+IFERROR(--ISNUMBER(SEARCH("R68",G31))*68,0)+IFERROR(--ISNUMBER(SEARCH("R69",G31))*69,0)+IFERROR(--ISNUMBER(SEARCH("R70",G31))*70,0)+IFERROR(--ISNUMBER(SEARCH("R71",G31))*71,0)+IFERROR(--ISNUMBER(SEARCH("R72",G31))*72,0)+IFERROR(--ISNUMBER(SEARCH("R73",G31))*73,0)+IFERROR(--ISNUMBER(SEARCH("R74",G31))*74,0)+IFERROR(--ISNUMBER(SEARCH("R75",G31))*75,0)+IFERROR(--ISNUMBER(SEARCH("R76",G31))*76,0)+IFERROR(--ISNUMBER(SEARCH("R77",G31))*77,0)+IFERROR(--ISNUMBER(SEARCH("R78",G31))*78,0)+IFERROR(--ISNUMBER(SEARCH("R79",G31))*79,0)+IFERROR(--ISNUMBER(SEARCH("R80",G31))*80,0)+IFERROR(--ISNUMBER(SEARCH("R81",G31))*81,0)+IFERROR(--ISNUMBER(SEARCH("R82",G31))*82,0)+IFERROR(--ISNUMBER(SEARCH("R83",G31))*83,0)+IFERROR(--ISNUMBER(SEARCH("R84",G31))*84,0)+IFERROR(--ISNUMBER(SEARCH("R85",G31))*85,0)+IFERROR(--ISNUMBER(SEARCH("R86",G31))*86,0)+IFERROR(--ISNUMBER(SEARCH("R87",G31))*87,0)+IFERROR(--ISNUMBER(SEARCH("R88",G31))*88,0)+IFERROR(--ISNUMBER(SEARCH("R89",G31))*89,0)+IFERROR(--ISNUMBER(SEARCH("R90",G31))*90,0)+IFERROR(--ISNUMBER(SEARCH("R91",G31))*91,0)+IFERROR(--ISNUMBER(SEARCH("R92",G31))*92,0)+IFERROR(--ISNUMBER(SEARCH("R93",G31))*93,0)+IFERROR(--ISNUMBER(SEARCH("R94",G31))*94,0)+IFERROR(--ISNUMBER(SEARCH("R95",G31))*95,0)+IFERROR(--ISNUMBER(SEARCH("R96",G31))*96,0)+IFERROR(--ISNUMBER(SEARCH("R97",G31))*97,0)+IFERROR(--ISNUMBER(SEARCH("R98",G31))*98,0)+IFERROR(--ISNUMBER(SEARCH("R99",G31))*99,0)+IFERROR(--ISNUMBER(SEARCH("R100",G31))*100,0)+IFERROR(--ISNUMBER(SEARCH("R101",G31))*101,0)+IFERROR(--ISNUMBER(SEARCH("R102",G31))*102,0)+IFERROR(--ISNUMBER(SEARCH("R103",G31))*103,0)+IFERROR(--ISNUMBER(SEARCH("R104",G31))*104,0)+IFERROR(--ISNUMBER(SEARCH("R105",G31))*105,0)+IFERROR(--ISNUMBER(SEARCH("R106",G31))*106,0)+IFERROR(--ISNUMBER(SEARCH("R107",G31))*107,0)+IFERROR(--ISNUMBER(SEARCH("R108",G31))*108,0)+IFERROR(--ISNUMBER(SEARCH("R109",G31))*109,0)+IFERROR(--ISNUMBER(SEARCH("R110",G31))*110,0)+IFERROR(--ISNUMBER(SEARCH("R111",G31))*111,0)+IFERROR(--ISNUMBER(SEARCH("R112",G31))*112,0)+IFERROR(--ISNUMBER(SEARCH("R113",G31))*113,0)+IFERROR(--ISNUMBER(SEARCH("R114",G31))*114,0)+IFERROR(--ISNUMBER(SEARCH("R115",G31))*115,0)+IFERROR(--ISNUMBER(SEARCH("R116",G31))*116,0)+IFERROR(--ISNUMBER(SEARCH("R117",G31))*117,0)+IFERROR(--ISNUMBER(SEARCH("R118",G31))*118,0)+IFERROR(--ISNUMBER(SEARCH("R119",G31))*119,0)+IFERROR(--ISNUMBER(SEARCH("R120",G31))*120,0)+IFERROR(--ISNUMBER(SEARCH("R121",G31))*121,0)+IFERROR(--ISNUMBER(SEARCH("R122",G31))*122,0)+IFERROR(--ISNUMBER(SEARCH("R123",G31))*123,0)+IFERROR(--ISNUMBER(SEARCH("R124",G31))*124,0)+IFERROR(--ISNUMBER(SEARCH("R125",G31))*125,0)+IFERROR(--ISNUMBER(SEARCH("R126",G31))*126,0)+IFERROR(--ISNUMBER(SEARCH("R127",G31))*127,0)+IFERROR(--ISNUMBER(SEARCH("R128",G31))*128,0)+IFERROR(--ISNUMBER(SEARCH("R129",G31))*129,0)+IFERROR(--ISNUMBER(SEARCH("R130",G31))*130,0)+IFERROR(--ISNUMBER(SEARCH("R131",G31))*131,0)+IFERROR(--ISNUMBER(SEARCH("R132",G31))*132,0)+IFERROR(--ISNUMBER(SEARCH("R133",G31))*133,0)+IFERROR(--ISNUMBER(SEARCH("R134",G31))*134,0)+IFERROR(--ISNUMBER(SEARCH("R135",G31))*135,0)+IFERROR(--ISNUMBER(SEARCH("R136",G31))*136,0)+IFERROR(--ISNUMBER(SEARCH("R137",G31))*137,0)+IFERROR(--ISNUMBER(SEARCH("R138",G31))*138,0)+IFERROR(--ISNUMBER(SEARCH("R139",G31))*139,0)+IFERROR(--ISNUMBER(SEARCH("R140",G31))*140,0)+IFERROR(--ISNUMBER(SEARCH("R141",G31))*141,0))</f>
        <v/>
      </c>
      <c r="V31" s="59">
        <f>IF(A31="","",IF(K31&lt;&gt;"",K31,J31))</f>
        <v/>
      </c>
      <c r="W31" s="59">
        <f>IF(A31="","",IF(AND(V31=29,O31&lt;&gt;"",COUNTIFS($V$6:$V$505,29,$F$6:$F$505,F31,$C$6:$C$505,C31,$O$6:$O$505,"&lt;&gt;")&gt;1),IF(COUNTIFS($V$6:V31,29,$F$6:F31,F31,$C$6:C31,C31,$O$6:O31,"&lt;&gt;")=1,"Esta es la fila que se debe CONSERVAR (aparición 1 de "&amp;COUNTIFS($V$6:$V$505,29,$F$6:$F$505,F31,$C$6:$C$505,C31,$O$6:$O$505,"&lt;&gt;")&amp;" con el mismo tercero y valor, casilla 29). Si hay más filas iguales, bórreles el valor a ELLAS, no a esta.","DUPLICADO — ya existe otra fila con el mismo tercero y valor para casilla 29 (aparición "&amp;COUNTIFS($V$6:V31,29,$F$6:F31,F31,$C$6:C31,C31,$O$6:O31,"&lt;&gt;")&amp;" de "&amp;COUNTIFS($V$6:$V$505,29,$F$6:$F$505,F31,$C$6:$C$505,C31,$O$6:$O$505,"&lt;&gt;")&amp;"). Para resolverlo: seleccione la celda O"&amp;ROW()&amp;" (columna Valor a declarar de ESTA fila) y presione Supr."),""))</f>
        <v/>
      </c>
      <c r="X31" s="463">
        <f>IF(A31="","",F31)</f>
        <v/>
      </c>
      <c r="Y31" s="463">
        <f>IF(A31="","",SUMIF(Entrada_Manual!$I$88:$I$187,A31,Entrada_Manual!$F$88:$F$187))</f>
        <v/>
      </c>
      <c r="Z31" s="463">
        <f>IF(A31="","",X31-Y31)</f>
        <v/>
      </c>
      <c r="AA31">
        <f>IF(A31="","",SUMPRODUCT((Entrada_Manual!$I$88:$I$187=A31)*1))</f>
        <v/>
      </c>
      <c r="AB31">
        <f>IF(A31="","",IF(S31&lt;=1,"",IF(AA31=0,"PENDIENTE — SIN ASIGNAR",IF(Z31=0,"RESUELTO","PARCIAL — DIFERENCIA "&amp;TEXT(Z31,"#,##0")))))</f>
        <v/>
      </c>
    </row>
    <row r="32" ht="28.5" customHeight="1" s="235">
      <c r="A32" s="47">
        <f>IF(Exogena_RAW!E41&lt;&gt;"",ROW()-5,"")</f>
        <v/>
      </c>
      <c r="B32" s="48">
        <f>IF(A32="","",41)</f>
        <v/>
      </c>
      <c r="C32" s="48">
        <f>IF(A32="","",IFERROR(Exogena_RAW!A41,""))</f>
        <v/>
      </c>
      <c r="D32" s="48">
        <f>IF(A32="","",IFERROR(Exogena_RAW!B41,""))</f>
        <v/>
      </c>
      <c r="E32" s="48">
        <f>IF(A32="","",Exogena_RAW!E41)</f>
        <v/>
      </c>
      <c r="F32" s="461">
        <f>IF(A32="","",Exogena_RAW!F41)</f>
        <v/>
      </c>
      <c r="G32" s="48">
        <f>IF(A32="","",IFERROR(Exogena_RAW!G41,""))</f>
        <v/>
      </c>
      <c r="H32" s="48">
        <f>IF(A32="","",IFERROR(Exogena_RAW!H41,""))</f>
        <v/>
      </c>
      <c r="I32" s="48">
        <f>IF(A32="","",IFERROR(IF(S32&gt;1,"VARIAS CASILLAS",IF(S32=1,IF(T32=1,"PROPUESTA DE CASILLA","REVISIÓN: CASILLA NO DIRECTA"),IF(OR(ISNUMBER(SEARCH("TOPE",UPPER(E32))),ISNUMBER(SEARCH("TOPE",UPPER(G32)))),"SOLO CONTROL",IF(ISNUMBER(SEARCH("RETEN",UPPER(E32))),"RETENCIÓN","REVISAR")))),"REVISAR"))</f>
        <v/>
      </c>
      <c r="J32" s="61">
        <f>IF(A32="","",IF(ISNUMBER(SEARCH("ingreso laboral promedio de los últimos seis meses",E32)),"",IFERROR(IF(AND(S32=1,T32=1),U32,""),"")))</f>
        <v/>
      </c>
      <c r="K32" s="216" t="n"/>
      <c r="L32" s="48">
        <f>IF(A32="","",IFERROR(IF(K32&lt;&gt;"","Casilla elegida por usuario",IF(S32&gt;1,"Varias casillas — elegir en K",IF(J32&lt;&gt;"","Sugerencia directa",IF(S32=1,"No trasladar directo — revisar",IF(OR(ISNUMBER(SEARCH("TOPE",UPPER(E32))),ISNUMBER(SEARCH("TOPE",UPPER(G32)))),"Solo control","Revisar manualmente"))))),"Revisar manualmente"))</f>
        <v/>
      </c>
      <c r="M32" s="461">
        <f>IF(A32="","",IF(IF(K32&lt;&gt;"",K32,J32)="",0,IF(COUNTIFS(Reglas!$I$5:$I$118,IF(K32&lt;&gt;"",K32,J32),Reglas!$J$5:$J$118,"Sí")=1,F32,0)))</f>
        <v/>
      </c>
      <c r="N32" s="56" t="n"/>
      <c r="O32" s="462">
        <f>IF(A32="","",IF(M32=0,"",M32))</f>
        <v/>
      </c>
      <c r="P32" s="461">
        <f>IF(A32="","",IF(O32="",0,IF(ISNUMBER(O32),O32,0)))</f>
        <v/>
      </c>
      <c r="Q32" s="48">
        <f>IF(A32="","",IF(Exogena_RAW!$C$4="","BLOQUEADO: FALTA AÑO",IF(Exogena_RAW!$K$10&lt;&gt;Reglas!$B$5,"BLOQUEADO: AÑO",IF(IF(K32&lt;&gt;"",K32,J32)="",IF(S32&gt;1,"REQUIERE ASIGNACIÓN MANUAL (VARIAS CASILLAS)","INFORMATIVO (sin casilla — no se declara)"),IF(COUNTIFS(Reglas!$I$5:$I$118,IF(K32&lt;&gt;"",K32,J32),Reglas!$J$5:$J$118,"Sí")=0,"BLOQUEADO: CASILLA NO DIRECTA",IF(O32="","EXCLUIDO (valor borrado por el usuario)",IF(_xlfn.ISFORMULA(O32),IF(W32&lt;&gt;"","BORRADOR — VALOR SUGERIDO DIAN ⚠ VER ALERTA","BORRADOR — VALOR SUGERIDO DIAN"),IF(W32&lt;&gt;"","ACEPTADO ⚠ VER ALERTA","ACEPTADO"))))))))</f>
        <v/>
      </c>
      <c r="R32" s="218" t="n"/>
      <c r="S32" s="58">
        <f>IF(A32="","",IFERROR(--ISNUMBER(SEARCH("R28",G32)),0)+IFERROR(--ISNUMBER(SEARCH("R29",G32)),0)+IFERROR(--ISNUMBER(SEARCH("R30",G32)),0)+IFERROR(--ISNUMBER(SEARCH("R31",G32)),0)+IFERROR(--ISNUMBER(SEARCH("R32",G32)),0)+IFERROR(--ISNUMBER(SEARCH("R33",G32)),0)+IFERROR(--ISNUMBER(SEARCH("R34",G32)),0)+IFERROR(--ISNUMBER(SEARCH("R35",G32)),0)+IFERROR(--ISNUMBER(SEARCH("R36",G32)),0)+IFERROR(--ISNUMBER(SEARCH("R37",G32)),0)+IFERROR(--ISNUMBER(SEARCH("R38",G32)),0)+IFERROR(--ISNUMBER(SEARCH("R39",G32)),0)+IFERROR(--ISNUMBER(SEARCH("R40",G32)),0)+IFERROR(--ISNUMBER(SEARCH("R41",G32)),0)+IFERROR(--ISNUMBER(SEARCH("R42",G32)),0)+IFERROR(--ISNUMBER(SEARCH("R43",G32)),0)+IFERROR(--ISNUMBER(SEARCH("R44",G32)),0)+IFERROR(--ISNUMBER(SEARCH("R45",G32)),0)+IFERROR(--ISNUMBER(SEARCH("R46",G32)),0)+IFERROR(--ISNUMBER(SEARCH("R47",G32)),0)+IFERROR(--ISNUMBER(SEARCH("R48",G32)),0)+IFERROR(--ISNUMBER(SEARCH("R49",G32)),0)+IFERROR(--ISNUMBER(SEARCH("R50",G32)),0)+IFERROR(--ISNUMBER(SEARCH("R51",G32)),0)+IFERROR(--ISNUMBER(SEARCH("R52",G32)),0)+IFERROR(--ISNUMBER(SEARCH("R53",G32)),0)+IFERROR(--ISNUMBER(SEARCH("R54",G32)),0)+IFERROR(--ISNUMBER(SEARCH("R55",G32)),0)+IFERROR(--ISNUMBER(SEARCH("R56",G32)),0)+IFERROR(--ISNUMBER(SEARCH("R57",G32)),0)+IFERROR(--ISNUMBER(SEARCH("R58",G32)),0)+IFERROR(--ISNUMBER(SEARCH("R59",G32)),0)+IFERROR(--ISNUMBER(SEARCH("R60",G32)),0)+IFERROR(--ISNUMBER(SEARCH("R61",G32)),0)+IFERROR(--ISNUMBER(SEARCH("R62",G32)),0)+IFERROR(--ISNUMBER(SEARCH("R63",G32)),0)+IFERROR(--ISNUMBER(SEARCH("R64",G32)),0)+IFERROR(--ISNUMBER(SEARCH("R65",G32)),0)+IFERROR(--ISNUMBER(SEARCH("R66",G32)),0)+IFERROR(--ISNUMBER(SEARCH("R67",G32)),0)+IFERROR(--ISNUMBER(SEARCH("R68",G32)),0)+IFERROR(--ISNUMBER(SEARCH("R69",G32)),0)+IFERROR(--ISNUMBER(SEARCH("R70",G32)),0)+IFERROR(--ISNUMBER(SEARCH("R71",G32)),0)+IFERROR(--ISNUMBER(SEARCH("R72",G32)),0)+IFERROR(--ISNUMBER(SEARCH("R73",G32)),0)+IFERROR(--ISNUMBER(SEARCH("R74",G32)),0)+IFERROR(--ISNUMBER(SEARCH("R75",G32)),0)+IFERROR(--ISNUMBER(SEARCH("R76",G32)),0)+IFERROR(--ISNUMBER(SEARCH("R77",G32)),0)+IFERROR(--ISNUMBER(SEARCH("R78",G32)),0)+IFERROR(--ISNUMBER(SEARCH("R79",G32)),0)+IFERROR(--ISNUMBER(SEARCH("R80",G32)),0)+IFERROR(--ISNUMBER(SEARCH("R81",G32)),0)+IFERROR(--ISNUMBER(SEARCH("R82",G32)),0)+IFERROR(--ISNUMBER(SEARCH("R83",G32)),0)+IFERROR(--ISNUMBER(SEARCH("R84",G32)),0)+IFERROR(--ISNUMBER(SEARCH("R85",G32)),0)+IFERROR(--ISNUMBER(SEARCH("R86",G32)),0)+IFERROR(--ISNUMBER(SEARCH("R87",G32)),0)+IFERROR(--ISNUMBER(SEARCH("R88",G32)),0)+IFERROR(--ISNUMBER(SEARCH("R89",G32)),0)+IFERROR(--ISNUMBER(SEARCH("R90",G32)),0)+IFERROR(--ISNUMBER(SEARCH("R91",G32)),0)+IFERROR(--ISNUMBER(SEARCH("R92",G32)),0)+IFERROR(--ISNUMBER(SEARCH("R93",G32)),0)+IFERROR(--ISNUMBER(SEARCH("R94",G32)),0)+IFERROR(--ISNUMBER(SEARCH("R95",G32)),0)+IFERROR(--ISNUMBER(SEARCH("R96",G32)),0)+IFERROR(--ISNUMBER(SEARCH("R97",G32)),0)+IFERROR(--ISNUMBER(SEARCH("R98",G32)),0)+IFERROR(--ISNUMBER(SEARCH("R99",G32)),0)+IFERROR(--ISNUMBER(SEARCH("R100",G32)),0)+IFERROR(--ISNUMBER(SEARCH("R101",G32)),0)+IFERROR(--ISNUMBER(SEARCH("R102",G32)),0)+IFERROR(--ISNUMBER(SEARCH("R103",G32)),0)+IFERROR(--ISNUMBER(SEARCH("R104",G32)),0)+IFERROR(--ISNUMBER(SEARCH("R105",G32)),0)+IFERROR(--ISNUMBER(SEARCH("R106",G32)),0)+IFERROR(--ISNUMBER(SEARCH("R107",G32)),0)+IFERROR(--ISNUMBER(SEARCH("R108",G32)),0)+IFERROR(--ISNUMBER(SEARCH("R109",G32)),0)+IFERROR(--ISNUMBER(SEARCH("R110",G32)),0)+IFERROR(--ISNUMBER(SEARCH("R111",G32)),0)+IFERROR(--ISNUMBER(SEARCH("R112",G32)),0)+IFERROR(--ISNUMBER(SEARCH("R113",G32)),0)+IFERROR(--ISNUMBER(SEARCH("R114",G32)),0)+IFERROR(--ISNUMBER(SEARCH("R115",G32)),0)+IFERROR(--ISNUMBER(SEARCH("R116",G32)),0)+IFERROR(--ISNUMBER(SEARCH("R117",G32)),0)+IFERROR(--ISNUMBER(SEARCH("R118",G32)),0)+IFERROR(--ISNUMBER(SEARCH("R119",G32)),0)+IFERROR(--ISNUMBER(SEARCH("R120",G32)),0)+IFERROR(--ISNUMBER(SEARCH("R121",G32)),0)+IFERROR(--ISNUMBER(SEARCH("R122",G32)),0)+IFERROR(--ISNUMBER(SEARCH("R123",G32)),0)+IFERROR(--ISNUMBER(SEARCH("R124",G32)),0)+IFERROR(--ISNUMBER(SEARCH("R125",G32)),0)+IFERROR(--ISNUMBER(SEARCH("R126",G32)),0)+IFERROR(--ISNUMBER(SEARCH("R127",G32)),0)+IFERROR(--ISNUMBER(SEARCH("R128",G32)),0)+IFERROR(--ISNUMBER(SEARCH("R129",G32)),0)+IFERROR(--ISNUMBER(SEARCH("R130",G32)),0)+IFERROR(--ISNUMBER(SEARCH("R131",G32)),0)+IFERROR(--ISNUMBER(SEARCH("R132",G32)),0)+IFERROR(--ISNUMBER(SEARCH("R133",G32)),0)+IFERROR(--ISNUMBER(SEARCH("R134",G32)),0)+IFERROR(--ISNUMBER(SEARCH("R135",G32)),0)+IFERROR(--ISNUMBER(SEARCH("R136",G32)),0)+IFERROR(--ISNUMBER(SEARCH("R137",G32)),0)+IFERROR(--ISNUMBER(SEARCH("R138",G32)),0)+IFERROR(--ISNUMBER(SEARCH("R139",G32)),0)+IFERROR(--ISNUMBER(SEARCH("R140",G32)),0)+IFERROR(--ISNUMBER(SEARCH("R141",G32)),0))</f>
        <v/>
      </c>
      <c r="T32" s="58">
        <f>IF(A32="","",IFERROR(--ISNUMBER(SEARCH("R28",G32)),0)+IFERROR(--ISNUMBER(SEARCH("R29",G32)),0)+IFERROR(--ISNUMBER(SEARCH("R30",G32)),0)+IFERROR(--ISNUMBER(SEARCH("R32",G32)),0)+IFERROR(--ISNUMBER(SEARCH("R33",G32)),0)+IFERROR(--ISNUMBER(SEARCH("R35",G32)),0)+IFERROR(--ISNUMBER(SEARCH("R36",G32)),0)+IFERROR(--ISNUMBER(SEARCH("R38",G32)),0)+IFERROR(--ISNUMBER(SEARCH("R39",G32)),0)+IFERROR(--ISNUMBER(SEARCH("R43",G32)),0)+IFERROR(--ISNUMBER(SEARCH("R44",G32)),0)+IFERROR(--ISNUMBER(SEARCH("R45",G32)),0)+IFERROR(--ISNUMBER(SEARCH("R47",G32)),0)+IFERROR(--ISNUMBER(SEARCH("R48",G32)),0)+IFERROR(--ISNUMBER(SEARCH("R50",G32)),0)+IFERROR(--ISNUMBER(SEARCH("R51",G32)),0)+IFERROR(--ISNUMBER(SEARCH("R56",G32)),0)+IFERROR(--ISNUMBER(SEARCH("R58",G32)),0)+IFERROR(--ISNUMBER(SEARCH("R59",G32)),0)+IFERROR(--ISNUMBER(SEARCH("R60",G32)),0)+IFERROR(--ISNUMBER(SEARCH("R62",G32)),0)+IFERROR(--ISNUMBER(SEARCH("R63",G32)),0)+IFERROR(--ISNUMBER(SEARCH("R64",G32)),0)+IFERROR(--ISNUMBER(SEARCH("R66",G32)),0)+IFERROR(--ISNUMBER(SEARCH("R67",G32)),0)+IFERROR(--ISNUMBER(SEARCH("R72",G32)),0)+IFERROR(--ISNUMBER(SEARCH("R74",G32)),0)+IFERROR(--ISNUMBER(SEARCH("R75",G32)),0)+IFERROR(--ISNUMBER(SEARCH("R76",G32)),0)+IFERROR(--ISNUMBER(SEARCH("R77",G32)),0)+IFERROR(--ISNUMBER(SEARCH("R79",G32)),0)+IFERROR(--ISNUMBER(SEARCH("R80",G32)),0)+IFERROR(--ISNUMBER(SEARCH("R81",G32)),0)+IFERROR(--ISNUMBER(SEARCH("R83",G32)),0)+IFERROR(--ISNUMBER(SEARCH("R84",G32)),0)+IFERROR(--ISNUMBER(SEARCH("R89",G32)),0)+IFERROR(--ISNUMBER(SEARCH("R94",G32)),0)+IFERROR(--ISNUMBER(SEARCH("R95",G32)),0)+IFERROR(--ISNUMBER(SEARCH("R96",G32)),0)+IFERROR(--ISNUMBER(SEARCH("R98",G32)),0)+IFERROR(--ISNUMBER(SEARCH("R99",G32)),0)+IFERROR(--ISNUMBER(SEARCH("R100",G32)),0)+IFERROR(--ISNUMBER(SEARCH("R104",G32)),0)+IFERROR(--ISNUMBER(SEARCH("R105",G32)),0)+IFERROR(--ISNUMBER(SEARCH("R107",G32)),0)+IFERROR(--ISNUMBER(SEARCH("R108",G32)),0)+IFERROR(--ISNUMBER(SEARCH("R109",G32)),0)+IFERROR(--ISNUMBER(SEARCH("R110",G32)),0)+IFERROR(--ISNUMBER(SEARCH("R112",G32)),0)+IFERROR(--ISNUMBER(SEARCH("R113",G32)),0)+IFERROR(--ISNUMBER(SEARCH("R114",G32)),0)+IFERROR(--ISNUMBER(SEARCH("R118",G32)),0)+IFERROR(--ISNUMBER(SEARCH("R119",G32)),0)+IFERROR(--ISNUMBER(SEARCH("R120",G32)),0)+IFERROR(--ISNUMBER(SEARCH("R122",G32)),0)+IFERROR(--ISNUMBER(SEARCH("R123",G32)),0)+IFERROR(--ISNUMBER(SEARCH("R124",G32)),0)+IFERROR(--ISNUMBER(SEARCH("R128",G32)),0)+IFERROR(--ISNUMBER(SEARCH("R130",G32)),0)+IFERROR(--ISNUMBER(SEARCH("R131",G32)),0)+IFERROR(--ISNUMBER(SEARCH("R132",G32)),0)+IFERROR(--ISNUMBER(SEARCH("R135",G32)),0)+IFERROR(--ISNUMBER(SEARCH("R138",G32)),0)+IFERROR(--ISNUMBER(SEARCH("R141",G32)),0))</f>
        <v/>
      </c>
      <c r="U32" s="58">
        <f>IF(A32="","",IFERROR(--ISNUMBER(SEARCH("R28",G32))*28,0)+IFERROR(--ISNUMBER(SEARCH("R29",G32))*29,0)+IFERROR(--ISNUMBER(SEARCH("R30",G32))*30,0)+IFERROR(--ISNUMBER(SEARCH("R31",G32))*31,0)+IFERROR(--ISNUMBER(SEARCH("R32",G32))*32,0)+IFERROR(--ISNUMBER(SEARCH("R33",G32))*33,0)+IFERROR(--ISNUMBER(SEARCH("R34",G32))*34,0)+IFERROR(--ISNUMBER(SEARCH("R35",G32))*35,0)+IFERROR(--ISNUMBER(SEARCH("R36",G32))*36,0)+IFERROR(--ISNUMBER(SEARCH("R37",G32))*37,0)+IFERROR(--ISNUMBER(SEARCH("R38",G32))*38,0)+IFERROR(--ISNUMBER(SEARCH("R39",G32))*39,0)+IFERROR(--ISNUMBER(SEARCH("R40",G32))*40,0)+IFERROR(--ISNUMBER(SEARCH("R41",G32))*41,0)+IFERROR(--ISNUMBER(SEARCH("R42",G32))*42,0)+IFERROR(--ISNUMBER(SEARCH("R43",G32))*43,0)+IFERROR(--ISNUMBER(SEARCH("R44",G32))*44,0)+IFERROR(--ISNUMBER(SEARCH("R45",G32))*45,0)+IFERROR(--ISNUMBER(SEARCH("R46",G32))*46,0)+IFERROR(--ISNUMBER(SEARCH("R47",G32))*47,0)+IFERROR(--ISNUMBER(SEARCH("R48",G32))*48,0)+IFERROR(--ISNUMBER(SEARCH("R49",G32))*49,0)+IFERROR(--ISNUMBER(SEARCH("R50",G32))*50,0)+IFERROR(--ISNUMBER(SEARCH("R51",G32))*51,0)+IFERROR(--ISNUMBER(SEARCH("R52",G32))*52,0)+IFERROR(--ISNUMBER(SEARCH("R53",G32))*53,0)+IFERROR(--ISNUMBER(SEARCH("R54",G32))*54,0)+IFERROR(--ISNUMBER(SEARCH("R55",G32))*55,0)+IFERROR(--ISNUMBER(SEARCH("R56",G32))*56,0)+IFERROR(--ISNUMBER(SEARCH("R57",G32))*57,0)+IFERROR(--ISNUMBER(SEARCH("R58",G32))*58,0)+IFERROR(--ISNUMBER(SEARCH("R59",G32))*59,0)+IFERROR(--ISNUMBER(SEARCH("R60",G32))*60,0)+IFERROR(--ISNUMBER(SEARCH("R61",G32))*61,0)+IFERROR(--ISNUMBER(SEARCH("R62",G32))*62,0)+IFERROR(--ISNUMBER(SEARCH("R63",G32))*63,0)+IFERROR(--ISNUMBER(SEARCH("R64",G32))*64,0)+IFERROR(--ISNUMBER(SEARCH("R65",G32))*65,0)+IFERROR(--ISNUMBER(SEARCH("R66",G32))*66,0)+IFERROR(--ISNUMBER(SEARCH("R67",G32))*67,0)+IFERROR(--ISNUMBER(SEARCH("R68",G32))*68,0)+IFERROR(--ISNUMBER(SEARCH("R69",G32))*69,0)+IFERROR(--ISNUMBER(SEARCH("R70",G32))*70,0)+IFERROR(--ISNUMBER(SEARCH("R71",G32))*71,0)+IFERROR(--ISNUMBER(SEARCH("R72",G32))*72,0)+IFERROR(--ISNUMBER(SEARCH("R73",G32))*73,0)+IFERROR(--ISNUMBER(SEARCH("R74",G32))*74,0)+IFERROR(--ISNUMBER(SEARCH("R75",G32))*75,0)+IFERROR(--ISNUMBER(SEARCH("R76",G32))*76,0)+IFERROR(--ISNUMBER(SEARCH("R77",G32))*77,0)+IFERROR(--ISNUMBER(SEARCH("R78",G32))*78,0)+IFERROR(--ISNUMBER(SEARCH("R79",G32))*79,0)+IFERROR(--ISNUMBER(SEARCH("R80",G32))*80,0)+IFERROR(--ISNUMBER(SEARCH("R81",G32))*81,0)+IFERROR(--ISNUMBER(SEARCH("R82",G32))*82,0)+IFERROR(--ISNUMBER(SEARCH("R83",G32))*83,0)+IFERROR(--ISNUMBER(SEARCH("R84",G32))*84,0)+IFERROR(--ISNUMBER(SEARCH("R85",G32))*85,0)+IFERROR(--ISNUMBER(SEARCH("R86",G32))*86,0)+IFERROR(--ISNUMBER(SEARCH("R87",G32))*87,0)+IFERROR(--ISNUMBER(SEARCH("R88",G32))*88,0)+IFERROR(--ISNUMBER(SEARCH("R89",G32))*89,0)+IFERROR(--ISNUMBER(SEARCH("R90",G32))*90,0)+IFERROR(--ISNUMBER(SEARCH("R91",G32))*91,0)+IFERROR(--ISNUMBER(SEARCH("R92",G32))*92,0)+IFERROR(--ISNUMBER(SEARCH("R93",G32))*93,0)+IFERROR(--ISNUMBER(SEARCH("R94",G32))*94,0)+IFERROR(--ISNUMBER(SEARCH("R95",G32))*95,0)+IFERROR(--ISNUMBER(SEARCH("R96",G32))*96,0)+IFERROR(--ISNUMBER(SEARCH("R97",G32))*97,0)+IFERROR(--ISNUMBER(SEARCH("R98",G32))*98,0)+IFERROR(--ISNUMBER(SEARCH("R99",G32))*99,0)+IFERROR(--ISNUMBER(SEARCH("R100",G32))*100,0)+IFERROR(--ISNUMBER(SEARCH("R101",G32))*101,0)+IFERROR(--ISNUMBER(SEARCH("R102",G32))*102,0)+IFERROR(--ISNUMBER(SEARCH("R103",G32))*103,0)+IFERROR(--ISNUMBER(SEARCH("R104",G32))*104,0)+IFERROR(--ISNUMBER(SEARCH("R105",G32))*105,0)+IFERROR(--ISNUMBER(SEARCH("R106",G32))*106,0)+IFERROR(--ISNUMBER(SEARCH("R107",G32))*107,0)+IFERROR(--ISNUMBER(SEARCH("R108",G32))*108,0)+IFERROR(--ISNUMBER(SEARCH("R109",G32))*109,0)+IFERROR(--ISNUMBER(SEARCH("R110",G32))*110,0)+IFERROR(--ISNUMBER(SEARCH("R111",G32))*111,0)+IFERROR(--ISNUMBER(SEARCH("R112",G32))*112,0)+IFERROR(--ISNUMBER(SEARCH("R113",G32))*113,0)+IFERROR(--ISNUMBER(SEARCH("R114",G32))*114,0)+IFERROR(--ISNUMBER(SEARCH("R115",G32))*115,0)+IFERROR(--ISNUMBER(SEARCH("R116",G32))*116,0)+IFERROR(--ISNUMBER(SEARCH("R117",G32))*117,0)+IFERROR(--ISNUMBER(SEARCH("R118",G32))*118,0)+IFERROR(--ISNUMBER(SEARCH("R119",G32))*119,0)+IFERROR(--ISNUMBER(SEARCH("R120",G32))*120,0)+IFERROR(--ISNUMBER(SEARCH("R121",G32))*121,0)+IFERROR(--ISNUMBER(SEARCH("R122",G32))*122,0)+IFERROR(--ISNUMBER(SEARCH("R123",G32))*123,0)+IFERROR(--ISNUMBER(SEARCH("R124",G32))*124,0)+IFERROR(--ISNUMBER(SEARCH("R125",G32))*125,0)+IFERROR(--ISNUMBER(SEARCH("R126",G32))*126,0)+IFERROR(--ISNUMBER(SEARCH("R127",G32))*127,0)+IFERROR(--ISNUMBER(SEARCH("R128",G32))*128,0)+IFERROR(--ISNUMBER(SEARCH("R129",G32))*129,0)+IFERROR(--ISNUMBER(SEARCH("R130",G32))*130,0)+IFERROR(--ISNUMBER(SEARCH("R131",G32))*131,0)+IFERROR(--ISNUMBER(SEARCH("R132",G32))*132,0)+IFERROR(--ISNUMBER(SEARCH("R133",G32))*133,0)+IFERROR(--ISNUMBER(SEARCH("R134",G32))*134,0)+IFERROR(--ISNUMBER(SEARCH("R135",G32))*135,0)+IFERROR(--ISNUMBER(SEARCH("R136",G32))*136,0)+IFERROR(--ISNUMBER(SEARCH("R137",G32))*137,0)+IFERROR(--ISNUMBER(SEARCH("R138",G32))*138,0)+IFERROR(--ISNUMBER(SEARCH("R139",G32))*139,0)+IFERROR(--ISNUMBER(SEARCH("R140",G32))*140,0)+IFERROR(--ISNUMBER(SEARCH("R141",G32))*141,0))</f>
        <v/>
      </c>
      <c r="V32" s="59">
        <f>IF(A32="","",IF(K32&lt;&gt;"",K32,J32))</f>
        <v/>
      </c>
      <c r="W32" s="59">
        <f>IF(A32="","",IF(AND(V32=29,O32&lt;&gt;"",COUNTIFS($V$6:$V$505,29,$F$6:$F$505,F32,$C$6:$C$505,C32,$O$6:$O$505,"&lt;&gt;")&gt;1),IF(COUNTIFS($V$6:V32,29,$F$6:F32,F32,$C$6:C32,C32,$O$6:O32,"&lt;&gt;")=1,"Esta es la fila que se debe CONSERVAR (aparición 1 de "&amp;COUNTIFS($V$6:$V$505,29,$F$6:$F$505,F32,$C$6:$C$505,C32,$O$6:$O$505,"&lt;&gt;")&amp;" con el mismo tercero y valor, casilla 29). Si hay más filas iguales, bórreles el valor a ELLAS, no a esta.","DUPLICADO — ya existe otra fila con el mismo tercero y valor para casilla 29 (aparición "&amp;COUNTIFS($V$6:V32,29,$F$6:F32,F32,$C$6:C32,C32,$O$6:O32,"&lt;&gt;")&amp;" de "&amp;COUNTIFS($V$6:$V$505,29,$F$6:$F$505,F32,$C$6:$C$505,C32,$O$6:$O$505,"&lt;&gt;")&amp;"). Para resolverlo: seleccione la celda O"&amp;ROW()&amp;" (columna Valor a declarar de ESTA fila) y presione Supr."),""))</f>
        <v/>
      </c>
      <c r="X32" s="463">
        <f>IF(A32="","",F32)</f>
        <v/>
      </c>
      <c r="Y32" s="463">
        <f>IF(A32="","",SUMIF(Entrada_Manual!$I$88:$I$187,A32,Entrada_Manual!$F$88:$F$187))</f>
        <v/>
      </c>
      <c r="Z32" s="463">
        <f>IF(A32="","",X32-Y32)</f>
        <v/>
      </c>
      <c r="AA32">
        <f>IF(A32="","",SUMPRODUCT((Entrada_Manual!$I$88:$I$187=A32)*1))</f>
        <v/>
      </c>
      <c r="AB32">
        <f>IF(A32="","",IF(S32&lt;=1,"",IF(AA32=0,"PENDIENTE — SIN ASIGNAR",IF(Z32=0,"RESUELTO","PARCIAL — DIFERENCIA "&amp;TEXT(Z32,"#,##0")))))</f>
        <v/>
      </c>
    </row>
    <row r="33" ht="42.75" customHeight="1" s="235">
      <c r="A33" s="47">
        <f>IF(Exogena_RAW!E42&lt;&gt;"",ROW()-5,"")</f>
        <v/>
      </c>
      <c r="B33" s="48">
        <f>IF(A33="","",42)</f>
        <v/>
      </c>
      <c r="C33" s="48">
        <f>IF(A33="","",IFERROR(Exogena_RAW!A42,""))</f>
        <v/>
      </c>
      <c r="D33" s="48">
        <f>IF(A33="","",IFERROR(Exogena_RAW!B42,""))</f>
        <v/>
      </c>
      <c r="E33" s="48">
        <f>IF(A33="","",Exogena_RAW!E42)</f>
        <v/>
      </c>
      <c r="F33" s="461">
        <f>IF(A33="","",Exogena_RAW!F42)</f>
        <v/>
      </c>
      <c r="G33" s="48">
        <f>IF(A33="","",IFERROR(Exogena_RAW!G42,""))</f>
        <v/>
      </c>
      <c r="H33" s="48">
        <f>IF(A33="","",IFERROR(Exogena_RAW!H42,""))</f>
        <v/>
      </c>
      <c r="I33" s="48">
        <f>IF(A33="","",IFERROR(IF(S33&gt;1,"VARIAS CASILLAS",IF(S33=1,IF(T33=1,"PROPUESTA DE CASILLA","REVISIÓN: CASILLA NO DIRECTA"),IF(OR(ISNUMBER(SEARCH("TOPE",UPPER(E33))),ISNUMBER(SEARCH("TOPE",UPPER(G33)))),"SOLO CONTROL",IF(ISNUMBER(SEARCH("RETEN",UPPER(E33))),"RETENCIÓN","REVISAR")))),"REVISAR"))</f>
        <v/>
      </c>
      <c r="J33" s="48">
        <f>IF(A33="","",IF(ISNUMBER(SEARCH("ingreso laboral promedio de los últimos seis meses",E33)),"",IFERROR(IF(AND(S33=1,T33=1),U33,""),"")))</f>
        <v/>
      </c>
      <c r="K33" s="216" t="n"/>
      <c r="L33" s="48">
        <f>IF(A33="","",IFERROR(IF(K33&lt;&gt;"","Casilla elegida por usuario",IF(S33&gt;1,"Varias casillas — elegir en K",IF(J33&lt;&gt;"","Sugerencia directa",IF(S33=1,"No trasladar directo — revisar",IF(OR(ISNUMBER(SEARCH("TOPE",UPPER(E33))),ISNUMBER(SEARCH("TOPE",UPPER(G33)))),"Solo control","Revisar manualmente"))))),"Revisar manualmente"))</f>
        <v/>
      </c>
      <c r="M33" s="461">
        <f>IF(A33="","",IF(IF(K33&lt;&gt;"",K33,J33)="",0,IF(COUNTIFS(Reglas!$I$5:$I$118,IF(K33&lt;&gt;"",K33,J33),Reglas!$J$5:$J$118,"Sí")=1,F33,0)))</f>
        <v/>
      </c>
      <c r="N33" s="56" t="n"/>
      <c r="O33" s="462">
        <f>IF(A33="","",IF(M33=0,"",M33))</f>
        <v/>
      </c>
      <c r="P33" s="461">
        <f>IF(A33="","",IF(O33="",0,IF(ISNUMBER(O33),O33,0)))</f>
        <v/>
      </c>
      <c r="Q33" s="48">
        <f>IF(A33="","",IF(Exogena_RAW!$C$4="","BLOQUEADO: FALTA AÑO",IF(Exogena_RAW!$K$10&lt;&gt;Reglas!$B$5,"BLOQUEADO: AÑO",IF(IF(K33&lt;&gt;"",K33,J33)="",IF(S33&gt;1,"REQUIERE ASIGNACIÓN MANUAL (VARIAS CASILLAS)","INFORMATIVO (sin casilla — no se declara)"),IF(COUNTIFS(Reglas!$I$5:$I$118,IF(K33&lt;&gt;"",K33,J33),Reglas!$J$5:$J$118,"Sí")=0,"BLOQUEADO: CASILLA NO DIRECTA",IF(O33="","EXCLUIDO (valor borrado por el usuario)",IF(_xlfn.ISFORMULA(O33),IF(W33&lt;&gt;"","BORRADOR — VALOR SUGERIDO DIAN ⚠ VER ALERTA","BORRADOR — VALOR SUGERIDO DIAN"),IF(W33&lt;&gt;"","ACEPTADO ⚠ VER ALERTA","ACEPTADO"))))))))</f>
        <v/>
      </c>
      <c r="R33" s="218" t="n"/>
      <c r="S33" s="58">
        <f>IF(A33="","",IFERROR(--ISNUMBER(SEARCH("R28",G33)),0)+IFERROR(--ISNUMBER(SEARCH("R29",G33)),0)+IFERROR(--ISNUMBER(SEARCH("R30",G33)),0)+IFERROR(--ISNUMBER(SEARCH("R31",G33)),0)+IFERROR(--ISNUMBER(SEARCH("R32",G33)),0)+IFERROR(--ISNUMBER(SEARCH("R33",G33)),0)+IFERROR(--ISNUMBER(SEARCH("R34",G33)),0)+IFERROR(--ISNUMBER(SEARCH("R35",G33)),0)+IFERROR(--ISNUMBER(SEARCH("R36",G33)),0)+IFERROR(--ISNUMBER(SEARCH("R37",G33)),0)+IFERROR(--ISNUMBER(SEARCH("R38",G33)),0)+IFERROR(--ISNUMBER(SEARCH("R39",G33)),0)+IFERROR(--ISNUMBER(SEARCH("R40",G33)),0)+IFERROR(--ISNUMBER(SEARCH("R41",G33)),0)+IFERROR(--ISNUMBER(SEARCH("R42",G33)),0)+IFERROR(--ISNUMBER(SEARCH("R43",G33)),0)+IFERROR(--ISNUMBER(SEARCH("R44",G33)),0)+IFERROR(--ISNUMBER(SEARCH("R45",G33)),0)+IFERROR(--ISNUMBER(SEARCH("R46",G33)),0)+IFERROR(--ISNUMBER(SEARCH("R47",G33)),0)+IFERROR(--ISNUMBER(SEARCH("R48",G33)),0)+IFERROR(--ISNUMBER(SEARCH("R49",G33)),0)+IFERROR(--ISNUMBER(SEARCH("R50",G33)),0)+IFERROR(--ISNUMBER(SEARCH("R51",G33)),0)+IFERROR(--ISNUMBER(SEARCH("R52",G33)),0)+IFERROR(--ISNUMBER(SEARCH("R53",G33)),0)+IFERROR(--ISNUMBER(SEARCH("R54",G33)),0)+IFERROR(--ISNUMBER(SEARCH("R55",G33)),0)+IFERROR(--ISNUMBER(SEARCH("R56",G33)),0)+IFERROR(--ISNUMBER(SEARCH("R57",G33)),0)+IFERROR(--ISNUMBER(SEARCH("R58",G33)),0)+IFERROR(--ISNUMBER(SEARCH("R59",G33)),0)+IFERROR(--ISNUMBER(SEARCH("R60",G33)),0)+IFERROR(--ISNUMBER(SEARCH("R61",G33)),0)+IFERROR(--ISNUMBER(SEARCH("R62",G33)),0)+IFERROR(--ISNUMBER(SEARCH("R63",G33)),0)+IFERROR(--ISNUMBER(SEARCH("R64",G33)),0)+IFERROR(--ISNUMBER(SEARCH("R65",G33)),0)+IFERROR(--ISNUMBER(SEARCH("R66",G33)),0)+IFERROR(--ISNUMBER(SEARCH("R67",G33)),0)+IFERROR(--ISNUMBER(SEARCH("R68",G33)),0)+IFERROR(--ISNUMBER(SEARCH("R69",G33)),0)+IFERROR(--ISNUMBER(SEARCH("R70",G33)),0)+IFERROR(--ISNUMBER(SEARCH("R71",G33)),0)+IFERROR(--ISNUMBER(SEARCH("R72",G33)),0)+IFERROR(--ISNUMBER(SEARCH("R73",G33)),0)+IFERROR(--ISNUMBER(SEARCH("R74",G33)),0)+IFERROR(--ISNUMBER(SEARCH("R75",G33)),0)+IFERROR(--ISNUMBER(SEARCH("R76",G33)),0)+IFERROR(--ISNUMBER(SEARCH("R77",G33)),0)+IFERROR(--ISNUMBER(SEARCH("R78",G33)),0)+IFERROR(--ISNUMBER(SEARCH("R79",G33)),0)+IFERROR(--ISNUMBER(SEARCH("R80",G33)),0)+IFERROR(--ISNUMBER(SEARCH("R81",G33)),0)+IFERROR(--ISNUMBER(SEARCH("R82",G33)),0)+IFERROR(--ISNUMBER(SEARCH("R83",G33)),0)+IFERROR(--ISNUMBER(SEARCH("R84",G33)),0)+IFERROR(--ISNUMBER(SEARCH("R85",G33)),0)+IFERROR(--ISNUMBER(SEARCH("R86",G33)),0)+IFERROR(--ISNUMBER(SEARCH("R87",G33)),0)+IFERROR(--ISNUMBER(SEARCH("R88",G33)),0)+IFERROR(--ISNUMBER(SEARCH("R89",G33)),0)+IFERROR(--ISNUMBER(SEARCH("R90",G33)),0)+IFERROR(--ISNUMBER(SEARCH("R91",G33)),0)+IFERROR(--ISNUMBER(SEARCH("R92",G33)),0)+IFERROR(--ISNUMBER(SEARCH("R93",G33)),0)+IFERROR(--ISNUMBER(SEARCH("R94",G33)),0)+IFERROR(--ISNUMBER(SEARCH("R95",G33)),0)+IFERROR(--ISNUMBER(SEARCH("R96",G33)),0)+IFERROR(--ISNUMBER(SEARCH("R97",G33)),0)+IFERROR(--ISNUMBER(SEARCH("R98",G33)),0)+IFERROR(--ISNUMBER(SEARCH("R99",G33)),0)+IFERROR(--ISNUMBER(SEARCH("R100",G33)),0)+IFERROR(--ISNUMBER(SEARCH("R101",G33)),0)+IFERROR(--ISNUMBER(SEARCH("R102",G33)),0)+IFERROR(--ISNUMBER(SEARCH("R103",G33)),0)+IFERROR(--ISNUMBER(SEARCH("R104",G33)),0)+IFERROR(--ISNUMBER(SEARCH("R105",G33)),0)+IFERROR(--ISNUMBER(SEARCH("R106",G33)),0)+IFERROR(--ISNUMBER(SEARCH("R107",G33)),0)+IFERROR(--ISNUMBER(SEARCH("R108",G33)),0)+IFERROR(--ISNUMBER(SEARCH("R109",G33)),0)+IFERROR(--ISNUMBER(SEARCH("R110",G33)),0)+IFERROR(--ISNUMBER(SEARCH("R111",G33)),0)+IFERROR(--ISNUMBER(SEARCH("R112",G33)),0)+IFERROR(--ISNUMBER(SEARCH("R113",G33)),0)+IFERROR(--ISNUMBER(SEARCH("R114",G33)),0)+IFERROR(--ISNUMBER(SEARCH("R115",G33)),0)+IFERROR(--ISNUMBER(SEARCH("R116",G33)),0)+IFERROR(--ISNUMBER(SEARCH("R117",G33)),0)+IFERROR(--ISNUMBER(SEARCH("R118",G33)),0)+IFERROR(--ISNUMBER(SEARCH("R119",G33)),0)+IFERROR(--ISNUMBER(SEARCH("R120",G33)),0)+IFERROR(--ISNUMBER(SEARCH("R121",G33)),0)+IFERROR(--ISNUMBER(SEARCH("R122",G33)),0)+IFERROR(--ISNUMBER(SEARCH("R123",G33)),0)+IFERROR(--ISNUMBER(SEARCH("R124",G33)),0)+IFERROR(--ISNUMBER(SEARCH("R125",G33)),0)+IFERROR(--ISNUMBER(SEARCH("R126",G33)),0)+IFERROR(--ISNUMBER(SEARCH("R127",G33)),0)+IFERROR(--ISNUMBER(SEARCH("R128",G33)),0)+IFERROR(--ISNUMBER(SEARCH("R129",G33)),0)+IFERROR(--ISNUMBER(SEARCH("R130",G33)),0)+IFERROR(--ISNUMBER(SEARCH("R131",G33)),0)+IFERROR(--ISNUMBER(SEARCH("R132",G33)),0)+IFERROR(--ISNUMBER(SEARCH("R133",G33)),0)+IFERROR(--ISNUMBER(SEARCH("R134",G33)),0)+IFERROR(--ISNUMBER(SEARCH("R135",G33)),0)+IFERROR(--ISNUMBER(SEARCH("R136",G33)),0)+IFERROR(--ISNUMBER(SEARCH("R137",G33)),0)+IFERROR(--ISNUMBER(SEARCH("R138",G33)),0)+IFERROR(--ISNUMBER(SEARCH("R139",G33)),0)+IFERROR(--ISNUMBER(SEARCH("R140",G33)),0)+IFERROR(--ISNUMBER(SEARCH("R141",G33)),0))</f>
        <v/>
      </c>
      <c r="T33" s="58">
        <f>IF(A33="","",IFERROR(--ISNUMBER(SEARCH("R28",G33)),0)+IFERROR(--ISNUMBER(SEARCH("R29",G33)),0)+IFERROR(--ISNUMBER(SEARCH("R30",G33)),0)+IFERROR(--ISNUMBER(SEARCH("R32",G33)),0)+IFERROR(--ISNUMBER(SEARCH("R33",G33)),0)+IFERROR(--ISNUMBER(SEARCH("R35",G33)),0)+IFERROR(--ISNUMBER(SEARCH("R36",G33)),0)+IFERROR(--ISNUMBER(SEARCH("R38",G33)),0)+IFERROR(--ISNUMBER(SEARCH("R39",G33)),0)+IFERROR(--ISNUMBER(SEARCH("R43",G33)),0)+IFERROR(--ISNUMBER(SEARCH("R44",G33)),0)+IFERROR(--ISNUMBER(SEARCH("R45",G33)),0)+IFERROR(--ISNUMBER(SEARCH("R47",G33)),0)+IFERROR(--ISNUMBER(SEARCH("R48",G33)),0)+IFERROR(--ISNUMBER(SEARCH("R50",G33)),0)+IFERROR(--ISNUMBER(SEARCH("R51",G33)),0)+IFERROR(--ISNUMBER(SEARCH("R56",G33)),0)+IFERROR(--ISNUMBER(SEARCH("R58",G33)),0)+IFERROR(--ISNUMBER(SEARCH("R59",G33)),0)+IFERROR(--ISNUMBER(SEARCH("R60",G33)),0)+IFERROR(--ISNUMBER(SEARCH("R62",G33)),0)+IFERROR(--ISNUMBER(SEARCH("R63",G33)),0)+IFERROR(--ISNUMBER(SEARCH("R64",G33)),0)+IFERROR(--ISNUMBER(SEARCH("R66",G33)),0)+IFERROR(--ISNUMBER(SEARCH("R67",G33)),0)+IFERROR(--ISNUMBER(SEARCH("R72",G33)),0)+IFERROR(--ISNUMBER(SEARCH("R74",G33)),0)+IFERROR(--ISNUMBER(SEARCH("R75",G33)),0)+IFERROR(--ISNUMBER(SEARCH("R76",G33)),0)+IFERROR(--ISNUMBER(SEARCH("R77",G33)),0)+IFERROR(--ISNUMBER(SEARCH("R79",G33)),0)+IFERROR(--ISNUMBER(SEARCH("R80",G33)),0)+IFERROR(--ISNUMBER(SEARCH("R81",G33)),0)+IFERROR(--ISNUMBER(SEARCH("R83",G33)),0)+IFERROR(--ISNUMBER(SEARCH("R84",G33)),0)+IFERROR(--ISNUMBER(SEARCH("R89",G33)),0)+IFERROR(--ISNUMBER(SEARCH("R94",G33)),0)+IFERROR(--ISNUMBER(SEARCH("R95",G33)),0)+IFERROR(--ISNUMBER(SEARCH("R96",G33)),0)+IFERROR(--ISNUMBER(SEARCH("R98",G33)),0)+IFERROR(--ISNUMBER(SEARCH("R99",G33)),0)+IFERROR(--ISNUMBER(SEARCH("R100",G33)),0)+IFERROR(--ISNUMBER(SEARCH("R104",G33)),0)+IFERROR(--ISNUMBER(SEARCH("R105",G33)),0)+IFERROR(--ISNUMBER(SEARCH("R107",G33)),0)+IFERROR(--ISNUMBER(SEARCH("R108",G33)),0)+IFERROR(--ISNUMBER(SEARCH("R109",G33)),0)+IFERROR(--ISNUMBER(SEARCH("R110",G33)),0)+IFERROR(--ISNUMBER(SEARCH("R112",G33)),0)+IFERROR(--ISNUMBER(SEARCH("R113",G33)),0)+IFERROR(--ISNUMBER(SEARCH("R114",G33)),0)+IFERROR(--ISNUMBER(SEARCH("R118",G33)),0)+IFERROR(--ISNUMBER(SEARCH("R119",G33)),0)+IFERROR(--ISNUMBER(SEARCH("R120",G33)),0)+IFERROR(--ISNUMBER(SEARCH("R122",G33)),0)+IFERROR(--ISNUMBER(SEARCH("R123",G33)),0)+IFERROR(--ISNUMBER(SEARCH("R124",G33)),0)+IFERROR(--ISNUMBER(SEARCH("R128",G33)),0)+IFERROR(--ISNUMBER(SEARCH("R130",G33)),0)+IFERROR(--ISNUMBER(SEARCH("R131",G33)),0)+IFERROR(--ISNUMBER(SEARCH("R132",G33)),0)+IFERROR(--ISNUMBER(SEARCH("R135",G33)),0)+IFERROR(--ISNUMBER(SEARCH("R138",G33)),0)+IFERROR(--ISNUMBER(SEARCH("R141",G33)),0))</f>
        <v/>
      </c>
      <c r="U33" s="58">
        <f>IF(A33="","",IFERROR(--ISNUMBER(SEARCH("R28",G33))*28,0)+IFERROR(--ISNUMBER(SEARCH("R29",G33))*29,0)+IFERROR(--ISNUMBER(SEARCH("R30",G33))*30,0)+IFERROR(--ISNUMBER(SEARCH("R31",G33))*31,0)+IFERROR(--ISNUMBER(SEARCH("R32",G33))*32,0)+IFERROR(--ISNUMBER(SEARCH("R33",G33))*33,0)+IFERROR(--ISNUMBER(SEARCH("R34",G33))*34,0)+IFERROR(--ISNUMBER(SEARCH("R35",G33))*35,0)+IFERROR(--ISNUMBER(SEARCH("R36",G33))*36,0)+IFERROR(--ISNUMBER(SEARCH("R37",G33))*37,0)+IFERROR(--ISNUMBER(SEARCH("R38",G33))*38,0)+IFERROR(--ISNUMBER(SEARCH("R39",G33))*39,0)+IFERROR(--ISNUMBER(SEARCH("R40",G33))*40,0)+IFERROR(--ISNUMBER(SEARCH("R41",G33))*41,0)+IFERROR(--ISNUMBER(SEARCH("R42",G33))*42,0)+IFERROR(--ISNUMBER(SEARCH("R43",G33))*43,0)+IFERROR(--ISNUMBER(SEARCH("R44",G33))*44,0)+IFERROR(--ISNUMBER(SEARCH("R45",G33))*45,0)+IFERROR(--ISNUMBER(SEARCH("R46",G33))*46,0)+IFERROR(--ISNUMBER(SEARCH("R47",G33))*47,0)+IFERROR(--ISNUMBER(SEARCH("R48",G33))*48,0)+IFERROR(--ISNUMBER(SEARCH("R49",G33))*49,0)+IFERROR(--ISNUMBER(SEARCH("R50",G33))*50,0)+IFERROR(--ISNUMBER(SEARCH("R51",G33))*51,0)+IFERROR(--ISNUMBER(SEARCH("R52",G33))*52,0)+IFERROR(--ISNUMBER(SEARCH("R53",G33))*53,0)+IFERROR(--ISNUMBER(SEARCH("R54",G33))*54,0)+IFERROR(--ISNUMBER(SEARCH("R55",G33))*55,0)+IFERROR(--ISNUMBER(SEARCH("R56",G33))*56,0)+IFERROR(--ISNUMBER(SEARCH("R57",G33))*57,0)+IFERROR(--ISNUMBER(SEARCH("R58",G33))*58,0)+IFERROR(--ISNUMBER(SEARCH("R59",G33))*59,0)+IFERROR(--ISNUMBER(SEARCH("R60",G33))*60,0)+IFERROR(--ISNUMBER(SEARCH("R61",G33))*61,0)+IFERROR(--ISNUMBER(SEARCH("R62",G33))*62,0)+IFERROR(--ISNUMBER(SEARCH("R63",G33))*63,0)+IFERROR(--ISNUMBER(SEARCH("R64",G33))*64,0)+IFERROR(--ISNUMBER(SEARCH("R65",G33))*65,0)+IFERROR(--ISNUMBER(SEARCH("R66",G33))*66,0)+IFERROR(--ISNUMBER(SEARCH("R67",G33))*67,0)+IFERROR(--ISNUMBER(SEARCH("R68",G33))*68,0)+IFERROR(--ISNUMBER(SEARCH("R69",G33))*69,0)+IFERROR(--ISNUMBER(SEARCH("R70",G33))*70,0)+IFERROR(--ISNUMBER(SEARCH("R71",G33))*71,0)+IFERROR(--ISNUMBER(SEARCH("R72",G33))*72,0)+IFERROR(--ISNUMBER(SEARCH("R73",G33))*73,0)+IFERROR(--ISNUMBER(SEARCH("R74",G33))*74,0)+IFERROR(--ISNUMBER(SEARCH("R75",G33))*75,0)+IFERROR(--ISNUMBER(SEARCH("R76",G33))*76,0)+IFERROR(--ISNUMBER(SEARCH("R77",G33))*77,0)+IFERROR(--ISNUMBER(SEARCH("R78",G33))*78,0)+IFERROR(--ISNUMBER(SEARCH("R79",G33))*79,0)+IFERROR(--ISNUMBER(SEARCH("R80",G33))*80,0)+IFERROR(--ISNUMBER(SEARCH("R81",G33))*81,0)+IFERROR(--ISNUMBER(SEARCH("R82",G33))*82,0)+IFERROR(--ISNUMBER(SEARCH("R83",G33))*83,0)+IFERROR(--ISNUMBER(SEARCH("R84",G33))*84,0)+IFERROR(--ISNUMBER(SEARCH("R85",G33))*85,0)+IFERROR(--ISNUMBER(SEARCH("R86",G33))*86,0)+IFERROR(--ISNUMBER(SEARCH("R87",G33))*87,0)+IFERROR(--ISNUMBER(SEARCH("R88",G33))*88,0)+IFERROR(--ISNUMBER(SEARCH("R89",G33))*89,0)+IFERROR(--ISNUMBER(SEARCH("R90",G33))*90,0)+IFERROR(--ISNUMBER(SEARCH("R91",G33))*91,0)+IFERROR(--ISNUMBER(SEARCH("R92",G33))*92,0)+IFERROR(--ISNUMBER(SEARCH("R93",G33))*93,0)+IFERROR(--ISNUMBER(SEARCH("R94",G33))*94,0)+IFERROR(--ISNUMBER(SEARCH("R95",G33))*95,0)+IFERROR(--ISNUMBER(SEARCH("R96",G33))*96,0)+IFERROR(--ISNUMBER(SEARCH("R97",G33))*97,0)+IFERROR(--ISNUMBER(SEARCH("R98",G33))*98,0)+IFERROR(--ISNUMBER(SEARCH("R99",G33))*99,0)+IFERROR(--ISNUMBER(SEARCH("R100",G33))*100,0)+IFERROR(--ISNUMBER(SEARCH("R101",G33))*101,0)+IFERROR(--ISNUMBER(SEARCH("R102",G33))*102,0)+IFERROR(--ISNUMBER(SEARCH("R103",G33))*103,0)+IFERROR(--ISNUMBER(SEARCH("R104",G33))*104,0)+IFERROR(--ISNUMBER(SEARCH("R105",G33))*105,0)+IFERROR(--ISNUMBER(SEARCH("R106",G33))*106,0)+IFERROR(--ISNUMBER(SEARCH("R107",G33))*107,0)+IFERROR(--ISNUMBER(SEARCH("R108",G33))*108,0)+IFERROR(--ISNUMBER(SEARCH("R109",G33))*109,0)+IFERROR(--ISNUMBER(SEARCH("R110",G33))*110,0)+IFERROR(--ISNUMBER(SEARCH("R111",G33))*111,0)+IFERROR(--ISNUMBER(SEARCH("R112",G33))*112,0)+IFERROR(--ISNUMBER(SEARCH("R113",G33))*113,0)+IFERROR(--ISNUMBER(SEARCH("R114",G33))*114,0)+IFERROR(--ISNUMBER(SEARCH("R115",G33))*115,0)+IFERROR(--ISNUMBER(SEARCH("R116",G33))*116,0)+IFERROR(--ISNUMBER(SEARCH("R117",G33))*117,0)+IFERROR(--ISNUMBER(SEARCH("R118",G33))*118,0)+IFERROR(--ISNUMBER(SEARCH("R119",G33))*119,0)+IFERROR(--ISNUMBER(SEARCH("R120",G33))*120,0)+IFERROR(--ISNUMBER(SEARCH("R121",G33))*121,0)+IFERROR(--ISNUMBER(SEARCH("R122",G33))*122,0)+IFERROR(--ISNUMBER(SEARCH("R123",G33))*123,0)+IFERROR(--ISNUMBER(SEARCH("R124",G33))*124,0)+IFERROR(--ISNUMBER(SEARCH("R125",G33))*125,0)+IFERROR(--ISNUMBER(SEARCH("R126",G33))*126,0)+IFERROR(--ISNUMBER(SEARCH("R127",G33))*127,0)+IFERROR(--ISNUMBER(SEARCH("R128",G33))*128,0)+IFERROR(--ISNUMBER(SEARCH("R129",G33))*129,0)+IFERROR(--ISNUMBER(SEARCH("R130",G33))*130,0)+IFERROR(--ISNUMBER(SEARCH("R131",G33))*131,0)+IFERROR(--ISNUMBER(SEARCH("R132",G33))*132,0)+IFERROR(--ISNUMBER(SEARCH("R133",G33))*133,0)+IFERROR(--ISNUMBER(SEARCH("R134",G33))*134,0)+IFERROR(--ISNUMBER(SEARCH("R135",G33))*135,0)+IFERROR(--ISNUMBER(SEARCH("R136",G33))*136,0)+IFERROR(--ISNUMBER(SEARCH("R137",G33))*137,0)+IFERROR(--ISNUMBER(SEARCH("R138",G33))*138,0)+IFERROR(--ISNUMBER(SEARCH("R139",G33))*139,0)+IFERROR(--ISNUMBER(SEARCH("R140",G33))*140,0)+IFERROR(--ISNUMBER(SEARCH("R141",G33))*141,0))</f>
        <v/>
      </c>
      <c r="V33" s="59">
        <f>IF(A33="","",IF(K33&lt;&gt;"",K33,J33))</f>
        <v/>
      </c>
      <c r="W33" s="59">
        <f>IF(A33="","",IF(AND(V33=29,O33&lt;&gt;"",COUNTIFS($V$6:$V$505,29,$F$6:$F$505,F33,$C$6:$C$505,C33,$O$6:$O$505,"&lt;&gt;")&gt;1),IF(COUNTIFS($V$6:V33,29,$F$6:F33,F33,$C$6:C33,C33,$O$6:O33,"&lt;&gt;")=1,"Esta es la fila que se debe CONSERVAR (aparición 1 de "&amp;COUNTIFS($V$6:$V$505,29,$F$6:$F$505,F33,$C$6:$C$505,C33,$O$6:$O$505,"&lt;&gt;")&amp;" con el mismo tercero y valor, casilla 29). Si hay más filas iguales, bórreles el valor a ELLAS, no a esta.","DUPLICADO — ya existe otra fila con el mismo tercero y valor para casilla 29 (aparición "&amp;COUNTIFS($V$6:V33,29,$F$6:F33,F33,$C$6:C33,C33,$O$6:O33,"&lt;&gt;")&amp;" de "&amp;COUNTIFS($V$6:$V$505,29,$F$6:$F$505,F33,$C$6:$C$505,C33,$O$6:$O$505,"&lt;&gt;")&amp;"). Para resolverlo: seleccione la celda O"&amp;ROW()&amp;" (columna Valor a declarar de ESTA fila) y presione Supr."),""))</f>
        <v/>
      </c>
      <c r="X33" s="463">
        <f>IF(A33="","",F33)</f>
        <v/>
      </c>
      <c r="Y33" s="463">
        <f>IF(A33="","",SUMIF(Entrada_Manual!$I$88:$I$187,A33,Entrada_Manual!$F$88:$F$187))</f>
        <v/>
      </c>
      <c r="Z33" s="463">
        <f>IF(A33="","",X33-Y33)</f>
        <v/>
      </c>
      <c r="AA33">
        <f>IF(A33="","",SUMPRODUCT((Entrada_Manual!$I$88:$I$187=A33)*1))</f>
        <v/>
      </c>
      <c r="AB33">
        <f>IF(A33="","",IF(S33&lt;=1,"",IF(AA33=0,"PENDIENTE — SIN ASIGNAR",IF(Z33=0,"RESUELTO","PARCIAL — DIFERENCIA "&amp;TEXT(Z33,"#,##0")))))</f>
        <v/>
      </c>
    </row>
    <row r="34" ht="42.75" customHeight="1" s="235">
      <c r="A34" s="47">
        <f>IF(Exogena_RAW!E43&lt;&gt;"",ROW()-5,"")</f>
        <v/>
      </c>
      <c r="B34" s="48">
        <f>IF(A34="","",43)</f>
        <v/>
      </c>
      <c r="C34" s="48">
        <f>IF(A34="","",IFERROR(Exogena_RAW!A43,""))</f>
        <v/>
      </c>
      <c r="D34" s="48">
        <f>IF(A34="","",IFERROR(Exogena_RAW!B43,""))</f>
        <v/>
      </c>
      <c r="E34" s="48">
        <f>IF(A34="","",Exogena_RAW!E43)</f>
        <v/>
      </c>
      <c r="F34" s="461">
        <f>IF(A34="","",Exogena_RAW!F43)</f>
        <v/>
      </c>
      <c r="G34" s="48">
        <f>IF(A34="","",IFERROR(Exogena_RAW!G43,""))</f>
        <v/>
      </c>
      <c r="H34" s="48">
        <f>IF(A34="","",IFERROR(Exogena_RAW!H43,""))</f>
        <v/>
      </c>
      <c r="I34" s="48">
        <f>IF(A34="","",IFERROR(IF(S34&gt;1,"VARIAS CASILLAS",IF(S34=1,IF(T34=1,"PROPUESTA DE CASILLA","REVISIÓN: CASILLA NO DIRECTA"),IF(OR(ISNUMBER(SEARCH("TOPE",UPPER(E34))),ISNUMBER(SEARCH("TOPE",UPPER(G34)))),"SOLO CONTROL",IF(ISNUMBER(SEARCH("RETEN",UPPER(E34))),"RETENCIÓN","REVISAR")))),"REVISAR"))</f>
        <v/>
      </c>
      <c r="J34" s="48">
        <f>IF(A34="","",IF(ISNUMBER(SEARCH("ingreso laboral promedio de los últimos seis meses",E34)),"",IFERROR(IF(AND(S34=1,T34=1),U34,""),"")))</f>
        <v/>
      </c>
      <c r="K34" s="216" t="n"/>
      <c r="L34" s="48">
        <f>IF(A34="","",IFERROR(IF(K34&lt;&gt;"","Casilla elegida por usuario",IF(S34&gt;1,"Varias casillas — elegir en K",IF(J34&lt;&gt;"","Sugerencia directa",IF(S34=1,"No trasladar directo — revisar",IF(OR(ISNUMBER(SEARCH("TOPE",UPPER(E34))),ISNUMBER(SEARCH("TOPE",UPPER(G34)))),"Solo control","Revisar manualmente"))))),"Revisar manualmente"))</f>
        <v/>
      </c>
      <c r="M34" s="461">
        <f>IF(A34="","",IF(IF(K34&lt;&gt;"",K34,J34)="",0,IF(COUNTIFS(Reglas!$I$5:$I$118,IF(K34&lt;&gt;"",K34,J34),Reglas!$J$5:$J$118,"Sí")=1,F34,0)))</f>
        <v/>
      </c>
      <c r="N34" s="56" t="n"/>
      <c r="O34" s="462">
        <f>IF(A34="","",IF(M34=0,"",M34))</f>
        <v/>
      </c>
      <c r="P34" s="461">
        <f>IF(A34="","",IF(O34="",0,IF(ISNUMBER(O34),O34,0)))</f>
        <v/>
      </c>
      <c r="Q34" s="48">
        <f>IF(A34="","",IF(Exogena_RAW!$C$4="","BLOQUEADO: FALTA AÑO",IF(Exogena_RAW!$K$10&lt;&gt;Reglas!$B$5,"BLOQUEADO: AÑO",IF(IF(K34&lt;&gt;"",K34,J34)="",IF(S34&gt;1,"REQUIERE ASIGNACIÓN MANUAL (VARIAS CASILLAS)","INFORMATIVO (sin casilla — no se declara)"),IF(COUNTIFS(Reglas!$I$5:$I$118,IF(K34&lt;&gt;"",K34,J34),Reglas!$J$5:$J$118,"Sí")=0,"BLOQUEADO: CASILLA NO DIRECTA",IF(O34="","EXCLUIDO (valor borrado por el usuario)",IF(_xlfn.ISFORMULA(O34),IF(W34&lt;&gt;"","BORRADOR — VALOR SUGERIDO DIAN ⚠ VER ALERTA","BORRADOR — VALOR SUGERIDO DIAN"),IF(W34&lt;&gt;"","ACEPTADO ⚠ VER ALERTA","ACEPTADO"))))))))</f>
        <v/>
      </c>
      <c r="R34" s="218" t="n"/>
      <c r="S34" s="58">
        <f>IF(A34="","",IFERROR(--ISNUMBER(SEARCH("R28",G34)),0)+IFERROR(--ISNUMBER(SEARCH("R29",G34)),0)+IFERROR(--ISNUMBER(SEARCH("R30",G34)),0)+IFERROR(--ISNUMBER(SEARCH("R31",G34)),0)+IFERROR(--ISNUMBER(SEARCH("R32",G34)),0)+IFERROR(--ISNUMBER(SEARCH("R33",G34)),0)+IFERROR(--ISNUMBER(SEARCH("R34",G34)),0)+IFERROR(--ISNUMBER(SEARCH("R35",G34)),0)+IFERROR(--ISNUMBER(SEARCH("R36",G34)),0)+IFERROR(--ISNUMBER(SEARCH("R37",G34)),0)+IFERROR(--ISNUMBER(SEARCH("R38",G34)),0)+IFERROR(--ISNUMBER(SEARCH("R39",G34)),0)+IFERROR(--ISNUMBER(SEARCH("R40",G34)),0)+IFERROR(--ISNUMBER(SEARCH("R41",G34)),0)+IFERROR(--ISNUMBER(SEARCH("R42",G34)),0)+IFERROR(--ISNUMBER(SEARCH("R43",G34)),0)+IFERROR(--ISNUMBER(SEARCH("R44",G34)),0)+IFERROR(--ISNUMBER(SEARCH("R45",G34)),0)+IFERROR(--ISNUMBER(SEARCH("R46",G34)),0)+IFERROR(--ISNUMBER(SEARCH("R47",G34)),0)+IFERROR(--ISNUMBER(SEARCH("R48",G34)),0)+IFERROR(--ISNUMBER(SEARCH("R49",G34)),0)+IFERROR(--ISNUMBER(SEARCH("R50",G34)),0)+IFERROR(--ISNUMBER(SEARCH("R51",G34)),0)+IFERROR(--ISNUMBER(SEARCH("R52",G34)),0)+IFERROR(--ISNUMBER(SEARCH("R53",G34)),0)+IFERROR(--ISNUMBER(SEARCH("R54",G34)),0)+IFERROR(--ISNUMBER(SEARCH("R55",G34)),0)+IFERROR(--ISNUMBER(SEARCH("R56",G34)),0)+IFERROR(--ISNUMBER(SEARCH("R57",G34)),0)+IFERROR(--ISNUMBER(SEARCH("R58",G34)),0)+IFERROR(--ISNUMBER(SEARCH("R59",G34)),0)+IFERROR(--ISNUMBER(SEARCH("R60",G34)),0)+IFERROR(--ISNUMBER(SEARCH("R61",G34)),0)+IFERROR(--ISNUMBER(SEARCH("R62",G34)),0)+IFERROR(--ISNUMBER(SEARCH("R63",G34)),0)+IFERROR(--ISNUMBER(SEARCH("R64",G34)),0)+IFERROR(--ISNUMBER(SEARCH("R65",G34)),0)+IFERROR(--ISNUMBER(SEARCH("R66",G34)),0)+IFERROR(--ISNUMBER(SEARCH("R67",G34)),0)+IFERROR(--ISNUMBER(SEARCH("R68",G34)),0)+IFERROR(--ISNUMBER(SEARCH("R69",G34)),0)+IFERROR(--ISNUMBER(SEARCH("R70",G34)),0)+IFERROR(--ISNUMBER(SEARCH("R71",G34)),0)+IFERROR(--ISNUMBER(SEARCH("R72",G34)),0)+IFERROR(--ISNUMBER(SEARCH("R73",G34)),0)+IFERROR(--ISNUMBER(SEARCH("R74",G34)),0)+IFERROR(--ISNUMBER(SEARCH("R75",G34)),0)+IFERROR(--ISNUMBER(SEARCH("R76",G34)),0)+IFERROR(--ISNUMBER(SEARCH("R77",G34)),0)+IFERROR(--ISNUMBER(SEARCH("R78",G34)),0)+IFERROR(--ISNUMBER(SEARCH("R79",G34)),0)+IFERROR(--ISNUMBER(SEARCH("R80",G34)),0)+IFERROR(--ISNUMBER(SEARCH("R81",G34)),0)+IFERROR(--ISNUMBER(SEARCH("R82",G34)),0)+IFERROR(--ISNUMBER(SEARCH("R83",G34)),0)+IFERROR(--ISNUMBER(SEARCH("R84",G34)),0)+IFERROR(--ISNUMBER(SEARCH("R85",G34)),0)+IFERROR(--ISNUMBER(SEARCH("R86",G34)),0)+IFERROR(--ISNUMBER(SEARCH("R87",G34)),0)+IFERROR(--ISNUMBER(SEARCH("R88",G34)),0)+IFERROR(--ISNUMBER(SEARCH("R89",G34)),0)+IFERROR(--ISNUMBER(SEARCH("R90",G34)),0)+IFERROR(--ISNUMBER(SEARCH("R91",G34)),0)+IFERROR(--ISNUMBER(SEARCH("R92",G34)),0)+IFERROR(--ISNUMBER(SEARCH("R93",G34)),0)+IFERROR(--ISNUMBER(SEARCH("R94",G34)),0)+IFERROR(--ISNUMBER(SEARCH("R95",G34)),0)+IFERROR(--ISNUMBER(SEARCH("R96",G34)),0)+IFERROR(--ISNUMBER(SEARCH("R97",G34)),0)+IFERROR(--ISNUMBER(SEARCH("R98",G34)),0)+IFERROR(--ISNUMBER(SEARCH("R99",G34)),0)+IFERROR(--ISNUMBER(SEARCH("R100",G34)),0)+IFERROR(--ISNUMBER(SEARCH("R101",G34)),0)+IFERROR(--ISNUMBER(SEARCH("R102",G34)),0)+IFERROR(--ISNUMBER(SEARCH("R103",G34)),0)+IFERROR(--ISNUMBER(SEARCH("R104",G34)),0)+IFERROR(--ISNUMBER(SEARCH("R105",G34)),0)+IFERROR(--ISNUMBER(SEARCH("R106",G34)),0)+IFERROR(--ISNUMBER(SEARCH("R107",G34)),0)+IFERROR(--ISNUMBER(SEARCH("R108",G34)),0)+IFERROR(--ISNUMBER(SEARCH("R109",G34)),0)+IFERROR(--ISNUMBER(SEARCH("R110",G34)),0)+IFERROR(--ISNUMBER(SEARCH("R111",G34)),0)+IFERROR(--ISNUMBER(SEARCH("R112",G34)),0)+IFERROR(--ISNUMBER(SEARCH("R113",G34)),0)+IFERROR(--ISNUMBER(SEARCH("R114",G34)),0)+IFERROR(--ISNUMBER(SEARCH("R115",G34)),0)+IFERROR(--ISNUMBER(SEARCH("R116",G34)),0)+IFERROR(--ISNUMBER(SEARCH("R117",G34)),0)+IFERROR(--ISNUMBER(SEARCH("R118",G34)),0)+IFERROR(--ISNUMBER(SEARCH("R119",G34)),0)+IFERROR(--ISNUMBER(SEARCH("R120",G34)),0)+IFERROR(--ISNUMBER(SEARCH("R121",G34)),0)+IFERROR(--ISNUMBER(SEARCH("R122",G34)),0)+IFERROR(--ISNUMBER(SEARCH("R123",G34)),0)+IFERROR(--ISNUMBER(SEARCH("R124",G34)),0)+IFERROR(--ISNUMBER(SEARCH("R125",G34)),0)+IFERROR(--ISNUMBER(SEARCH("R126",G34)),0)+IFERROR(--ISNUMBER(SEARCH("R127",G34)),0)+IFERROR(--ISNUMBER(SEARCH("R128",G34)),0)+IFERROR(--ISNUMBER(SEARCH("R129",G34)),0)+IFERROR(--ISNUMBER(SEARCH("R130",G34)),0)+IFERROR(--ISNUMBER(SEARCH("R131",G34)),0)+IFERROR(--ISNUMBER(SEARCH("R132",G34)),0)+IFERROR(--ISNUMBER(SEARCH("R133",G34)),0)+IFERROR(--ISNUMBER(SEARCH("R134",G34)),0)+IFERROR(--ISNUMBER(SEARCH("R135",G34)),0)+IFERROR(--ISNUMBER(SEARCH("R136",G34)),0)+IFERROR(--ISNUMBER(SEARCH("R137",G34)),0)+IFERROR(--ISNUMBER(SEARCH("R138",G34)),0)+IFERROR(--ISNUMBER(SEARCH("R139",G34)),0)+IFERROR(--ISNUMBER(SEARCH("R140",G34)),0)+IFERROR(--ISNUMBER(SEARCH("R141",G34)),0))</f>
        <v/>
      </c>
      <c r="T34" s="58">
        <f>IF(A34="","",IFERROR(--ISNUMBER(SEARCH("R28",G34)),0)+IFERROR(--ISNUMBER(SEARCH("R29",G34)),0)+IFERROR(--ISNUMBER(SEARCH("R30",G34)),0)+IFERROR(--ISNUMBER(SEARCH("R32",G34)),0)+IFERROR(--ISNUMBER(SEARCH("R33",G34)),0)+IFERROR(--ISNUMBER(SEARCH("R35",G34)),0)+IFERROR(--ISNUMBER(SEARCH("R36",G34)),0)+IFERROR(--ISNUMBER(SEARCH("R38",G34)),0)+IFERROR(--ISNUMBER(SEARCH("R39",G34)),0)+IFERROR(--ISNUMBER(SEARCH("R43",G34)),0)+IFERROR(--ISNUMBER(SEARCH("R44",G34)),0)+IFERROR(--ISNUMBER(SEARCH("R45",G34)),0)+IFERROR(--ISNUMBER(SEARCH("R47",G34)),0)+IFERROR(--ISNUMBER(SEARCH("R48",G34)),0)+IFERROR(--ISNUMBER(SEARCH("R50",G34)),0)+IFERROR(--ISNUMBER(SEARCH("R51",G34)),0)+IFERROR(--ISNUMBER(SEARCH("R56",G34)),0)+IFERROR(--ISNUMBER(SEARCH("R58",G34)),0)+IFERROR(--ISNUMBER(SEARCH("R59",G34)),0)+IFERROR(--ISNUMBER(SEARCH("R60",G34)),0)+IFERROR(--ISNUMBER(SEARCH("R62",G34)),0)+IFERROR(--ISNUMBER(SEARCH("R63",G34)),0)+IFERROR(--ISNUMBER(SEARCH("R64",G34)),0)+IFERROR(--ISNUMBER(SEARCH("R66",G34)),0)+IFERROR(--ISNUMBER(SEARCH("R67",G34)),0)+IFERROR(--ISNUMBER(SEARCH("R72",G34)),0)+IFERROR(--ISNUMBER(SEARCH("R74",G34)),0)+IFERROR(--ISNUMBER(SEARCH("R75",G34)),0)+IFERROR(--ISNUMBER(SEARCH("R76",G34)),0)+IFERROR(--ISNUMBER(SEARCH("R77",G34)),0)+IFERROR(--ISNUMBER(SEARCH("R79",G34)),0)+IFERROR(--ISNUMBER(SEARCH("R80",G34)),0)+IFERROR(--ISNUMBER(SEARCH("R81",G34)),0)+IFERROR(--ISNUMBER(SEARCH("R83",G34)),0)+IFERROR(--ISNUMBER(SEARCH("R84",G34)),0)+IFERROR(--ISNUMBER(SEARCH("R89",G34)),0)+IFERROR(--ISNUMBER(SEARCH("R94",G34)),0)+IFERROR(--ISNUMBER(SEARCH("R95",G34)),0)+IFERROR(--ISNUMBER(SEARCH("R96",G34)),0)+IFERROR(--ISNUMBER(SEARCH("R98",G34)),0)+IFERROR(--ISNUMBER(SEARCH("R99",G34)),0)+IFERROR(--ISNUMBER(SEARCH("R100",G34)),0)+IFERROR(--ISNUMBER(SEARCH("R104",G34)),0)+IFERROR(--ISNUMBER(SEARCH("R105",G34)),0)+IFERROR(--ISNUMBER(SEARCH("R107",G34)),0)+IFERROR(--ISNUMBER(SEARCH("R108",G34)),0)+IFERROR(--ISNUMBER(SEARCH("R109",G34)),0)+IFERROR(--ISNUMBER(SEARCH("R110",G34)),0)+IFERROR(--ISNUMBER(SEARCH("R112",G34)),0)+IFERROR(--ISNUMBER(SEARCH("R113",G34)),0)+IFERROR(--ISNUMBER(SEARCH("R114",G34)),0)+IFERROR(--ISNUMBER(SEARCH("R118",G34)),0)+IFERROR(--ISNUMBER(SEARCH("R119",G34)),0)+IFERROR(--ISNUMBER(SEARCH("R120",G34)),0)+IFERROR(--ISNUMBER(SEARCH("R122",G34)),0)+IFERROR(--ISNUMBER(SEARCH("R123",G34)),0)+IFERROR(--ISNUMBER(SEARCH("R124",G34)),0)+IFERROR(--ISNUMBER(SEARCH("R128",G34)),0)+IFERROR(--ISNUMBER(SEARCH("R130",G34)),0)+IFERROR(--ISNUMBER(SEARCH("R131",G34)),0)+IFERROR(--ISNUMBER(SEARCH("R132",G34)),0)+IFERROR(--ISNUMBER(SEARCH("R135",G34)),0)+IFERROR(--ISNUMBER(SEARCH("R138",G34)),0)+IFERROR(--ISNUMBER(SEARCH("R141",G34)),0))</f>
        <v/>
      </c>
      <c r="U34" s="58">
        <f>IF(A34="","",IFERROR(--ISNUMBER(SEARCH("R28",G34))*28,0)+IFERROR(--ISNUMBER(SEARCH("R29",G34))*29,0)+IFERROR(--ISNUMBER(SEARCH("R30",G34))*30,0)+IFERROR(--ISNUMBER(SEARCH("R31",G34))*31,0)+IFERROR(--ISNUMBER(SEARCH("R32",G34))*32,0)+IFERROR(--ISNUMBER(SEARCH("R33",G34))*33,0)+IFERROR(--ISNUMBER(SEARCH("R34",G34))*34,0)+IFERROR(--ISNUMBER(SEARCH("R35",G34))*35,0)+IFERROR(--ISNUMBER(SEARCH("R36",G34))*36,0)+IFERROR(--ISNUMBER(SEARCH("R37",G34))*37,0)+IFERROR(--ISNUMBER(SEARCH("R38",G34))*38,0)+IFERROR(--ISNUMBER(SEARCH("R39",G34))*39,0)+IFERROR(--ISNUMBER(SEARCH("R40",G34))*40,0)+IFERROR(--ISNUMBER(SEARCH("R41",G34))*41,0)+IFERROR(--ISNUMBER(SEARCH("R42",G34))*42,0)+IFERROR(--ISNUMBER(SEARCH("R43",G34))*43,0)+IFERROR(--ISNUMBER(SEARCH("R44",G34))*44,0)+IFERROR(--ISNUMBER(SEARCH("R45",G34))*45,0)+IFERROR(--ISNUMBER(SEARCH("R46",G34))*46,0)+IFERROR(--ISNUMBER(SEARCH("R47",G34))*47,0)+IFERROR(--ISNUMBER(SEARCH("R48",G34))*48,0)+IFERROR(--ISNUMBER(SEARCH("R49",G34))*49,0)+IFERROR(--ISNUMBER(SEARCH("R50",G34))*50,0)+IFERROR(--ISNUMBER(SEARCH("R51",G34))*51,0)+IFERROR(--ISNUMBER(SEARCH("R52",G34))*52,0)+IFERROR(--ISNUMBER(SEARCH("R53",G34))*53,0)+IFERROR(--ISNUMBER(SEARCH("R54",G34))*54,0)+IFERROR(--ISNUMBER(SEARCH("R55",G34))*55,0)+IFERROR(--ISNUMBER(SEARCH("R56",G34))*56,0)+IFERROR(--ISNUMBER(SEARCH("R57",G34))*57,0)+IFERROR(--ISNUMBER(SEARCH("R58",G34))*58,0)+IFERROR(--ISNUMBER(SEARCH("R59",G34))*59,0)+IFERROR(--ISNUMBER(SEARCH("R60",G34))*60,0)+IFERROR(--ISNUMBER(SEARCH("R61",G34))*61,0)+IFERROR(--ISNUMBER(SEARCH("R62",G34))*62,0)+IFERROR(--ISNUMBER(SEARCH("R63",G34))*63,0)+IFERROR(--ISNUMBER(SEARCH("R64",G34))*64,0)+IFERROR(--ISNUMBER(SEARCH("R65",G34))*65,0)+IFERROR(--ISNUMBER(SEARCH("R66",G34))*66,0)+IFERROR(--ISNUMBER(SEARCH("R67",G34))*67,0)+IFERROR(--ISNUMBER(SEARCH("R68",G34))*68,0)+IFERROR(--ISNUMBER(SEARCH("R69",G34))*69,0)+IFERROR(--ISNUMBER(SEARCH("R70",G34))*70,0)+IFERROR(--ISNUMBER(SEARCH("R71",G34))*71,0)+IFERROR(--ISNUMBER(SEARCH("R72",G34))*72,0)+IFERROR(--ISNUMBER(SEARCH("R73",G34))*73,0)+IFERROR(--ISNUMBER(SEARCH("R74",G34))*74,0)+IFERROR(--ISNUMBER(SEARCH("R75",G34))*75,0)+IFERROR(--ISNUMBER(SEARCH("R76",G34))*76,0)+IFERROR(--ISNUMBER(SEARCH("R77",G34))*77,0)+IFERROR(--ISNUMBER(SEARCH("R78",G34))*78,0)+IFERROR(--ISNUMBER(SEARCH("R79",G34))*79,0)+IFERROR(--ISNUMBER(SEARCH("R80",G34))*80,0)+IFERROR(--ISNUMBER(SEARCH("R81",G34))*81,0)+IFERROR(--ISNUMBER(SEARCH("R82",G34))*82,0)+IFERROR(--ISNUMBER(SEARCH("R83",G34))*83,0)+IFERROR(--ISNUMBER(SEARCH("R84",G34))*84,0)+IFERROR(--ISNUMBER(SEARCH("R85",G34))*85,0)+IFERROR(--ISNUMBER(SEARCH("R86",G34))*86,0)+IFERROR(--ISNUMBER(SEARCH("R87",G34))*87,0)+IFERROR(--ISNUMBER(SEARCH("R88",G34))*88,0)+IFERROR(--ISNUMBER(SEARCH("R89",G34))*89,0)+IFERROR(--ISNUMBER(SEARCH("R90",G34))*90,0)+IFERROR(--ISNUMBER(SEARCH("R91",G34))*91,0)+IFERROR(--ISNUMBER(SEARCH("R92",G34))*92,0)+IFERROR(--ISNUMBER(SEARCH("R93",G34))*93,0)+IFERROR(--ISNUMBER(SEARCH("R94",G34))*94,0)+IFERROR(--ISNUMBER(SEARCH("R95",G34))*95,0)+IFERROR(--ISNUMBER(SEARCH("R96",G34))*96,0)+IFERROR(--ISNUMBER(SEARCH("R97",G34))*97,0)+IFERROR(--ISNUMBER(SEARCH("R98",G34))*98,0)+IFERROR(--ISNUMBER(SEARCH("R99",G34))*99,0)+IFERROR(--ISNUMBER(SEARCH("R100",G34))*100,0)+IFERROR(--ISNUMBER(SEARCH("R101",G34))*101,0)+IFERROR(--ISNUMBER(SEARCH("R102",G34))*102,0)+IFERROR(--ISNUMBER(SEARCH("R103",G34))*103,0)+IFERROR(--ISNUMBER(SEARCH("R104",G34))*104,0)+IFERROR(--ISNUMBER(SEARCH("R105",G34))*105,0)+IFERROR(--ISNUMBER(SEARCH("R106",G34))*106,0)+IFERROR(--ISNUMBER(SEARCH("R107",G34))*107,0)+IFERROR(--ISNUMBER(SEARCH("R108",G34))*108,0)+IFERROR(--ISNUMBER(SEARCH("R109",G34))*109,0)+IFERROR(--ISNUMBER(SEARCH("R110",G34))*110,0)+IFERROR(--ISNUMBER(SEARCH("R111",G34))*111,0)+IFERROR(--ISNUMBER(SEARCH("R112",G34))*112,0)+IFERROR(--ISNUMBER(SEARCH("R113",G34))*113,0)+IFERROR(--ISNUMBER(SEARCH("R114",G34))*114,0)+IFERROR(--ISNUMBER(SEARCH("R115",G34))*115,0)+IFERROR(--ISNUMBER(SEARCH("R116",G34))*116,0)+IFERROR(--ISNUMBER(SEARCH("R117",G34))*117,0)+IFERROR(--ISNUMBER(SEARCH("R118",G34))*118,0)+IFERROR(--ISNUMBER(SEARCH("R119",G34))*119,0)+IFERROR(--ISNUMBER(SEARCH("R120",G34))*120,0)+IFERROR(--ISNUMBER(SEARCH("R121",G34))*121,0)+IFERROR(--ISNUMBER(SEARCH("R122",G34))*122,0)+IFERROR(--ISNUMBER(SEARCH("R123",G34))*123,0)+IFERROR(--ISNUMBER(SEARCH("R124",G34))*124,0)+IFERROR(--ISNUMBER(SEARCH("R125",G34))*125,0)+IFERROR(--ISNUMBER(SEARCH("R126",G34))*126,0)+IFERROR(--ISNUMBER(SEARCH("R127",G34))*127,0)+IFERROR(--ISNUMBER(SEARCH("R128",G34))*128,0)+IFERROR(--ISNUMBER(SEARCH("R129",G34))*129,0)+IFERROR(--ISNUMBER(SEARCH("R130",G34))*130,0)+IFERROR(--ISNUMBER(SEARCH("R131",G34))*131,0)+IFERROR(--ISNUMBER(SEARCH("R132",G34))*132,0)+IFERROR(--ISNUMBER(SEARCH("R133",G34))*133,0)+IFERROR(--ISNUMBER(SEARCH("R134",G34))*134,0)+IFERROR(--ISNUMBER(SEARCH("R135",G34))*135,0)+IFERROR(--ISNUMBER(SEARCH("R136",G34))*136,0)+IFERROR(--ISNUMBER(SEARCH("R137",G34))*137,0)+IFERROR(--ISNUMBER(SEARCH("R138",G34))*138,0)+IFERROR(--ISNUMBER(SEARCH("R139",G34))*139,0)+IFERROR(--ISNUMBER(SEARCH("R140",G34))*140,0)+IFERROR(--ISNUMBER(SEARCH("R141",G34))*141,0))</f>
        <v/>
      </c>
      <c r="V34" s="59">
        <f>IF(A34="","",IF(K34&lt;&gt;"",K34,J34))</f>
        <v/>
      </c>
      <c r="W34" s="59">
        <f>IF(A34="","",IF(AND(V34=29,O34&lt;&gt;"",COUNTIFS($V$6:$V$505,29,$F$6:$F$505,F34,$C$6:$C$505,C34,$O$6:$O$505,"&lt;&gt;")&gt;1),IF(COUNTIFS($V$6:V34,29,$F$6:F34,F34,$C$6:C34,C34,$O$6:O34,"&lt;&gt;")=1,"Esta es la fila que se debe CONSERVAR (aparición 1 de "&amp;COUNTIFS($V$6:$V$505,29,$F$6:$F$505,F34,$C$6:$C$505,C34,$O$6:$O$505,"&lt;&gt;")&amp;" con el mismo tercero y valor, casilla 29). Si hay más filas iguales, bórreles el valor a ELLAS, no a esta.","DUPLICADO — ya existe otra fila con el mismo tercero y valor para casilla 29 (aparición "&amp;COUNTIFS($V$6:V34,29,$F$6:F34,F34,$C$6:C34,C34,$O$6:O34,"&lt;&gt;")&amp;" de "&amp;COUNTIFS($V$6:$V$505,29,$F$6:$F$505,F34,$C$6:$C$505,C34,$O$6:$O$505,"&lt;&gt;")&amp;"). Para resolverlo: seleccione la celda O"&amp;ROW()&amp;" (columna Valor a declarar de ESTA fila) y presione Supr."),""))</f>
        <v/>
      </c>
      <c r="X34" s="463">
        <f>IF(A34="","",F34)</f>
        <v/>
      </c>
      <c r="Y34" s="463">
        <f>IF(A34="","",SUMIF(Entrada_Manual!$I$88:$I$187,A34,Entrada_Manual!$F$88:$F$187))</f>
        <v/>
      </c>
      <c r="Z34" s="463">
        <f>IF(A34="","",X34-Y34)</f>
        <v/>
      </c>
      <c r="AA34">
        <f>IF(A34="","",SUMPRODUCT((Entrada_Manual!$I$88:$I$187=A34)*1))</f>
        <v/>
      </c>
      <c r="AB34">
        <f>IF(A34="","",IF(S34&lt;=1,"",IF(AA34=0,"PENDIENTE — SIN ASIGNAR",IF(Z34=0,"RESUELTO","PARCIAL — DIFERENCIA "&amp;TEXT(Z34,"#,##0")))))</f>
        <v/>
      </c>
    </row>
    <row r="35" ht="28.5" customHeight="1" s="235">
      <c r="A35" s="47">
        <f>IF(Exogena_RAW!E44&lt;&gt;"",ROW()-5,"")</f>
        <v/>
      </c>
      <c r="B35" s="48">
        <f>IF(A35="","",44)</f>
        <v/>
      </c>
      <c r="C35" s="48">
        <f>IF(A35="","",IFERROR(Exogena_RAW!A44,""))</f>
        <v/>
      </c>
      <c r="D35" s="48">
        <f>IF(A35="","",IFERROR(Exogena_RAW!B44,""))</f>
        <v/>
      </c>
      <c r="E35" s="48">
        <f>IF(A35="","",Exogena_RAW!E44)</f>
        <v/>
      </c>
      <c r="F35" s="461">
        <f>IF(A35="","",Exogena_RAW!F44)</f>
        <v/>
      </c>
      <c r="G35" s="48">
        <f>IF(A35="","",IFERROR(Exogena_RAW!G44,""))</f>
        <v/>
      </c>
      <c r="H35" s="48">
        <f>IF(A35="","",IFERROR(Exogena_RAW!H44,""))</f>
        <v/>
      </c>
      <c r="I35" s="48">
        <f>IF(A35="","",IFERROR(IF(S35&gt;1,"VARIAS CASILLAS",IF(S35=1,IF(T35=1,"PROPUESTA DE CASILLA","REVISIÓN: CASILLA NO DIRECTA"),IF(OR(ISNUMBER(SEARCH("TOPE",UPPER(E35))),ISNUMBER(SEARCH("TOPE",UPPER(G35)))),"SOLO CONTROL",IF(ISNUMBER(SEARCH("RETEN",UPPER(E35))),"RETENCIÓN","REVISAR")))),"REVISAR"))</f>
        <v/>
      </c>
      <c r="J35" s="48">
        <f>IF(A35="","",IF(ISNUMBER(SEARCH("ingreso laboral promedio de los últimos seis meses",E35)),"",IFERROR(IF(AND(S35=1,T35=1),U35,""),"")))</f>
        <v/>
      </c>
      <c r="K35" s="216" t="n"/>
      <c r="L35" s="48">
        <f>IF(A35="","",IFERROR(IF(K35&lt;&gt;"","Casilla elegida por usuario",IF(S35&gt;1,"Varias casillas — elegir en K",IF(J35&lt;&gt;"","Sugerencia directa",IF(S35=1,"No trasladar directo — revisar",IF(OR(ISNUMBER(SEARCH("TOPE",UPPER(E35))),ISNUMBER(SEARCH("TOPE",UPPER(G35)))),"Solo control","Revisar manualmente"))))),"Revisar manualmente"))</f>
        <v/>
      </c>
      <c r="M35" s="461">
        <f>IF(A35="","",IF(IF(K35&lt;&gt;"",K35,J35)="",0,IF(COUNTIFS(Reglas!$I$5:$I$118,IF(K35&lt;&gt;"",K35,J35),Reglas!$J$5:$J$118,"Sí")=1,F35,0)))</f>
        <v/>
      </c>
      <c r="N35" s="56" t="n"/>
      <c r="O35" s="462">
        <f>IF(A35="","",IF(M35=0,"",M35))</f>
        <v/>
      </c>
      <c r="P35" s="461">
        <f>IF(A35="","",IF(O35="",0,IF(ISNUMBER(O35),O35,0)))</f>
        <v/>
      </c>
      <c r="Q35" s="48">
        <f>IF(A35="","",IF(Exogena_RAW!$C$4="","BLOQUEADO: FALTA AÑO",IF(Exogena_RAW!$K$10&lt;&gt;Reglas!$B$5,"BLOQUEADO: AÑO",IF(IF(K35&lt;&gt;"",K35,J35)="",IF(S35&gt;1,"REQUIERE ASIGNACIÓN MANUAL (VARIAS CASILLAS)","INFORMATIVO (sin casilla — no se declara)"),IF(COUNTIFS(Reglas!$I$5:$I$118,IF(K35&lt;&gt;"",K35,J35),Reglas!$J$5:$J$118,"Sí")=0,"BLOQUEADO: CASILLA NO DIRECTA",IF(O35="","EXCLUIDO (valor borrado por el usuario)",IF(_xlfn.ISFORMULA(O35),IF(W35&lt;&gt;"","BORRADOR — VALOR SUGERIDO DIAN ⚠ VER ALERTA","BORRADOR — VALOR SUGERIDO DIAN"),IF(W35&lt;&gt;"","ACEPTADO ⚠ VER ALERTA","ACEPTADO"))))))))</f>
        <v/>
      </c>
      <c r="R35" s="218" t="n"/>
      <c r="S35" s="58">
        <f>IF(A35="","",IFERROR(--ISNUMBER(SEARCH("R28",G35)),0)+IFERROR(--ISNUMBER(SEARCH("R29",G35)),0)+IFERROR(--ISNUMBER(SEARCH("R30",G35)),0)+IFERROR(--ISNUMBER(SEARCH("R31",G35)),0)+IFERROR(--ISNUMBER(SEARCH("R32",G35)),0)+IFERROR(--ISNUMBER(SEARCH("R33",G35)),0)+IFERROR(--ISNUMBER(SEARCH("R34",G35)),0)+IFERROR(--ISNUMBER(SEARCH("R35",G35)),0)+IFERROR(--ISNUMBER(SEARCH("R36",G35)),0)+IFERROR(--ISNUMBER(SEARCH("R37",G35)),0)+IFERROR(--ISNUMBER(SEARCH("R38",G35)),0)+IFERROR(--ISNUMBER(SEARCH("R39",G35)),0)+IFERROR(--ISNUMBER(SEARCH("R40",G35)),0)+IFERROR(--ISNUMBER(SEARCH("R41",G35)),0)+IFERROR(--ISNUMBER(SEARCH("R42",G35)),0)+IFERROR(--ISNUMBER(SEARCH("R43",G35)),0)+IFERROR(--ISNUMBER(SEARCH("R44",G35)),0)+IFERROR(--ISNUMBER(SEARCH("R45",G35)),0)+IFERROR(--ISNUMBER(SEARCH("R46",G35)),0)+IFERROR(--ISNUMBER(SEARCH("R47",G35)),0)+IFERROR(--ISNUMBER(SEARCH("R48",G35)),0)+IFERROR(--ISNUMBER(SEARCH("R49",G35)),0)+IFERROR(--ISNUMBER(SEARCH("R50",G35)),0)+IFERROR(--ISNUMBER(SEARCH("R51",G35)),0)+IFERROR(--ISNUMBER(SEARCH("R52",G35)),0)+IFERROR(--ISNUMBER(SEARCH("R53",G35)),0)+IFERROR(--ISNUMBER(SEARCH("R54",G35)),0)+IFERROR(--ISNUMBER(SEARCH("R55",G35)),0)+IFERROR(--ISNUMBER(SEARCH("R56",G35)),0)+IFERROR(--ISNUMBER(SEARCH("R57",G35)),0)+IFERROR(--ISNUMBER(SEARCH("R58",G35)),0)+IFERROR(--ISNUMBER(SEARCH("R59",G35)),0)+IFERROR(--ISNUMBER(SEARCH("R60",G35)),0)+IFERROR(--ISNUMBER(SEARCH("R61",G35)),0)+IFERROR(--ISNUMBER(SEARCH("R62",G35)),0)+IFERROR(--ISNUMBER(SEARCH("R63",G35)),0)+IFERROR(--ISNUMBER(SEARCH("R64",G35)),0)+IFERROR(--ISNUMBER(SEARCH("R65",G35)),0)+IFERROR(--ISNUMBER(SEARCH("R66",G35)),0)+IFERROR(--ISNUMBER(SEARCH("R67",G35)),0)+IFERROR(--ISNUMBER(SEARCH("R68",G35)),0)+IFERROR(--ISNUMBER(SEARCH("R69",G35)),0)+IFERROR(--ISNUMBER(SEARCH("R70",G35)),0)+IFERROR(--ISNUMBER(SEARCH("R71",G35)),0)+IFERROR(--ISNUMBER(SEARCH("R72",G35)),0)+IFERROR(--ISNUMBER(SEARCH("R73",G35)),0)+IFERROR(--ISNUMBER(SEARCH("R74",G35)),0)+IFERROR(--ISNUMBER(SEARCH("R75",G35)),0)+IFERROR(--ISNUMBER(SEARCH("R76",G35)),0)+IFERROR(--ISNUMBER(SEARCH("R77",G35)),0)+IFERROR(--ISNUMBER(SEARCH("R78",G35)),0)+IFERROR(--ISNUMBER(SEARCH("R79",G35)),0)+IFERROR(--ISNUMBER(SEARCH("R80",G35)),0)+IFERROR(--ISNUMBER(SEARCH("R81",G35)),0)+IFERROR(--ISNUMBER(SEARCH("R82",G35)),0)+IFERROR(--ISNUMBER(SEARCH("R83",G35)),0)+IFERROR(--ISNUMBER(SEARCH("R84",G35)),0)+IFERROR(--ISNUMBER(SEARCH("R85",G35)),0)+IFERROR(--ISNUMBER(SEARCH("R86",G35)),0)+IFERROR(--ISNUMBER(SEARCH("R87",G35)),0)+IFERROR(--ISNUMBER(SEARCH("R88",G35)),0)+IFERROR(--ISNUMBER(SEARCH("R89",G35)),0)+IFERROR(--ISNUMBER(SEARCH("R90",G35)),0)+IFERROR(--ISNUMBER(SEARCH("R91",G35)),0)+IFERROR(--ISNUMBER(SEARCH("R92",G35)),0)+IFERROR(--ISNUMBER(SEARCH("R93",G35)),0)+IFERROR(--ISNUMBER(SEARCH("R94",G35)),0)+IFERROR(--ISNUMBER(SEARCH("R95",G35)),0)+IFERROR(--ISNUMBER(SEARCH("R96",G35)),0)+IFERROR(--ISNUMBER(SEARCH("R97",G35)),0)+IFERROR(--ISNUMBER(SEARCH("R98",G35)),0)+IFERROR(--ISNUMBER(SEARCH("R99",G35)),0)+IFERROR(--ISNUMBER(SEARCH("R100",G35)),0)+IFERROR(--ISNUMBER(SEARCH("R101",G35)),0)+IFERROR(--ISNUMBER(SEARCH("R102",G35)),0)+IFERROR(--ISNUMBER(SEARCH("R103",G35)),0)+IFERROR(--ISNUMBER(SEARCH("R104",G35)),0)+IFERROR(--ISNUMBER(SEARCH("R105",G35)),0)+IFERROR(--ISNUMBER(SEARCH("R106",G35)),0)+IFERROR(--ISNUMBER(SEARCH("R107",G35)),0)+IFERROR(--ISNUMBER(SEARCH("R108",G35)),0)+IFERROR(--ISNUMBER(SEARCH("R109",G35)),0)+IFERROR(--ISNUMBER(SEARCH("R110",G35)),0)+IFERROR(--ISNUMBER(SEARCH("R111",G35)),0)+IFERROR(--ISNUMBER(SEARCH("R112",G35)),0)+IFERROR(--ISNUMBER(SEARCH("R113",G35)),0)+IFERROR(--ISNUMBER(SEARCH("R114",G35)),0)+IFERROR(--ISNUMBER(SEARCH("R115",G35)),0)+IFERROR(--ISNUMBER(SEARCH("R116",G35)),0)+IFERROR(--ISNUMBER(SEARCH("R117",G35)),0)+IFERROR(--ISNUMBER(SEARCH("R118",G35)),0)+IFERROR(--ISNUMBER(SEARCH("R119",G35)),0)+IFERROR(--ISNUMBER(SEARCH("R120",G35)),0)+IFERROR(--ISNUMBER(SEARCH("R121",G35)),0)+IFERROR(--ISNUMBER(SEARCH("R122",G35)),0)+IFERROR(--ISNUMBER(SEARCH("R123",G35)),0)+IFERROR(--ISNUMBER(SEARCH("R124",G35)),0)+IFERROR(--ISNUMBER(SEARCH("R125",G35)),0)+IFERROR(--ISNUMBER(SEARCH("R126",G35)),0)+IFERROR(--ISNUMBER(SEARCH("R127",G35)),0)+IFERROR(--ISNUMBER(SEARCH("R128",G35)),0)+IFERROR(--ISNUMBER(SEARCH("R129",G35)),0)+IFERROR(--ISNUMBER(SEARCH("R130",G35)),0)+IFERROR(--ISNUMBER(SEARCH("R131",G35)),0)+IFERROR(--ISNUMBER(SEARCH("R132",G35)),0)+IFERROR(--ISNUMBER(SEARCH("R133",G35)),0)+IFERROR(--ISNUMBER(SEARCH("R134",G35)),0)+IFERROR(--ISNUMBER(SEARCH("R135",G35)),0)+IFERROR(--ISNUMBER(SEARCH("R136",G35)),0)+IFERROR(--ISNUMBER(SEARCH("R137",G35)),0)+IFERROR(--ISNUMBER(SEARCH("R138",G35)),0)+IFERROR(--ISNUMBER(SEARCH("R139",G35)),0)+IFERROR(--ISNUMBER(SEARCH("R140",G35)),0)+IFERROR(--ISNUMBER(SEARCH("R141",G35)),0))</f>
        <v/>
      </c>
      <c r="T35" s="58">
        <f>IF(A35="","",IFERROR(--ISNUMBER(SEARCH("R28",G35)),0)+IFERROR(--ISNUMBER(SEARCH("R29",G35)),0)+IFERROR(--ISNUMBER(SEARCH("R30",G35)),0)+IFERROR(--ISNUMBER(SEARCH("R32",G35)),0)+IFERROR(--ISNUMBER(SEARCH("R33",G35)),0)+IFERROR(--ISNUMBER(SEARCH("R35",G35)),0)+IFERROR(--ISNUMBER(SEARCH("R36",G35)),0)+IFERROR(--ISNUMBER(SEARCH("R38",G35)),0)+IFERROR(--ISNUMBER(SEARCH("R39",G35)),0)+IFERROR(--ISNUMBER(SEARCH("R43",G35)),0)+IFERROR(--ISNUMBER(SEARCH("R44",G35)),0)+IFERROR(--ISNUMBER(SEARCH("R45",G35)),0)+IFERROR(--ISNUMBER(SEARCH("R47",G35)),0)+IFERROR(--ISNUMBER(SEARCH("R48",G35)),0)+IFERROR(--ISNUMBER(SEARCH("R50",G35)),0)+IFERROR(--ISNUMBER(SEARCH("R51",G35)),0)+IFERROR(--ISNUMBER(SEARCH("R56",G35)),0)+IFERROR(--ISNUMBER(SEARCH("R58",G35)),0)+IFERROR(--ISNUMBER(SEARCH("R59",G35)),0)+IFERROR(--ISNUMBER(SEARCH("R60",G35)),0)+IFERROR(--ISNUMBER(SEARCH("R62",G35)),0)+IFERROR(--ISNUMBER(SEARCH("R63",G35)),0)+IFERROR(--ISNUMBER(SEARCH("R64",G35)),0)+IFERROR(--ISNUMBER(SEARCH("R66",G35)),0)+IFERROR(--ISNUMBER(SEARCH("R67",G35)),0)+IFERROR(--ISNUMBER(SEARCH("R72",G35)),0)+IFERROR(--ISNUMBER(SEARCH("R74",G35)),0)+IFERROR(--ISNUMBER(SEARCH("R75",G35)),0)+IFERROR(--ISNUMBER(SEARCH("R76",G35)),0)+IFERROR(--ISNUMBER(SEARCH("R77",G35)),0)+IFERROR(--ISNUMBER(SEARCH("R79",G35)),0)+IFERROR(--ISNUMBER(SEARCH("R80",G35)),0)+IFERROR(--ISNUMBER(SEARCH("R81",G35)),0)+IFERROR(--ISNUMBER(SEARCH("R83",G35)),0)+IFERROR(--ISNUMBER(SEARCH("R84",G35)),0)+IFERROR(--ISNUMBER(SEARCH("R89",G35)),0)+IFERROR(--ISNUMBER(SEARCH("R94",G35)),0)+IFERROR(--ISNUMBER(SEARCH("R95",G35)),0)+IFERROR(--ISNUMBER(SEARCH("R96",G35)),0)+IFERROR(--ISNUMBER(SEARCH("R98",G35)),0)+IFERROR(--ISNUMBER(SEARCH("R99",G35)),0)+IFERROR(--ISNUMBER(SEARCH("R100",G35)),0)+IFERROR(--ISNUMBER(SEARCH("R104",G35)),0)+IFERROR(--ISNUMBER(SEARCH("R105",G35)),0)+IFERROR(--ISNUMBER(SEARCH("R107",G35)),0)+IFERROR(--ISNUMBER(SEARCH("R108",G35)),0)+IFERROR(--ISNUMBER(SEARCH("R109",G35)),0)+IFERROR(--ISNUMBER(SEARCH("R110",G35)),0)+IFERROR(--ISNUMBER(SEARCH("R112",G35)),0)+IFERROR(--ISNUMBER(SEARCH("R113",G35)),0)+IFERROR(--ISNUMBER(SEARCH("R114",G35)),0)+IFERROR(--ISNUMBER(SEARCH("R118",G35)),0)+IFERROR(--ISNUMBER(SEARCH("R119",G35)),0)+IFERROR(--ISNUMBER(SEARCH("R120",G35)),0)+IFERROR(--ISNUMBER(SEARCH("R122",G35)),0)+IFERROR(--ISNUMBER(SEARCH("R123",G35)),0)+IFERROR(--ISNUMBER(SEARCH("R124",G35)),0)+IFERROR(--ISNUMBER(SEARCH("R128",G35)),0)+IFERROR(--ISNUMBER(SEARCH("R130",G35)),0)+IFERROR(--ISNUMBER(SEARCH("R131",G35)),0)+IFERROR(--ISNUMBER(SEARCH("R132",G35)),0)+IFERROR(--ISNUMBER(SEARCH("R135",G35)),0)+IFERROR(--ISNUMBER(SEARCH("R138",G35)),0)+IFERROR(--ISNUMBER(SEARCH("R141",G35)),0))</f>
        <v/>
      </c>
      <c r="U35" s="58">
        <f>IF(A35="","",IFERROR(--ISNUMBER(SEARCH("R28",G35))*28,0)+IFERROR(--ISNUMBER(SEARCH("R29",G35))*29,0)+IFERROR(--ISNUMBER(SEARCH("R30",G35))*30,0)+IFERROR(--ISNUMBER(SEARCH("R31",G35))*31,0)+IFERROR(--ISNUMBER(SEARCH("R32",G35))*32,0)+IFERROR(--ISNUMBER(SEARCH("R33",G35))*33,0)+IFERROR(--ISNUMBER(SEARCH("R34",G35))*34,0)+IFERROR(--ISNUMBER(SEARCH("R35",G35))*35,0)+IFERROR(--ISNUMBER(SEARCH("R36",G35))*36,0)+IFERROR(--ISNUMBER(SEARCH("R37",G35))*37,0)+IFERROR(--ISNUMBER(SEARCH("R38",G35))*38,0)+IFERROR(--ISNUMBER(SEARCH("R39",G35))*39,0)+IFERROR(--ISNUMBER(SEARCH("R40",G35))*40,0)+IFERROR(--ISNUMBER(SEARCH("R41",G35))*41,0)+IFERROR(--ISNUMBER(SEARCH("R42",G35))*42,0)+IFERROR(--ISNUMBER(SEARCH("R43",G35))*43,0)+IFERROR(--ISNUMBER(SEARCH("R44",G35))*44,0)+IFERROR(--ISNUMBER(SEARCH("R45",G35))*45,0)+IFERROR(--ISNUMBER(SEARCH("R46",G35))*46,0)+IFERROR(--ISNUMBER(SEARCH("R47",G35))*47,0)+IFERROR(--ISNUMBER(SEARCH("R48",G35))*48,0)+IFERROR(--ISNUMBER(SEARCH("R49",G35))*49,0)+IFERROR(--ISNUMBER(SEARCH("R50",G35))*50,0)+IFERROR(--ISNUMBER(SEARCH("R51",G35))*51,0)+IFERROR(--ISNUMBER(SEARCH("R52",G35))*52,0)+IFERROR(--ISNUMBER(SEARCH("R53",G35))*53,0)+IFERROR(--ISNUMBER(SEARCH("R54",G35))*54,0)+IFERROR(--ISNUMBER(SEARCH("R55",G35))*55,0)+IFERROR(--ISNUMBER(SEARCH("R56",G35))*56,0)+IFERROR(--ISNUMBER(SEARCH("R57",G35))*57,0)+IFERROR(--ISNUMBER(SEARCH("R58",G35))*58,0)+IFERROR(--ISNUMBER(SEARCH("R59",G35))*59,0)+IFERROR(--ISNUMBER(SEARCH("R60",G35))*60,0)+IFERROR(--ISNUMBER(SEARCH("R61",G35))*61,0)+IFERROR(--ISNUMBER(SEARCH("R62",G35))*62,0)+IFERROR(--ISNUMBER(SEARCH("R63",G35))*63,0)+IFERROR(--ISNUMBER(SEARCH("R64",G35))*64,0)+IFERROR(--ISNUMBER(SEARCH("R65",G35))*65,0)+IFERROR(--ISNUMBER(SEARCH("R66",G35))*66,0)+IFERROR(--ISNUMBER(SEARCH("R67",G35))*67,0)+IFERROR(--ISNUMBER(SEARCH("R68",G35))*68,0)+IFERROR(--ISNUMBER(SEARCH("R69",G35))*69,0)+IFERROR(--ISNUMBER(SEARCH("R70",G35))*70,0)+IFERROR(--ISNUMBER(SEARCH("R71",G35))*71,0)+IFERROR(--ISNUMBER(SEARCH("R72",G35))*72,0)+IFERROR(--ISNUMBER(SEARCH("R73",G35))*73,0)+IFERROR(--ISNUMBER(SEARCH("R74",G35))*74,0)+IFERROR(--ISNUMBER(SEARCH("R75",G35))*75,0)+IFERROR(--ISNUMBER(SEARCH("R76",G35))*76,0)+IFERROR(--ISNUMBER(SEARCH("R77",G35))*77,0)+IFERROR(--ISNUMBER(SEARCH("R78",G35))*78,0)+IFERROR(--ISNUMBER(SEARCH("R79",G35))*79,0)+IFERROR(--ISNUMBER(SEARCH("R80",G35))*80,0)+IFERROR(--ISNUMBER(SEARCH("R81",G35))*81,0)+IFERROR(--ISNUMBER(SEARCH("R82",G35))*82,0)+IFERROR(--ISNUMBER(SEARCH("R83",G35))*83,0)+IFERROR(--ISNUMBER(SEARCH("R84",G35))*84,0)+IFERROR(--ISNUMBER(SEARCH("R85",G35))*85,0)+IFERROR(--ISNUMBER(SEARCH("R86",G35))*86,0)+IFERROR(--ISNUMBER(SEARCH("R87",G35))*87,0)+IFERROR(--ISNUMBER(SEARCH("R88",G35))*88,0)+IFERROR(--ISNUMBER(SEARCH("R89",G35))*89,0)+IFERROR(--ISNUMBER(SEARCH("R90",G35))*90,0)+IFERROR(--ISNUMBER(SEARCH("R91",G35))*91,0)+IFERROR(--ISNUMBER(SEARCH("R92",G35))*92,0)+IFERROR(--ISNUMBER(SEARCH("R93",G35))*93,0)+IFERROR(--ISNUMBER(SEARCH("R94",G35))*94,0)+IFERROR(--ISNUMBER(SEARCH("R95",G35))*95,0)+IFERROR(--ISNUMBER(SEARCH("R96",G35))*96,0)+IFERROR(--ISNUMBER(SEARCH("R97",G35))*97,0)+IFERROR(--ISNUMBER(SEARCH("R98",G35))*98,0)+IFERROR(--ISNUMBER(SEARCH("R99",G35))*99,0)+IFERROR(--ISNUMBER(SEARCH("R100",G35))*100,0)+IFERROR(--ISNUMBER(SEARCH("R101",G35))*101,0)+IFERROR(--ISNUMBER(SEARCH("R102",G35))*102,0)+IFERROR(--ISNUMBER(SEARCH("R103",G35))*103,0)+IFERROR(--ISNUMBER(SEARCH("R104",G35))*104,0)+IFERROR(--ISNUMBER(SEARCH("R105",G35))*105,0)+IFERROR(--ISNUMBER(SEARCH("R106",G35))*106,0)+IFERROR(--ISNUMBER(SEARCH("R107",G35))*107,0)+IFERROR(--ISNUMBER(SEARCH("R108",G35))*108,0)+IFERROR(--ISNUMBER(SEARCH("R109",G35))*109,0)+IFERROR(--ISNUMBER(SEARCH("R110",G35))*110,0)+IFERROR(--ISNUMBER(SEARCH("R111",G35))*111,0)+IFERROR(--ISNUMBER(SEARCH("R112",G35))*112,0)+IFERROR(--ISNUMBER(SEARCH("R113",G35))*113,0)+IFERROR(--ISNUMBER(SEARCH("R114",G35))*114,0)+IFERROR(--ISNUMBER(SEARCH("R115",G35))*115,0)+IFERROR(--ISNUMBER(SEARCH("R116",G35))*116,0)+IFERROR(--ISNUMBER(SEARCH("R117",G35))*117,0)+IFERROR(--ISNUMBER(SEARCH("R118",G35))*118,0)+IFERROR(--ISNUMBER(SEARCH("R119",G35))*119,0)+IFERROR(--ISNUMBER(SEARCH("R120",G35))*120,0)+IFERROR(--ISNUMBER(SEARCH("R121",G35))*121,0)+IFERROR(--ISNUMBER(SEARCH("R122",G35))*122,0)+IFERROR(--ISNUMBER(SEARCH("R123",G35))*123,0)+IFERROR(--ISNUMBER(SEARCH("R124",G35))*124,0)+IFERROR(--ISNUMBER(SEARCH("R125",G35))*125,0)+IFERROR(--ISNUMBER(SEARCH("R126",G35))*126,0)+IFERROR(--ISNUMBER(SEARCH("R127",G35))*127,0)+IFERROR(--ISNUMBER(SEARCH("R128",G35))*128,0)+IFERROR(--ISNUMBER(SEARCH("R129",G35))*129,0)+IFERROR(--ISNUMBER(SEARCH("R130",G35))*130,0)+IFERROR(--ISNUMBER(SEARCH("R131",G35))*131,0)+IFERROR(--ISNUMBER(SEARCH("R132",G35))*132,0)+IFERROR(--ISNUMBER(SEARCH("R133",G35))*133,0)+IFERROR(--ISNUMBER(SEARCH("R134",G35))*134,0)+IFERROR(--ISNUMBER(SEARCH("R135",G35))*135,0)+IFERROR(--ISNUMBER(SEARCH("R136",G35))*136,0)+IFERROR(--ISNUMBER(SEARCH("R137",G35))*137,0)+IFERROR(--ISNUMBER(SEARCH("R138",G35))*138,0)+IFERROR(--ISNUMBER(SEARCH("R139",G35))*139,0)+IFERROR(--ISNUMBER(SEARCH("R140",G35))*140,0)+IFERROR(--ISNUMBER(SEARCH("R141",G35))*141,0))</f>
        <v/>
      </c>
      <c r="V35" s="59">
        <f>IF(A35="","",IF(K35&lt;&gt;"",K35,J35))</f>
        <v/>
      </c>
      <c r="W35" s="59">
        <f>IF(A35="","",IF(AND(V35=29,O35&lt;&gt;"",COUNTIFS($V$6:$V$505,29,$F$6:$F$505,F35,$C$6:$C$505,C35,$O$6:$O$505,"&lt;&gt;")&gt;1),IF(COUNTIFS($V$6:V35,29,$F$6:F35,F35,$C$6:C35,C35,$O$6:O35,"&lt;&gt;")=1,"Esta es la fila que se debe CONSERVAR (aparición 1 de "&amp;COUNTIFS($V$6:$V$505,29,$F$6:$F$505,F35,$C$6:$C$505,C35,$O$6:$O$505,"&lt;&gt;")&amp;" con el mismo tercero y valor, casilla 29). Si hay más filas iguales, bórreles el valor a ELLAS, no a esta.","DUPLICADO — ya existe otra fila con el mismo tercero y valor para casilla 29 (aparición "&amp;COUNTIFS($V$6:V35,29,$F$6:F35,F35,$C$6:C35,C35,$O$6:O35,"&lt;&gt;")&amp;" de "&amp;COUNTIFS($V$6:$V$505,29,$F$6:$F$505,F35,$C$6:$C$505,C35,$O$6:$O$505,"&lt;&gt;")&amp;"). Para resolverlo: seleccione la celda O"&amp;ROW()&amp;" (columna Valor a declarar de ESTA fila) y presione Supr."),""))</f>
        <v/>
      </c>
      <c r="X35" s="463">
        <f>IF(A35="","",F35)</f>
        <v/>
      </c>
      <c r="Y35" s="463">
        <f>IF(A35="","",SUMIF(Entrada_Manual!$I$88:$I$187,A35,Entrada_Manual!$F$88:$F$187))</f>
        <v/>
      </c>
      <c r="Z35" s="463">
        <f>IF(A35="","",X35-Y35)</f>
        <v/>
      </c>
      <c r="AA35">
        <f>IF(A35="","",SUMPRODUCT((Entrada_Manual!$I$88:$I$187=A35)*1))</f>
        <v/>
      </c>
      <c r="AB35">
        <f>IF(A35="","",IF(S35&lt;=1,"",IF(AA35=0,"PENDIENTE — SIN ASIGNAR",IF(Z35=0,"RESUELTO","PARCIAL — DIFERENCIA "&amp;TEXT(Z35,"#,##0")))))</f>
        <v/>
      </c>
    </row>
    <row r="36" ht="28.5" customHeight="1" s="235">
      <c r="A36" s="47">
        <f>IF(Exogena_RAW!E45&lt;&gt;"",ROW()-5,"")</f>
        <v/>
      </c>
      <c r="B36" s="48">
        <f>IF(A36="","",45)</f>
        <v/>
      </c>
      <c r="C36" s="48">
        <f>IF(A36="","",IFERROR(Exogena_RAW!A45,""))</f>
        <v/>
      </c>
      <c r="D36" s="48">
        <f>IF(A36="","",IFERROR(Exogena_RAW!B45,""))</f>
        <v/>
      </c>
      <c r="E36" s="48">
        <f>IF(A36="","",Exogena_RAW!E45)</f>
        <v/>
      </c>
      <c r="F36" s="461">
        <f>IF(A36="","",Exogena_RAW!F45)</f>
        <v/>
      </c>
      <c r="G36" s="48">
        <f>IF(A36="","",IFERROR(Exogena_RAW!G45,""))</f>
        <v/>
      </c>
      <c r="H36" s="48">
        <f>IF(A36="","",IFERROR(Exogena_RAW!H45,""))</f>
        <v/>
      </c>
      <c r="I36" s="48">
        <f>IF(A36="","",IFERROR(IF(S36&gt;1,"VARIAS CASILLAS",IF(S36=1,IF(T36=1,"PROPUESTA DE CASILLA","REVISIÓN: CASILLA NO DIRECTA"),IF(OR(ISNUMBER(SEARCH("TOPE",UPPER(E36))),ISNUMBER(SEARCH("TOPE",UPPER(G36)))),"SOLO CONTROL",IF(ISNUMBER(SEARCH("RETEN",UPPER(E36))),"RETENCIÓN","REVISAR")))),"REVISAR"))</f>
        <v/>
      </c>
      <c r="J36" s="61">
        <f>IF(A36="","",IF(ISNUMBER(SEARCH("ingreso laboral promedio de los últimos seis meses",E36)),"",IFERROR(IF(AND(S36=1,T36=1),U36,""),"")))</f>
        <v/>
      </c>
      <c r="K36" s="216" t="n"/>
      <c r="L36" s="48">
        <f>IF(A36="","",IFERROR(IF(K36&lt;&gt;"","Casilla elegida por usuario",IF(S36&gt;1,"Varias casillas — elegir en K",IF(J36&lt;&gt;"","Sugerencia directa",IF(S36=1,"No trasladar directo — revisar",IF(OR(ISNUMBER(SEARCH("TOPE",UPPER(E36))),ISNUMBER(SEARCH("TOPE",UPPER(G36)))),"Solo control","Revisar manualmente"))))),"Revisar manualmente"))</f>
        <v/>
      </c>
      <c r="M36" s="461">
        <f>IF(A36="","",IF(IF(K36&lt;&gt;"",K36,J36)="",0,IF(COUNTIFS(Reglas!$I$5:$I$118,IF(K36&lt;&gt;"",K36,J36),Reglas!$J$5:$J$118,"Sí")=1,F36,0)))</f>
        <v/>
      </c>
      <c r="N36" s="56" t="n"/>
      <c r="O36" s="462">
        <f>IF(A36="","",IF(M36=0,"",M36))</f>
        <v/>
      </c>
      <c r="P36" s="461">
        <f>IF(A36="","",IF(O36="",0,IF(ISNUMBER(O36),O36,0)))</f>
        <v/>
      </c>
      <c r="Q36" s="48">
        <f>IF(A36="","",IF(Exogena_RAW!$C$4="","BLOQUEADO: FALTA AÑO",IF(Exogena_RAW!$K$10&lt;&gt;Reglas!$B$5,"BLOQUEADO: AÑO",IF(IF(K36&lt;&gt;"",K36,J36)="",IF(S36&gt;1,"REQUIERE ASIGNACIÓN MANUAL (VARIAS CASILLAS)","INFORMATIVO (sin casilla — no se declara)"),IF(COUNTIFS(Reglas!$I$5:$I$118,IF(K36&lt;&gt;"",K36,J36),Reglas!$J$5:$J$118,"Sí")=0,"BLOQUEADO: CASILLA NO DIRECTA",IF(O36="","EXCLUIDO (valor borrado por el usuario)",IF(_xlfn.ISFORMULA(O36),IF(W36&lt;&gt;"","BORRADOR — VALOR SUGERIDO DIAN ⚠ VER ALERTA","BORRADOR — VALOR SUGERIDO DIAN"),IF(W36&lt;&gt;"","ACEPTADO ⚠ VER ALERTA","ACEPTADO"))))))))</f>
        <v/>
      </c>
      <c r="R36" s="218" t="n"/>
      <c r="S36" s="58">
        <f>IF(A36="","",IFERROR(--ISNUMBER(SEARCH("R28",G36)),0)+IFERROR(--ISNUMBER(SEARCH("R29",G36)),0)+IFERROR(--ISNUMBER(SEARCH("R30",G36)),0)+IFERROR(--ISNUMBER(SEARCH("R31",G36)),0)+IFERROR(--ISNUMBER(SEARCH("R32",G36)),0)+IFERROR(--ISNUMBER(SEARCH("R33",G36)),0)+IFERROR(--ISNUMBER(SEARCH("R34",G36)),0)+IFERROR(--ISNUMBER(SEARCH("R35",G36)),0)+IFERROR(--ISNUMBER(SEARCH("R36",G36)),0)+IFERROR(--ISNUMBER(SEARCH("R37",G36)),0)+IFERROR(--ISNUMBER(SEARCH("R38",G36)),0)+IFERROR(--ISNUMBER(SEARCH("R39",G36)),0)+IFERROR(--ISNUMBER(SEARCH("R40",G36)),0)+IFERROR(--ISNUMBER(SEARCH("R41",G36)),0)+IFERROR(--ISNUMBER(SEARCH("R42",G36)),0)+IFERROR(--ISNUMBER(SEARCH("R43",G36)),0)+IFERROR(--ISNUMBER(SEARCH("R44",G36)),0)+IFERROR(--ISNUMBER(SEARCH("R45",G36)),0)+IFERROR(--ISNUMBER(SEARCH("R46",G36)),0)+IFERROR(--ISNUMBER(SEARCH("R47",G36)),0)+IFERROR(--ISNUMBER(SEARCH("R48",G36)),0)+IFERROR(--ISNUMBER(SEARCH("R49",G36)),0)+IFERROR(--ISNUMBER(SEARCH("R50",G36)),0)+IFERROR(--ISNUMBER(SEARCH("R51",G36)),0)+IFERROR(--ISNUMBER(SEARCH("R52",G36)),0)+IFERROR(--ISNUMBER(SEARCH("R53",G36)),0)+IFERROR(--ISNUMBER(SEARCH("R54",G36)),0)+IFERROR(--ISNUMBER(SEARCH("R55",G36)),0)+IFERROR(--ISNUMBER(SEARCH("R56",G36)),0)+IFERROR(--ISNUMBER(SEARCH("R57",G36)),0)+IFERROR(--ISNUMBER(SEARCH("R58",G36)),0)+IFERROR(--ISNUMBER(SEARCH("R59",G36)),0)+IFERROR(--ISNUMBER(SEARCH("R60",G36)),0)+IFERROR(--ISNUMBER(SEARCH("R61",G36)),0)+IFERROR(--ISNUMBER(SEARCH("R62",G36)),0)+IFERROR(--ISNUMBER(SEARCH("R63",G36)),0)+IFERROR(--ISNUMBER(SEARCH("R64",G36)),0)+IFERROR(--ISNUMBER(SEARCH("R65",G36)),0)+IFERROR(--ISNUMBER(SEARCH("R66",G36)),0)+IFERROR(--ISNUMBER(SEARCH("R67",G36)),0)+IFERROR(--ISNUMBER(SEARCH("R68",G36)),0)+IFERROR(--ISNUMBER(SEARCH("R69",G36)),0)+IFERROR(--ISNUMBER(SEARCH("R70",G36)),0)+IFERROR(--ISNUMBER(SEARCH("R71",G36)),0)+IFERROR(--ISNUMBER(SEARCH("R72",G36)),0)+IFERROR(--ISNUMBER(SEARCH("R73",G36)),0)+IFERROR(--ISNUMBER(SEARCH("R74",G36)),0)+IFERROR(--ISNUMBER(SEARCH("R75",G36)),0)+IFERROR(--ISNUMBER(SEARCH("R76",G36)),0)+IFERROR(--ISNUMBER(SEARCH("R77",G36)),0)+IFERROR(--ISNUMBER(SEARCH("R78",G36)),0)+IFERROR(--ISNUMBER(SEARCH("R79",G36)),0)+IFERROR(--ISNUMBER(SEARCH("R80",G36)),0)+IFERROR(--ISNUMBER(SEARCH("R81",G36)),0)+IFERROR(--ISNUMBER(SEARCH("R82",G36)),0)+IFERROR(--ISNUMBER(SEARCH("R83",G36)),0)+IFERROR(--ISNUMBER(SEARCH("R84",G36)),0)+IFERROR(--ISNUMBER(SEARCH("R85",G36)),0)+IFERROR(--ISNUMBER(SEARCH("R86",G36)),0)+IFERROR(--ISNUMBER(SEARCH("R87",G36)),0)+IFERROR(--ISNUMBER(SEARCH("R88",G36)),0)+IFERROR(--ISNUMBER(SEARCH("R89",G36)),0)+IFERROR(--ISNUMBER(SEARCH("R90",G36)),0)+IFERROR(--ISNUMBER(SEARCH("R91",G36)),0)+IFERROR(--ISNUMBER(SEARCH("R92",G36)),0)+IFERROR(--ISNUMBER(SEARCH("R93",G36)),0)+IFERROR(--ISNUMBER(SEARCH("R94",G36)),0)+IFERROR(--ISNUMBER(SEARCH("R95",G36)),0)+IFERROR(--ISNUMBER(SEARCH("R96",G36)),0)+IFERROR(--ISNUMBER(SEARCH("R97",G36)),0)+IFERROR(--ISNUMBER(SEARCH("R98",G36)),0)+IFERROR(--ISNUMBER(SEARCH("R99",G36)),0)+IFERROR(--ISNUMBER(SEARCH("R100",G36)),0)+IFERROR(--ISNUMBER(SEARCH("R101",G36)),0)+IFERROR(--ISNUMBER(SEARCH("R102",G36)),0)+IFERROR(--ISNUMBER(SEARCH("R103",G36)),0)+IFERROR(--ISNUMBER(SEARCH("R104",G36)),0)+IFERROR(--ISNUMBER(SEARCH("R105",G36)),0)+IFERROR(--ISNUMBER(SEARCH("R106",G36)),0)+IFERROR(--ISNUMBER(SEARCH("R107",G36)),0)+IFERROR(--ISNUMBER(SEARCH("R108",G36)),0)+IFERROR(--ISNUMBER(SEARCH("R109",G36)),0)+IFERROR(--ISNUMBER(SEARCH("R110",G36)),0)+IFERROR(--ISNUMBER(SEARCH("R111",G36)),0)+IFERROR(--ISNUMBER(SEARCH("R112",G36)),0)+IFERROR(--ISNUMBER(SEARCH("R113",G36)),0)+IFERROR(--ISNUMBER(SEARCH("R114",G36)),0)+IFERROR(--ISNUMBER(SEARCH("R115",G36)),0)+IFERROR(--ISNUMBER(SEARCH("R116",G36)),0)+IFERROR(--ISNUMBER(SEARCH("R117",G36)),0)+IFERROR(--ISNUMBER(SEARCH("R118",G36)),0)+IFERROR(--ISNUMBER(SEARCH("R119",G36)),0)+IFERROR(--ISNUMBER(SEARCH("R120",G36)),0)+IFERROR(--ISNUMBER(SEARCH("R121",G36)),0)+IFERROR(--ISNUMBER(SEARCH("R122",G36)),0)+IFERROR(--ISNUMBER(SEARCH("R123",G36)),0)+IFERROR(--ISNUMBER(SEARCH("R124",G36)),0)+IFERROR(--ISNUMBER(SEARCH("R125",G36)),0)+IFERROR(--ISNUMBER(SEARCH("R126",G36)),0)+IFERROR(--ISNUMBER(SEARCH("R127",G36)),0)+IFERROR(--ISNUMBER(SEARCH("R128",G36)),0)+IFERROR(--ISNUMBER(SEARCH("R129",G36)),0)+IFERROR(--ISNUMBER(SEARCH("R130",G36)),0)+IFERROR(--ISNUMBER(SEARCH("R131",G36)),0)+IFERROR(--ISNUMBER(SEARCH("R132",G36)),0)+IFERROR(--ISNUMBER(SEARCH("R133",G36)),0)+IFERROR(--ISNUMBER(SEARCH("R134",G36)),0)+IFERROR(--ISNUMBER(SEARCH("R135",G36)),0)+IFERROR(--ISNUMBER(SEARCH("R136",G36)),0)+IFERROR(--ISNUMBER(SEARCH("R137",G36)),0)+IFERROR(--ISNUMBER(SEARCH("R138",G36)),0)+IFERROR(--ISNUMBER(SEARCH("R139",G36)),0)+IFERROR(--ISNUMBER(SEARCH("R140",G36)),0)+IFERROR(--ISNUMBER(SEARCH("R141",G36)),0))</f>
        <v/>
      </c>
      <c r="T36" s="58">
        <f>IF(A36="","",IFERROR(--ISNUMBER(SEARCH("R28",G36)),0)+IFERROR(--ISNUMBER(SEARCH("R29",G36)),0)+IFERROR(--ISNUMBER(SEARCH("R30",G36)),0)+IFERROR(--ISNUMBER(SEARCH("R32",G36)),0)+IFERROR(--ISNUMBER(SEARCH("R33",G36)),0)+IFERROR(--ISNUMBER(SEARCH("R35",G36)),0)+IFERROR(--ISNUMBER(SEARCH("R36",G36)),0)+IFERROR(--ISNUMBER(SEARCH("R38",G36)),0)+IFERROR(--ISNUMBER(SEARCH("R39",G36)),0)+IFERROR(--ISNUMBER(SEARCH("R43",G36)),0)+IFERROR(--ISNUMBER(SEARCH("R44",G36)),0)+IFERROR(--ISNUMBER(SEARCH("R45",G36)),0)+IFERROR(--ISNUMBER(SEARCH("R47",G36)),0)+IFERROR(--ISNUMBER(SEARCH("R48",G36)),0)+IFERROR(--ISNUMBER(SEARCH("R50",G36)),0)+IFERROR(--ISNUMBER(SEARCH("R51",G36)),0)+IFERROR(--ISNUMBER(SEARCH("R56",G36)),0)+IFERROR(--ISNUMBER(SEARCH("R58",G36)),0)+IFERROR(--ISNUMBER(SEARCH("R59",G36)),0)+IFERROR(--ISNUMBER(SEARCH("R60",G36)),0)+IFERROR(--ISNUMBER(SEARCH("R62",G36)),0)+IFERROR(--ISNUMBER(SEARCH("R63",G36)),0)+IFERROR(--ISNUMBER(SEARCH("R64",G36)),0)+IFERROR(--ISNUMBER(SEARCH("R66",G36)),0)+IFERROR(--ISNUMBER(SEARCH("R67",G36)),0)+IFERROR(--ISNUMBER(SEARCH("R72",G36)),0)+IFERROR(--ISNUMBER(SEARCH("R74",G36)),0)+IFERROR(--ISNUMBER(SEARCH("R75",G36)),0)+IFERROR(--ISNUMBER(SEARCH("R76",G36)),0)+IFERROR(--ISNUMBER(SEARCH("R77",G36)),0)+IFERROR(--ISNUMBER(SEARCH("R79",G36)),0)+IFERROR(--ISNUMBER(SEARCH("R80",G36)),0)+IFERROR(--ISNUMBER(SEARCH("R81",G36)),0)+IFERROR(--ISNUMBER(SEARCH("R83",G36)),0)+IFERROR(--ISNUMBER(SEARCH("R84",G36)),0)+IFERROR(--ISNUMBER(SEARCH("R89",G36)),0)+IFERROR(--ISNUMBER(SEARCH("R94",G36)),0)+IFERROR(--ISNUMBER(SEARCH("R95",G36)),0)+IFERROR(--ISNUMBER(SEARCH("R96",G36)),0)+IFERROR(--ISNUMBER(SEARCH("R98",G36)),0)+IFERROR(--ISNUMBER(SEARCH("R99",G36)),0)+IFERROR(--ISNUMBER(SEARCH("R100",G36)),0)+IFERROR(--ISNUMBER(SEARCH("R104",G36)),0)+IFERROR(--ISNUMBER(SEARCH("R105",G36)),0)+IFERROR(--ISNUMBER(SEARCH("R107",G36)),0)+IFERROR(--ISNUMBER(SEARCH("R108",G36)),0)+IFERROR(--ISNUMBER(SEARCH("R109",G36)),0)+IFERROR(--ISNUMBER(SEARCH("R110",G36)),0)+IFERROR(--ISNUMBER(SEARCH("R112",G36)),0)+IFERROR(--ISNUMBER(SEARCH("R113",G36)),0)+IFERROR(--ISNUMBER(SEARCH("R114",G36)),0)+IFERROR(--ISNUMBER(SEARCH("R118",G36)),0)+IFERROR(--ISNUMBER(SEARCH("R119",G36)),0)+IFERROR(--ISNUMBER(SEARCH("R120",G36)),0)+IFERROR(--ISNUMBER(SEARCH("R122",G36)),0)+IFERROR(--ISNUMBER(SEARCH("R123",G36)),0)+IFERROR(--ISNUMBER(SEARCH("R124",G36)),0)+IFERROR(--ISNUMBER(SEARCH("R128",G36)),0)+IFERROR(--ISNUMBER(SEARCH("R130",G36)),0)+IFERROR(--ISNUMBER(SEARCH("R131",G36)),0)+IFERROR(--ISNUMBER(SEARCH("R132",G36)),0)+IFERROR(--ISNUMBER(SEARCH("R135",G36)),0)+IFERROR(--ISNUMBER(SEARCH("R138",G36)),0)+IFERROR(--ISNUMBER(SEARCH("R141",G36)),0))</f>
        <v/>
      </c>
      <c r="U36" s="58">
        <f>IF(A36="","",IFERROR(--ISNUMBER(SEARCH("R28",G36))*28,0)+IFERROR(--ISNUMBER(SEARCH("R29",G36))*29,0)+IFERROR(--ISNUMBER(SEARCH("R30",G36))*30,0)+IFERROR(--ISNUMBER(SEARCH("R31",G36))*31,0)+IFERROR(--ISNUMBER(SEARCH("R32",G36))*32,0)+IFERROR(--ISNUMBER(SEARCH("R33",G36))*33,0)+IFERROR(--ISNUMBER(SEARCH("R34",G36))*34,0)+IFERROR(--ISNUMBER(SEARCH("R35",G36))*35,0)+IFERROR(--ISNUMBER(SEARCH("R36",G36))*36,0)+IFERROR(--ISNUMBER(SEARCH("R37",G36))*37,0)+IFERROR(--ISNUMBER(SEARCH("R38",G36))*38,0)+IFERROR(--ISNUMBER(SEARCH("R39",G36))*39,0)+IFERROR(--ISNUMBER(SEARCH("R40",G36))*40,0)+IFERROR(--ISNUMBER(SEARCH("R41",G36))*41,0)+IFERROR(--ISNUMBER(SEARCH("R42",G36))*42,0)+IFERROR(--ISNUMBER(SEARCH("R43",G36))*43,0)+IFERROR(--ISNUMBER(SEARCH("R44",G36))*44,0)+IFERROR(--ISNUMBER(SEARCH("R45",G36))*45,0)+IFERROR(--ISNUMBER(SEARCH("R46",G36))*46,0)+IFERROR(--ISNUMBER(SEARCH("R47",G36))*47,0)+IFERROR(--ISNUMBER(SEARCH("R48",G36))*48,0)+IFERROR(--ISNUMBER(SEARCH("R49",G36))*49,0)+IFERROR(--ISNUMBER(SEARCH("R50",G36))*50,0)+IFERROR(--ISNUMBER(SEARCH("R51",G36))*51,0)+IFERROR(--ISNUMBER(SEARCH("R52",G36))*52,0)+IFERROR(--ISNUMBER(SEARCH("R53",G36))*53,0)+IFERROR(--ISNUMBER(SEARCH("R54",G36))*54,0)+IFERROR(--ISNUMBER(SEARCH("R55",G36))*55,0)+IFERROR(--ISNUMBER(SEARCH("R56",G36))*56,0)+IFERROR(--ISNUMBER(SEARCH("R57",G36))*57,0)+IFERROR(--ISNUMBER(SEARCH("R58",G36))*58,0)+IFERROR(--ISNUMBER(SEARCH("R59",G36))*59,0)+IFERROR(--ISNUMBER(SEARCH("R60",G36))*60,0)+IFERROR(--ISNUMBER(SEARCH("R61",G36))*61,0)+IFERROR(--ISNUMBER(SEARCH("R62",G36))*62,0)+IFERROR(--ISNUMBER(SEARCH("R63",G36))*63,0)+IFERROR(--ISNUMBER(SEARCH("R64",G36))*64,0)+IFERROR(--ISNUMBER(SEARCH("R65",G36))*65,0)+IFERROR(--ISNUMBER(SEARCH("R66",G36))*66,0)+IFERROR(--ISNUMBER(SEARCH("R67",G36))*67,0)+IFERROR(--ISNUMBER(SEARCH("R68",G36))*68,0)+IFERROR(--ISNUMBER(SEARCH("R69",G36))*69,0)+IFERROR(--ISNUMBER(SEARCH("R70",G36))*70,0)+IFERROR(--ISNUMBER(SEARCH("R71",G36))*71,0)+IFERROR(--ISNUMBER(SEARCH("R72",G36))*72,0)+IFERROR(--ISNUMBER(SEARCH("R73",G36))*73,0)+IFERROR(--ISNUMBER(SEARCH("R74",G36))*74,0)+IFERROR(--ISNUMBER(SEARCH("R75",G36))*75,0)+IFERROR(--ISNUMBER(SEARCH("R76",G36))*76,0)+IFERROR(--ISNUMBER(SEARCH("R77",G36))*77,0)+IFERROR(--ISNUMBER(SEARCH("R78",G36))*78,0)+IFERROR(--ISNUMBER(SEARCH("R79",G36))*79,0)+IFERROR(--ISNUMBER(SEARCH("R80",G36))*80,0)+IFERROR(--ISNUMBER(SEARCH("R81",G36))*81,0)+IFERROR(--ISNUMBER(SEARCH("R82",G36))*82,0)+IFERROR(--ISNUMBER(SEARCH("R83",G36))*83,0)+IFERROR(--ISNUMBER(SEARCH("R84",G36))*84,0)+IFERROR(--ISNUMBER(SEARCH("R85",G36))*85,0)+IFERROR(--ISNUMBER(SEARCH("R86",G36))*86,0)+IFERROR(--ISNUMBER(SEARCH("R87",G36))*87,0)+IFERROR(--ISNUMBER(SEARCH("R88",G36))*88,0)+IFERROR(--ISNUMBER(SEARCH("R89",G36))*89,0)+IFERROR(--ISNUMBER(SEARCH("R90",G36))*90,0)+IFERROR(--ISNUMBER(SEARCH("R91",G36))*91,0)+IFERROR(--ISNUMBER(SEARCH("R92",G36))*92,0)+IFERROR(--ISNUMBER(SEARCH("R93",G36))*93,0)+IFERROR(--ISNUMBER(SEARCH("R94",G36))*94,0)+IFERROR(--ISNUMBER(SEARCH("R95",G36))*95,0)+IFERROR(--ISNUMBER(SEARCH("R96",G36))*96,0)+IFERROR(--ISNUMBER(SEARCH("R97",G36))*97,0)+IFERROR(--ISNUMBER(SEARCH("R98",G36))*98,0)+IFERROR(--ISNUMBER(SEARCH("R99",G36))*99,0)+IFERROR(--ISNUMBER(SEARCH("R100",G36))*100,0)+IFERROR(--ISNUMBER(SEARCH("R101",G36))*101,0)+IFERROR(--ISNUMBER(SEARCH("R102",G36))*102,0)+IFERROR(--ISNUMBER(SEARCH("R103",G36))*103,0)+IFERROR(--ISNUMBER(SEARCH("R104",G36))*104,0)+IFERROR(--ISNUMBER(SEARCH("R105",G36))*105,0)+IFERROR(--ISNUMBER(SEARCH("R106",G36))*106,0)+IFERROR(--ISNUMBER(SEARCH("R107",G36))*107,0)+IFERROR(--ISNUMBER(SEARCH("R108",G36))*108,0)+IFERROR(--ISNUMBER(SEARCH("R109",G36))*109,0)+IFERROR(--ISNUMBER(SEARCH("R110",G36))*110,0)+IFERROR(--ISNUMBER(SEARCH("R111",G36))*111,0)+IFERROR(--ISNUMBER(SEARCH("R112",G36))*112,0)+IFERROR(--ISNUMBER(SEARCH("R113",G36))*113,0)+IFERROR(--ISNUMBER(SEARCH("R114",G36))*114,0)+IFERROR(--ISNUMBER(SEARCH("R115",G36))*115,0)+IFERROR(--ISNUMBER(SEARCH("R116",G36))*116,0)+IFERROR(--ISNUMBER(SEARCH("R117",G36))*117,0)+IFERROR(--ISNUMBER(SEARCH("R118",G36))*118,0)+IFERROR(--ISNUMBER(SEARCH("R119",G36))*119,0)+IFERROR(--ISNUMBER(SEARCH("R120",G36))*120,0)+IFERROR(--ISNUMBER(SEARCH("R121",G36))*121,0)+IFERROR(--ISNUMBER(SEARCH("R122",G36))*122,0)+IFERROR(--ISNUMBER(SEARCH("R123",G36))*123,0)+IFERROR(--ISNUMBER(SEARCH("R124",G36))*124,0)+IFERROR(--ISNUMBER(SEARCH("R125",G36))*125,0)+IFERROR(--ISNUMBER(SEARCH("R126",G36))*126,0)+IFERROR(--ISNUMBER(SEARCH("R127",G36))*127,0)+IFERROR(--ISNUMBER(SEARCH("R128",G36))*128,0)+IFERROR(--ISNUMBER(SEARCH("R129",G36))*129,0)+IFERROR(--ISNUMBER(SEARCH("R130",G36))*130,0)+IFERROR(--ISNUMBER(SEARCH("R131",G36))*131,0)+IFERROR(--ISNUMBER(SEARCH("R132",G36))*132,0)+IFERROR(--ISNUMBER(SEARCH("R133",G36))*133,0)+IFERROR(--ISNUMBER(SEARCH("R134",G36))*134,0)+IFERROR(--ISNUMBER(SEARCH("R135",G36))*135,0)+IFERROR(--ISNUMBER(SEARCH("R136",G36))*136,0)+IFERROR(--ISNUMBER(SEARCH("R137",G36))*137,0)+IFERROR(--ISNUMBER(SEARCH("R138",G36))*138,0)+IFERROR(--ISNUMBER(SEARCH("R139",G36))*139,0)+IFERROR(--ISNUMBER(SEARCH("R140",G36))*140,0)+IFERROR(--ISNUMBER(SEARCH("R141",G36))*141,0))</f>
        <v/>
      </c>
      <c r="V36" s="59">
        <f>IF(A36="","",IF(K36&lt;&gt;"",K36,J36))</f>
        <v/>
      </c>
      <c r="W36" s="59">
        <f>IF(A36="","",IF(AND(V36=29,O36&lt;&gt;"",COUNTIFS($V$6:$V$505,29,$F$6:$F$505,F36,$C$6:$C$505,C36,$O$6:$O$505,"&lt;&gt;")&gt;1),IF(COUNTIFS($V$6:V36,29,$F$6:F36,F36,$C$6:C36,C36,$O$6:O36,"&lt;&gt;")=1,"Esta es la fila que se debe CONSERVAR (aparición 1 de "&amp;COUNTIFS($V$6:$V$505,29,$F$6:$F$505,F36,$C$6:$C$505,C36,$O$6:$O$505,"&lt;&gt;")&amp;" con el mismo tercero y valor, casilla 29). Si hay más filas iguales, bórreles el valor a ELLAS, no a esta.","DUPLICADO — ya existe otra fila con el mismo tercero y valor para casilla 29 (aparición "&amp;COUNTIFS($V$6:V36,29,$F$6:F36,F36,$C$6:C36,C36,$O$6:O36,"&lt;&gt;")&amp;" de "&amp;COUNTIFS($V$6:$V$505,29,$F$6:$F$505,F36,$C$6:$C$505,C36,$O$6:$O$505,"&lt;&gt;")&amp;"). Para resolverlo: seleccione la celda O"&amp;ROW()&amp;" (columna Valor a declarar de ESTA fila) y presione Supr."),""))</f>
        <v/>
      </c>
      <c r="X36" s="463">
        <f>IF(A36="","",F36)</f>
        <v/>
      </c>
      <c r="Y36" s="463">
        <f>IF(A36="","",SUMIF(Entrada_Manual!$I$88:$I$187,A36,Entrada_Manual!$F$88:$F$187))</f>
        <v/>
      </c>
      <c r="Z36" s="463">
        <f>IF(A36="","",X36-Y36)</f>
        <v/>
      </c>
      <c r="AA36">
        <f>IF(A36="","",SUMPRODUCT((Entrada_Manual!$I$88:$I$187=A36)*1))</f>
        <v/>
      </c>
      <c r="AB36">
        <f>IF(A36="","",IF(S36&lt;=1,"",IF(AA36=0,"PENDIENTE — SIN ASIGNAR",IF(Z36=0,"RESUELTO","PARCIAL — DIFERENCIA "&amp;TEXT(Z36,"#,##0")))))</f>
        <v/>
      </c>
    </row>
    <row r="37" ht="28.5" customHeight="1" s="235">
      <c r="A37" s="47">
        <f>IF(Exogena_RAW!E46&lt;&gt;"",ROW()-5,"")</f>
        <v/>
      </c>
      <c r="B37" s="48">
        <f>IF(A37="","",46)</f>
        <v/>
      </c>
      <c r="C37" s="48">
        <f>IF(A37="","",IFERROR(Exogena_RAW!A46,""))</f>
        <v/>
      </c>
      <c r="D37" s="48">
        <f>IF(A37="","",IFERROR(Exogena_RAW!B46,""))</f>
        <v/>
      </c>
      <c r="E37" s="48">
        <f>IF(A37="","",Exogena_RAW!E46)</f>
        <v/>
      </c>
      <c r="F37" s="461">
        <f>IF(A37="","",Exogena_RAW!F46)</f>
        <v/>
      </c>
      <c r="G37" s="48">
        <f>IF(A37="","",IFERROR(Exogena_RAW!G46,""))</f>
        <v/>
      </c>
      <c r="H37" s="48">
        <f>IF(A37="","",IFERROR(Exogena_RAW!H46,""))</f>
        <v/>
      </c>
      <c r="I37" s="48">
        <f>IF(A37="","",IFERROR(IF(S37&gt;1,"VARIAS CASILLAS",IF(S37=1,IF(T37=1,"PROPUESTA DE CASILLA","REVISIÓN: CASILLA NO DIRECTA"),IF(OR(ISNUMBER(SEARCH("TOPE",UPPER(E37))),ISNUMBER(SEARCH("TOPE",UPPER(G37)))),"SOLO CONTROL",IF(ISNUMBER(SEARCH("RETEN",UPPER(E37))),"RETENCIÓN","REVISAR")))),"REVISAR"))</f>
        <v/>
      </c>
      <c r="J37" s="61">
        <f>IF(A37="","",IF(ISNUMBER(SEARCH("ingreso laboral promedio de los últimos seis meses",E37)),"",IFERROR(IF(AND(S37=1,T37=1),U37,""),"")))</f>
        <v/>
      </c>
      <c r="K37" s="216" t="n"/>
      <c r="L37" s="48">
        <f>IF(A37="","",IFERROR(IF(K37&lt;&gt;"","Casilla elegida por usuario",IF(S37&gt;1,"Varias casillas — elegir en K",IF(J37&lt;&gt;"","Sugerencia directa",IF(S37=1,"No trasladar directo — revisar",IF(OR(ISNUMBER(SEARCH("TOPE",UPPER(E37))),ISNUMBER(SEARCH("TOPE",UPPER(G37)))),"Solo control","Revisar manualmente"))))),"Revisar manualmente"))</f>
        <v/>
      </c>
      <c r="M37" s="461">
        <f>IF(A37="","",IF(IF(K37&lt;&gt;"",K37,J37)="",0,IF(COUNTIFS(Reglas!$I$5:$I$118,IF(K37&lt;&gt;"",K37,J37),Reglas!$J$5:$J$118,"Sí")=1,F37,0)))</f>
        <v/>
      </c>
      <c r="N37" s="56" t="n"/>
      <c r="O37" s="462">
        <f>IF(A37="","",IF(M37=0,"",M37))</f>
        <v/>
      </c>
      <c r="P37" s="461">
        <f>IF(A37="","",IF(O37="",0,IF(ISNUMBER(O37),O37,0)))</f>
        <v/>
      </c>
      <c r="Q37" s="48">
        <f>IF(A37="","",IF(Exogena_RAW!$C$4="","BLOQUEADO: FALTA AÑO",IF(Exogena_RAW!$K$10&lt;&gt;Reglas!$B$5,"BLOQUEADO: AÑO",IF(IF(K37&lt;&gt;"",K37,J37)="",IF(S37&gt;1,"REQUIERE ASIGNACIÓN MANUAL (VARIAS CASILLAS)","INFORMATIVO (sin casilla — no se declara)"),IF(COUNTIFS(Reglas!$I$5:$I$118,IF(K37&lt;&gt;"",K37,J37),Reglas!$J$5:$J$118,"Sí")=0,"BLOQUEADO: CASILLA NO DIRECTA",IF(O37="","EXCLUIDO (valor borrado por el usuario)",IF(_xlfn.ISFORMULA(O37),IF(W37&lt;&gt;"","BORRADOR — VALOR SUGERIDO DIAN ⚠ VER ALERTA","BORRADOR — VALOR SUGERIDO DIAN"),IF(W37&lt;&gt;"","ACEPTADO ⚠ VER ALERTA","ACEPTADO"))))))))</f>
        <v/>
      </c>
      <c r="R37" s="218" t="n"/>
      <c r="S37" s="58">
        <f>IF(A37="","",IFERROR(--ISNUMBER(SEARCH("R28",G37)),0)+IFERROR(--ISNUMBER(SEARCH("R29",G37)),0)+IFERROR(--ISNUMBER(SEARCH("R30",G37)),0)+IFERROR(--ISNUMBER(SEARCH("R31",G37)),0)+IFERROR(--ISNUMBER(SEARCH("R32",G37)),0)+IFERROR(--ISNUMBER(SEARCH("R33",G37)),0)+IFERROR(--ISNUMBER(SEARCH("R34",G37)),0)+IFERROR(--ISNUMBER(SEARCH("R35",G37)),0)+IFERROR(--ISNUMBER(SEARCH("R36",G37)),0)+IFERROR(--ISNUMBER(SEARCH("R37",G37)),0)+IFERROR(--ISNUMBER(SEARCH("R38",G37)),0)+IFERROR(--ISNUMBER(SEARCH("R39",G37)),0)+IFERROR(--ISNUMBER(SEARCH("R40",G37)),0)+IFERROR(--ISNUMBER(SEARCH("R41",G37)),0)+IFERROR(--ISNUMBER(SEARCH("R42",G37)),0)+IFERROR(--ISNUMBER(SEARCH("R43",G37)),0)+IFERROR(--ISNUMBER(SEARCH("R44",G37)),0)+IFERROR(--ISNUMBER(SEARCH("R45",G37)),0)+IFERROR(--ISNUMBER(SEARCH("R46",G37)),0)+IFERROR(--ISNUMBER(SEARCH("R47",G37)),0)+IFERROR(--ISNUMBER(SEARCH("R48",G37)),0)+IFERROR(--ISNUMBER(SEARCH("R49",G37)),0)+IFERROR(--ISNUMBER(SEARCH("R50",G37)),0)+IFERROR(--ISNUMBER(SEARCH("R51",G37)),0)+IFERROR(--ISNUMBER(SEARCH("R52",G37)),0)+IFERROR(--ISNUMBER(SEARCH("R53",G37)),0)+IFERROR(--ISNUMBER(SEARCH("R54",G37)),0)+IFERROR(--ISNUMBER(SEARCH("R55",G37)),0)+IFERROR(--ISNUMBER(SEARCH("R56",G37)),0)+IFERROR(--ISNUMBER(SEARCH("R57",G37)),0)+IFERROR(--ISNUMBER(SEARCH("R58",G37)),0)+IFERROR(--ISNUMBER(SEARCH("R59",G37)),0)+IFERROR(--ISNUMBER(SEARCH("R60",G37)),0)+IFERROR(--ISNUMBER(SEARCH("R61",G37)),0)+IFERROR(--ISNUMBER(SEARCH("R62",G37)),0)+IFERROR(--ISNUMBER(SEARCH("R63",G37)),0)+IFERROR(--ISNUMBER(SEARCH("R64",G37)),0)+IFERROR(--ISNUMBER(SEARCH("R65",G37)),0)+IFERROR(--ISNUMBER(SEARCH("R66",G37)),0)+IFERROR(--ISNUMBER(SEARCH("R67",G37)),0)+IFERROR(--ISNUMBER(SEARCH("R68",G37)),0)+IFERROR(--ISNUMBER(SEARCH("R69",G37)),0)+IFERROR(--ISNUMBER(SEARCH("R70",G37)),0)+IFERROR(--ISNUMBER(SEARCH("R71",G37)),0)+IFERROR(--ISNUMBER(SEARCH("R72",G37)),0)+IFERROR(--ISNUMBER(SEARCH("R73",G37)),0)+IFERROR(--ISNUMBER(SEARCH("R74",G37)),0)+IFERROR(--ISNUMBER(SEARCH("R75",G37)),0)+IFERROR(--ISNUMBER(SEARCH("R76",G37)),0)+IFERROR(--ISNUMBER(SEARCH("R77",G37)),0)+IFERROR(--ISNUMBER(SEARCH("R78",G37)),0)+IFERROR(--ISNUMBER(SEARCH("R79",G37)),0)+IFERROR(--ISNUMBER(SEARCH("R80",G37)),0)+IFERROR(--ISNUMBER(SEARCH("R81",G37)),0)+IFERROR(--ISNUMBER(SEARCH("R82",G37)),0)+IFERROR(--ISNUMBER(SEARCH("R83",G37)),0)+IFERROR(--ISNUMBER(SEARCH("R84",G37)),0)+IFERROR(--ISNUMBER(SEARCH("R85",G37)),0)+IFERROR(--ISNUMBER(SEARCH("R86",G37)),0)+IFERROR(--ISNUMBER(SEARCH("R87",G37)),0)+IFERROR(--ISNUMBER(SEARCH("R88",G37)),0)+IFERROR(--ISNUMBER(SEARCH("R89",G37)),0)+IFERROR(--ISNUMBER(SEARCH("R90",G37)),0)+IFERROR(--ISNUMBER(SEARCH("R91",G37)),0)+IFERROR(--ISNUMBER(SEARCH("R92",G37)),0)+IFERROR(--ISNUMBER(SEARCH("R93",G37)),0)+IFERROR(--ISNUMBER(SEARCH("R94",G37)),0)+IFERROR(--ISNUMBER(SEARCH("R95",G37)),0)+IFERROR(--ISNUMBER(SEARCH("R96",G37)),0)+IFERROR(--ISNUMBER(SEARCH("R97",G37)),0)+IFERROR(--ISNUMBER(SEARCH("R98",G37)),0)+IFERROR(--ISNUMBER(SEARCH("R99",G37)),0)+IFERROR(--ISNUMBER(SEARCH("R100",G37)),0)+IFERROR(--ISNUMBER(SEARCH("R101",G37)),0)+IFERROR(--ISNUMBER(SEARCH("R102",G37)),0)+IFERROR(--ISNUMBER(SEARCH("R103",G37)),0)+IFERROR(--ISNUMBER(SEARCH("R104",G37)),0)+IFERROR(--ISNUMBER(SEARCH("R105",G37)),0)+IFERROR(--ISNUMBER(SEARCH("R106",G37)),0)+IFERROR(--ISNUMBER(SEARCH("R107",G37)),0)+IFERROR(--ISNUMBER(SEARCH("R108",G37)),0)+IFERROR(--ISNUMBER(SEARCH("R109",G37)),0)+IFERROR(--ISNUMBER(SEARCH("R110",G37)),0)+IFERROR(--ISNUMBER(SEARCH("R111",G37)),0)+IFERROR(--ISNUMBER(SEARCH("R112",G37)),0)+IFERROR(--ISNUMBER(SEARCH("R113",G37)),0)+IFERROR(--ISNUMBER(SEARCH("R114",G37)),0)+IFERROR(--ISNUMBER(SEARCH("R115",G37)),0)+IFERROR(--ISNUMBER(SEARCH("R116",G37)),0)+IFERROR(--ISNUMBER(SEARCH("R117",G37)),0)+IFERROR(--ISNUMBER(SEARCH("R118",G37)),0)+IFERROR(--ISNUMBER(SEARCH("R119",G37)),0)+IFERROR(--ISNUMBER(SEARCH("R120",G37)),0)+IFERROR(--ISNUMBER(SEARCH("R121",G37)),0)+IFERROR(--ISNUMBER(SEARCH("R122",G37)),0)+IFERROR(--ISNUMBER(SEARCH("R123",G37)),0)+IFERROR(--ISNUMBER(SEARCH("R124",G37)),0)+IFERROR(--ISNUMBER(SEARCH("R125",G37)),0)+IFERROR(--ISNUMBER(SEARCH("R126",G37)),0)+IFERROR(--ISNUMBER(SEARCH("R127",G37)),0)+IFERROR(--ISNUMBER(SEARCH("R128",G37)),0)+IFERROR(--ISNUMBER(SEARCH("R129",G37)),0)+IFERROR(--ISNUMBER(SEARCH("R130",G37)),0)+IFERROR(--ISNUMBER(SEARCH("R131",G37)),0)+IFERROR(--ISNUMBER(SEARCH("R132",G37)),0)+IFERROR(--ISNUMBER(SEARCH("R133",G37)),0)+IFERROR(--ISNUMBER(SEARCH("R134",G37)),0)+IFERROR(--ISNUMBER(SEARCH("R135",G37)),0)+IFERROR(--ISNUMBER(SEARCH("R136",G37)),0)+IFERROR(--ISNUMBER(SEARCH("R137",G37)),0)+IFERROR(--ISNUMBER(SEARCH("R138",G37)),0)+IFERROR(--ISNUMBER(SEARCH("R139",G37)),0)+IFERROR(--ISNUMBER(SEARCH("R140",G37)),0)+IFERROR(--ISNUMBER(SEARCH("R141",G37)),0))</f>
        <v/>
      </c>
      <c r="T37" s="58">
        <f>IF(A37="","",IFERROR(--ISNUMBER(SEARCH("R28",G37)),0)+IFERROR(--ISNUMBER(SEARCH("R29",G37)),0)+IFERROR(--ISNUMBER(SEARCH("R30",G37)),0)+IFERROR(--ISNUMBER(SEARCH("R32",G37)),0)+IFERROR(--ISNUMBER(SEARCH("R33",G37)),0)+IFERROR(--ISNUMBER(SEARCH("R35",G37)),0)+IFERROR(--ISNUMBER(SEARCH("R36",G37)),0)+IFERROR(--ISNUMBER(SEARCH("R38",G37)),0)+IFERROR(--ISNUMBER(SEARCH("R39",G37)),0)+IFERROR(--ISNUMBER(SEARCH("R43",G37)),0)+IFERROR(--ISNUMBER(SEARCH("R44",G37)),0)+IFERROR(--ISNUMBER(SEARCH("R45",G37)),0)+IFERROR(--ISNUMBER(SEARCH("R47",G37)),0)+IFERROR(--ISNUMBER(SEARCH("R48",G37)),0)+IFERROR(--ISNUMBER(SEARCH("R50",G37)),0)+IFERROR(--ISNUMBER(SEARCH("R51",G37)),0)+IFERROR(--ISNUMBER(SEARCH("R56",G37)),0)+IFERROR(--ISNUMBER(SEARCH("R58",G37)),0)+IFERROR(--ISNUMBER(SEARCH("R59",G37)),0)+IFERROR(--ISNUMBER(SEARCH("R60",G37)),0)+IFERROR(--ISNUMBER(SEARCH("R62",G37)),0)+IFERROR(--ISNUMBER(SEARCH("R63",G37)),0)+IFERROR(--ISNUMBER(SEARCH("R64",G37)),0)+IFERROR(--ISNUMBER(SEARCH("R66",G37)),0)+IFERROR(--ISNUMBER(SEARCH("R67",G37)),0)+IFERROR(--ISNUMBER(SEARCH("R72",G37)),0)+IFERROR(--ISNUMBER(SEARCH("R74",G37)),0)+IFERROR(--ISNUMBER(SEARCH("R75",G37)),0)+IFERROR(--ISNUMBER(SEARCH("R76",G37)),0)+IFERROR(--ISNUMBER(SEARCH("R77",G37)),0)+IFERROR(--ISNUMBER(SEARCH("R79",G37)),0)+IFERROR(--ISNUMBER(SEARCH("R80",G37)),0)+IFERROR(--ISNUMBER(SEARCH("R81",G37)),0)+IFERROR(--ISNUMBER(SEARCH("R83",G37)),0)+IFERROR(--ISNUMBER(SEARCH("R84",G37)),0)+IFERROR(--ISNUMBER(SEARCH("R89",G37)),0)+IFERROR(--ISNUMBER(SEARCH("R94",G37)),0)+IFERROR(--ISNUMBER(SEARCH("R95",G37)),0)+IFERROR(--ISNUMBER(SEARCH("R96",G37)),0)+IFERROR(--ISNUMBER(SEARCH("R98",G37)),0)+IFERROR(--ISNUMBER(SEARCH("R99",G37)),0)+IFERROR(--ISNUMBER(SEARCH("R100",G37)),0)+IFERROR(--ISNUMBER(SEARCH("R104",G37)),0)+IFERROR(--ISNUMBER(SEARCH("R105",G37)),0)+IFERROR(--ISNUMBER(SEARCH("R107",G37)),0)+IFERROR(--ISNUMBER(SEARCH("R108",G37)),0)+IFERROR(--ISNUMBER(SEARCH("R109",G37)),0)+IFERROR(--ISNUMBER(SEARCH("R110",G37)),0)+IFERROR(--ISNUMBER(SEARCH("R112",G37)),0)+IFERROR(--ISNUMBER(SEARCH("R113",G37)),0)+IFERROR(--ISNUMBER(SEARCH("R114",G37)),0)+IFERROR(--ISNUMBER(SEARCH("R118",G37)),0)+IFERROR(--ISNUMBER(SEARCH("R119",G37)),0)+IFERROR(--ISNUMBER(SEARCH("R120",G37)),0)+IFERROR(--ISNUMBER(SEARCH("R122",G37)),0)+IFERROR(--ISNUMBER(SEARCH("R123",G37)),0)+IFERROR(--ISNUMBER(SEARCH("R124",G37)),0)+IFERROR(--ISNUMBER(SEARCH("R128",G37)),0)+IFERROR(--ISNUMBER(SEARCH("R130",G37)),0)+IFERROR(--ISNUMBER(SEARCH("R131",G37)),0)+IFERROR(--ISNUMBER(SEARCH("R132",G37)),0)+IFERROR(--ISNUMBER(SEARCH("R135",G37)),0)+IFERROR(--ISNUMBER(SEARCH("R138",G37)),0)+IFERROR(--ISNUMBER(SEARCH("R141",G37)),0))</f>
        <v/>
      </c>
      <c r="U37" s="58">
        <f>IF(A37="","",IFERROR(--ISNUMBER(SEARCH("R28",G37))*28,0)+IFERROR(--ISNUMBER(SEARCH("R29",G37))*29,0)+IFERROR(--ISNUMBER(SEARCH("R30",G37))*30,0)+IFERROR(--ISNUMBER(SEARCH("R31",G37))*31,0)+IFERROR(--ISNUMBER(SEARCH("R32",G37))*32,0)+IFERROR(--ISNUMBER(SEARCH("R33",G37))*33,0)+IFERROR(--ISNUMBER(SEARCH("R34",G37))*34,0)+IFERROR(--ISNUMBER(SEARCH("R35",G37))*35,0)+IFERROR(--ISNUMBER(SEARCH("R36",G37))*36,0)+IFERROR(--ISNUMBER(SEARCH("R37",G37))*37,0)+IFERROR(--ISNUMBER(SEARCH("R38",G37))*38,0)+IFERROR(--ISNUMBER(SEARCH("R39",G37))*39,0)+IFERROR(--ISNUMBER(SEARCH("R40",G37))*40,0)+IFERROR(--ISNUMBER(SEARCH("R41",G37))*41,0)+IFERROR(--ISNUMBER(SEARCH("R42",G37))*42,0)+IFERROR(--ISNUMBER(SEARCH("R43",G37))*43,0)+IFERROR(--ISNUMBER(SEARCH("R44",G37))*44,0)+IFERROR(--ISNUMBER(SEARCH("R45",G37))*45,0)+IFERROR(--ISNUMBER(SEARCH("R46",G37))*46,0)+IFERROR(--ISNUMBER(SEARCH("R47",G37))*47,0)+IFERROR(--ISNUMBER(SEARCH("R48",G37))*48,0)+IFERROR(--ISNUMBER(SEARCH("R49",G37))*49,0)+IFERROR(--ISNUMBER(SEARCH("R50",G37))*50,0)+IFERROR(--ISNUMBER(SEARCH("R51",G37))*51,0)+IFERROR(--ISNUMBER(SEARCH("R52",G37))*52,0)+IFERROR(--ISNUMBER(SEARCH("R53",G37))*53,0)+IFERROR(--ISNUMBER(SEARCH("R54",G37))*54,0)+IFERROR(--ISNUMBER(SEARCH("R55",G37))*55,0)+IFERROR(--ISNUMBER(SEARCH("R56",G37))*56,0)+IFERROR(--ISNUMBER(SEARCH("R57",G37))*57,0)+IFERROR(--ISNUMBER(SEARCH("R58",G37))*58,0)+IFERROR(--ISNUMBER(SEARCH("R59",G37))*59,0)+IFERROR(--ISNUMBER(SEARCH("R60",G37))*60,0)+IFERROR(--ISNUMBER(SEARCH("R61",G37))*61,0)+IFERROR(--ISNUMBER(SEARCH("R62",G37))*62,0)+IFERROR(--ISNUMBER(SEARCH("R63",G37))*63,0)+IFERROR(--ISNUMBER(SEARCH("R64",G37))*64,0)+IFERROR(--ISNUMBER(SEARCH("R65",G37))*65,0)+IFERROR(--ISNUMBER(SEARCH("R66",G37))*66,0)+IFERROR(--ISNUMBER(SEARCH("R67",G37))*67,0)+IFERROR(--ISNUMBER(SEARCH("R68",G37))*68,0)+IFERROR(--ISNUMBER(SEARCH("R69",G37))*69,0)+IFERROR(--ISNUMBER(SEARCH("R70",G37))*70,0)+IFERROR(--ISNUMBER(SEARCH("R71",G37))*71,0)+IFERROR(--ISNUMBER(SEARCH("R72",G37))*72,0)+IFERROR(--ISNUMBER(SEARCH("R73",G37))*73,0)+IFERROR(--ISNUMBER(SEARCH("R74",G37))*74,0)+IFERROR(--ISNUMBER(SEARCH("R75",G37))*75,0)+IFERROR(--ISNUMBER(SEARCH("R76",G37))*76,0)+IFERROR(--ISNUMBER(SEARCH("R77",G37))*77,0)+IFERROR(--ISNUMBER(SEARCH("R78",G37))*78,0)+IFERROR(--ISNUMBER(SEARCH("R79",G37))*79,0)+IFERROR(--ISNUMBER(SEARCH("R80",G37))*80,0)+IFERROR(--ISNUMBER(SEARCH("R81",G37))*81,0)+IFERROR(--ISNUMBER(SEARCH("R82",G37))*82,0)+IFERROR(--ISNUMBER(SEARCH("R83",G37))*83,0)+IFERROR(--ISNUMBER(SEARCH("R84",G37))*84,0)+IFERROR(--ISNUMBER(SEARCH("R85",G37))*85,0)+IFERROR(--ISNUMBER(SEARCH("R86",G37))*86,0)+IFERROR(--ISNUMBER(SEARCH("R87",G37))*87,0)+IFERROR(--ISNUMBER(SEARCH("R88",G37))*88,0)+IFERROR(--ISNUMBER(SEARCH("R89",G37))*89,0)+IFERROR(--ISNUMBER(SEARCH("R90",G37))*90,0)+IFERROR(--ISNUMBER(SEARCH("R91",G37))*91,0)+IFERROR(--ISNUMBER(SEARCH("R92",G37))*92,0)+IFERROR(--ISNUMBER(SEARCH("R93",G37))*93,0)+IFERROR(--ISNUMBER(SEARCH("R94",G37))*94,0)+IFERROR(--ISNUMBER(SEARCH("R95",G37))*95,0)+IFERROR(--ISNUMBER(SEARCH("R96",G37))*96,0)+IFERROR(--ISNUMBER(SEARCH("R97",G37))*97,0)+IFERROR(--ISNUMBER(SEARCH("R98",G37))*98,0)+IFERROR(--ISNUMBER(SEARCH("R99",G37))*99,0)+IFERROR(--ISNUMBER(SEARCH("R100",G37))*100,0)+IFERROR(--ISNUMBER(SEARCH("R101",G37))*101,0)+IFERROR(--ISNUMBER(SEARCH("R102",G37))*102,0)+IFERROR(--ISNUMBER(SEARCH("R103",G37))*103,0)+IFERROR(--ISNUMBER(SEARCH("R104",G37))*104,0)+IFERROR(--ISNUMBER(SEARCH("R105",G37))*105,0)+IFERROR(--ISNUMBER(SEARCH("R106",G37))*106,0)+IFERROR(--ISNUMBER(SEARCH("R107",G37))*107,0)+IFERROR(--ISNUMBER(SEARCH("R108",G37))*108,0)+IFERROR(--ISNUMBER(SEARCH("R109",G37))*109,0)+IFERROR(--ISNUMBER(SEARCH("R110",G37))*110,0)+IFERROR(--ISNUMBER(SEARCH("R111",G37))*111,0)+IFERROR(--ISNUMBER(SEARCH("R112",G37))*112,0)+IFERROR(--ISNUMBER(SEARCH("R113",G37))*113,0)+IFERROR(--ISNUMBER(SEARCH("R114",G37))*114,0)+IFERROR(--ISNUMBER(SEARCH("R115",G37))*115,0)+IFERROR(--ISNUMBER(SEARCH("R116",G37))*116,0)+IFERROR(--ISNUMBER(SEARCH("R117",G37))*117,0)+IFERROR(--ISNUMBER(SEARCH("R118",G37))*118,0)+IFERROR(--ISNUMBER(SEARCH("R119",G37))*119,0)+IFERROR(--ISNUMBER(SEARCH("R120",G37))*120,0)+IFERROR(--ISNUMBER(SEARCH("R121",G37))*121,0)+IFERROR(--ISNUMBER(SEARCH("R122",G37))*122,0)+IFERROR(--ISNUMBER(SEARCH("R123",G37))*123,0)+IFERROR(--ISNUMBER(SEARCH("R124",G37))*124,0)+IFERROR(--ISNUMBER(SEARCH("R125",G37))*125,0)+IFERROR(--ISNUMBER(SEARCH("R126",G37))*126,0)+IFERROR(--ISNUMBER(SEARCH("R127",G37))*127,0)+IFERROR(--ISNUMBER(SEARCH("R128",G37))*128,0)+IFERROR(--ISNUMBER(SEARCH("R129",G37))*129,0)+IFERROR(--ISNUMBER(SEARCH("R130",G37))*130,0)+IFERROR(--ISNUMBER(SEARCH("R131",G37))*131,0)+IFERROR(--ISNUMBER(SEARCH("R132",G37))*132,0)+IFERROR(--ISNUMBER(SEARCH("R133",G37))*133,0)+IFERROR(--ISNUMBER(SEARCH("R134",G37))*134,0)+IFERROR(--ISNUMBER(SEARCH("R135",G37))*135,0)+IFERROR(--ISNUMBER(SEARCH("R136",G37))*136,0)+IFERROR(--ISNUMBER(SEARCH("R137",G37))*137,0)+IFERROR(--ISNUMBER(SEARCH("R138",G37))*138,0)+IFERROR(--ISNUMBER(SEARCH("R139",G37))*139,0)+IFERROR(--ISNUMBER(SEARCH("R140",G37))*140,0)+IFERROR(--ISNUMBER(SEARCH("R141",G37))*141,0))</f>
        <v/>
      </c>
      <c r="V37" s="59">
        <f>IF(A37="","",IF(K37&lt;&gt;"",K37,J37))</f>
        <v/>
      </c>
      <c r="W37" s="59">
        <f>IF(A37="","",IF(AND(V37=29,O37&lt;&gt;"",COUNTIFS($V$6:$V$505,29,$F$6:$F$505,F37,$C$6:$C$505,C37,$O$6:$O$505,"&lt;&gt;")&gt;1),IF(COUNTIFS($V$6:V37,29,$F$6:F37,F37,$C$6:C37,C37,$O$6:O37,"&lt;&gt;")=1,"Esta es la fila que se debe CONSERVAR (aparición 1 de "&amp;COUNTIFS($V$6:$V$505,29,$F$6:$F$505,F37,$C$6:$C$505,C37,$O$6:$O$505,"&lt;&gt;")&amp;" con el mismo tercero y valor, casilla 29). Si hay más filas iguales, bórreles el valor a ELLAS, no a esta.","DUPLICADO — ya existe otra fila con el mismo tercero y valor para casilla 29 (aparición "&amp;COUNTIFS($V$6:V37,29,$F$6:F37,F37,$C$6:C37,C37,$O$6:O37,"&lt;&gt;")&amp;" de "&amp;COUNTIFS($V$6:$V$505,29,$F$6:$F$505,F37,$C$6:$C$505,C37,$O$6:$O$505,"&lt;&gt;")&amp;"). Para resolverlo: seleccione la celda O"&amp;ROW()&amp;" (columna Valor a declarar de ESTA fila) y presione Supr."),""))</f>
        <v/>
      </c>
      <c r="X37" s="463">
        <f>IF(A37="","",F37)</f>
        <v/>
      </c>
      <c r="Y37" s="463">
        <f>IF(A37="","",SUMIF(Entrada_Manual!$I$88:$I$187,A37,Entrada_Manual!$F$88:$F$187))</f>
        <v/>
      </c>
      <c r="Z37" s="463">
        <f>IF(A37="","",X37-Y37)</f>
        <v/>
      </c>
      <c r="AA37">
        <f>IF(A37="","",SUMPRODUCT((Entrada_Manual!$I$88:$I$187=A37)*1))</f>
        <v/>
      </c>
      <c r="AB37">
        <f>IF(A37="","",IF(S37&lt;=1,"",IF(AA37=0,"PENDIENTE — SIN ASIGNAR",IF(Z37=0,"RESUELTO","PARCIAL — DIFERENCIA "&amp;TEXT(Z37,"#,##0")))))</f>
        <v/>
      </c>
    </row>
    <row r="38" ht="42.75" customHeight="1" s="235">
      <c r="A38" s="47">
        <f>IF(Exogena_RAW!E47&lt;&gt;"",ROW()-5,"")</f>
        <v/>
      </c>
      <c r="B38" s="48">
        <f>IF(A38="","",47)</f>
        <v/>
      </c>
      <c r="C38" s="48">
        <f>IF(A38="","",IFERROR(Exogena_RAW!A47,""))</f>
        <v/>
      </c>
      <c r="D38" s="48">
        <f>IF(A38="","",IFERROR(Exogena_RAW!B47,""))</f>
        <v/>
      </c>
      <c r="E38" s="48">
        <f>IF(A38="","",Exogena_RAW!E47)</f>
        <v/>
      </c>
      <c r="F38" s="461">
        <f>IF(A38="","",Exogena_RAW!F47)</f>
        <v/>
      </c>
      <c r="G38" s="48">
        <f>IF(A38="","",IFERROR(Exogena_RAW!G47,""))</f>
        <v/>
      </c>
      <c r="H38" s="48">
        <f>IF(A38="","",IFERROR(Exogena_RAW!H47,""))</f>
        <v/>
      </c>
      <c r="I38" s="48">
        <f>IF(A38="","",IFERROR(IF(S38&gt;1,"VARIAS CASILLAS",IF(S38=1,IF(T38=1,"PROPUESTA DE CASILLA","REVISIÓN: CASILLA NO DIRECTA"),IF(OR(ISNUMBER(SEARCH("TOPE",UPPER(E38))),ISNUMBER(SEARCH("TOPE",UPPER(G38)))),"SOLO CONTROL",IF(ISNUMBER(SEARCH("RETEN",UPPER(E38))),"RETENCIÓN","REVISAR")))),"REVISAR"))</f>
        <v/>
      </c>
      <c r="J38" s="48">
        <f>IF(A38="","",IF(ISNUMBER(SEARCH("ingreso laboral promedio de los últimos seis meses",E38)),"",IFERROR(IF(AND(S38=1,T38=1),U38,""),"")))</f>
        <v/>
      </c>
      <c r="K38" s="216" t="n"/>
      <c r="L38" s="48">
        <f>IF(A38="","",IFERROR(IF(K38&lt;&gt;"","Casilla elegida por usuario",IF(S38&gt;1,"Varias casillas — elegir en K",IF(J38&lt;&gt;"","Sugerencia directa",IF(S38=1,"No trasladar directo — revisar",IF(OR(ISNUMBER(SEARCH("TOPE",UPPER(E38))),ISNUMBER(SEARCH("TOPE",UPPER(G38)))),"Solo control","Revisar manualmente"))))),"Revisar manualmente"))</f>
        <v/>
      </c>
      <c r="M38" s="461">
        <f>IF(A38="","",IF(IF(K38&lt;&gt;"",K38,J38)="",0,IF(COUNTIFS(Reglas!$I$5:$I$118,IF(K38&lt;&gt;"",K38,J38),Reglas!$J$5:$J$118,"Sí")=1,F38,0)))</f>
        <v/>
      </c>
      <c r="N38" s="56" t="n"/>
      <c r="O38" s="462">
        <f>IF(A38="","",IF(M38=0,"",M38))</f>
        <v/>
      </c>
      <c r="P38" s="461">
        <f>IF(A38="","",IF(O38="",0,IF(ISNUMBER(O38),O38,0)))</f>
        <v/>
      </c>
      <c r="Q38" s="48">
        <f>IF(A38="","",IF(Exogena_RAW!$C$4="","BLOQUEADO: FALTA AÑO",IF(Exogena_RAW!$K$10&lt;&gt;Reglas!$B$5,"BLOQUEADO: AÑO",IF(IF(K38&lt;&gt;"",K38,J38)="",IF(S38&gt;1,"REQUIERE ASIGNACIÓN MANUAL (VARIAS CASILLAS)","INFORMATIVO (sin casilla — no se declara)"),IF(COUNTIFS(Reglas!$I$5:$I$118,IF(K38&lt;&gt;"",K38,J38),Reglas!$J$5:$J$118,"Sí")=0,"BLOQUEADO: CASILLA NO DIRECTA",IF(O38="","EXCLUIDO (valor borrado por el usuario)",IF(_xlfn.ISFORMULA(O38),IF(W38&lt;&gt;"","BORRADOR — VALOR SUGERIDO DIAN ⚠ VER ALERTA","BORRADOR — VALOR SUGERIDO DIAN"),IF(W38&lt;&gt;"","ACEPTADO ⚠ VER ALERTA","ACEPTADO"))))))))</f>
        <v/>
      </c>
      <c r="R38" s="218" t="n"/>
      <c r="S38" s="58">
        <f>IF(A38="","",IFERROR(--ISNUMBER(SEARCH("R28",G38)),0)+IFERROR(--ISNUMBER(SEARCH("R29",G38)),0)+IFERROR(--ISNUMBER(SEARCH("R30",G38)),0)+IFERROR(--ISNUMBER(SEARCH("R31",G38)),0)+IFERROR(--ISNUMBER(SEARCH("R32",G38)),0)+IFERROR(--ISNUMBER(SEARCH("R33",G38)),0)+IFERROR(--ISNUMBER(SEARCH("R34",G38)),0)+IFERROR(--ISNUMBER(SEARCH("R35",G38)),0)+IFERROR(--ISNUMBER(SEARCH("R36",G38)),0)+IFERROR(--ISNUMBER(SEARCH("R37",G38)),0)+IFERROR(--ISNUMBER(SEARCH("R38",G38)),0)+IFERROR(--ISNUMBER(SEARCH("R39",G38)),0)+IFERROR(--ISNUMBER(SEARCH("R40",G38)),0)+IFERROR(--ISNUMBER(SEARCH("R41",G38)),0)+IFERROR(--ISNUMBER(SEARCH("R42",G38)),0)+IFERROR(--ISNUMBER(SEARCH("R43",G38)),0)+IFERROR(--ISNUMBER(SEARCH("R44",G38)),0)+IFERROR(--ISNUMBER(SEARCH("R45",G38)),0)+IFERROR(--ISNUMBER(SEARCH("R46",G38)),0)+IFERROR(--ISNUMBER(SEARCH("R47",G38)),0)+IFERROR(--ISNUMBER(SEARCH("R48",G38)),0)+IFERROR(--ISNUMBER(SEARCH("R49",G38)),0)+IFERROR(--ISNUMBER(SEARCH("R50",G38)),0)+IFERROR(--ISNUMBER(SEARCH("R51",G38)),0)+IFERROR(--ISNUMBER(SEARCH("R52",G38)),0)+IFERROR(--ISNUMBER(SEARCH("R53",G38)),0)+IFERROR(--ISNUMBER(SEARCH("R54",G38)),0)+IFERROR(--ISNUMBER(SEARCH("R55",G38)),0)+IFERROR(--ISNUMBER(SEARCH("R56",G38)),0)+IFERROR(--ISNUMBER(SEARCH("R57",G38)),0)+IFERROR(--ISNUMBER(SEARCH("R58",G38)),0)+IFERROR(--ISNUMBER(SEARCH("R59",G38)),0)+IFERROR(--ISNUMBER(SEARCH("R60",G38)),0)+IFERROR(--ISNUMBER(SEARCH("R61",G38)),0)+IFERROR(--ISNUMBER(SEARCH("R62",G38)),0)+IFERROR(--ISNUMBER(SEARCH("R63",G38)),0)+IFERROR(--ISNUMBER(SEARCH("R64",G38)),0)+IFERROR(--ISNUMBER(SEARCH("R65",G38)),0)+IFERROR(--ISNUMBER(SEARCH("R66",G38)),0)+IFERROR(--ISNUMBER(SEARCH("R67",G38)),0)+IFERROR(--ISNUMBER(SEARCH("R68",G38)),0)+IFERROR(--ISNUMBER(SEARCH("R69",G38)),0)+IFERROR(--ISNUMBER(SEARCH("R70",G38)),0)+IFERROR(--ISNUMBER(SEARCH("R71",G38)),0)+IFERROR(--ISNUMBER(SEARCH("R72",G38)),0)+IFERROR(--ISNUMBER(SEARCH("R73",G38)),0)+IFERROR(--ISNUMBER(SEARCH("R74",G38)),0)+IFERROR(--ISNUMBER(SEARCH("R75",G38)),0)+IFERROR(--ISNUMBER(SEARCH("R76",G38)),0)+IFERROR(--ISNUMBER(SEARCH("R77",G38)),0)+IFERROR(--ISNUMBER(SEARCH("R78",G38)),0)+IFERROR(--ISNUMBER(SEARCH("R79",G38)),0)+IFERROR(--ISNUMBER(SEARCH("R80",G38)),0)+IFERROR(--ISNUMBER(SEARCH("R81",G38)),0)+IFERROR(--ISNUMBER(SEARCH("R82",G38)),0)+IFERROR(--ISNUMBER(SEARCH("R83",G38)),0)+IFERROR(--ISNUMBER(SEARCH("R84",G38)),0)+IFERROR(--ISNUMBER(SEARCH("R85",G38)),0)+IFERROR(--ISNUMBER(SEARCH("R86",G38)),0)+IFERROR(--ISNUMBER(SEARCH("R87",G38)),0)+IFERROR(--ISNUMBER(SEARCH("R88",G38)),0)+IFERROR(--ISNUMBER(SEARCH("R89",G38)),0)+IFERROR(--ISNUMBER(SEARCH("R90",G38)),0)+IFERROR(--ISNUMBER(SEARCH("R91",G38)),0)+IFERROR(--ISNUMBER(SEARCH("R92",G38)),0)+IFERROR(--ISNUMBER(SEARCH("R93",G38)),0)+IFERROR(--ISNUMBER(SEARCH("R94",G38)),0)+IFERROR(--ISNUMBER(SEARCH("R95",G38)),0)+IFERROR(--ISNUMBER(SEARCH("R96",G38)),0)+IFERROR(--ISNUMBER(SEARCH("R97",G38)),0)+IFERROR(--ISNUMBER(SEARCH("R98",G38)),0)+IFERROR(--ISNUMBER(SEARCH("R99",G38)),0)+IFERROR(--ISNUMBER(SEARCH("R100",G38)),0)+IFERROR(--ISNUMBER(SEARCH("R101",G38)),0)+IFERROR(--ISNUMBER(SEARCH("R102",G38)),0)+IFERROR(--ISNUMBER(SEARCH("R103",G38)),0)+IFERROR(--ISNUMBER(SEARCH("R104",G38)),0)+IFERROR(--ISNUMBER(SEARCH("R105",G38)),0)+IFERROR(--ISNUMBER(SEARCH("R106",G38)),0)+IFERROR(--ISNUMBER(SEARCH("R107",G38)),0)+IFERROR(--ISNUMBER(SEARCH("R108",G38)),0)+IFERROR(--ISNUMBER(SEARCH("R109",G38)),0)+IFERROR(--ISNUMBER(SEARCH("R110",G38)),0)+IFERROR(--ISNUMBER(SEARCH("R111",G38)),0)+IFERROR(--ISNUMBER(SEARCH("R112",G38)),0)+IFERROR(--ISNUMBER(SEARCH("R113",G38)),0)+IFERROR(--ISNUMBER(SEARCH("R114",G38)),0)+IFERROR(--ISNUMBER(SEARCH("R115",G38)),0)+IFERROR(--ISNUMBER(SEARCH("R116",G38)),0)+IFERROR(--ISNUMBER(SEARCH("R117",G38)),0)+IFERROR(--ISNUMBER(SEARCH("R118",G38)),0)+IFERROR(--ISNUMBER(SEARCH("R119",G38)),0)+IFERROR(--ISNUMBER(SEARCH("R120",G38)),0)+IFERROR(--ISNUMBER(SEARCH("R121",G38)),0)+IFERROR(--ISNUMBER(SEARCH("R122",G38)),0)+IFERROR(--ISNUMBER(SEARCH("R123",G38)),0)+IFERROR(--ISNUMBER(SEARCH("R124",G38)),0)+IFERROR(--ISNUMBER(SEARCH("R125",G38)),0)+IFERROR(--ISNUMBER(SEARCH("R126",G38)),0)+IFERROR(--ISNUMBER(SEARCH("R127",G38)),0)+IFERROR(--ISNUMBER(SEARCH("R128",G38)),0)+IFERROR(--ISNUMBER(SEARCH("R129",G38)),0)+IFERROR(--ISNUMBER(SEARCH("R130",G38)),0)+IFERROR(--ISNUMBER(SEARCH("R131",G38)),0)+IFERROR(--ISNUMBER(SEARCH("R132",G38)),0)+IFERROR(--ISNUMBER(SEARCH("R133",G38)),0)+IFERROR(--ISNUMBER(SEARCH("R134",G38)),0)+IFERROR(--ISNUMBER(SEARCH("R135",G38)),0)+IFERROR(--ISNUMBER(SEARCH("R136",G38)),0)+IFERROR(--ISNUMBER(SEARCH("R137",G38)),0)+IFERROR(--ISNUMBER(SEARCH("R138",G38)),0)+IFERROR(--ISNUMBER(SEARCH("R139",G38)),0)+IFERROR(--ISNUMBER(SEARCH("R140",G38)),0)+IFERROR(--ISNUMBER(SEARCH("R141",G38)),0))</f>
        <v/>
      </c>
      <c r="T38" s="58">
        <f>IF(A38="","",IFERROR(--ISNUMBER(SEARCH("R28",G38)),0)+IFERROR(--ISNUMBER(SEARCH("R29",G38)),0)+IFERROR(--ISNUMBER(SEARCH("R30",G38)),0)+IFERROR(--ISNUMBER(SEARCH("R32",G38)),0)+IFERROR(--ISNUMBER(SEARCH("R33",G38)),0)+IFERROR(--ISNUMBER(SEARCH("R35",G38)),0)+IFERROR(--ISNUMBER(SEARCH("R36",G38)),0)+IFERROR(--ISNUMBER(SEARCH("R38",G38)),0)+IFERROR(--ISNUMBER(SEARCH("R39",G38)),0)+IFERROR(--ISNUMBER(SEARCH("R43",G38)),0)+IFERROR(--ISNUMBER(SEARCH("R44",G38)),0)+IFERROR(--ISNUMBER(SEARCH("R45",G38)),0)+IFERROR(--ISNUMBER(SEARCH("R47",G38)),0)+IFERROR(--ISNUMBER(SEARCH("R48",G38)),0)+IFERROR(--ISNUMBER(SEARCH("R50",G38)),0)+IFERROR(--ISNUMBER(SEARCH("R51",G38)),0)+IFERROR(--ISNUMBER(SEARCH("R56",G38)),0)+IFERROR(--ISNUMBER(SEARCH("R58",G38)),0)+IFERROR(--ISNUMBER(SEARCH("R59",G38)),0)+IFERROR(--ISNUMBER(SEARCH("R60",G38)),0)+IFERROR(--ISNUMBER(SEARCH("R62",G38)),0)+IFERROR(--ISNUMBER(SEARCH("R63",G38)),0)+IFERROR(--ISNUMBER(SEARCH("R64",G38)),0)+IFERROR(--ISNUMBER(SEARCH("R66",G38)),0)+IFERROR(--ISNUMBER(SEARCH("R67",G38)),0)+IFERROR(--ISNUMBER(SEARCH("R72",G38)),0)+IFERROR(--ISNUMBER(SEARCH("R74",G38)),0)+IFERROR(--ISNUMBER(SEARCH("R75",G38)),0)+IFERROR(--ISNUMBER(SEARCH("R76",G38)),0)+IFERROR(--ISNUMBER(SEARCH("R77",G38)),0)+IFERROR(--ISNUMBER(SEARCH("R79",G38)),0)+IFERROR(--ISNUMBER(SEARCH("R80",G38)),0)+IFERROR(--ISNUMBER(SEARCH("R81",G38)),0)+IFERROR(--ISNUMBER(SEARCH("R83",G38)),0)+IFERROR(--ISNUMBER(SEARCH("R84",G38)),0)+IFERROR(--ISNUMBER(SEARCH("R89",G38)),0)+IFERROR(--ISNUMBER(SEARCH("R94",G38)),0)+IFERROR(--ISNUMBER(SEARCH("R95",G38)),0)+IFERROR(--ISNUMBER(SEARCH("R96",G38)),0)+IFERROR(--ISNUMBER(SEARCH("R98",G38)),0)+IFERROR(--ISNUMBER(SEARCH("R99",G38)),0)+IFERROR(--ISNUMBER(SEARCH("R100",G38)),0)+IFERROR(--ISNUMBER(SEARCH("R104",G38)),0)+IFERROR(--ISNUMBER(SEARCH("R105",G38)),0)+IFERROR(--ISNUMBER(SEARCH("R107",G38)),0)+IFERROR(--ISNUMBER(SEARCH("R108",G38)),0)+IFERROR(--ISNUMBER(SEARCH("R109",G38)),0)+IFERROR(--ISNUMBER(SEARCH("R110",G38)),0)+IFERROR(--ISNUMBER(SEARCH("R112",G38)),0)+IFERROR(--ISNUMBER(SEARCH("R113",G38)),0)+IFERROR(--ISNUMBER(SEARCH("R114",G38)),0)+IFERROR(--ISNUMBER(SEARCH("R118",G38)),0)+IFERROR(--ISNUMBER(SEARCH("R119",G38)),0)+IFERROR(--ISNUMBER(SEARCH("R120",G38)),0)+IFERROR(--ISNUMBER(SEARCH("R122",G38)),0)+IFERROR(--ISNUMBER(SEARCH("R123",G38)),0)+IFERROR(--ISNUMBER(SEARCH("R124",G38)),0)+IFERROR(--ISNUMBER(SEARCH("R128",G38)),0)+IFERROR(--ISNUMBER(SEARCH("R130",G38)),0)+IFERROR(--ISNUMBER(SEARCH("R131",G38)),0)+IFERROR(--ISNUMBER(SEARCH("R132",G38)),0)+IFERROR(--ISNUMBER(SEARCH("R135",G38)),0)+IFERROR(--ISNUMBER(SEARCH("R138",G38)),0)+IFERROR(--ISNUMBER(SEARCH("R141",G38)),0))</f>
        <v/>
      </c>
      <c r="U38" s="58">
        <f>IF(A38="","",IFERROR(--ISNUMBER(SEARCH("R28",G38))*28,0)+IFERROR(--ISNUMBER(SEARCH("R29",G38))*29,0)+IFERROR(--ISNUMBER(SEARCH("R30",G38))*30,0)+IFERROR(--ISNUMBER(SEARCH("R31",G38))*31,0)+IFERROR(--ISNUMBER(SEARCH("R32",G38))*32,0)+IFERROR(--ISNUMBER(SEARCH("R33",G38))*33,0)+IFERROR(--ISNUMBER(SEARCH("R34",G38))*34,0)+IFERROR(--ISNUMBER(SEARCH("R35",G38))*35,0)+IFERROR(--ISNUMBER(SEARCH("R36",G38))*36,0)+IFERROR(--ISNUMBER(SEARCH("R37",G38))*37,0)+IFERROR(--ISNUMBER(SEARCH("R38",G38))*38,0)+IFERROR(--ISNUMBER(SEARCH("R39",G38))*39,0)+IFERROR(--ISNUMBER(SEARCH("R40",G38))*40,0)+IFERROR(--ISNUMBER(SEARCH("R41",G38))*41,0)+IFERROR(--ISNUMBER(SEARCH("R42",G38))*42,0)+IFERROR(--ISNUMBER(SEARCH("R43",G38))*43,0)+IFERROR(--ISNUMBER(SEARCH("R44",G38))*44,0)+IFERROR(--ISNUMBER(SEARCH("R45",G38))*45,0)+IFERROR(--ISNUMBER(SEARCH("R46",G38))*46,0)+IFERROR(--ISNUMBER(SEARCH("R47",G38))*47,0)+IFERROR(--ISNUMBER(SEARCH("R48",G38))*48,0)+IFERROR(--ISNUMBER(SEARCH("R49",G38))*49,0)+IFERROR(--ISNUMBER(SEARCH("R50",G38))*50,0)+IFERROR(--ISNUMBER(SEARCH("R51",G38))*51,0)+IFERROR(--ISNUMBER(SEARCH("R52",G38))*52,0)+IFERROR(--ISNUMBER(SEARCH("R53",G38))*53,0)+IFERROR(--ISNUMBER(SEARCH("R54",G38))*54,0)+IFERROR(--ISNUMBER(SEARCH("R55",G38))*55,0)+IFERROR(--ISNUMBER(SEARCH("R56",G38))*56,0)+IFERROR(--ISNUMBER(SEARCH("R57",G38))*57,0)+IFERROR(--ISNUMBER(SEARCH("R58",G38))*58,0)+IFERROR(--ISNUMBER(SEARCH("R59",G38))*59,0)+IFERROR(--ISNUMBER(SEARCH("R60",G38))*60,0)+IFERROR(--ISNUMBER(SEARCH("R61",G38))*61,0)+IFERROR(--ISNUMBER(SEARCH("R62",G38))*62,0)+IFERROR(--ISNUMBER(SEARCH("R63",G38))*63,0)+IFERROR(--ISNUMBER(SEARCH("R64",G38))*64,0)+IFERROR(--ISNUMBER(SEARCH("R65",G38))*65,0)+IFERROR(--ISNUMBER(SEARCH("R66",G38))*66,0)+IFERROR(--ISNUMBER(SEARCH("R67",G38))*67,0)+IFERROR(--ISNUMBER(SEARCH("R68",G38))*68,0)+IFERROR(--ISNUMBER(SEARCH("R69",G38))*69,0)+IFERROR(--ISNUMBER(SEARCH("R70",G38))*70,0)+IFERROR(--ISNUMBER(SEARCH("R71",G38))*71,0)+IFERROR(--ISNUMBER(SEARCH("R72",G38))*72,0)+IFERROR(--ISNUMBER(SEARCH("R73",G38))*73,0)+IFERROR(--ISNUMBER(SEARCH("R74",G38))*74,0)+IFERROR(--ISNUMBER(SEARCH("R75",G38))*75,0)+IFERROR(--ISNUMBER(SEARCH("R76",G38))*76,0)+IFERROR(--ISNUMBER(SEARCH("R77",G38))*77,0)+IFERROR(--ISNUMBER(SEARCH("R78",G38))*78,0)+IFERROR(--ISNUMBER(SEARCH("R79",G38))*79,0)+IFERROR(--ISNUMBER(SEARCH("R80",G38))*80,0)+IFERROR(--ISNUMBER(SEARCH("R81",G38))*81,0)+IFERROR(--ISNUMBER(SEARCH("R82",G38))*82,0)+IFERROR(--ISNUMBER(SEARCH("R83",G38))*83,0)+IFERROR(--ISNUMBER(SEARCH("R84",G38))*84,0)+IFERROR(--ISNUMBER(SEARCH("R85",G38))*85,0)+IFERROR(--ISNUMBER(SEARCH("R86",G38))*86,0)+IFERROR(--ISNUMBER(SEARCH("R87",G38))*87,0)+IFERROR(--ISNUMBER(SEARCH("R88",G38))*88,0)+IFERROR(--ISNUMBER(SEARCH("R89",G38))*89,0)+IFERROR(--ISNUMBER(SEARCH("R90",G38))*90,0)+IFERROR(--ISNUMBER(SEARCH("R91",G38))*91,0)+IFERROR(--ISNUMBER(SEARCH("R92",G38))*92,0)+IFERROR(--ISNUMBER(SEARCH("R93",G38))*93,0)+IFERROR(--ISNUMBER(SEARCH("R94",G38))*94,0)+IFERROR(--ISNUMBER(SEARCH("R95",G38))*95,0)+IFERROR(--ISNUMBER(SEARCH("R96",G38))*96,0)+IFERROR(--ISNUMBER(SEARCH("R97",G38))*97,0)+IFERROR(--ISNUMBER(SEARCH("R98",G38))*98,0)+IFERROR(--ISNUMBER(SEARCH("R99",G38))*99,0)+IFERROR(--ISNUMBER(SEARCH("R100",G38))*100,0)+IFERROR(--ISNUMBER(SEARCH("R101",G38))*101,0)+IFERROR(--ISNUMBER(SEARCH("R102",G38))*102,0)+IFERROR(--ISNUMBER(SEARCH("R103",G38))*103,0)+IFERROR(--ISNUMBER(SEARCH("R104",G38))*104,0)+IFERROR(--ISNUMBER(SEARCH("R105",G38))*105,0)+IFERROR(--ISNUMBER(SEARCH("R106",G38))*106,0)+IFERROR(--ISNUMBER(SEARCH("R107",G38))*107,0)+IFERROR(--ISNUMBER(SEARCH("R108",G38))*108,0)+IFERROR(--ISNUMBER(SEARCH("R109",G38))*109,0)+IFERROR(--ISNUMBER(SEARCH("R110",G38))*110,0)+IFERROR(--ISNUMBER(SEARCH("R111",G38))*111,0)+IFERROR(--ISNUMBER(SEARCH("R112",G38))*112,0)+IFERROR(--ISNUMBER(SEARCH("R113",G38))*113,0)+IFERROR(--ISNUMBER(SEARCH("R114",G38))*114,0)+IFERROR(--ISNUMBER(SEARCH("R115",G38))*115,0)+IFERROR(--ISNUMBER(SEARCH("R116",G38))*116,0)+IFERROR(--ISNUMBER(SEARCH("R117",G38))*117,0)+IFERROR(--ISNUMBER(SEARCH("R118",G38))*118,0)+IFERROR(--ISNUMBER(SEARCH("R119",G38))*119,0)+IFERROR(--ISNUMBER(SEARCH("R120",G38))*120,0)+IFERROR(--ISNUMBER(SEARCH("R121",G38))*121,0)+IFERROR(--ISNUMBER(SEARCH("R122",G38))*122,0)+IFERROR(--ISNUMBER(SEARCH("R123",G38))*123,0)+IFERROR(--ISNUMBER(SEARCH("R124",G38))*124,0)+IFERROR(--ISNUMBER(SEARCH("R125",G38))*125,0)+IFERROR(--ISNUMBER(SEARCH("R126",G38))*126,0)+IFERROR(--ISNUMBER(SEARCH("R127",G38))*127,0)+IFERROR(--ISNUMBER(SEARCH("R128",G38))*128,0)+IFERROR(--ISNUMBER(SEARCH("R129",G38))*129,0)+IFERROR(--ISNUMBER(SEARCH("R130",G38))*130,0)+IFERROR(--ISNUMBER(SEARCH("R131",G38))*131,0)+IFERROR(--ISNUMBER(SEARCH("R132",G38))*132,0)+IFERROR(--ISNUMBER(SEARCH("R133",G38))*133,0)+IFERROR(--ISNUMBER(SEARCH("R134",G38))*134,0)+IFERROR(--ISNUMBER(SEARCH("R135",G38))*135,0)+IFERROR(--ISNUMBER(SEARCH("R136",G38))*136,0)+IFERROR(--ISNUMBER(SEARCH("R137",G38))*137,0)+IFERROR(--ISNUMBER(SEARCH("R138",G38))*138,0)+IFERROR(--ISNUMBER(SEARCH("R139",G38))*139,0)+IFERROR(--ISNUMBER(SEARCH("R140",G38))*140,0)+IFERROR(--ISNUMBER(SEARCH("R141",G38))*141,0))</f>
        <v/>
      </c>
      <c r="V38" s="59">
        <f>IF(A38="","",IF(K38&lt;&gt;"",K38,J38))</f>
        <v/>
      </c>
      <c r="W38" s="59">
        <f>IF(A38="","",IF(AND(V38=29,O38&lt;&gt;"",COUNTIFS($V$6:$V$505,29,$F$6:$F$505,F38,$C$6:$C$505,C38,$O$6:$O$505,"&lt;&gt;")&gt;1),IF(COUNTIFS($V$6:V38,29,$F$6:F38,F38,$C$6:C38,C38,$O$6:O38,"&lt;&gt;")=1,"Esta es la fila que se debe CONSERVAR (aparición 1 de "&amp;COUNTIFS($V$6:$V$505,29,$F$6:$F$505,F38,$C$6:$C$505,C38,$O$6:$O$505,"&lt;&gt;")&amp;" con el mismo tercero y valor, casilla 29). Si hay más filas iguales, bórreles el valor a ELLAS, no a esta.","DUPLICADO — ya existe otra fila con el mismo tercero y valor para casilla 29 (aparición "&amp;COUNTIFS($V$6:V38,29,$F$6:F38,F38,$C$6:C38,C38,$O$6:O38,"&lt;&gt;")&amp;" de "&amp;COUNTIFS($V$6:$V$505,29,$F$6:$F$505,F38,$C$6:$C$505,C38,$O$6:$O$505,"&lt;&gt;")&amp;"). Para resolverlo: seleccione la celda O"&amp;ROW()&amp;" (columna Valor a declarar de ESTA fila) y presione Supr."),""))</f>
        <v/>
      </c>
      <c r="X38" s="463">
        <f>IF(A38="","",F38)</f>
        <v/>
      </c>
      <c r="Y38" s="463">
        <f>IF(A38="","",SUMIF(Entrada_Manual!$I$88:$I$187,A38,Entrada_Manual!$F$88:$F$187))</f>
        <v/>
      </c>
      <c r="Z38" s="463">
        <f>IF(A38="","",X38-Y38)</f>
        <v/>
      </c>
      <c r="AA38">
        <f>IF(A38="","",SUMPRODUCT((Entrada_Manual!$I$88:$I$187=A38)*1))</f>
        <v/>
      </c>
      <c r="AB38">
        <f>IF(A38="","",IF(S38&lt;=1,"",IF(AA38=0,"PENDIENTE — SIN ASIGNAR",IF(Z38=0,"RESUELTO","PARCIAL — DIFERENCIA "&amp;TEXT(Z38,"#,##0")))))</f>
        <v/>
      </c>
    </row>
    <row r="39" ht="28.5" customHeight="1" s="235">
      <c r="A39" s="47">
        <f>IF(Exogena_RAW!E48&lt;&gt;"",ROW()-5,"")</f>
        <v/>
      </c>
      <c r="B39" s="48">
        <f>IF(A39="","",48)</f>
        <v/>
      </c>
      <c r="C39" s="48">
        <f>IF(A39="","",IFERROR(Exogena_RAW!A48,""))</f>
        <v/>
      </c>
      <c r="D39" s="48">
        <f>IF(A39="","",IFERROR(Exogena_RAW!B48,""))</f>
        <v/>
      </c>
      <c r="E39" s="48">
        <f>IF(A39="","",Exogena_RAW!E48)</f>
        <v/>
      </c>
      <c r="F39" s="461">
        <f>IF(A39="","",Exogena_RAW!F48)</f>
        <v/>
      </c>
      <c r="G39" s="48">
        <f>IF(A39="","",IFERROR(Exogena_RAW!G48,""))</f>
        <v/>
      </c>
      <c r="H39" s="48">
        <f>IF(A39="","",IFERROR(Exogena_RAW!H48,""))</f>
        <v/>
      </c>
      <c r="I39" s="48">
        <f>IF(A39="","",IFERROR(IF(S39&gt;1,"VARIAS CASILLAS",IF(S39=1,IF(T39=1,"PROPUESTA DE CASILLA","REVISIÓN: CASILLA NO DIRECTA"),IF(OR(ISNUMBER(SEARCH("TOPE",UPPER(E39))),ISNUMBER(SEARCH("TOPE",UPPER(G39)))),"SOLO CONTROL",IF(ISNUMBER(SEARCH("RETEN",UPPER(E39))),"RETENCIÓN","REVISAR")))),"REVISAR"))</f>
        <v/>
      </c>
      <c r="J39" s="61">
        <f>IF(A39="","",IF(ISNUMBER(SEARCH("ingreso laboral promedio de los últimos seis meses",E39)),"",IFERROR(IF(AND(S39=1,T39=1),U39,""),"")))</f>
        <v/>
      </c>
      <c r="K39" s="216" t="n"/>
      <c r="L39" s="48">
        <f>IF(A39="","",IFERROR(IF(K39&lt;&gt;"","Casilla elegida por usuario",IF(S39&gt;1,"Varias casillas — elegir en K",IF(J39&lt;&gt;"","Sugerencia directa",IF(S39=1,"No trasladar directo — revisar",IF(OR(ISNUMBER(SEARCH("TOPE",UPPER(E39))),ISNUMBER(SEARCH("TOPE",UPPER(G39)))),"Solo control","Revisar manualmente"))))),"Revisar manualmente"))</f>
        <v/>
      </c>
      <c r="M39" s="461">
        <f>IF(A39="","",IF(IF(K39&lt;&gt;"",K39,J39)="",0,IF(COUNTIFS(Reglas!$I$5:$I$118,IF(K39&lt;&gt;"",K39,J39),Reglas!$J$5:$J$118,"Sí")=1,F39,0)))</f>
        <v/>
      </c>
      <c r="N39" s="56" t="n"/>
      <c r="O39" s="462">
        <f>IF(A39="","",IF(M39=0,"",M39))</f>
        <v/>
      </c>
      <c r="P39" s="461">
        <f>IF(A39="","",IF(O39="",0,IF(ISNUMBER(O39),O39,0)))</f>
        <v/>
      </c>
      <c r="Q39" s="48">
        <f>IF(A39="","",IF(Exogena_RAW!$C$4="","BLOQUEADO: FALTA AÑO",IF(Exogena_RAW!$K$10&lt;&gt;Reglas!$B$5,"BLOQUEADO: AÑO",IF(IF(K39&lt;&gt;"",K39,J39)="",IF(S39&gt;1,"REQUIERE ASIGNACIÓN MANUAL (VARIAS CASILLAS)","INFORMATIVO (sin casilla — no se declara)"),IF(COUNTIFS(Reglas!$I$5:$I$118,IF(K39&lt;&gt;"",K39,J39),Reglas!$J$5:$J$118,"Sí")=0,"BLOQUEADO: CASILLA NO DIRECTA",IF(O39="","EXCLUIDO (valor borrado por el usuario)",IF(_xlfn.ISFORMULA(O39),IF(W39&lt;&gt;"","BORRADOR — VALOR SUGERIDO DIAN ⚠ VER ALERTA","BORRADOR — VALOR SUGERIDO DIAN"),IF(W39&lt;&gt;"","ACEPTADO ⚠ VER ALERTA","ACEPTADO"))))))))</f>
        <v/>
      </c>
      <c r="R39" s="218" t="n"/>
      <c r="S39" s="58">
        <f>IF(A39="","",IFERROR(--ISNUMBER(SEARCH("R28",G39)),0)+IFERROR(--ISNUMBER(SEARCH("R29",G39)),0)+IFERROR(--ISNUMBER(SEARCH("R30",G39)),0)+IFERROR(--ISNUMBER(SEARCH("R31",G39)),0)+IFERROR(--ISNUMBER(SEARCH("R32",G39)),0)+IFERROR(--ISNUMBER(SEARCH("R33",G39)),0)+IFERROR(--ISNUMBER(SEARCH("R34",G39)),0)+IFERROR(--ISNUMBER(SEARCH("R35",G39)),0)+IFERROR(--ISNUMBER(SEARCH("R36",G39)),0)+IFERROR(--ISNUMBER(SEARCH("R37",G39)),0)+IFERROR(--ISNUMBER(SEARCH("R38",G39)),0)+IFERROR(--ISNUMBER(SEARCH("R39",G39)),0)+IFERROR(--ISNUMBER(SEARCH("R40",G39)),0)+IFERROR(--ISNUMBER(SEARCH("R41",G39)),0)+IFERROR(--ISNUMBER(SEARCH("R42",G39)),0)+IFERROR(--ISNUMBER(SEARCH("R43",G39)),0)+IFERROR(--ISNUMBER(SEARCH("R44",G39)),0)+IFERROR(--ISNUMBER(SEARCH("R45",G39)),0)+IFERROR(--ISNUMBER(SEARCH("R46",G39)),0)+IFERROR(--ISNUMBER(SEARCH("R47",G39)),0)+IFERROR(--ISNUMBER(SEARCH("R48",G39)),0)+IFERROR(--ISNUMBER(SEARCH("R49",G39)),0)+IFERROR(--ISNUMBER(SEARCH("R50",G39)),0)+IFERROR(--ISNUMBER(SEARCH("R51",G39)),0)+IFERROR(--ISNUMBER(SEARCH("R52",G39)),0)+IFERROR(--ISNUMBER(SEARCH("R53",G39)),0)+IFERROR(--ISNUMBER(SEARCH("R54",G39)),0)+IFERROR(--ISNUMBER(SEARCH("R55",G39)),0)+IFERROR(--ISNUMBER(SEARCH("R56",G39)),0)+IFERROR(--ISNUMBER(SEARCH("R57",G39)),0)+IFERROR(--ISNUMBER(SEARCH("R58",G39)),0)+IFERROR(--ISNUMBER(SEARCH("R59",G39)),0)+IFERROR(--ISNUMBER(SEARCH("R60",G39)),0)+IFERROR(--ISNUMBER(SEARCH("R61",G39)),0)+IFERROR(--ISNUMBER(SEARCH("R62",G39)),0)+IFERROR(--ISNUMBER(SEARCH("R63",G39)),0)+IFERROR(--ISNUMBER(SEARCH("R64",G39)),0)+IFERROR(--ISNUMBER(SEARCH("R65",G39)),0)+IFERROR(--ISNUMBER(SEARCH("R66",G39)),0)+IFERROR(--ISNUMBER(SEARCH("R67",G39)),0)+IFERROR(--ISNUMBER(SEARCH("R68",G39)),0)+IFERROR(--ISNUMBER(SEARCH("R69",G39)),0)+IFERROR(--ISNUMBER(SEARCH("R70",G39)),0)+IFERROR(--ISNUMBER(SEARCH("R71",G39)),0)+IFERROR(--ISNUMBER(SEARCH("R72",G39)),0)+IFERROR(--ISNUMBER(SEARCH("R73",G39)),0)+IFERROR(--ISNUMBER(SEARCH("R74",G39)),0)+IFERROR(--ISNUMBER(SEARCH("R75",G39)),0)+IFERROR(--ISNUMBER(SEARCH("R76",G39)),0)+IFERROR(--ISNUMBER(SEARCH("R77",G39)),0)+IFERROR(--ISNUMBER(SEARCH("R78",G39)),0)+IFERROR(--ISNUMBER(SEARCH("R79",G39)),0)+IFERROR(--ISNUMBER(SEARCH("R80",G39)),0)+IFERROR(--ISNUMBER(SEARCH("R81",G39)),0)+IFERROR(--ISNUMBER(SEARCH("R82",G39)),0)+IFERROR(--ISNUMBER(SEARCH("R83",G39)),0)+IFERROR(--ISNUMBER(SEARCH("R84",G39)),0)+IFERROR(--ISNUMBER(SEARCH("R85",G39)),0)+IFERROR(--ISNUMBER(SEARCH("R86",G39)),0)+IFERROR(--ISNUMBER(SEARCH("R87",G39)),0)+IFERROR(--ISNUMBER(SEARCH("R88",G39)),0)+IFERROR(--ISNUMBER(SEARCH("R89",G39)),0)+IFERROR(--ISNUMBER(SEARCH("R90",G39)),0)+IFERROR(--ISNUMBER(SEARCH("R91",G39)),0)+IFERROR(--ISNUMBER(SEARCH("R92",G39)),0)+IFERROR(--ISNUMBER(SEARCH("R93",G39)),0)+IFERROR(--ISNUMBER(SEARCH("R94",G39)),0)+IFERROR(--ISNUMBER(SEARCH("R95",G39)),0)+IFERROR(--ISNUMBER(SEARCH("R96",G39)),0)+IFERROR(--ISNUMBER(SEARCH("R97",G39)),0)+IFERROR(--ISNUMBER(SEARCH("R98",G39)),0)+IFERROR(--ISNUMBER(SEARCH("R99",G39)),0)+IFERROR(--ISNUMBER(SEARCH("R100",G39)),0)+IFERROR(--ISNUMBER(SEARCH("R101",G39)),0)+IFERROR(--ISNUMBER(SEARCH("R102",G39)),0)+IFERROR(--ISNUMBER(SEARCH("R103",G39)),0)+IFERROR(--ISNUMBER(SEARCH("R104",G39)),0)+IFERROR(--ISNUMBER(SEARCH("R105",G39)),0)+IFERROR(--ISNUMBER(SEARCH("R106",G39)),0)+IFERROR(--ISNUMBER(SEARCH("R107",G39)),0)+IFERROR(--ISNUMBER(SEARCH("R108",G39)),0)+IFERROR(--ISNUMBER(SEARCH("R109",G39)),0)+IFERROR(--ISNUMBER(SEARCH("R110",G39)),0)+IFERROR(--ISNUMBER(SEARCH("R111",G39)),0)+IFERROR(--ISNUMBER(SEARCH("R112",G39)),0)+IFERROR(--ISNUMBER(SEARCH("R113",G39)),0)+IFERROR(--ISNUMBER(SEARCH("R114",G39)),0)+IFERROR(--ISNUMBER(SEARCH("R115",G39)),0)+IFERROR(--ISNUMBER(SEARCH("R116",G39)),0)+IFERROR(--ISNUMBER(SEARCH("R117",G39)),0)+IFERROR(--ISNUMBER(SEARCH("R118",G39)),0)+IFERROR(--ISNUMBER(SEARCH("R119",G39)),0)+IFERROR(--ISNUMBER(SEARCH("R120",G39)),0)+IFERROR(--ISNUMBER(SEARCH("R121",G39)),0)+IFERROR(--ISNUMBER(SEARCH("R122",G39)),0)+IFERROR(--ISNUMBER(SEARCH("R123",G39)),0)+IFERROR(--ISNUMBER(SEARCH("R124",G39)),0)+IFERROR(--ISNUMBER(SEARCH("R125",G39)),0)+IFERROR(--ISNUMBER(SEARCH("R126",G39)),0)+IFERROR(--ISNUMBER(SEARCH("R127",G39)),0)+IFERROR(--ISNUMBER(SEARCH("R128",G39)),0)+IFERROR(--ISNUMBER(SEARCH("R129",G39)),0)+IFERROR(--ISNUMBER(SEARCH("R130",G39)),0)+IFERROR(--ISNUMBER(SEARCH("R131",G39)),0)+IFERROR(--ISNUMBER(SEARCH("R132",G39)),0)+IFERROR(--ISNUMBER(SEARCH("R133",G39)),0)+IFERROR(--ISNUMBER(SEARCH("R134",G39)),0)+IFERROR(--ISNUMBER(SEARCH("R135",G39)),0)+IFERROR(--ISNUMBER(SEARCH("R136",G39)),0)+IFERROR(--ISNUMBER(SEARCH("R137",G39)),0)+IFERROR(--ISNUMBER(SEARCH("R138",G39)),0)+IFERROR(--ISNUMBER(SEARCH("R139",G39)),0)+IFERROR(--ISNUMBER(SEARCH("R140",G39)),0)+IFERROR(--ISNUMBER(SEARCH("R141",G39)),0))</f>
        <v/>
      </c>
      <c r="T39" s="58">
        <f>IF(A39="","",IFERROR(--ISNUMBER(SEARCH("R28",G39)),0)+IFERROR(--ISNUMBER(SEARCH("R29",G39)),0)+IFERROR(--ISNUMBER(SEARCH("R30",G39)),0)+IFERROR(--ISNUMBER(SEARCH("R32",G39)),0)+IFERROR(--ISNUMBER(SEARCH("R33",G39)),0)+IFERROR(--ISNUMBER(SEARCH("R35",G39)),0)+IFERROR(--ISNUMBER(SEARCH("R36",G39)),0)+IFERROR(--ISNUMBER(SEARCH("R38",G39)),0)+IFERROR(--ISNUMBER(SEARCH("R39",G39)),0)+IFERROR(--ISNUMBER(SEARCH("R43",G39)),0)+IFERROR(--ISNUMBER(SEARCH("R44",G39)),0)+IFERROR(--ISNUMBER(SEARCH("R45",G39)),0)+IFERROR(--ISNUMBER(SEARCH("R47",G39)),0)+IFERROR(--ISNUMBER(SEARCH("R48",G39)),0)+IFERROR(--ISNUMBER(SEARCH("R50",G39)),0)+IFERROR(--ISNUMBER(SEARCH("R51",G39)),0)+IFERROR(--ISNUMBER(SEARCH("R56",G39)),0)+IFERROR(--ISNUMBER(SEARCH("R58",G39)),0)+IFERROR(--ISNUMBER(SEARCH("R59",G39)),0)+IFERROR(--ISNUMBER(SEARCH("R60",G39)),0)+IFERROR(--ISNUMBER(SEARCH("R62",G39)),0)+IFERROR(--ISNUMBER(SEARCH("R63",G39)),0)+IFERROR(--ISNUMBER(SEARCH("R64",G39)),0)+IFERROR(--ISNUMBER(SEARCH("R66",G39)),0)+IFERROR(--ISNUMBER(SEARCH("R67",G39)),0)+IFERROR(--ISNUMBER(SEARCH("R72",G39)),0)+IFERROR(--ISNUMBER(SEARCH("R74",G39)),0)+IFERROR(--ISNUMBER(SEARCH("R75",G39)),0)+IFERROR(--ISNUMBER(SEARCH("R76",G39)),0)+IFERROR(--ISNUMBER(SEARCH("R77",G39)),0)+IFERROR(--ISNUMBER(SEARCH("R79",G39)),0)+IFERROR(--ISNUMBER(SEARCH("R80",G39)),0)+IFERROR(--ISNUMBER(SEARCH("R81",G39)),0)+IFERROR(--ISNUMBER(SEARCH("R83",G39)),0)+IFERROR(--ISNUMBER(SEARCH("R84",G39)),0)+IFERROR(--ISNUMBER(SEARCH("R89",G39)),0)+IFERROR(--ISNUMBER(SEARCH("R94",G39)),0)+IFERROR(--ISNUMBER(SEARCH("R95",G39)),0)+IFERROR(--ISNUMBER(SEARCH("R96",G39)),0)+IFERROR(--ISNUMBER(SEARCH("R98",G39)),0)+IFERROR(--ISNUMBER(SEARCH("R99",G39)),0)+IFERROR(--ISNUMBER(SEARCH("R100",G39)),0)+IFERROR(--ISNUMBER(SEARCH("R104",G39)),0)+IFERROR(--ISNUMBER(SEARCH("R105",G39)),0)+IFERROR(--ISNUMBER(SEARCH("R107",G39)),0)+IFERROR(--ISNUMBER(SEARCH("R108",G39)),0)+IFERROR(--ISNUMBER(SEARCH("R109",G39)),0)+IFERROR(--ISNUMBER(SEARCH("R110",G39)),0)+IFERROR(--ISNUMBER(SEARCH("R112",G39)),0)+IFERROR(--ISNUMBER(SEARCH("R113",G39)),0)+IFERROR(--ISNUMBER(SEARCH("R114",G39)),0)+IFERROR(--ISNUMBER(SEARCH("R118",G39)),0)+IFERROR(--ISNUMBER(SEARCH("R119",G39)),0)+IFERROR(--ISNUMBER(SEARCH("R120",G39)),0)+IFERROR(--ISNUMBER(SEARCH("R122",G39)),0)+IFERROR(--ISNUMBER(SEARCH("R123",G39)),0)+IFERROR(--ISNUMBER(SEARCH("R124",G39)),0)+IFERROR(--ISNUMBER(SEARCH("R128",G39)),0)+IFERROR(--ISNUMBER(SEARCH("R130",G39)),0)+IFERROR(--ISNUMBER(SEARCH("R131",G39)),0)+IFERROR(--ISNUMBER(SEARCH("R132",G39)),0)+IFERROR(--ISNUMBER(SEARCH("R135",G39)),0)+IFERROR(--ISNUMBER(SEARCH("R138",G39)),0)+IFERROR(--ISNUMBER(SEARCH("R141",G39)),0))</f>
        <v/>
      </c>
      <c r="U39" s="58">
        <f>IF(A39="","",IFERROR(--ISNUMBER(SEARCH("R28",G39))*28,0)+IFERROR(--ISNUMBER(SEARCH("R29",G39))*29,0)+IFERROR(--ISNUMBER(SEARCH("R30",G39))*30,0)+IFERROR(--ISNUMBER(SEARCH("R31",G39))*31,0)+IFERROR(--ISNUMBER(SEARCH("R32",G39))*32,0)+IFERROR(--ISNUMBER(SEARCH("R33",G39))*33,0)+IFERROR(--ISNUMBER(SEARCH("R34",G39))*34,0)+IFERROR(--ISNUMBER(SEARCH("R35",G39))*35,0)+IFERROR(--ISNUMBER(SEARCH("R36",G39))*36,0)+IFERROR(--ISNUMBER(SEARCH("R37",G39))*37,0)+IFERROR(--ISNUMBER(SEARCH("R38",G39))*38,0)+IFERROR(--ISNUMBER(SEARCH("R39",G39))*39,0)+IFERROR(--ISNUMBER(SEARCH("R40",G39))*40,0)+IFERROR(--ISNUMBER(SEARCH("R41",G39))*41,0)+IFERROR(--ISNUMBER(SEARCH("R42",G39))*42,0)+IFERROR(--ISNUMBER(SEARCH("R43",G39))*43,0)+IFERROR(--ISNUMBER(SEARCH("R44",G39))*44,0)+IFERROR(--ISNUMBER(SEARCH("R45",G39))*45,0)+IFERROR(--ISNUMBER(SEARCH("R46",G39))*46,0)+IFERROR(--ISNUMBER(SEARCH("R47",G39))*47,0)+IFERROR(--ISNUMBER(SEARCH("R48",G39))*48,0)+IFERROR(--ISNUMBER(SEARCH("R49",G39))*49,0)+IFERROR(--ISNUMBER(SEARCH("R50",G39))*50,0)+IFERROR(--ISNUMBER(SEARCH("R51",G39))*51,0)+IFERROR(--ISNUMBER(SEARCH("R52",G39))*52,0)+IFERROR(--ISNUMBER(SEARCH("R53",G39))*53,0)+IFERROR(--ISNUMBER(SEARCH("R54",G39))*54,0)+IFERROR(--ISNUMBER(SEARCH("R55",G39))*55,0)+IFERROR(--ISNUMBER(SEARCH("R56",G39))*56,0)+IFERROR(--ISNUMBER(SEARCH("R57",G39))*57,0)+IFERROR(--ISNUMBER(SEARCH("R58",G39))*58,0)+IFERROR(--ISNUMBER(SEARCH("R59",G39))*59,0)+IFERROR(--ISNUMBER(SEARCH("R60",G39))*60,0)+IFERROR(--ISNUMBER(SEARCH("R61",G39))*61,0)+IFERROR(--ISNUMBER(SEARCH("R62",G39))*62,0)+IFERROR(--ISNUMBER(SEARCH("R63",G39))*63,0)+IFERROR(--ISNUMBER(SEARCH("R64",G39))*64,0)+IFERROR(--ISNUMBER(SEARCH("R65",G39))*65,0)+IFERROR(--ISNUMBER(SEARCH("R66",G39))*66,0)+IFERROR(--ISNUMBER(SEARCH("R67",G39))*67,0)+IFERROR(--ISNUMBER(SEARCH("R68",G39))*68,0)+IFERROR(--ISNUMBER(SEARCH("R69",G39))*69,0)+IFERROR(--ISNUMBER(SEARCH("R70",G39))*70,0)+IFERROR(--ISNUMBER(SEARCH("R71",G39))*71,0)+IFERROR(--ISNUMBER(SEARCH("R72",G39))*72,0)+IFERROR(--ISNUMBER(SEARCH("R73",G39))*73,0)+IFERROR(--ISNUMBER(SEARCH("R74",G39))*74,0)+IFERROR(--ISNUMBER(SEARCH("R75",G39))*75,0)+IFERROR(--ISNUMBER(SEARCH("R76",G39))*76,0)+IFERROR(--ISNUMBER(SEARCH("R77",G39))*77,0)+IFERROR(--ISNUMBER(SEARCH("R78",G39))*78,0)+IFERROR(--ISNUMBER(SEARCH("R79",G39))*79,0)+IFERROR(--ISNUMBER(SEARCH("R80",G39))*80,0)+IFERROR(--ISNUMBER(SEARCH("R81",G39))*81,0)+IFERROR(--ISNUMBER(SEARCH("R82",G39))*82,0)+IFERROR(--ISNUMBER(SEARCH("R83",G39))*83,0)+IFERROR(--ISNUMBER(SEARCH("R84",G39))*84,0)+IFERROR(--ISNUMBER(SEARCH("R85",G39))*85,0)+IFERROR(--ISNUMBER(SEARCH("R86",G39))*86,0)+IFERROR(--ISNUMBER(SEARCH("R87",G39))*87,0)+IFERROR(--ISNUMBER(SEARCH("R88",G39))*88,0)+IFERROR(--ISNUMBER(SEARCH("R89",G39))*89,0)+IFERROR(--ISNUMBER(SEARCH("R90",G39))*90,0)+IFERROR(--ISNUMBER(SEARCH("R91",G39))*91,0)+IFERROR(--ISNUMBER(SEARCH("R92",G39))*92,0)+IFERROR(--ISNUMBER(SEARCH("R93",G39))*93,0)+IFERROR(--ISNUMBER(SEARCH("R94",G39))*94,0)+IFERROR(--ISNUMBER(SEARCH("R95",G39))*95,0)+IFERROR(--ISNUMBER(SEARCH("R96",G39))*96,0)+IFERROR(--ISNUMBER(SEARCH("R97",G39))*97,0)+IFERROR(--ISNUMBER(SEARCH("R98",G39))*98,0)+IFERROR(--ISNUMBER(SEARCH("R99",G39))*99,0)+IFERROR(--ISNUMBER(SEARCH("R100",G39))*100,0)+IFERROR(--ISNUMBER(SEARCH("R101",G39))*101,0)+IFERROR(--ISNUMBER(SEARCH("R102",G39))*102,0)+IFERROR(--ISNUMBER(SEARCH("R103",G39))*103,0)+IFERROR(--ISNUMBER(SEARCH("R104",G39))*104,0)+IFERROR(--ISNUMBER(SEARCH("R105",G39))*105,0)+IFERROR(--ISNUMBER(SEARCH("R106",G39))*106,0)+IFERROR(--ISNUMBER(SEARCH("R107",G39))*107,0)+IFERROR(--ISNUMBER(SEARCH("R108",G39))*108,0)+IFERROR(--ISNUMBER(SEARCH("R109",G39))*109,0)+IFERROR(--ISNUMBER(SEARCH("R110",G39))*110,0)+IFERROR(--ISNUMBER(SEARCH("R111",G39))*111,0)+IFERROR(--ISNUMBER(SEARCH("R112",G39))*112,0)+IFERROR(--ISNUMBER(SEARCH("R113",G39))*113,0)+IFERROR(--ISNUMBER(SEARCH("R114",G39))*114,0)+IFERROR(--ISNUMBER(SEARCH("R115",G39))*115,0)+IFERROR(--ISNUMBER(SEARCH("R116",G39))*116,0)+IFERROR(--ISNUMBER(SEARCH("R117",G39))*117,0)+IFERROR(--ISNUMBER(SEARCH("R118",G39))*118,0)+IFERROR(--ISNUMBER(SEARCH("R119",G39))*119,0)+IFERROR(--ISNUMBER(SEARCH("R120",G39))*120,0)+IFERROR(--ISNUMBER(SEARCH("R121",G39))*121,0)+IFERROR(--ISNUMBER(SEARCH("R122",G39))*122,0)+IFERROR(--ISNUMBER(SEARCH("R123",G39))*123,0)+IFERROR(--ISNUMBER(SEARCH("R124",G39))*124,0)+IFERROR(--ISNUMBER(SEARCH("R125",G39))*125,0)+IFERROR(--ISNUMBER(SEARCH("R126",G39))*126,0)+IFERROR(--ISNUMBER(SEARCH("R127",G39))*127,0)+IFERROR(--ISNUMBER(SEARCH("R128",G39))*128,0)+IFERROR(--ISNUMBER(SEARCH("R129",G39))*129,0)+IFERROR(--ISNUMBER(SEARCH("R130",G39))*130,0)+IFERROR(--ISNUMBER(SEARCH("R131",G39))*131,0)+IFERROR(--ISNUMBER(SEARCH("R132",G39))*132,0)+IFERROR(--ISNUMBER(SEARCH("R133",G39))*133,0)+IFERROR(--ISNUMBER(SEARCH("R134",G39))*134,0)+IFERROR(--ISNUMBER(SEARCH("R135",G39))*135,0)+IFERROR(--ISNUMBER(SEARCH("R136",G39))*136,0)+IFERROR(--ISNUMBER(SEARCH("R137",G39))*137,0)+IFERROR(--ISNUMBER(SEARCH("R138",G39))*138,0)+IFERROR(--ISNUMBER(SEARCH("R139",G39))*139,0)+IFERROR(--ISNUMBER(SEARCH("R140",G39))*140,0)+IFERROR(--ISNUMBER(SEARCH("R141",G39))*141,0))</f>
        <v/>
      </c>
      <c r="V39" s="59">
        <f>IF(A39="","",IF(K39&lt;&gt;"",K39,J39))</f>
        <v/>
      </c>
      <c r="W39" s="59">
        <f>IF(A39="","",IF(AND(V39=29,O39&lt;&gt;"",COUNTIFS($V$6:$V$505,29,$F$6:$F$505,F39,$C$6:$C$505,C39,$O$6:$O$505,"&lt;&gt;")&gt;1),IF(COUNTIFS($V$6:V39,29,$F$6:F39,F39,$C$6:C39,C39,$O$6:O39,"&lt;&gt;")=1,"Esta es la fila que se debe CONSERVAR (aparición 1 de "&amp;COUNTIFS($V$6:$V$505,29,$F$6:$F$505,F39,$C$6:$C$505,C39,$O$6:$O$505,"&lt;&gt;")&amp;" con el mismo tercero y valor, casilla 29). Si hay más filas iguales, bórreles el valor a ELLAS, no a esta.","DUPLICADO — ya existe otra fila con el mismo tercero y valor para casilla 29 (aparición "&amp;COUNTIFS($V$6:V39,29,$F$6:F39,F39,$C$6:C39,C39,$O$6:O39,"&lt;&gt;")&amp;" de "&amp;COUNTIFS($V$6:$V$505,29,$F$6:$F$505,F39,$C$6:$C$505,C39,$O$6:$O$505,"&lt;&gt;")&amp;"). Para resolverlo: seleccione la celda O"&amp;ROW()&amp;" (columna Valor a declarar de ESTA fila) y presione Supr."),""))</f>
        <v/>
      </c>
      <c r="X39" s="463">
        <f>IF(A39="","",F39)</f>
        <v/>
      </c>
      <c r="Y39" s="463">
        <f>IF(A39="","",SUMIF(Entrada_Manual!$I$88:$I$187,A39,Entrada_Manual!$F$88:$F$187))</f>
        <v/>
      </c>
      <c r="Z39" s="463">
        <f>IF(A39="","",X39-Y39)</f>
        <v/>
      </c>
      <c r="AA39">
        <f>IF(A39="","",SUMPRODUCT((Entrada_Manual!$I$88:$I$187=A39)*1))</f>
        <v/>
      </c>
      <c r="AB39">
        <f>IF(A39="","",IF(S39&lt;=1,"",IF(AA39=0,"PENDIENTE — SIN ASIGNAR",IF(Z39=0,"RESUELTO","PARCIAL — DIFERENCIA "&amp;TEXT(Z39,"#,##0")))))</f>
        <v/>
      </c>
    </row>
    <row r="40" ht="28.5" customHeight="1" s="235">
      <c r="A40" s="47">
        <f>IF(Exogena_RAW!E49&lt;&gt;"",ROW()-5,"")</f>
        <v/>
      </c>
      <c r="B40" s="48">
        <f>IF(A40="","",49)</f>
        <v/>
      </c>
      <c r="C40" s="48">
        <f>IF(A40="","",IFERROR(Exogena_RAW!A49,""))</f>
        <v/>
      </c>
      <c r="D40" s="48">
        <f>IF(A40="","",IFERROR(Exogena_RAW!B49,""))</f>
        <v/>
      </c>
      <c r="E40" s="48">
        <f>IF(A40="","",Exogena_RAW!E49)</f>
        <v/>
      </c>
      <c r="F40" s="461">
        <f>IF(A40="","",Exogena_RAW!F49)</f>
        <v/>
      </c>
      <c r="G40" s="48">
        <f>IF(A40="","",IFERROR(Exogena_RAW!G49,""))</f>
        <v/>
      </c>
      <c r="H40" s="48">
        <f>IF(A40="","",IFERROR(Exogena_RAW!H49,""))</f>
        <v/>
      </c>
      <c r="I40" s="48">
        <f>IF(A40="","",IFERROR(IF(S40&gt;1,"VARIAS CASILLAS",IF(S40=1,IF(T40=1,"PROPUESTA DE CASILLA","REVISIÓN: CASILLA NO DIRECTA"),IF(OR(ISNUMBER(SEARCH("TOPE",UPPER(E40))),ISNUMBER(SEARCH("TOPE",UPPER(G40)))),"SOLO CONTROL",IF(ISNUMBER(SEARCH("RETEN",UPPER(E40))),"RETENCIÓN","REVISAR")))),"REVISAR"))</f>
        <v/>
      </c>
      <c r="J40" s="61">
        <f>IF(A40="","",IF(ISNUMBER(SEARCH("ingreso laboral promedio de los últimos seis meses",E40)),"",IFERROR(IF(AND(S40=1,T40=1),U40,""),"")))</f>
        <v/>
      </c>
      <c r="K40" s="216" t="n"/>
      <c r="L40" s="48">
        <f>IF(A40="","",IFERROR(IF(K40&lt;&gt;"","Casilla elegida por usuario",IF(S40&gt;1,"Varias casillas — elegir en K",IF(J40&lt;&gt;"","Sugerencia directa",IF(S40=1,"No trasladar directo — revisar",IF(OR(ISNUMBER(SEARCH("TOPE",UPPER(E40))),ISNUMBER(SEARCH("TOPE",UPPER(G40)))),"Solo control","Revisar manualmente"))))),"Revisar manualmente"))</f>
        <v/>
      </c>
      <c r="M40" s="461">
        <f>IF(A40="","",IF(IF(K40&lt;&gt;"",K40,J40)="",0,IF(COUNTIFS(Reglas!$I$5:$I$118,IF(K40&lt;&gt;"",K40,J40),Reglas!$J$5:$J$118,"Sí")=1,F40,0)))</f>
        <v/>
      </c>
      <c r="N40" s="56" t="n"/>
      <c r="O40" s="462">
        <f>IF(A40="","",IF(M40=0,"",M40))</f>
        <v/>
      </c>
      <c r="P40" s="461">
        <f>IF(A40="","",IF(O40="",0,IF(ISNUMBER(O40),O40,0)))</f>
        <v/>
      </c>
      <c r="Q40" s="48">
        <f>IF(A40="","",IF(Exogena_RAW!$C$4="","BLOQUEADO: FALTA AÑO",IF(Exogena_RAW!$K$10&lt;&gt;Reglas!$B$5,"BLOQUEADO: AÑO",IF(IF(K40&lt;&gt;"",K40,J40)="",IF(S40&gt;1,"REQUIERE ASIGNACIÓN MANUAL (VARIAS CASILLAS)","INFORMATIVO (sin casilla — no se declara)"),IF(COUNTIFS(Reglas!$I$5:$I$118,IF(K40&lt;&gt;"",K40,J40),Reglas!$J$5:$J$118,"Sí")=0,"BLOQUEADO: CASILLA NO DIRECTA",IF(O40="","EXCLUIDO (valor borrado por el usuario)",IF(_xlfn.ISFORMULA(O40),IF(W40&lt;&gt;"","BORRADOR — VALOR SUGERIDO DIAN ⚠ VER ALERTA","BORRADOR — VALOR SUGERIDO DIAN"),IF(W40&lt;&gt;"","ACEPTADO ⚠ VER ALERTA","ACEPTADO"))))))))</f>
        <v/>
      </c>
      <c r="R40" s="218" t="n"/>
      <c r="S40" s="58">
        <f>IF(A40="","",IFERROR(--ISNUMBER(SEARCH("R28",G40)),0)+IFERROR(--ISNUMBER(SEARCH("R29",G40)),0)+IFERROR(--ISNUMBER(SEARCH("R30",G40)),0)+IFERROR(--ISNUMBER(SEARCH("R31",G40)),0)+IFERROR(--ISNUMBER(SEARCH("R32",G40)),0)+IFERROR(--ISNUMBER(SEARCH("R33",G40)),0)+IFERROR(--ISNUMBER(SEARCH("R34",G40)),0)+IFERROR(--ISNUMBER(SEARCH("R35",G40)),0)+IFERROR(--ISNUMBER(SEARCH("R36",G40)),0)+IFERROR(--ISNUMBER(SEARCH("R37",G40)),0)+IFERROR(--ISNUMBER(SEARCH("R38",G40)),0)+IFERROR(--ISNUMBER(SEARCH("R39",G40)),0)+IFERROR(--ISNUMBER(SEARCH("R40",G40)),0)+IFERROR(--ISNUMBER(SEARCH("R41",G40)),0)+IFERROR(--ISNUMBER(SEARCH("R42",G40)),0)+IFERROR(--ISNUMBER(SEARCH("R43",G40)),0)+IFERROR(--ISNUMBER(SEARCH("R44",G40)),0)+IFERROR(--ISNUMBER(SEARCH("R45",G40)),0)+IFERROR(--ISNUMBER(SEARCH("R46",G40)),0)+IFERROR(--ISNUMBER(SEARCH("R47",G40)),0)+IFERROR(--ISNUMBER(SEARCH("R48",G40)),0)+IFERROR(--ISNUMBER(SEARCH("R49",G40)),0)+IFERROR(--ISNUMBER(SEARCH("R50",G40)),0)+IFERROR(--ISNUMBER(SEARCH("R51",G40)),0)+IFERROR(--ISNUMBER(SEARCH("R52",G40)),0)+IFERROR(--ISNUMBER(SEARCH("R53",G40)),0)+IFERROR(--ISNUMBER(SEARCH("R54",G40)),0)+IFERROR(--ISNUMBER(SEARCH("R55",G40)),0)+IFERROR(--ISNUMBER(SEARCH("R56",G40)),0)+IFERROR(--ISNUMBER(SEARCH("R57",G40)),0)+IFERROR(--ISNUMBER(SEARCH("R58",G40)),0)+IFERROR(--ISNUMBER(SEARCH("R59",G40)),0)+IFERROR(--ISNUMBER(SEARCH("R60",G40)),0)+IFERROR(--ISNUMBER(SEARCH("R61",G40)),0)+IFERROR(--ISNUMBER(SEARCH("R62",G40)),0)+IFERROR(--ISNUMBER(SEARCH("R63",G40)),0)+IFERROR(--ISNUMBER(SEARCH("R64",G40)),0)+IFERROR(--ISNUMBER(SEARCH("R65",G40)),0)+IFERROR(--ISNUMBER(SEARCH("R66",G40)),0)+IFERROR(--ISNUMBER(SEARCH("R67",G40)),0)+IFERROR(--ISNUMBER(SEARCH("R68",G40)),0)+IFERROR(--ISNUMBER(SEARCH("R69",G40)),0)+IFERROR(--ISNUMBER(SEARCH("R70",G40)),0)+IFERROR(--ISNUMBER(SEARCH("R71",G40)),0)+IFERROR(--ISNUMBER(SEARCH("R72",G40)),0)+IFERROR(--ISNUMBER(SEARCH("R73",G40)),0)+IFERROR(--ISNUMBER(SEARCH("R74",G40)),0)+IFERROR(--ISNUMBER(SEARCH("R75",G40)),0)+IFERROR(--ISNUMBER(SEARCH("R76",G40)),0)+IFERROR(--ISNUMBER(SEARCH("R77",G40)),0)+IFERROR(--ISNUMBER(SEARCH("R78",G40)),0)+IFERROR(--ISNUMBER(SEARCH("R79",G40)),0)+IFERROR(--ISNUMBER(SEARCH("R80",G40)),0)+IFERROR(--ISNUMBER(SEARCH("R81",G40)),0)+IFERROR(--ISNUMBER(SEARCH("R82",G40)),0)+IFERROR(--ISNUMBER(SEARCH("R83",G40)),0)+IFERROR(--ISNUMBER(SEARCH("R84",G40)),0)+IFERROR(--ISNUMBER(SEARCH("R85",G40)),0)+IFERROR(--ISNUMBER(SEARCH("R86",G40)),0)+IFERROR(--ISNUMBER(SEARCH("R87",G40)),0)+IFERROR(--ISNUMBER(SEARCH("R88",G40)),0)+IFERROR(--ISNUMBER(SEARCH("R89",G40)),0)+IFERROR(--ISNUMBER(SEARCH("R90",G40)),0)+IFERROR(--ISNUMBER(SEARCH("R91",G40)),0)+IFERROR(--ISNUMBER(SEARCH("R92",G40)),0)+IFERROR(--ISNUMBER(SEARCH("R93",G40)),0)+IFERROR(--ISNUMBER(SEARCH("R94",G40)),0)+IFERROR(--ISNUMBER(SEARCH("R95",G40)),0)+IFERROR(--ISNUMBER(SEARCH("R96",G40)),0)+IFERROR(--ISNUMBER(SEARCH("R97",G40)),0)+IFERROR(--ISNUMBER(SEARCH("R98",G40)),0)+IFERROR(--ISNUMBER(SEARCH("R99",G40)),0)+IFERROR(--ISNUMBER(SEARCH("R100",G40)),0)+IFERROR(--ISNUMBER(SEARCH("R101",G40)),0)+IFERROR(--ISNUMBER(SEARCH("R102",G40)),0)+IFERROR(--ISNUMBER(SEARCH("R103",G40)),0)+IFERROR(--ISNUMBER(SEARCH("R104",G40)),0)+IFERROR(--ISNUMBER(SEARCH("R105",G40)),0)+IFERROR(--ISNUMBER(SEARCH("R106",G40)),0)+IFERROR(--ISNUMBER(SEARCH("R107",G40)),0)+IFERROR(--ISNUMBER(SEARCH("R108",G40)),0)+IFERROR(--ISNUMBER(SEARCH("R109",G40)),0)+IFERROR(--ISNUMBER(SEARCH("R110",G40)),0)+IFERROR(--ISNUMBER(SEARCH("R111",G40)),0)+IFERROR(--ISNUMBER(SEARCH("R112",G40)),0)+IFERROR(--ISNUMBER(SEARCH("R113",G40)),0)+IFERROR(--ISNUMBER(SEARCH("R114",G40)),0)+IFERROR(--ISNUMBER(SEARCH("R115",G40)),0)+IFERROR(--ISNUMBER(SEARCH("R116",G40)),0)+IFERROR(--ISNUMBER(SEARCH("R117",G40)),0)+IFERROR(--ISNUMBER(SEARCH("R118",G40)),0)+IFERROR(--ISNUMBER(SEARCH("R119",G40)),0)+IFERROR(--ISNUMBER(SEARCH("R120",G40)),0)+IFERROR(--ISNUMBER(SEARCH("R121",G40)),0)+IFERROR(--ISNUMBER(SEARCH("R122",G40)),0)+IFERROR(--ISNUMBER(SEARCH("R123",G40)),0)+IFERROR(--ISNUMBER(SEARCH("R124",G40)),0)+IFERROR(--ISNUMBER(SEARCH("R125",G40)),0)+IFERROR(--ISNUMBER(SEARCH("R126",G40)),0)+IFERROR(--ISNUMBER(SEARCH("R127",G40)),0)+IFERROR(--ISNUMBER(SEARCH("R128",G40)),0)+IFERROR(--ISNUMBER(SEARCH("R129",G40)),0)+IFERROR(--ISNUMBER(SEARCH("R130",G40)),0)+IFERROR(--ISNUMBER(SEARCH("R131",G40)),0)+IFERROR(--ISNUMBER(SEARCH("R132",G40)),0)+IFERROR(--ISNUMBER(SEARCH("R133",G40)),0)+IFERROR(--ISNUMBER(SEARCH("R134",G40)),0)+IFERROR(--ISNUMBER(SEARCH("R135",G40)),0)+IFERROR(--ISNUMBER(SEARCH("R136",G40)),0)+IFERROR(--ISNUMBER(SEARCH("R137",G40)),0)+IFERROR(--ISNUMBER(SEARCH("R138",G40)),0)+IFERROR(--ISNUMBER(SEARCH("R139",G40)),0)+IFERROR(--ISNUMBER(SEARCH("R140",G40)),0)+IFERROR(--ISNUMBER(SEARCH("R141",G40)),0))</f>
        <v/>
      </c>
      <c r="T40" s="58">
        <f>IF(A40="","",IFERROR(--ISNUMBER(SEARCH("R28",G40)),0)+IFERROR(--ISNUMBER(SEARCH("R29",G40)),0)+IFERROR(--ISNUMBER(SEARCH("R30",G40)),0)+IFERROR(--ISNUMBER(SEARCH("R32",G40)),0)+IFERROR(--ISNUMBER(SEARCH("R33",G40)),0)+IFERROR(--ISNUMBER(SEARCH("R35",G40)),0)+IFERROR(--ISNUMBER(SEARCH("R36",G40)),0)+IFERROR(--ISNUMBER(SEARCH("R38",G40)),0)+IFERROR(--ISNUMBER(SEARCH("R39",G40)),0)+IFERROR(--ISNUMBER(SEARCH("R43",G40)),0)+IFERROR(--ISNUMBER(SEARCH("R44",G40)),0)+IFERROR(--ISNUMBER(SEARCH("R45",G40)),0)+IFERROR(--ISNUMBER(SEARCH("R47",G40)),0)+IFERROR(--ISNUMBER(SEARCH("R48",G40)),0)+IFERROR(--ISNUMBER(SEARCH("R50",G40)),0)+IFERROR(--ISNUMBER(SEARCH("R51",G40)),0)+IFERROR(--ISNUMBER(SEARCH("R56",G40)),0)+IFERROR(--ISNUMBER(SEARCH("R58",G40)),0)+IFERROR(--ISNUMBER(SEARCH("R59",G40)),0)+IFERROR(--ISNUMBER(SEARCH("R60",G40)),0)+IFERROR(--ISNUMBER(SEARCH("R62",G40)),0)+IFERROR(--ISNUMBER(SEARCH("R63",G40)),0)+IFERROR(--ISNUMBER(SEARCH("R64",G40)),0)+IFERROR(--ISNUMBER(SEARCH("R66",G40)),0)+IFERROR(--ISNUMBER(SEARCH("R67",G40)),0)+IFERROR(--ISNUMBER(SEARCH("R72",G40)),0)+IFERROR(--ISNUMBER(SEARCH("R74",G40)),0)+IFERROR(--ISNUMBER(SEARCH("R75",G40)),0)+IFERROR(--ISNUMBER(SEARCH("R76",G40)),0)+IFERROR(--ISNUMBER(SEARCH("R77",G40)),0)+IFERROR(--ISNUMBER(SEARCH("R79",G40)),0)+IFERROR(--ISNUMBER(SEARCH("R80",G40)),0)+IFERROR(--ISNUMBER(SEARCH("R81",G40)),0)+IFERROR(--ISNUMBER(SEARCH("R83",G40)),0)+IFERROR(--ISNUMBER(SEARCH("R84",G40)),0)+IFERROR(--ISNUMBER(SEARCH("R89",G40)),0)+IFERROR(--ISNUMBER(SEARCH("R94",G40)),0)+IFERROR(--ISNUMBER(SEARCH("R95",G40)),0)+IFERROR(--ISNUMBER(SEARCH("R96",G40)),0)+IFERROR(--ISNUMBER(SEARCH("R98",G40)),0)+IFERROR(--ISNUMBER(SEARCH("R99",G40)),0)+IFERROR(--ISNUMBER(SEARCH("R100",G40)),0)+IFERROR(--ISNUMBER(SEARCH("R104",G40)),0)+IFERROR(--ISNUMBER(SEARCH("R105",G40)),0)+IFERROR(--ISNUMBER(SEARCH("R107",G40)),0)+IFERROR(--ISNUMBER(SEARCH("R108",G40)),0)+IFERROR(--ISNUMBER(SEARCH("R109",G40)),0)+IFERROR(--ISNUMBER(SEARCH("R110",G40)),0)+IFERROR(--ISNUMBER(SEARCH("R112",G40)),0)+IFERROR(--ISNUMBER(SEARCH("R113",G40)),0)+IFERROR(--ISNUMBER(SEARCH("R114",G40)),0)+IFERROR(--ISNUMBER(SEARCH("R118",G40)),0)+IFERROR(--ISNUMBER(SEARCH("R119",G40)),0)+IFERROR(--ISNUMBER(SEARCH("R120",G40)),0)+IFERROR(--ISNUMBER(SEARCH("R122",G40)),0)+IFERROR(--ISNUMBER(SEARCH("R123",G40)),0)+IFERROR(--ISNUMBER(SEARCH("R124",G40)),0)+IFERROR(--ISNUMBER(SEARCH("R128",G40)),0)+IFERROR(--ISNUMBER(SEARCH("R130",G40)),0)+IFERROR(--ISNUMBER(SEARCH("R131",G40)),0)+IFERROR(--ISNUMBER(SEARCH("R132",G40)),0)+IFERROR(--ISNUMBER(SEARCH("R135",G40)),0)+IFERROR(--ISNUMBER(SEARCH("R138",G40)),0)+IFERROR(--ISNUMBER(SEARCH("R141",G40)),0))</f>
        <v/>
      </c>
      <c r="U40" s="58">
        <f>IF(A40="","",IFERROR(--ISNUMBER(SEARCH("R28",G40))*28,0)+IFERROR(--ISNUMBER(SEARCH("R29",G40))*29,0)+IFERROR(--ISNUMBER(SEARCH("R30",G40))*30,0)+IFERROR(--ISNUMBER(SEARCH("R31",G40))*31,0)+IFERROR(--ISNUMBER(SEARCH("R32",G40))*32,0)+IFERROR(--ISNUMBER(SEARCH("R33",G40))*33,0)+IFERROR(--ISNUMBER(SEARCH("R34",G40))*34,0)+IFERROR(--ISNUMBER(SEARCH("R35",G40))*35,0)+IFERROR(--ISNUMBER(SEARCH("R36",G40))*36,0)+IFERROR(--ISNUMBER(SEARCH("R37",G40))*37,0)+IFERROR(--ISNUMBER(SEARCH("R38",G40))*38,0)+IFERROR(--ISNUMBER(SEARCH("R39",G40))*39,0)+IFERROR(--ISNUMBER(SEARCH("R40",G40))*40,0)+IFERROR(--ISNUMBER(SEARCH("R41",G40))*41,0)+IFERROR(--ISNUMBER(SEARCH("R42",G40))*42,0)+IFERROR(--ISNUMBER(SEARCH("R43",G40))*43,0)+IFERROR(--ISNUMBER(SEARCH("R44",G40))*44,0)+IFERROR(--ISNUMBER(SEARCH("R45",G40))*45,0)+IFERROR(--ISNUMBER(SEARCH("R46",G40))*46,0)+IFERROR(--ISNUMBER(SEARCH("R47",G40))*47,0)+IFERROR(--ISNUMBER(SEARCH("R48",G40))*48,0)+IFERROR(--ISNUMBER(SEARCH("R49",G40))*49,0)+IFERROR(--ISNUMBER(SEARCH("R50",G40))*50,0)+IFERROR(--ISNUMBER(SEARCH("R51",G40))*51,0)+IFERROR(--ISNUMBER(SEARCH("R52",G40))*52,0)+IFERROR(--ISNUMBER(SEARCH("R53",G40))*53,0)+IFERROR(--ISNUMBER(SEARCH("R54",G40))*54,0)+IFERROR(--ISNUMBER(SEARCH("R55",G40))*55,0)+IFERROR(--ISNUMBER(SEARCH("R56",G40))*56,0)+IFERROR(--ISNUMBER(SEARCH("R57",G40))*57,0)+IFERROR(--ISNUMBER(SEARCH("R58",G40))*58,0)+IFERROR(--ISNUMBER(SEARCH("R59",G40))*59,0)+IFERROR(--ISNUMBER(SEARCH("R60",G40))*60,0)+IFERROR(--ISNUMBER(SEARCH("R61",G40))*61,0)+IFERROR(--ISNUMBER(SEARCH("R62",G40))*62,0)+IFERROR(--ISNUMBER(SEARCH("R63",G40))*63,0)+IFERROR(--ISNUMBER(SEARCH("R64",G40))*64,0)+IFERROR(--ISNUMBER(SEARCH("R65",G40))*65,0)+IFERROR(--ISNUMBER(SEARCH("R66",G40))*66,0)+IFERROR(--ISNUMBER(SEARCH("R67",G40))*67,0)+IFERROR(--ISNUMBER(SEARCH("R68",G40))*68,0)+IFERROR(--ISNUMBER(SEARCH("R69",G40))*69,0)+IFERROR(--ISNUMBER(SEARCH("R70",G40))*70,0)+IFERROR(--ISNUMBER(SEARCH("R71",G40))*71,0)+IFERROR(--ISNUMBER(SEARCH("R72",G40))*72,0)+IFERROR(--ISNUMBER(SEARCH("R73",G40))*73,0)+IFERROR(--ISNUMBER(SEARCH("R74",G40))*74,0)+IFERROR(--ISNUMBER(SEARCH("R75",G40))*75,0)+IFERROR(--ISNUMBER(SEARCH("R76",G40))*76,0)+IFERROR(--ISNUMBER(SEARCH("R77",G40))*77,0)+IFERROR(--ISNUMBER(SEARCH("R78",G40))*78,0)+IFERROR(--ISNUMBER(SEARCH("R79",G40))*79,0)+IFERROR(--ISNUMBER(SEARCH("R80",G40))*80,0)+IFERROR(--ISNUMBER(SEARCH("R81",G40))*81,0)+IFERROR(--ISNUMBER(SEARCH("R82",G40))*82,0)+IFERROR(--ISNUMBER(SEARCH("R83",G40))*83,0)+IFERROR(--ISNUMBER(SEARCH("R84",G40))*84,0)+IFERROR(--ISNUMBER(SEARCH("R85",G40))*85,0)+IFERROR(--ISNUMBER(SEARCH("R86",G40))*86,0)+IFERROR(--ISNUMBER(SEARCH("R87",G40))*87,0)+IFERROR(--ISNUMBER(SEARCH("R88",G40))*88,0)+IFERROR(--ISNUMBER(SEARCH("R89",G40))*89,0)+IFERROR(--ISNUMBER(SEARCH("R90",G40))*90,0)+IFERROR(--ISNUMBER(SEARCH("R91",G40))*91,0)+IFERROR(--ISNUMBER(SEARCH("R92",G40))*92,0)+IFERROR(--ISNUMBER(SEARCH("R93",G40))*93,0)+IFERROR(--ISNUMBER(SEARCH("R94",G40))*94,0)+IFERROR(--ISNUMBER(SEARCH("R95",G40))*95,0)+IFERROR(--ISNUMBER(SEARCH("R96",G40))*96,0)+IFERROR(--ISNUMBER(SEARCH("R97",G40))*97,0)+IFERROR(--ISNUMBER(SEARCH("R98",G40))*98,0)+IFERROR(--ISNUMBER(SEARCH("R99",G40))*99,0)+IFERROR(--ISNUMBER(SEARCH("R100",G40))*100,0)+IFERROR(--ISNUMBER(SEARCH("R101",G40))*101,0)+IFERROR(--ISNUMBER(SEARCH("R102",G40))*102,0)+IFERROR(--ISNUMBER(SEARCH("R103",G40))*103,0)+IFERROR(--ISNUMBER(SEARCH("R104",G40))*104,0)+IFERROR(--ISNUMBER(SEARCH("R105",G40))*105,0)+IFERROR(--ISNUMBER(SEARCH("R106",G40))*106,0)+IFERROR(--ISNUMBER(SEARCH("R107",G40))*107,0)+IFERROR(--ISNUMBER(SEARCH("R108",G40))*108,0)+IFERROR(--ISNUMBER(SEARCH("R109",G40))*109,0)+IFERROR(--ISNUMBER(SEARCH("R110",G40))*110,0)+IFERROR(--ISNUMBER(SEARCH("R111",G40))*111,0)+IFERROR(--ISNUMBER(SEARCH("R112",G40))*112,0)+IFERROR(--ISNUMBER(SEARCH("R113",G40))*113,0)+IFERROR(--ISNUMBER(SEARCH("R114",G40))*114,0)+IFERROR(--ISNUMBER(SEARCH("R115",G40))*115,0)+IFERROR(--ISNUMBER(SEARCH("R116",G40))*116,0)+IFERROR(--ISNUMBER(SEARCH("R117",G40))*117,0)+IFERROR(--ISNUMBER(SEARCH("R118",G40))*118,0)+IFERROR(--ISNUMBER(SEARCH("R119",G40))*119,0)+IFERROR(--ISNUMBER(SEARCH("R120",G40))*120,0)+IFERROR(--ISNUMBER(SEARCH("R121",G40))*121,0)+IFERROR(--ISNUMBER(SEARCH("R122",G40))*122,0)+IFERROR(--ISNUMBER(SEARCH("R123",G40))*123,0)+IFERROR(--ISNUMBER(SEARCH("R124",G40))*124,0)+IFERROR(--ISNUMBER(SEARCH("R125",G40))*125,0)+IFERROR(--ISNUMBER(SEARCH("R126",G40))*126,0)+IFERROR(--ISNUMBER(SEARCH("R127",G40))*127,0)+IFERROR(--ISNUMBER(SEARCH("R128",G40))*128,0)+IFERROR(--ISNUMBER(SEARCH("R129",G40))*129,0)+IFERROR(--ISNUMBER(SEARCH("R130",G40))*130,0)+IFERROR(--ISNUMBER(SEARCH("R131",G40))*131,0)+IFERROR(--ISNUMBER(SEARCH("R132",G40))*132,0)+IFERROR(--ISNUMBER(SEARCH("R133",G40))*133,0)+IFERROR(--ISNUMBER(SEARCH("R134",G40))*134,0)+IFERROR(--ISNUMBER(SEARCH("R135",G40))*135,0)+IFERROR(--ISNUMBER(SEARCH("R136",G40))*136,0)+IFERROR(--ISNUMBER(SEARCH("R137",G40))*137,0)+IFERROR(--ISNUMBER(SEARCH("R138",G40))*138,0)+IFERROR(--ISNUMBER(SEARCH("R139",G40))*139,0)+IFERROR(--ISNUMBER(SEARCH("R140",G40))*140,0)+IFERROR(--ISNUMBER(SEARCH("R141",G40))*141,0))</f>
        <v/>
      </c>
      <c r="V40" s="59">
        <f>IF(A40="","",IF(K40&lt;&gt;"",K40,J40))</f>
        <v/>
      </c>
      <c r="W40" s="59">
        <f>IF(A40="","",IF(AND(V40=29,O40&lt;&gt;"",COUNTIFS($V$6:$V$505,29,$F$6:$F$505,F40,$C$6:$C$505,C40,$O$6:$O$505,"&lt;&gt;")&gt;1),IF(COUNTIFS($V$6:V40,29,$F$6:F40,F40,$C$6:C40,C40,$O$6:O40,"&lt;&gt;")=1,"Esta es la fila que se debe CONSERVAR (aparición 1 de "&amp;COUNTIFS($V$6:$V$505,29,$F$6:$F$505,F40,$C$6:$C$505,C40,$O$6:$O$505,"&lt;&gt;")&amp;" con el mismo tercero y valor, casilla 29). Si hay más filas iguales, bórreles el valor a ELLAS, no a esta.","DUPLICADO — ya existe otra fila con el mismo tercero y valor para casilla 29 (aparición "&amp;COUNTIFS($V$6:V40,29,$F$6:F40,F40,$C$6:C40,C40,$O$6:O40,"&lt;&gt;")&amp;" de "&amp;COUNTIFS($V$6:$V$505,29,$F$6:$F$505,F40,$C$6:$C$505,C40,$O$6:$O$505,"&lt;&gt;")&amp;"). Para resolverlo: seleccione la celda O"&amp;ROW()&amp;" (columna Valor a declarar de ESTA fila) y presione Supr."),""))</f>
        <v/>
      </c>
      <c r="X40" s="463">
        <f>IF(A40="","",F40)</f>
        <v/>
      </c>
      <c r="Y40" s="463">
        <f>IF(A40="","",SUMIF(Entrada_Manual!$I$88:$I$187,A40,Entrada_Manual!$F$88:$F$187))</f>
        <v/>
      </c>
      <c r="Z40" s="463">
        <f>IF(A40="","",X40-Y40)</f>
        <v/>
      </c>
      <c r="AA40">
        <f>IF(A40="","",SUMPRODUCT((Entrada_Manual!$I$88:$I$187=A40)*1))</f>
        <v/>
      </c>
      <c r="AB40">
        <f>IF(A40="","",IF(S40&lt;=1,"",IF(AA40=0,"PENDIENTE — SIN ASIGNAR",IF(Z40=0,"RESUELTO","PARCIAL — DIFERENCIA "&amp;TEXT(Z40,"#,##0")))))</f>
        <v/>
      </c>
    </row>
    <row r="41" ht="28.5" customHeight="1" s="235">
      <c r="A41" s="47">
        <f>IF(Exogena_RAW!E50&lt;&gt;"",ROW()-5,"")</f>
        <v/>
      </c>
      <c r="B41" s="48">
        <f>IF(A41="","",50)</f>
        <v/>
      </c>
      <c r="C41" s="48">
        <f>IF(A41="","",IFERROR(Exogena_RAW!A50,""))</f>
        <v/>
      </c>
      <c r="D41" s="48">
        <f>IF(A41="","",IFERROR(Exogena_RAW!B50,""))</f>
        <v/>
      </c>
      <c r="E41" s="48">
        <f>IF(A41="","",Exogena_RAW!E50)</f>
        <v/>
      </c>
      <c r="F41" s="461">
        <f>IF(A41="","",Exogena_RAW!F50)</f>
        <v/>
      </c>
      <c r="G41" s="48">
        <f>IF(A41="","",IFERROR(Exogena_RAW!G50,""))</f>
        <v/>
      </c>
      <c r="H41" s="48">
        <f>IF(A41="","",IFERROR(Exogena_RAW!H50,""))</f>
        <v/>
      </c>
      <c r="I41" s="48">
        <f>IF(A41="","",IFERROR(IF(S41&gt;1,"VARIAS CASILLAS",IF(S41=1,IF(T41=1,"PROPUESTA DE CASILLA","REVISIÓN: CASILLA NO DIRECTA"),IF(OR(ISNUMBER(SEARCH("TOPE",UPPER(E41))),ISNUMBER(SEARCH("TOPE",UPPER(G41)))),"SOLO CONTROL",IF(ISNUMBER(SEARCH("RETEN",UPPER(E41))),"RETENCIÓN","REVISAR")))),"REVISAR"))</f>
        <v/>
      </c>
      <c r="J41" s="61">
        <f>IF(A41="","",IF(ISNUMBER(SEARCH("ingreso laboral promedio de los últimos seis meses",E41)),"",IFERROR(IF(AND(S41=1,T41=1),U41,""),"")))</f>
        <v/>
      </c>
      <c r="K41" s="216" t="n"/>
      <c r="L41" s="48">
        <f>IF(A41="","",IFERROR(IF(K41&lt;&gt;"","Casilla elegida por usuario",IF(S41&gt;1,"Varias casillas — elegir en K",IF(J41&lt;&gt;"","Sugerencia directa",IF(S41=1,"No trasladar directo — revisar",IF(OR(ISNUMBER(SEARCH("TOPE",UPPER(E41))),ISNUMBER(SEARCH("TOPE",UPPER(G41)))),"Solo control","Revisar manualmente"))))),"Revisar manualmente"))</f>
        <v/>
      </c>
      <c r="M41" s="461">
        <f>IF(A41="","",IF(IF(K41&lt;&gt;"",K41,J41)="",0,IF(COUNTIFS(Reglas!$I$5:$I$118,IF(K41&lt;&gt;"",K41,J41),Reglas!$J$5:$J$118,"Sí")=1,F41,0)))</f>
        <v/>
      </c>
      <c r="N41" s="56" t="n"/>
      <c r="O41" s="462">
        <f>IF(A41="","",IF(M41=0,"",M41))</f>
        <v/>
      </c>
      <c r="P41" s="461">
        <f>IF(A41="","",IF(O41="",0,IF(ISNUMBER(O41),O41,0)))</f>
        <v/>
      </c>
      <c r="Q41" s="48">
        <f>IF(A41="","",IF(Exogena_RAW!$C$4="","BLOQUEADO: FALTA AÑO",IF(Exogena_RAW!$K$10&lt;&gt;Reglas!$B$5,"BLOQUEADO: AÑO",IF(IF(K41&lt;&gt;"",K41,J41)="",IF(S41&gt;1,"REQUIERE ASIGNACIÓN MANUAL (VARIAS CASILLAS)","INFORMATIVO (sin casilla — no se declara)"),IF(COUNTIFS(Reglas!$I$5:$I$118,IF(K41&lt;&gt;"",K41,J41),Reglas!$J$5:$J$118,"Sí")=0,"BLOQUEADO: CASILLA NO DIRECTA",IF(O41="","EXCLUIDO (valor borrado por el usuario)",IF(_xlfn.ISFORMULA(O41),IF(W41&lt;&gt;"","BORRADOR — VALOR SUGERIDO DIAN ⚠ VER ALERTA","BORRADOR — VALOR SUGERIDO DIAN"),IF(W41&lt;&gt;"","ACEPTADO ⚠ VER ALERTA","ACEPTADO"))))))))</f>
        <v/>
      </c>
      <c r="R41" s="218" t="n"/>
      <c r="S41" s="58">
        <f>IF(A41="","",IFERROR(--ISNUMBER(SEARCH("R28",G41)),0)+IFERROR(--ISNUMBER(SEARCH("R29",G41)),0)+IFERROR(--ISNUMBER(SEARCH("R30",G41)),0)+IFERROR(--ISNUMBER(SEARCH("R31",G41)),0)+IFERROR(--ISNUMBER(SEARCH("R32",G41)),0)+IFERROR(--ISNUMBER(SEARCH("R33",G41)),0)+IFERROR(--ISNUMBER(SEARCH("R34",G41)),0)+IFERROR(--ISNUMBER(SEARCH("R35",G41)),0)+IFERROR(--ISNUMBER(SEARCH("R36",G41)),0)+IFERROR(--ISNUMBER(SEARCH("R37",G41)),0)+IFERROR(--ISNUMBER(SEARCH("R38",G41)),0)+IFERROR(--ISNUMBER(SEARCH("R39",G41)),0)+IFERROR(--ISNUMBER(SEARCH("R40",G41)),0)+IFERROR(--ISNUMBER(SEARCH("R41",G41)),0)+IFERROR(--ISNUMBER(SEARCH("R42",G41)),0)+IFERROR(--ISNUMBER(SEARCH("R43",G41)),0)+IFERROR(--ISNUMBER(SEARCH("R44",G41)),0)+IFERROR(--ISNUMBER(SEARCH("R45",G41)),0)+IFERROR(--ISNUMBER(SEARCH("R46",G41)),0)+IFERROR(--ISNUMBER(SEARCH("R47",G41)),0)+IFERROR(--ISNUMBER(SEARCH("R48",G41)),0)+IFERROR(--ISNUMBER(SEARCH("R49",G41)),0)+IFERROR(--ISNUMBER(SEARCH("R50",G41)),0)+IFERROR(--ISNUMBER(SEARCH("R51",G41)),0)+IFERROR(--ISNUMBER(SEARCH("R52",G41)),0)+IFERROR(--ISNUMBER(SEARCH("R53",G41)),0)+IFERROR(--ISNUMBER(SEARCH("R54",G41)),0)+IFERROR(--ISNUMBER(SEARCH("R55",G41)),0)+IFERROR(--ISNUMBER(SEARCH("R56",G41)),0)+IFERROR(--ISNUMBER(SEARCH("R57",G41)),0)+IFERROR(--ISNUMBER(SEARCH("R58",G41)),0)+IFERROR(--ISNUMBER(SEARCH("R59",G41)),0)+IFERROR(--ISNUMBER(SEARCH("R60",G41)),0)+IFERROR(--ISNUMBER(SEARCH("R61",G41)),0)+IFERROR(--ISNUMBER(SEARCH("R62",G41)),0)+IFERROR(--ISNUMBER(SEARCH("R63",G41)),0)+IFERROR(--ISNUMBER(SEARCH("R64",G41)),0)+IFERROR(--ISNUMBER(SEARCH("R65",G41)),0)+IFERROR(--ISNUMBER(SEARCH("R66",G41)),0)+IFERROR(--ISNUMBER(SEARCH("R67",G41)),0)+IFERROR(--ISNUMBER(SEARCH("R68",G41)),0)+IFERROR(--ISNUMBER(SEARCH("R69",G41)),0)+IFERROR(--ISNUMBER(SEARCH("R70",G41)),0)+IFERROR(--ISNUMBER(SEARCH("R71",G41)),0)+IFERROR(--ISNUMBER(SEARCH("R72",G41)),0)+IFERROR(--ISNUMBER(SEARCH("R73",G41)),0)+IFERROR(--ISNUMBER(SEARCH("R74",G41)),0)+IFERROR(--ISNUMBER(SEARCH("R75",G41)),0)+IFERROR(--ISNUMBER(SEARCH("R76",G41)),0)+IFERROR(--ISNUMBER(SEARCH("R77",G41)),0)+IFERROR(--ISNUMBER(SEARCH("R78",G41)),0)+IFERROR(--ISNUMBER(SEARCH("R79",G41)),0)+IFERROR(--ISNUMBER(SEARCH("R80",G41)),0)+IFERROR(--ISNUMBER(SEARCH("R81",G41)),0)+IFERROR(--ISNUMBER(SEARCH("R82",G41)),0)+IFERROR(--ISNUMBER(SEARCH("R83",G41)),0)+IFERROR(--ISNUMBER(SEARCH("R84",G41)),0)+IFERROR(--ISNUMBER(SEARCH("R85",G41)),0)+IFERROR(--ISNUMBER(SEARCH("R86",G41)),0)+IFERROR(--ISNUMBER(SEARCH("R87",G41)),0)+IFERROR(--ISNUMBER(SEARCH("R88",G41)),0)+IFERROR(--ISNUMBER(SEARCH("R89",G41)),0)+IFERROR(--ISNUMBER(SEARCH("R90",G41)),0)+IFERROR(--ISNUMBER(SEARCH("R91",G41)),0)+IFERROR(--ISNUMBER(SEARCH("R92",G41)),0)+IFERROR(--ISNUMBER(SEARCH("R93",G41)),0)+IFERROR(--ISNUMBER(SEARCH("R94",G41)),0)+IFERROR(--ISNUMBER(SEARCH("R95",G41)),0)+IFERROR(--ISNUMBER(SEARCH("R96",G41)),0)+IFERROR(--ISNUMBER(SEARCH("R97",G41)),0)+IFERROR(--ISNUMBER(SEARCH("R98",G41)),0)+IFERROR(--ISNUMBER(SEARCH("R99",G41)),0)+IFERROR(--ISNUMBER(SEARCH("R100",G41)),0)+IFERROR(--ISNUMBER(SEARCH("R101",G41)),0)+IFERROR(--ISNUMBER(SEARCH("R102",G41)),0)+IFERROR(--ISNUMBER(SEARCH("R103",G41)),0)+IFERROR(--ISNUMBER(SEARCH("R104",G41)),0)+IFERROR(--ISNUMBER(SEARCH("R105",G41)),0)+IFERROR(--ISNUMBER(SEARCH("R106",G41)),0)+IFERROR(--ISNUMBER(SEARCH("R107",G41)),0)+IFERROR(--ISNUMBER(SEARCH("R108",G41)),0)+IFERROR(--ISNUMBER(SEARCH("R109",G41)),0)+IFERROR(--ISNUMBER(SEARCH("R110",G41)),0)+IFERROR(--ISNUMBER(SEARCH("R111",G41)),0)+IFERROR(--ISNUMBER(SEARCH("R112",G41)),0)+IFERROR(--ISNUMBER(SEARCH("R113",G41)),0)+IFERROR(--ISNUMBER(SEARCH("R114",G41)),0)+IFERROR(--ISNUMBER(SEARCH("R115",G41)),0)+IFERROR(--ISNUMBER(SEARCH("R116",G41)),0)+IFERROR(--ISNUMBER(SEARCH("R117",G41)),0)+IFERROR(--ISNUMBER(SEARCH("R118",G41)),0)+IFERROR(--ISNUMBER(SEARCH("R119",G41)),0)+IFERROR(--ISNUMBER(SEARCH("R120",G41)),0)+IFERROR(--ISNUMBER(SEARCH("R121",G41)),0)+IFERROR(--ISNUMBER(SEARCH("R122",G41)),0)+IFERROR(--ISNUMBER(SEARCH("R123",G41)),0)+IFERROR(--ISNUMBER(SEARCH("R124",G41)),0)+IFERROR(--ISNUMBER(SEARCH("R125",G41)),0)+IFERROR(--ISNUMBER(SEARCH("R126",G41)),0)+IFERROR(--ISNUMBER(SEARCH("R127",G41)),0)+IFERROR(--ISNUMBER(SEARCH("R128",G41)),0)+IFERROR(--ISNUMBER(SEARCH("R129",G41)),0)+IFERROR(--ISNUMBER(SEARCH("R130",G41)),0)+IFERROR(--ISNUMBER(SEARCH("R131",G41)),0)+IFERROR(--ISNUMBER(SEARCH("R132",G41)),0)+IFERROR(--ISNUMBER(SEARCH("R133",G41)),0)+IFERROR(--ISNUMBER(SEARCH("R134",G41)),0)+IFERROR(--ISNUMBER(SEARCH("R135",G41)),0)+IFERROR(--ISNUMBER(SEARCH("R136",G41)),0)+IFERROR(--ISNUMBER(SEARCH("R137",G41)),0)+IFERROR(--ISNUMBER(SEARCH("R138",G41)),0)+IFERROR(--ISNUMBER(SEARCH("R139",G41)),0)+IFERROR(--ISNUMBER(SEARCH("R140",G41)),0)+IFERROR(--ISNUMBER(SEARCH("R141",G41)),0))</f>
        <v/>
      </c>
      <c r="T41" s="58">
        <f>IF(A41="","",IFERROR(--ISNUMBER(SEARCH("R28",G41)),0)+IFERROR(--ISNUMBER(SEARCH("R29",G41)),0)+IFERROR(--ISNUMBER(SEARCH("R30",G41)),0)+IFERROR(--ISNUMBER(SEARCH("R32",G41)),0)+IFERROR(--ISNUMBER(SEARCH("R33",G41)),0)+IFERROR(--ISNUMBER(SEARCH("R35",G41)),0)+IFERROR(--ISNUMBER(SEARCH("R36",G41)),0)+IFERROR(--ISNUMBER(SEARCH("R38",G41)),0)+IFERROR(--ISNUMBER(SEARCH("R39",G41)),0)+IFERROR(--ISNUMBER(SEARCH("R43",G41)),0)+IFERROR(--ISNUMBER(SEARCH("R44",G41)),0)+IFERROR(--ISNUMBER(SEARCH("R45",G41)),0)+IFERROR(--ISNUMBER(SEARCH("R47",G41)),0)+IFERROR(--ISNUMBER(SEARCH("R48",G41)),0)+IFERROR(--ISNUMBER(SEARCH("R50",G41)),0)+IFERROR(--ISNUMBER(SEARCH("R51",G41)),0)+IFERROR(--ISNUMBER(SEARCH("R56",G41)),0)+IFERROR(--ISNUMBER(SEARCH("R58",G41)),0)+IFERROR(--ISNUMBER(SEARCH("R59",G41)),0)+IFERROR(--ISNUMBER(SEARCH("R60",G41)),0)+IFERROR(--ISNUMBER(SEARCH("R62",G41)),0)+IFERROR(--ISNUMBER(SEARCH("R63",G41)),0)+IFERROR(--ISNUMBER(SEARCH("R64",G41)),0)+IFERROR(--ISNUMBER(SEARCH("R66",G41)),0)+IFERROR(--ISNUMBER(SEARCH("R67",G41)),0)+IFERROR(--ISNUMBER(SEARCH("R72",G41)),0)+IFERROR(--ISNUMBER(SEARCH("R74",G41)),0)+IFERROR(--ISNUMBER(SEARCH("R75",G41)),0)+IFERROR(--ISNUMBER(SEARCH("R76",G41)),0)+IFERROR(--ISNUMBER(SEARCH("R77",G41)),0)+IFERROR(--ISNUMBER(SEARCH("R79",G41)),0)+IFERROR(--ISNUMBER(SEARCH("R80",G41)),0)+IFERROR(--ISNUMBER(SEARCH("R81",G41)),0)+IFERROR(--ISNUMBER(SEARCH("R83",G41)),0)+IFERROR(--ISNUMBER(SEARCH("R84",G41)),0)+IFERROR(--ISNUMBER(SEARCH("R89",G41)),0)+IFERROR(--ISNUMBER(SEARCH("R94",G41)),0)+IFERROR(--ISNUMBER(SEARCH("R95",G41)),0)+IFERROR(--ISNUMBER(SEARCH("R96",G41)),0)+IFERROR(--ISNUMBER(SEARCH("R98",G41)),0)+IFERROR(--ISNUMBER(SEARCH("R99",G41)),0)+IFERROR(--ISNUMBER(SEARCH("R100",G41)),0)+IFERROR(--ISNUMBER(SEARCH("R104",G41)),0)+IFERROR(--ISNUMBER(SEARCH("R105",G41)),0)+IFERROR(--ISNUMBER(SEARCH("R107",G41)),0)+IFERROR(--ISNUMBER(SEARCH("R108",G41)),0)+IFERROR(--ISNUMBER(SEARCH("R109",G41)),0)+IFERROR(--ISNUMBER(SEARCH("R110",G41)),0)+IFERROR(--ISNUMBER(SEARCH("R112",G41)),0)+IFERROR(--ISNUMBER(SEARCH("R113",G41)),0)+IFERROR(--ISNUMBER(SEARCH("R114",G41)),0)+IFERROR(--ISNUMBER(SEARCH("R118",G41)),0)+IFERROR(--ISNUMBER(SEARCH("R119",G41)),0)+IFERROR(--ISNUMBER(SEARCH("R120",G41)),0)+IFERROR(--ISNUMBER(SEARCH("R122",G41)),0)+IFERROR(--ISNUMBER(SEARCH("R123",G41)),0)+IFERROR(--ISNUMBER(SEARCH("R124",G41)),0)+IFERROR(--ISNUMBER(SEARCH("R128",G41)),0)+IFERROR(--ISNUMBER(SEARCH("R130",G41)),0)+IFERROR(--ISNUMBER(SEARCH("R131",G41)),0)+IFERROR(--ISNUMBER(SEARCH("R132",G41)),0)+IFERROR(--ISNUMBER(SEARCH("R135",G41)),0)+IFERROR(--ISNUMBER(SEARCH("R138",G41)),0)+IFERROR(--ISNUMBER(SEARCH("R141",G41)),0))</f>
        <v/>
      </c>
      <c r="U41" s="58">
        <f>IF(A41="","",IFERROR(--ISNUMBER(SEARCH("R28",G41))*28,0)+IFERROR(--ISNUMBER(SEARCH("R29",G41))*29,0)+IFERROR(--ISNUMBER(SEARCH("R30",G41))*30,0)+IFERROR(--ISNUMBER(SEARCH("R31",G41))*31,0)+IFERROR(--ISNUMBER(SEARCH("R32",G41))*32,0)+IFERROR(--ISNUMBER(SEARCH("R33",G41))*33,0)+IFERROR(--ISNUMBER(SEARCH("R34",G41))*34,0)+IFERROR(--ISNUMBER(SEARCH("R35",G41))*35,0)+IFERROR(--ISNUMBER(SEARCH("R36",G41))*36,0)+IFERROR(--ISNUMBER(SEARCH("R37",G41))*37,0)+IFERROR(--ISNUMBER(SEARCH("R38",G41))*38,0)+IFERROR(--ISNUMBER(SEARCH("R39",G41))*39,0)+IFERROR(--ISNUMBER(SEARCH("R40",G41))*40,0)+IFERROR(--ISNUMBER(SEARCH("R41",G41))*41,0)+IFERROR(--ISNUMBER(SEARCH("R42",G41))*42,0)+IFERROR(--ISNUMBER(SEARCH("R43",G41))*43,0)+IFERROR(--ISNUMBER(SEARCH("R44",G41))*44,0)+IFERROR(--ISNUMBER(SEARCH("R45",G41))*45,0)+IFERROR(--ISNUMBER(SEARCH("R46",G41))*46,0)+IFERROR(--ISNUMBER(SEARCH("R47",G41))*47,0)+IFERROR(--ISNUMBER(SEARCH("R48",G41))*48,0)+IFERROR(--ISNUMBER(SEARCH("R49",G41))*49,0)+IFERROR(--ISNUMBER(SEARCH("R50",G41))*50,0)+IFERROR(--ISNUMBER(SEARCH("R51",G41))*51,0)+IFERROR(--ISNUMBER(SEARCH("R52",G41))*52,0)+IFERROR(--ISNUMBER(SEARCH("R53",G41))*53,0)+IFERROR(--ISNUMBER(SEARCH("R54",G41))*54,0)+IFERROR(--ISNUMBER(SEARCH("R55",G41))*55,0)+IFERROR(--ISNUMBER(SEARCH("R56",G41))*56,0)+IFERROR(--ISNUMBER(SEARCH("R57",G41))*57,0)+IFERROR(--ISNUMBER(SEARCH("R58",G41))*58,0)+IFERROR(--ISNUMBER(SEARCH("R59",G41))*59,0)+IFERROR(--ISNUMBER(SEARCH("R60",G41))*60,0)+IFERROR(--ISNUMBER(SEARCH("R61",G41))*61,0)+IFERROR(--ISNUMBER(SEARCH("R62",G41))*62,0)+IFERROR(--ISNUMBER(SEARCH("R63",G41))*63,0)+IFERROR(--ISNUMBER(SEARCH("R64",G41))*64,0)+IFERROR(--ISNUMBER(SEARCH("R65",G41))*65,0)+IFERROR(--ISNUMBER(SEARCH("R66",G41))*66,0)+IFERROR(--ISNUMBER(SEARCH("R67",G41))*67,0)+IFERROR(--ISNUMBER(SEARCH("R68",G41))*68,0)+IFERROR(--ISNUMBER(SEARCH("R69",G41))*69,0)+IFERROR(--ISNUMBER(SEARCH("R70",G41))*70,0)+IFERROR(--ISNUMBER(SEARCH("R71",G41))*71,0)+IFERROR(--ISNUMBER(SEARCH("R72",G41))*72,0)+IFERROR(--ISNUMBER(SEARCH("R73",G41))*73,0)+IFERROR(--ISNUMBER(SEARCH("R74",G41))*74,0)+IFERROR(--ISNUMBER(SEARCH("R75",G41))*75,0)+IFERROR(--ISNUMBER(SEARCH("R76",G41))*76,0)+IFERROR(--ISNUMBER(SEARCH("R77",G41))*77,0)+IFERROR(--ISNUMBER(SEARCH("R78",G41))*78,0)+IFERROR(--ISNUMBER(SEARCH("R79",G41))*79,0)+IFERROR(--ISNUMBER(SEARCH("R80",G41))*80,0)+IFERROR(--ISNUMBER(SEARCH("R81",G41))*81,0)+IFERROR(--ISNUMBER(SEARCH("R82",G41))*82,0)+IFERROR(--ISNUMBER(SEARCH("R83",G41))*83,0)+IFERROR(--ISNUMBER(SEARCH("R84",G41))*84,0)+IFERROR(--ISNUMBER(SEARCH("R85",G41))*85,0)+IFERROR(--ISNUMBER(SEARCH("R86",G41))*86,0)+IFERROR(--ISNUMBER(SEARCH("R87",G41))*87,0)+IFERROR(--ISNUMBER(SEARCH("R88",G41))*88,0)+IFERROR(--ISNUMBER(SEARCH("R89",G41))*89,0)+IFERROR(--ISNUMBER(SEARCH("R90",G41))*90,0)+IFERROR(--ISNUMBER(SEARCH("R91",G41))*91,0)+IFERROR(--ISNUMBER(SEARCH("R92",G41))*92,0)+IFERROR(--ISNUMBER(SEARCH("R93",G41))*93,0)+IFERROR(--ISNUMBER(SEARCH("R94",G41))*94,0)+IFERROR(--ISNUMBER(SEARCH("R95",G41))*95,0)+IFERROR(--ISNUMBER(SEARCH("R96",G41))*96,0)+IFERROR(--ISNUMBER(SEARCH("R97",G41))*97,0)+IFERROR(--ISNUMBER(SEARCH("R98",G41))*98,0)+IFERROR(--ISNUMBER(SEARCH("R99",G41))*99,0)+IFERROR(--ISNUMBER(SEARCH("R100",G41))*100,0)+IFERROR(--ISNUMBER(SEARCH("R101",G41))*101,0)+IFERROR(--ISNUMBER(SEARCH("R102",G41))*102,0)+IFERROR(--ISNUMBER(SEARCH("R103",G41))*103,0)+IFERROR(--ISNUMBER(SEARCH("R104",G41))*104,0)+IFERROR(--ISNUMBER(SEARCH("R105",G41))*105,0)+IFERROR(--ISNUMBER(SEARCH("R106",G41))*106,0)+IFERROR(--ISNUMBER(SEARCH("R107",G41))*107,0)+IFERROR(--ISNUMBER(SEARCH("R108",G41))*108,0)+IFERROR(--ISNUMBER(SEARCH("R109",G41))*109,0)+IFERROR(--ISNUMBER(SEARCH("R110",G41))*110,0)+IFERROR(--ISNUMBER(SEARCH("R111",G41))*111,0)+IFERROR(--ISNUMBER(SEARCH("R112",G41))*112,0)+IFERROR(--ISNUMBER(SEARCH("R113",G41))*113,0)+IFERROR(--ISNUMBER(SEARCH("R114",G41))*114,0)+IFERROR(--ISNUMBER(SEARCH("R115",G41))*115,0)+IFERROR(--ISNUMBER(SEARCH("R116",G41))*116,0)+IFERROR(--ISNUMBER(SEARCH("R117",G41))*117,0)+IFERROR(--ISNUMBER(SEARCH("R118",G41))*118,0)+IFERROR(--ISNUMBER(SEARCH("R119",G41))*119,0)+IFERROR(--ISNUMBER(SEARCH("R120",G41))*120,0)+IFERROR(--ISNUMBER(SEARCH("R121",G41))*121,0)+IFERROR(--ISNUMBER(SEARCH("R122",G41))*122,0)+IFERROR(--ISNUMBER(SEARCH("R123",G41))*123,0)+IFERROR(--ISNUMBER(SEARCH("R124",G41))*124,0)+IFERROR(--ISNUMBER(SEARCH("R125",G41))*125,0)+IFERROR(--ISNUMBER(SEARCH("R126",G41))*126,0)+IFERROR(--ISNUMBER(SEARCH("R127",G41))*127,0)+IFERROR(--ISNUMBER(SEARCH("R128",G41))*128,0)+IFERROR(--ISNUMBER(SEARCH("R129",G41))*129,0)+IFERROR(--ISNUMBER(SEARCH("R130",G41))*130,0)+IFERROR(--ISNUMBER(SEARCH("R131",G41))*131,0)+IFERROR(--ISNUMBER(SEARCH("R132",G41))*132,0)+IFERROR(--ISNUMBER(SEARCH("R133",G41))*133,0)+IFERROR(--ISNUMBER(SEARCH("R134",G41))*134,0)+IFERROR(--ISNUMBER(SEARCH("R135",G41))*135,0)+IFERROR(--ISNUMBER(SEARCH("R136",G41))*136,0)+IFERROR(--ISNUMBER(SEARCH("R137",G41))*137,0)+IFERROR(--ISNUMBER(SEARCH("R138",G41))*138,0)+IFERROR(--ISNUMBER(SEARCH("R139",G41))*139,0)+IFERROR(--ISNUMBER(SEARCH("R140",G41))*140,0)+IFERROR(--ISNUMBER(SEARCH("R141",G41))*141,0))</f>
        <v/>
      </c>
      <c r="V41" s="59">
        <f>IF(A41="","",IF(K41&lt;&gt;"",K41,J41))</f>
        <v/>
      </c>
      <c r="W41" s="59">
        <f>IF(A41="","",IF(AND(V41=29,O41&lt;&gt;"",COUNTIFS($V$6:$V$505,29,$F$6:$F$505,F41,$C$6:$C$505,C41,$O$6:$O$505,"&lt;&gt;")&gt;1),IF(COUNTIFS($V$6:V41,29,$F$6:F41,F41,$C$6:C41,C41,$O$6:O41,"&lt;&gt;")=1,"Esta es la fila que se debe CONSERVAR (aparición 1 de "&amp;COUNTIFS($V$6:$V$505,29,$F$6:$F$505,F41,$C$6:$C$505,C41,$O$6:$O$505,"&lt;&gt;")&amp;" con el mismo tercero y valor, casilla 29). Si hay más filas iguales, bórreles el valor a ELLAS, no a esta.","DUPLICADO — ya existe otra fila con el mismo tercero y valor para casilla 29 (aparición "&amp;COUNTIFS($V$6:V41,29,$F$6:F41,F41,$C$6:C41,C41,$O$6:O41,"&lt;&gt;")&amp;" de "&amp;COUNTIFS($V$6:$V$505,29,$F$6:$F$505,F41,$C$6:$C$505,C41,$O$6:$O$505,"&lt;&gt;")&amp;"). Para resolverlo: seleccione la celda O"&amp;ROW()&amp;" (columna Valor a declarar de ESTA fila) y presione Supr."),""))</f>
        <v/>
      </c>
      <c r="X41" s="463">
        <f>IF(A41="","",F41)</f>
        <v/>
      </c>
      <c r="Y41" s="463">
        <f>IF(A41="","",SUMIF(Entrada_Manual!$I$88:$I$187,A41,Entrada_Manual!$F$88:$F$187))</f>
        <v/>
      </c>
      <c r="Z41" s="463">
        <f>IF(A41="","",X41-Y41)</f>
        <v/>
      </c>
      <c r="AA41">
        <f>IF(A41="","",SUMPRODUCT((Entrada_Manual!$I$88:$I$187=A41)*1))</f>
        <v/>
      </c>
      <c r="AB41">
        <f>IF(A41="","",IF(S41&lt;=1,"",IF(AA41=0,"PENDIENTE — SIN ASIGNAR",IF(Z41=0,"RESUELTO","PARCIAL — DIFERENCIA "&amp;TEXT(Z41,"#,##0")))))</f>
        <v/>
      </c>
    </row>
    <row r="42" ht="42.75" customHeight="1" s="235">
      <c r="A42" s="47">
        <f>IF(Exogena_RAW!E51&lt;&gt;"",ROW()-5,"")</f>
        <v/>
      </c>
      <c r="B42" s="48">
        <f>IF(A42="","",51)</f>
        <v/>
      </c>
      <c r="C42" s="48">
        <f>IF(A42="","",IFERROR(Exogena_RAW!A51,""))</f>
        <v/>
      </c>
      <c r="D42" s="48">
        <f>IF(A42="","",IFERROR(Exogena_RAW!B51,""))</f>
        <v/>
      </c>
      <c r="E42" s="48">
        <f>IF(A42="","",Exogena_RAW!E51)</f>
        <v/>
      </c>
      <c r="F42" s="461">
        <f>IF(A42="","",Exogena_RAW!F51)</f>
        <v/>
      </c>
      <c r="G42" s="48">
        <f>IF(A42="","",IFERROR(Exogena_RAW!G51,""))</f>
        <v/>
      </c>
      <c r="H42" s="48">
        <f>IF(A42="","",IFERROR(Exogena_RAW!H51,""))</f>
        <v/>
      </c>
      <c r="I42" s="48">
        <f>IF(A42="","",IFERROR(IF(S42&gt;1,"VARIAS CASILLAS",IF(S42=1,IF(T42=1,"PROPUESTA DE CASILLA","REVISIÓN: CASILLA NO DIRECTA"),IF(OR(ISNUMBER(SEARCH("TOPE",UPPER(E42))),ISNUMBER(SEARCH("TOPE",UPPER(G42)))),"SOLO CONTROL",IF(ISNUMBER(SEARCH("RETEN",UPPER(E42))),"RETENCIÓN","REVISAR")))),"REVISAR"))</f>
        <v/>
      </c>
      <c r="J42" s="48">
        <f>IF(A42="","",IF(ISNUMBER(SEARCH("ingreso laboral promedio de los últimos seis meses",E42)),"",IFERROR(IF(AND(S42=1,T42=1),U42,""),"")))</f>
        <v/>
      </c>
      <c r="K42" s="216" t="n"/>
      <c r="L42" s="48">
        <f>IF(A42="","",IFERROR(IF(K42&lt;&gt;"","Casilla elegida por usuario",IF(S42&gt;1,"Varias casillas — elegir en K",IF(J42&lt;&gt;"","Sugerencia directa",IF(S42=1,"No trasladar directo — revisar",IF(OR(ISNUMBER(SEARCH("TOPE",UPPER(E42))),ISNUMBER(SEARCH("TOPE",UPPER(G42)))),"Solo control","Revisar manualmente"))))),"Revisar manualmente"))</f>
        <v/>
      </c>
      <c r="M42" s="461">
        <f>IF(A42="","",IF(IF(K42&lt;&gt;"",K42,J42)="",0,IF(COUNTIFS(Reglas!$I$5:$I$118,IF(K42&lt;&gt;"",K42,J42),Reglas!$J$5:$J$118,"Sí")=1,F42,0)))</f>
        <v/>
      </c>
      <c r="N42" s="56" t="n"/>
      <c r="O42" s="462">
        <f>IF(A42="","",IF(M42=0,"",M42))</f>
        <v/>
      </c>
      <c r="P42" s="461">
        <f>IF(A42="","",IF(O42="",0,IF(ISNUMBER(O42),O42,0)))</f>
        <v/>
      </c>
      <c r="Q42" s="48">
        <f>IF(A42="","",IF(Exogena_RAW!$C$4="","BLOQUEADO: FALTA AÑO",IF(Exogena_RAW!$K$10&lt;&gt;Reglas!$B$5,"BLOQUEADO: AÑO",IF(IF(K42&lt;&gt;"",K42,J42)="",IF(S42&gt;1,"REQUIERE ASIGNACIÓN MANUAL (VARIAS CASILLAS)","INFORMATIVO (sin casilla — no se declara)"),IF(COUNTIFS(Reglas!$I$5:$I$118,IF(K42&lt;&gt;"",K42,J42),Reglas!$J$5:$J$118,"Sí")=0,"BLOQUEADO: CASILLA NO DIRECTA",IF(O42="","EXCLUIDO (valor borrado por el usuario)",IF(_xlfn.ISFORMULA(O42),IF(W42&lt;&gt;"","BORRADOR — VALOR SUGERIDO DIAN ⚠ VER ALERTA","BORRADOR — VALOR SUGERIDO DIAN"),IF(W42&lt;&gt;"","ACEPTADO ⚠ VER ALERTA","ACEPTADO"))))))))</f>
        <v/>
      </c>
      <c r="R42" s="218" t="n"/>
      <c r="S42" s="58">
        <f>IF(A42="","",IFERROR(--ISNUMBER(SEARCH("R28",G42)),0)+IFERROR(--ISNUMBER(SEARCH("R29",G42)),0)+IFERROR(--ISNUMBER(SEARCH("R30",G42)),0)+IFERROR(--ISNUMBER(SEARCH("R31",G42)),0)+IFERROR(--ISNUMBER(SEARCH("R32",G42)),0)+IFERROR(--ISNUMBER(SEARCH("R33",G42)),0)+IFERROR(--ISNUMBER(SEARCH("R34",G42)),0)+IFERROR(--ISNUMBER(SEARCH("R35",G42)),0)+IFERROR(--ISNUMBER(SEARCH("R36",G42)),0)+IFERROR(--ISNUMBER(SEARCH("R37",G42)),0)+IFERROR(--ISNUMBER(SEARCH("R38",G42)),0)+IFERROR(--ISNUMBER(SEARCH("R39",G42)),0)+IFERROR(--ISNUMBER(SEARCH("R40",G42)),0)+IFERROR(--ISNUMBER(SEARCH("R41",G42)),0)+IFERROR(--ISNUMBER(SEARCH("R42",G42)),0)+IFERROR(--ISNUMBER(SEARCH("R43",G42)),0)+IFERROR(--ISNUMBER(SEARCH("R44",G42)),0)+IFERROR(--ISNUMBER(SEARCH("R45",G42)),0)+IFERROR(--ISNUMBER(SEARCH("R46",G42)),0)+IFERROR(--ISNUMBER(SEARCH("R47",G42)),0)+IFERROR(--ISNUMBER(SEARCH("R48",G42)),0)+IFERROR(--ISNUMBER(SEARCH("R49",G42)),0)+IFERROR(--ISNUMBER(SEARCH("R50",G42)),0)+IFERROR(--ISNUMBER(SEARCH("R51",G42)),0)+IFERROR(--ISNUMBER(SEARCH("R52",G42)),0)+IFERROR(--ISNUMBER(SEARCH("R53",G42)),0)+IFERROR(--ISNUMBER(SEARCH("R54",G42)),0)+IFERROR(--ISNUMBER(SEARCH("R55",G42)),0)+IFERROR(--ISNUMBER(SEARCH("R56",G42)),0)+IFERROR(--ISNUMBER(SEARCH("R57",G42)),0)+IFERROR(--ISNUMBER(SEARCH("R58",G42)),0)+IFERROR(--ISNUMBER(SEARCH("R59",G42)),0)+IFERROR(--ISNUMBER(SEARCH("R60",G42)),0)+IFERROR(--ISNUMBER(SEARCH("R61",G42)),0)+IFERROR(--ISNUMBER(SEARCH("R62",G42)),0)+IFERROR(--ISNUMBER(SEARCH("R63",G42)),0)+IFERROR(--ISNUMBER(SEARCH("R64",G42)),0)+IFERROR(--ISNUMBER(SEARCH("R65",G42)),0)+IFERROR(--ISNUMBER(SEARCH("R66",G42)),0)+IFERROR(--ISNUMBER(SEARCH("R67",G42)),0)+IFERROR(--ISNUMBER(SEARCH("R68",G42)),0)+IFERROR(--ISNUMBER(SEARCH("R69",G42)),0)+IFERROR(--ISNUMBER(SEARCH("R70",G42)),0)+IFERROR(--ISNUMBER(SEARCH("R71",G42)),0)+IFERROR(--ISNUMBER(SEARCH("R72",G42)),0)+IFERROR(--ISNUMBER(SEARCH("R73",G42)),0)+IFERROR(--ISNUMBER(SEARCH("R74",G42)),0)+IFERROR(--ISNUMBER(SEARCH("R75",G42)),0)+IFERROR(--ISNUMBER(SEARCH("R76",G42)),0)+IFERROR(--ISNUMBER(SEARCH("R77",G42)),0)+IFERROR(--ISNUMBER(SEARCH("R78",G42)),0)+IFERROR(--ISNUMBER(SEARCH("R79",G42)),0)+IFERROR(--ISNUMBER(SEARCH("R80",G42)),0)+IFERROR(--ISNUMBER(SEARCH("R81",G42)),0)+IFERROR(--ISNUMBER(SEARCH("R82",G42)),0)+IFERROR(--ISNUMBER(SEARCH("R83",G42)),0)+IFERROR(--ISNUMBER(SEARCH("R84",G42)),0)+IFERROR(--ISNUMBER(SEARCH("R85",G42)),0)+IFERROR(--ISNUMBER(SEARCH("R86",G42)),0)+IFERROR(--ISNUMBER(SEARCH("R87",G42)),0)+IFERROR(--ISNUMBER(SEARCH("R88",G42)),0)+IFERROR(--ISNUMBER(SEARCH("R89",G42)),0)+IFERROR(--ISNUMBER(SEARCH("R90",G42)),0)+IFERROR(--ISNUMBER(SEARCH("R91",G42)),0)+IFERROR(--ISNUMBER(SEARCH("R92",G42)),0)+IFERROR(--ISNUMBER(SEARCH("R93",G42)),0)+IFERROR(--ISNUMBER(SEARCH("R94",G42)),0)+IFERROR(--ISNUMBER(SEARCH("R95",G42)),0)+IFERROR(--ISNUMBER(SEARCH("R96",G42)),0)+IFERROR(--ISNUMBER(SEARCH("R97",G42)),0)+IFERROR(--ISNUMBER(SEARCH("R98",G42)),0)+IFERROR(--ISNUMBER(SEARCH("R99",G42)),0)+IFERROR(--ISNUMBER(SEARCH("R100",G42)),0)+IFERROR(--ISNUMBER(SEARCH("R101",G42)),0)+IFERROR(--ISNUMBER(SEARCH("R102",G42)),0)+IFERROR(--ISNUMBER(SEARCH("R103",G42)),0)+IFERROR(--ISNUMBER(SEARCH("R104",G42)),0)+IFERROR(--ISNUMBER(SEARCH("R105",G42)),0)+IFERROR(--ISNUMBER(SEARCH("R106",G42)),0)+IFERROR(--ISNUMBER(SEARCH("R107",G42)),0)+IFERROR(--ISNUMBER(SEARCH("R108",G42)),0)+IFERROR(--ISNUMBER(SEARCH("R109",G42)),0)+IFERROR(--ISNUMBER(SEARCH("R110",G42)),0)+IFERROR(--ISNUMBER(SEARCH("R111",G42)),0)+IFERROR(--ISNUMBER(SEARCH("R112",G42)),0)+IFERROR(--ISNUMBER(SEARCH("R113",G42)),0)+IFERROR(--ISNUMBER(SEARCH("R114",G42)),0)+IFERROR(--ISNUMBER(SEARCH("R115",G42)),0)+IFERROR(--ISNUMBER(SEARCH("R116",G42)),0)+IFERROR(--ISNUMBER(SEARCH("R117",G42)),0)+IFERROR(--ISNUMBER(SEARCH("R118",G42)),0)+IFERROR(--ISNUMBER(SEARCH("R119",G42)),0)+IFERROR(--ISNUMBER(SEARCH("R120",G42)),0)+IFERROR(--ISNUMBER(SEARCH("R121",G42)),0)+IFERROR(--ISNUMBER(SEARCH("R122",G42)),0)+IFERROR(--ISNUMBER(SEARCH("R123",G42)),0)+IFERROR(--ISNUMBER(SEARCH("R124",G42)),0)+IFERROR(--ISNUMBER(SEARCH("R125",G42)),0)+IFERROR(--ISNUMBER(SEARCH("R126",G42)),0)+IFERROR(--ISNUMBER(SEARCH("R127",G42)),0)+IFERROR(--ISNUMBER(SEARCH("R128",G42)),0)+IFERROR(--ISNUMBER(SEARCH("R129",G42)),0)+IFERROR(--ISNUMBER(SEARCH("R130",G42)),0)+IFERROR(--ISNUMBER(SEARCH("R131",G42)),0)+IFERROR(--ISNUMBER(SEARCH("R132",G42)),0)+IFERROR(--ISNUMBER(SEARCH("R133",G42)),0)+IFERROR(--ISNUMBER(SEARCH("R134",G42)),0)+IFERROR(--ISNUMBER(SEARCH("R135",G42)),0)+IFERROR(--ISNUMBER(SEARCH("R136",G42)),0)+IFERROR(--ISNUMBER(SEARCH("R137",G42)),0)+IFERROR(--ISNUMBER(SEARCH("R138",G42)),0)+IFERROR(--ISNUMBER(SEARCH("R139",G42)),0)+IFERROR(--ISNUMBER(SEARCH("R140",G42)),0)+IFERROR(--ISNUMBER(SEARCH("R141",G42)),0))</f>
        <v/>
      </c>
      <c r="T42" s="58">
        <f>IF(A42="","",IFERROR(--ISNUMBER(SEARCH("R28",G42)),0)+IFERROR(--ISNUMBER(SEARCH("R29",G42)),0)+IFERROR(--ISNUMBER(SEARCH("R30",G42)),0)+IFERROR(--ISNUMBER(SEARCH("R32",G42)),0)+IFERROR(--ISNUMBER(SEARCH("R33",G42)),0)+IFERROR(--ISNUMBER(SEARCH("R35",G42)),0)+IFERROR(--ISNUMBER(SEARCH("R36",G42)),0)+IFERROR(--ISNUMBER(SEARCH("R38",G42)),0)+IFERROR(--ISNUMBER(SEARCH("R39",G42)),0)+IFERROR(--ISNUMBER(SEARCH("R43",G42)),0)+IFERROR(--ISNUMBER(SEARCH("R44",G42)),0)+IFERROR(--ISNUMBER(SEARCH("R45",G42)),0)+IFERROR(--ISNUMBER(SEARCH("R47",G42)),0)+IFERROR(--ISNUMBER(SEARCH("R48",G42)),0)+IFERROR(--ISNUMBER(SEARCH("R50",G42)),0)+IFERROR(--ISNUMBER(SEARCH("R51",G42)),0)+IFERROR(--ISNUMBER(SEARCH("R56",G42)),0)+IFERROR(--ISNUMBER(SEARCH("R58",G42)),0)+IFERROR(--ISNUMBER(SEARCH("R59",G42)),0)+IFERROR(--ISNUMBER(SEARCH("R60",G42)),0)+IFERROR(--ISNUMBER(SEARCH("R62",G42)),0)+IFERROR(--ISNUMBER(SEARCH("R63",G42)),0)+IFERROR(--ISNUMBER(SEARCH("R64",G42)),0)+IFERROR(--ISNUMBER(SEARCH("R66",G42)),0)+IFERROR(--ISNUMBER(SEARCH("R67",G42)),0)+IFERROR(--ISNUMBER(SEARCH("R72",G42)),0)+IFERROR(--ISNUMBER(SEARCH("R74",G42)),0)+IFERROR(--ISNUMBER(SEARCH("R75",G42)),0)+IFERROR(--ISNUMBER(SEARCH("R76",G42)),0)+IFERROR(--ISNUMBER(SEARCH("R77",G42)),0)+IFERROR(--ISNUMBER(SEARCH("R79",G42)),0)+IFERROR(--ISNUMBER(SEARCH("R80",G42)),0)+IFERROR(--ISNUMBER(SEARCH("R81",G42)),0)+IFERROR(--ISNUMBER(SEARCH("R83",G42)),0)+IFERROR(--ISNUMBER(SEARCH("R84",G42)),0)+IFERROR(--ISNUMBER(SEARCH("R89",G42)),0)+IFERROR(--ISNUMBER(SEARCH("R94",G42)),0)+IFERROR(--ISNUMBER(SEARCH("R95",G42)),0)+IFERROR(--ISNUMBER(SEARCH("R96",G42)),0)+IFERROR(--ISNUMBER(SEARCH("R98",G42)),0)+IFERROR(--ISNUMBER(SEARCH("R99",G42)),0)+IFERROR(--ISNUMBER(SEARCH("R100",G42)),0)+IFERROR(--ISNUMBER(SEARCH("R104",G42)),0)+IFERROR(--ISNUMBER(SEARCH("R105",G42)),0)+IFERROR(--ISNUMBER(SEARCH("R107",G42)),0)+IFERROR(--ISNUMBER(SEARCH("R108",G42)),0)+IFERROR(--ISNUMBER(SEARCH("R109",G42)),0)+IFERROR(--ISNUMBER(SEARCH("R110",G42)),0)+IFERROR(--ISNUMBER(SEARCH("R112",G42)),0)+IFERROR(--ISNUMBER(SEARCH("R113",G42)),0)+IFERROR(--ISNUMBER(SEARCH("R114",G42)),0)+IFERROR(--ISNUMBER(SEARCH("R118",G42)),0)+IFERROR(--ISNUMBER(SEARCH("R119",G42)),0)+IFERROR(--ISNUMBER(SEARCH("R120",G42)),0)+IFERROR(--ISNUMBER(SEARCH("R122",G42)),0)+IFERROR(--ISNUMBER(SEARCH("R123",G42)),0)+IFERROR(--ISNUMBER(SEARCH("R124",G42)),0)+IFERROR(--ISNUMBER(SEARCH("R128",G42)),0)+IFERROR(--ISNUMBER(SEARCH("R130",G42)),0)+IFERROR(--ISNUMBER(SEARCH("R131",G42)),0)+IFERROR(--ISNUMBER(SEARCH("R132",G42)),0)+IFERROR(--ISNUMBER(SEARCH("R135",G42)),0)+IFERROR(--ISNUMBER(SEARCH("R138",G42)),0)+IFERROR(--ISNUMBER(SEARCH("R141",G42)),0))</f>
        <v/>
      </c>
      <c r="U42" s="58">
        <f>IF(A42="","",IFERROR(--ISNUMBER(SEARCH("R28",G42))*28,0)+IFERROR(--ISNUMBER(SEARCH("R29",G42))*29,0)+IFERROR(--ISNUMBER(SEARCH("R30",G42))*30,0)+IFERROR(--ISNUMBER(SEARCH("R31",G42))*31,0)+IFERROR(--ISNUMBER(SEARCH("R32",G42))*32,0)+IFERROR(--ISNUMBER(SEARCH("R33",G42))*33,0)+IFERROR(--ISNUMBER(SEARCH("R34",G42))*34,0)+IFERROR(--ISNUMBER(SEARCH("R35",G42))*35,0)+IFERROR(--ISNUMBER(SEARCH("R36",G42))*36,0)+IFERROR(--ISNUMBER(SEARCH("R37",G42))*37,0)+IFERROR(--ISNUMBER(SEARCH("R38",G42))*38,0)+IFERROR(--ISNUMBER(SEARCH("R39",G42))*39,0)+IFERROR(--ISNUMBER(SEARCH("R40",G42))*40,0)+IFERROR(--ISNUMBER(SEARCH("R41",G42))*41,0)+IFERROR(--ISNUMBER(SEARCH("R42",G42))*42,0)+IFERROR(--ISNUMBER(SEARCH("R43",G42))*43,0)+IFERROR(--ISNUMBER(SEARCH("R44",G42))*44,0)+IFERROR(--ISNUMBER(SEARCH("R45",G42))*45,0)+IFERROR(--ISNUMBER(SEARCH("R46",G42))*46,0)+IFERROR(--ISNUMBER(SEARCH("R47",G42))*47,0)+IFERROR(--ISNUMBER(SEARCH("R48",G42))*48,0)+IFERROR(--ISNUMBER(SEARCH("R49",G42))*49,0)+IFERROR(--ISNUMBER(SEARCH("R50",G42))*50,0)+IFERROR(--ISNUMBER(SEARCH("R51",G42))*51,0)+IFERROR(--ISNUMBER(SEARCH("R52",G42))*52,0)+IFERROR(--ISNUMBER(SEARCH("R53",G42))*53,0)+IFERROR(--ISNUMBER(SEARCH("R54",G42))*54,0)+IFERROR(--ISNUMBER(SEARCH("R55",G42))*55,0)+IFERROR(--ISNUMBER(SEARCH("R56",G42))*56,0)+IFERROR(--ISNUMBER(SEARCH("R57",G42))*57,0)+IFERROR(--ISNUMBER(SEARCH("R58",G42))*58,0)+IFERROR(--ISNUMBER(SEARCH("R59",G42))*59,0)+IFERROR(--ISNUMBER(SEARCH("R60",G42))*60,0)+IFERROR(--ISNUMBER(SEARCH("R61",G42))*61,0)+IFERROR(--ISNUMBER(SEARCH("R62",G42))*62,0)+IFERROR(--ISNUMBER(SEARCH("R63",G42))*63,0)+IFERROR(--ISNUMBER(SEARCH("R64",G42))*64,0)+IFERROR(--ISNUMBER(SEARCH("R65",G42))*65,0)+IFERROR(--ISNUMBER(SEARCH("R66",G42))*66,0)+IFERROR(--ISNUMBER(SEARCH("R67",G42))*67,0)+IFERROR(--ISNUMBER(SEARCH("R68",G42))*68,0)+IFERROR(--ISNUMBER(SEARCH("R69",G42))*69,0)+IFERROR(--ISNUMBER(SEARCH("R70",G42))*70,0)+IFERROR(--ISNUMBER(SEARCH("R71",G42))*71,0)+IFERROR(--ISNUMBER(SEARCH("R72",G42))*72,0)+IFERROR(--ISNUMBER(SEARCH("R73",G42))*73,0)+IFERROR(--ISNUMBER(SEARCH("R74",G42))*74,0)+IFERROR(--ISNUMBER(SEARCH("R75",G42))*75,0)+IFERROR(--ISNUMBER(SEARCH("R76",G42))*76,0)+IFERROR(--ISNUMBER(SEARCH("R77",G42))*77,0)+IFERROR(--ISNUMBER(SEARCH("R78",G42))*78,0)+IFERROR(--ISNUMBER(SEARCH("R79",G42))*79,0)+IFERROR(--ISNUMBER(SEARCH("R80",G42))*80,0)+IFERROR(--ISNUMBER(SEARCH("R81",G42))*81,0)+IFERROR(--ISNUMBER(SEARCH("R82",G42))*82,0)+IFERROR(--ISNUMBER(SEARCH("R83",G42))*83,0)+IFERROR(--ISNUMBER(SEARCH("R84",G42))*84,0)+IFERROR(--ISNUMBER(SEARCH("R85",G42))*85,0)+IFERROR(--ISNUMBER(SEARCH("R86",G42))*86,0)+IFERROR(--ISNUMBER(SEARCH("R87",G42))*87,0)+IFERROR(--ISNUMBER(SEARCH("R88",G42))*88,0)+IFERROR(--ISNUMBER(SEARCH("R89",G42))*89,0)+IFERROR(--ISNUMBER(SEARCH("R90",G42))*90,0)+IFERROR(--ISNUMBER(SEARCH("R91",G42))*91,0)+IFERROR(--ISNUMBER(SEARCH("R92",G42))*92,0)+IFERROR(--ISNUMBER(SEARCH("R93",G42))*93,0)+IFERROR(--ISNUMBER(SEARCH("R94",G42))*94,0)+IFERROR(--ISNUMBER(SEARCH("R95",G42))*95,0)+IFERROR(--ISNUMBER(SEARCH("R96",G42))*96,0)+IFERROR(--ISNUMBER(SEARCH("R97",G42))*97,0)+IFERROR(--ISNUMBER(SEARCH("R98",G42))*98,0)+IFERROR(--ISNUMBER(SEARCH("R99",G42))*99,0)+IFERROR(--ISNUMBER(SEARCH("R100",G42))*100,0)+IFERROR(--ISNUMBER(SEARCH("R101",G42))*101,0)+IFERROR(--ISNUMBER(SEARCH("R102",G42))*102,0)+IFERROR(--ISNUMBER(SEARCH("R103",G42))*103,0)+IFERROR(--ISNUMBER(SEARCH("R104",G42))*104,0)+IFERROR(--ISNUMBER(SEARCH("R105",G42))*105,0)+IFERROR(--ISNUMBER(SEARCH("R106",G42))*106,0)+IFERROR(--ISNUMBER(SEARCH("R107",G42))*107,0)+IFERROR(--ISNUMBER(SEARCH("R108",G42))*108,0)+IFERROR(--ISNUMBER(SEARCH("R109",G42))*109,0)+IFERROR(--ISNUMBER(SEARCH("R110",G42))*110,0)+IFERROR(--ISNUMBER(SEARCH("R111",G42))*111,0)+IFERROR(--ISNUMBER(SEARCH("R112",G42))*112,0)+IFERROR(--ISNUMBER(SEARCH("R113",G42))*113,0)+IFERROR(--ISNUMBER(SEARCH("R114",G42))*114,0)+IFERROR(--ISNUMBER(SEARCH("R115",G42))*115,0)+IFERROR(--ISNUMBER(SEARCH("R116",G42))*116,0)+IFERROR(--ISNUMBER(SEARCH("R117",G42))*117,0)+IFERROR(--ISNUMBER(SEARCH("R118",G42))*118,0)+IFERROR(--ISNUMBER(SEARCH("R119",G42))*119,0)+IFERROR(--ISNUMBER(SEARCH("R120",G42))*120,0)+IFERROR(--ISNUMBER(SEARCH("R121",G42))*121,0)+IFERROR(--ISNUMBER(SEARCH("R122",G42))*122,0)+IFERROR(--ISNUMBER(SEARCH("R123",G42))*123,0)+IFERROR(--ISNUMBER(SEARCH("R124",G42))*124,0)+IFERROR(--ISNUMBER(SEARCH("R125",G42))*125,0)+IFERROR(--ISNUMBER(SEARCH("R126",G42))*126,0)+IFERROR(--ISNUMBER(SEARCH("R127",G42))*127,0)+IFERROR(--ISNUMBER(SEARCH("R128",G42))*128,0)+IFERROR(--ISNUMBER(SEARCH("R129",G42))*129,0)+IFERROR(--ISNUMBER(SEARCH("R130",G42))*130,0)+IFERROR(--ISNUMBER(SEARCH("R131",G42))*131,0)+IFERROR(--ISNUMBER(SEARCH("R132",G42))*132,0)+IFERROR(--ISNUMBER(SEARCH("R133",G42))*133,0)+IFERROR(--ISNUMBER(SEARCH("R134",G42))*134,0)+IFERROR(--ISNUMBER(SEARCH("R135",G42))*135,0)+IFERROR(--ISNUMBER(SEARCH("R136",G42))*136,0)+IFERROR(--ISNUMBER(SEARCH("R137",G42))*137,0)+IFERROR(--ISNUMBER(SEARCH("R138",G42))*138,0)+IFERROR(--ISNUMBER(SEARCH("R139",G42))*139,0)+IFERROR(--ISNUMBER(SEARCH("R140",G42))*140,0)+IFERROR(--ISNUMBER(SEARCH("R141",G42))*141,0))</f>
        <v/>
      </c>
      <c r="V42" s="59">
        <f>IF(A42="","",IF(K42&lt;&gt;"",K42,J42))</f>
        <v/>
      </c>
      <c r="W42" s="59">
        <f>IF(A42="","",IF(AND(V42=29,O42&lt;&gt;"",COUNTIFS($V$6:$V$505,29,$F$6:$F$505,F42,$C$6:$C$505,C42,$O$6:$O$505,"&lt;&gt;")&gt;1),IF(COUNTIFS($V$6:V42,29,$F$6:F42,F42,$C$6:C42,C42,$O$6:O42,"&lt;&gt;")=1,"Esta es la fila que se debe CONSERVAR (aparición 1 de "&amp;COUNTIFS($V$6:$V$505,29,$F$6:$F$505,F42,$C$6:$C$505,C42,$O$6:$O$505,"&lt;&gt;")&amp;" con el mismo tercero y valor, casilla 29). Si hay más filas iguales, bórreles el valor a ELLAS, no a esta.","DUPLICADO — ya existe otra fila con el mismo tercero y valor para casilla 29 (aparición "&amp;COUNTIFS($V$6:V42,29,$F$6:F42,F42,$C$6:C42,C42,$O$6:O42,"&lt;&gt;")&amp;" de "&amp;COUNTIFS($V$6:$V$505,29,$F$6:$F$505,F42,$C$6:$C$505,C42,$O$6:$O$505,"&lt;&gt;")&amp;"). Para resolverlo: seleccione la celda O"&amp;ROW()&amp;" (columna Valor a declarar de ESTA fila) y presione Supr."),""))</f>
        <v/>
      </c>
      <c r="X42" s="463">
        <f>IF(A42="","",F42)</f>
        <v/>
      </c>
      <c r="Y42" s="463">
        <f>IF(A42="","",SUMIF(Entrada_Manual!$I$88:$I$187,A42,Entrada_Manual!$F$88:$F$187))</f>
        <v/>
      </c>
      <c r="Z42" s="463">
        <f>IF(A42="","",X42-Y42)</f>
        <v/>
      </c>
      <c r="AA42">
        <f>IF(A42="","",SUMPRODUCT((Entrada_Manual!$I$88:$I$187=A42)*1))</f>
        <v/>
      </c>
      <c r="AB42">
        <f>IF(A42="","",IF(S42&lt;=1,"",IF(AA42=0,"PENDIENTE — SIN ASIGNAR",IF(Z42=0,"RESUELTO","PARCIAL — DIFERENCIA "&amp;TEXT(Z42,"#,##0")))))</f>
        <v/>
      </c>
    </row>
    <row r="43" ht="28.5" customHeight="1" s="235">
      <c r="A43" s="47">
        <f>IF(Exogena_RAW!E52&lt;&gt;"",ROW()-5,"")</f>
        <v/>
      </c>
      <c r="B43" s="48">
        <f>IF(A43="","",52)</f>
        <v/>
      </c>
      <c r="C43" s="48">
        <f>IF(A43="","",IFERROR(Exogena_RAW!A52,""))</f>
        <v/>
      </c>
      <c r="D43" s="48">
        <f>IF(A43="","",IFERROR(Exogena_RAW!B52,""))</f>
        <v/>
      </c>
      <c r="E43" s="48">
        <f>IF(A43="","",Exogena_RAW!E52)</f>
        <v/>
      </c>
      <c r="F43" s="461">
        <f>IF(A43="","",Exogena_RAW!F52)</f>
        <v/>
      </c>
      <c r="G43" s="48">
        <f>IF(A43="","",IFERROR(Exogena_RAW!G52,""))</f>
        <v/>
      </c>
      <c r="H43" s="48">
        <f>IF(A43="","",IFERROR(Exogena_RAW!H52,""))</f>
        <v/>
      </c>
      <c r="I43" s="48">
        <f>IF(A43="","",IFERROR(IF(S43&gt;1,"VARIAS CASILLAS",IF(S43=1,IF(T43=1,"PROPUESTA DE CASILLA","REVISIÓN: CASILLA NO DIRECTA"),IF(OR(ISNUMBER(SEARCH("TOPE",UPPER(E43))),ISNUMBER(SEARCH("TOPE",UPPER(G43)))),"SOLO CONTROL",IF(ISNUMBER(SEARCH("RETEN",UPPER(E43))),"RETENCIÓN","REVISAR")))),"REVISAR"))</f>
        <v/>
      </c>
      <c r="J43" s="61">
        <f>IF(A43="","",IF(ISNUMBER(SEARCH("ingreso laboral promedio de los últimos seis meses",E43)),"",IFERROR(IF(AND(S43=1,T43=1),U43,""),"")))</f>
        <v/>
      </c>
      <c r="K43" s="216" t="n"/>
      <c r="L43" s="48">
        <f>IF(A43="","",IFERROR(IF(K43&lt;&gt;"","Casilla elegida por usuario",IF(S43&gt;1,"Varias casillas — elegir en K",IF(J43&lt;&gt;"","Sugerencia directa",IF(S43=1,"No trasladar directo — revisar",IF(OR(ISNUMBER(SEARCH("TOPE",UPPER(E43))),ISNUMBER(SEARCH("TOPE",UPPER(G43)))),"Solo control","Revisar manualmente"))))),"Revisar manualmente"))</f>
        <v/>
      </c>
      <c r="M43" s="461">
        <f>IF(A43="","",IF(IF(K43&lt;&gt;"",K43,J43)="",0,IF(COUNTIFS(Reglas!$I$5:$I$118,IF(K43&lt;&gt;"",K43,J43),Reglas!$J$5:$J$118,"Sí")=1,F43,0)))</f>
        <v/>
      </c>
      <c r="N43" s="56" t="n"/>
      <c r="O43" s="462">
        <f>IF(A43="","",IF(M43=0,"",M43))</f>
        <v/>
      </c>
      <c r="P43" s="461">
        <f>IF(A43="","",IF(O43="",0,IF(ISNUMBER(O43),O43,0)))</f>
        <v/>
      </c>
      <c r="Q43" s="48">
        <f>IF(A43="","",IF(Exogena_RAW!$C$4="","BLOQUEADO: FALTA AÑO",IF(Exogena_RAW!$K$10&lt;&gt;Reglas!$B$5,"BLOQUEADO: AÑO",IF(IF(K43&lt;&gt;"",K43,J43)="",IF(S43&gt;1,"REQUIERE ASIGNACIÓN MANUAL (VARIAS CASILLAS)","INFORMATIVO (sin casilla — no se declara)"),IF(COUNTIFS(Reglas!$I$5:$I$118,IF(K43&lt;&gt;"",K43,J43),Reglas!$J$5:$J$118,"Sí")=0,"BLOQUEADO: CASILLA NO DIRECTA",IF(O43="","EXCLUIDO (valor borrado por el usuario)",IF(_xlfn.ISFORMULA(O43),IF(W43&lt;&gt;"","BORRADOR — VALOR SUGERIDO DIAN ⚠ VER ALERTA","BORRADOR — VALOR SUGERIDO DIAN"),IF(W43&lt;&gt;"","ACEPTADO ⚠ VER ALERTA","ACEPTADO"))))))))</f>
        <v/>
      </c>
      <c r="R43" s="218" t="n"/>
      <c r="S43" s="58">
        <f>IF(A43="","",IFERROR(--ISNUMBER(SEARCH("R28",G43)),0)+IFERROR(--ISNUMBER(SEARCH("R29",G43)),0)+IFERROR(--ISNUMBER(SEARCH("R30",G43)),0)+IFERROR(--ISNUMBER(SEARCH("R31",G43)),0)+IFERROR(--ISNUMBER(SEARCH("R32",G43)),0)+IFERROR(--ISNUMBER(SEARCH("R33",G43)),0)+IFERROR(--ISNUMBER(SEARCH("R34",G43)),0)+IFERROR(--ISNUMBER(SEARCH("R35",G43)),0)+IFERROR(--ISNUMBER(SEARCH("R36",G43)),0)+IFERROR(--ISNUMBER(SEARCH("R37",G43)),0)+IFERROR(--ISNUMBER(SEARCH("R38",G43)),0)+IFERROR(--ISNUMBER(SEARCH("R39",G43)),0)+IFERROR(--ISNUMBER(SEARCH("R40",G43)),0)+IFERROR(--ISNUMBER(SEARCH("R41",G43)),0)+IFERROR(--ISNUMBER(SEARCH("R42",G43)),0)+IFERROR(--ISNUMBER(SEARCH("R43",G43)),0)+IFERROR(--ISNUMBER(SEARCH("R44",G43)),0)+IFERROR(--ISNUMBER(SEARCH("R45",G43)),0)+IFERROR(--ISNUMBER(SEARCH("R46",G43)),0)+IFERROR(--ISNUMBER(SEARCH("R47",G43)),0)+IFERROR(--ISNUMBER(SEARCH("R48",G43)),0)+IFERROR(--ISNUMBER(SEARCH("R49",G43)),0)+IFERROR(--ISNUMBER(SEARCH("R50",G43)),0)+IFERROR(--ISNUMBER(SEARCH("R51",G43)),0)+IFERROR(--ISNUMBER(SEARCH("R52",G43)),0)+IFERROR(--ISNUMBER(SEARCH("R53",G43)),0)+IFERROR(--ISNUMBER(SEARCH("R54",G43)),0)+IFERROR(--ISNUMBER(SEARCH("R55",G43)),0)+IFERROR(--ISNUMBER(SEARCH("R56",G43)),0)+IFERROR(--ISNUMBER(SEARCH("R57",G43)),0)+IFERROR(--ISNUMBER(SEARCH("R58",G43)),0)+IFERROR(--ISNUMBER(SEARCH("R59",G43)),0)+IFERROR(--ISNUMBER(SEARCH("R60",G43)),0)+IFERROR(--ISNUMBER(SEARCH("R61",G43)),0)+IFERROR(--ISNUMBER(SEARCH("R62",G43)),0)+IFERROR(--ISNUMBER(SEARCH("R63",G43)),0)+IFERROR(--ISNUMBER(SEARCH("R64",G43)),0)+IFERROR(--ISNUMBER(SEARCH("R65",G43)),0)+IFERROR(--ISNUMBER(SEARCH("R66",G43)),0)+IFERROR(--ISNUMBER(SEARCH("R67",G43)),0)+IFERROR(--ISNUMBER(SEARCH("R68",G43)),0)+IFERROR(--ISNUMBER(SEARCH("R69",G43)),0)+IFERROR(--ISNUMBER(SEARCH("R70",G43)),0)+IFERROR(--ISNUMBER(SEARCH("R71",G43)),0)+IFERROR(--ISNUMBER(SEARCH("R72",G43)),0)+IFERROR(--ISNUMBER(SEARCH("R73",G43)),0)+IFERROR(--ISNUMBER(SEARCH("R74",G43)),0)+IFERROR(--ISNUMBER(SEARCH("R75",G43)),0)+IFERROR(--ISNUMBER(SEARCH("R76",G43)),0)+IFERROR(--ISNUMBER(SEARCH("R77",G43)),0)+IFERROR(--ISNUMBER(SEARCH("R78",G43)),0)+IFERROR(--ISNUMBER(SEARCH("R79",G43)),0)+IFERROR(--ISNUMBER(SEARCH("R80",G43)),0)+IFERROR(--ISNUMBER(SEARCH("R81",G43)),0)+IFERROR(--ISNUMBER(SEARCH("R82",G43)),0)+IFERROR(--ISNUMBER(SEARCH("R83",G43)),0)+IFERROR(--ISNUMBER(SEARCH("R84",G43)),0)+IFERROR(--ISNUMBER(SEARCH("R85",G43)),0)+IFERROR(--ISNUMBER(SEARCH("R86",G43)),0)+IFERROR(--ISNUMBER(SEARCH("R87",G43)),0)+IFERROR(--ISNUMBER(SEARCH("R88",G43)),0)+IFERROR(--ISNUMBER(SEARCH("R89",G43)),0)+IFERROR(--ISNUMBER(SEARCH("R90",G43)),0)+IFERROR(--ISNUMBER(SEARCH("R91",G43)),0)+IFERROR(--ISNUMBER(SEARCH("R92",G43)),0)+IFERROR(--ISNUMBER(SEARCH("R93",G43)),0)+IFERROR(--ISNUMBER(SEARCH("R94",G43)),0)+IFERROR(--ISNUMBER(SEARCH("R95",G43)),0)+IFERROR(--ISNUMBER(SEARCH("R96",G43)),0)+IFERROR(--ISNUMBER(SEARCH("R97",G43)),0)+IFERROR(--ISNUMBER(SEARCH("R98",G43)),0)+IFERROR(--ISNUMBER(SEARCH("R99",G43)),0)+IFERROR(--ISNUMBER(SEARCH("R100",G43)),0)+IFERROR(--ISNUMBER(SEARCH("R101",G43)),0)+IFERROR(--ISNUMBER(SEARCH("R102",G43)),0)+IFERROR(--ISNUMBER(SEARCH("R103",G43)),0)+IFERROR(--ISNUMBER(SEARCH("R104",G43)),0)+IFERROR(--ISNUMBER(SEARCH("R105",G43)),0)+IFERROR(--ISNUMBER(SEARCH("R106",G43)),0)+IFERROR(--ISNUMBER(SEARCH("R107",G43)),0)+IFERROR(--ISNUMBER(SEARCH("R108",G43)),0)+IFERROR(--ISNUMBER(SEARCH("R109",G43)),0)+IFERROR(--ISNUMBER(SEARCH("R110",G43)),0)+IFERROR(--ISNUMBER(SEARCH("R111",G43)),0)+IFERROR(--ISNUMBER(SEARCH("R112",G43)),0)+IFERROR(--ISNUMBER(SEARCH("R113",G43)),0)+IFERROR(--ISNUMBER(SEARCH("R114",G43)),0)+IFERROR(--ISNUMBER(SEARCH("R115",G43)),0)+IFERROR(--ISNUMBER(SEARCH("R116",G43)),0)+IFERROR(--ISNUMBER(SEARCH("R117",G43)),0)+IFERROR(--ISNUMBER(SEARCH("R118",G43)),0)+IFERROR(--ISNUMBER(SEARCH("R119",G43)),0)+IFERROR(--ISNUMBER(SEARCH("R120",G43)),0)+IFERROR(--ISNUMBER(SEARCH("R121",G43)),0)+IFERROR(--ISNUMBER(SEARCH("R122",G43)),0)+IFERROR(--ISNUMBER(SEARCH("R123",G43)),0)+IFERROR(--ISNUMBER(SEARCH("R124",G43)),0)+IFERROR(--ISNUMBER(SEARCH("R125",G43)),0)+IFERROR(--ISNUMBER(SEARCH("R126",G43)),0)+IFERROR(--ISNUMBER(SEARCH("R127",G43)),0)+IFERROR(--ISNUMBER(SEARCH("R128",G43)),0)+IFERROR(--ISNUMBER(SEARCH("R129",G43)),0)+IFERROR(--ISNUMBER(SEARCH("R130",G43)),0)+IFERROR(--ISNUMBER(SEARCH("R131",G43)),0)+IFERROR(--ISNUMBER(SEARCH("R132",G43)),0)+IFERROR(--ISNUMBER(SEARCH("R133",G43)),0)+IFERROR(--ISNUMBER(SEARCH("R134",G43)),0)+IFERROR(--ISNUMBER(SEARCH("R135",G43)),0)+IFERROR(--ISNUMBER(SEARCH("R136",G43)),0)+IFERROR(--ISNUMBER(SEARCH("R137",G43)),0)+IFERROR(--ISNUMBER(SEARCH("R138",G43)),0)+IFERROR(--ISNUMBER(SEARCH("R139",G43)),0)+IFERROR(--ISNUMBER(SEARCH("R140",G43)),0)+IFERROR(--ISNUMBER(SEARCH("R141",G43)),0))</f>
        <v/>
      </c>
      <c r="T43" s="58">
        <f>IF(A43="","",IFERROR(--ISNUMBER(SEARCH("R28",G43)),0)+IFERROR(--ISNUMBER(SEARCH("R29",G43)),0)+IFERROR(--ISNUMBER(SEARCH("R30",G43)),0)+IFERROR(--ISNUMBER(SEARCH("R32",G43)),0)+IFERROR(--ISNUMBER(SEARCH("R33",G43)),0)+IFERROR(--ISNUMBER(SEARCH("R35",G43)),0)+IFERROR(--ISNUMBER(SEARCH("R36",G43)),0)+IFERROR(--ISNUMBER(SEARCH("R38",G43)),0)+IFERROR(--ISNUMBER(SEARCH("R39",G43)),0)+IFERROR(--ISNUMBER(SEARCH("R43",G43)),0)+IFERROR(--ISNUMBER(SEARCH("R44",G43)),0)+IFERROR(--ISNUMBER(SEARCH("R45",G43)),0)+IFERROR(--ISNUMBER(SEARCH("R47",G43)),0)+IFERROR(--ISNUMBER(SEARCH("R48",G43)),0)+IFERROR(--ISNUMBER(SEARCH("R50",G43)),0)+IFERROR(--ISNUMBER(SEARCH("R51",G43)),0)+IFERROR(--ISNUMBER(SEARCH("R56",G43)),0)+IFERROR(--ISNUMBER(SEARCH("R58",G43)),0)+IFERROR(--ISNUMBER(SEARCH("R59",G43)),0)+IFERROR(--ISNUMBER(SEARCH("R60",G43)),0)+IFERROR(--ISNUMBER(SEARCH("R62",G43)),0)+IFERROR(--ISNUMBER(SEARCH("R63",G43)),0)+IFERROR(--ISNUMBER(SEARCH("R64",G43)),0)+IFERROR(--ISNUMBER(SEARCH("R66",G43)),0)+IFERROR(--ISNUMBER(SEARCH("R67",G43)),0)+IFERROR(--ISNUMBER(SEARCH("R72",G43)),0)+IFERROR(--ISNUMBER(SEARCH("R74",G43)),0)+IFERROR(--ISNUMBER(SEARCH("R75",G43)),0)+IFERROR(--ISNUMBER(SEARCH("R76",G43)),0)+IFERROR(--ISNUMBER(SEARCH("R77",G43)),0)+IFERROR(--ISNUMBER(SEARCH("R79",G43)),0)+IFERROR(--ISNUMBER(SEARCH("R80",G43)),0)+IFERROR(--ISNUMBER(SEARCH("R81",G43)),0)+IFERROR(--ISNUMBER(SEARCH("R83",G43)),0)+IFERROR(--ISNUMBER(SEARCH("R84",G43)),0)+IFERROR(--ISNUMBER(SEARCH("R89",G43)),0)+IFERROR(--ISNUMBER(SEARCH("R94",G43)),0)+IFERROR(--ISNUMBER(SEARCH("R95",G43)),0)+IFERROR(--ISNUMBER(SEARCH("R96",G43)),0)+IFERROR(--ISNUMBER(SEARCH("R98",G43)),0)+IFERROR(--ISNUMBER(SEARCH("R99",G43)),0)+IFERROR(--ISNUMBER(SEARCH("R100",G43)),0)+IFERROR(--ISNUMBER(SEARCH("R104",G43)),0)+IFERROR(--ISNUMBER(SEARCH("R105",G43)),0)+IFERROR(--ISNUMBER(SEARCH("R107",G43)),0)+IFERROR(--ISNUMBER(SEARCH("R108",G43)),0)+IFERROR(--ISNUMBER(SEARCH("R109",G43)),0)+IFERROR(--ISNUMBER(SEARCH("R110",G43)),0)+IFERROR(--ISNUMBER(SEARCH("R112",G43)),0)+IFERROR(--ISNUMBER(SEARCH("R113",G43)),0)+IFERROR(--ISNUMBER(SEARCH("R114",G43)),0)+IFERROR(--ISNUMBER(SEARCH("R118",G43)),0)+IFERROR(--ISNUMBER(SEARCH("R119",G43)),0)+IFERROR(--ISNUMBER(SEARCH("R120",G43)),0)+IFERROR(--ISNUMBER(SEARCH("R122",G43)),0)+IFERROR(--ISNUMBER(SEARCH("R123",G43)),0)+IFERROR(--ISNUMBER(SEARCH("R124",G43)),0)+IFERROR(--ISNUMBER(SEARCH("R128",G43)),0)+IFERROR(--ISNUMBER(SEARCH("R130",G43)),0)+IFERROR(--ISNUMBER(SEARCH("R131",G43)),0)+IFERROR(--ISNUMBER(SEARCH("R132",G43)),0)+IFERROR(--ISNUMBER(SEARCH("R135",G43)),0)+IFERROR(--ISNUMBER(SEARCH("R138",G43)),0)+IFERROR(--ISNUMBER(SEARCH("R141",G43)),0))</f>
        <v/>
      </c>
      <c r="U43" s="58">
        <f>IF(A43="","",IFERROR(--ISNUMBER(SEARCH("R28",G43))*28,0)+IFERROR(--ISNUMBER(SEARCH("R29",G43))*29,0)+IFERROR(--ISNUMBER(SEARCH("R30",G43))*30,0)+IFERROR(--ISNUMBER(SEARCH("R31",G43))*31,0)+IFERROR(--ISNUMBER(SEARCH("R32",G43))*32,0)+IFERROR(--ISNUMBER(SEARCH("R33",G43))*33,0)+IFERROR(--ISNUMBER(SEARCH("R34",G43))*34,0)+IFERROR(--ISNUMBER(SEARCH("R35",G43))*35,0)+IFERROR(--ISNUMBER(SEARCH("R36",G43))*36,0)+IFERROR(--ISNUMBER(SEARCH("R37",G43))*37,0)+IFERROR(--ISNUMBER(SEARCH("R38",G43))*38,0)+IFERROR(--ISNUMBER(SEARCH("R39",G43))*39,0)+IFERROR(--ISNUMBER(SEARCH("R40",G43))*40,0)+IFERROR(--ISNUMBER(SEARCH("R41",G43))*41,0)+IFERROR(--ISNUMBER(SEARCH("R42",G43))*42,0)+IFERROR(--ISNUMBER(SEARCH("R43",G43))*43,0)+IFERROR(--ISNUMBER(SEARCH("R44",G43))*44,0)+IFERROR(--ISNUMBER(SEARCH("R45",G43))*45,0)+IFERROR(--ISNUMBER(SEARCH("R46",G43))*46,0)+IFERROR(--ISNUMBER(SEARCH("R47",G43))*47,0)+IFERROR(--ISNUMBER(SEARCH("R48",G43))*48,0)+IFERROR(--ISNUMBER(SEARCH("R49",G43))*49,0)+IFERROR(--ISNUMBER(SEARCH("R50",G43))*50,0)+IFERROR(--ISNUMBER(SEARCH("R51",G43))*51,0)+IFERROR(--ISNUMBER(SEARCH("R52",G43))*52,0)+IFERROR(--ISNUMBER(SEARCH("R53",G43))*53,0)+IFERROR(--ISNUMBER(SEARCH("R54",G43))*54,0)+IFERROR(--ISNUMBER(SEARCH("R55",G43))*55,0)+IFERROR(--ISNUMBER(SEARCH("R56",G43))*56,0)+IFERROR(--ISNUMBER(SEARCH("R57",G43))*57,0)+IFERROR(--ISNUMBER(SEARCH("R58",G43))*58,0)+IFERROR(--ISNUMBER(SEARCH("R59",G43))*59,0)+IFERROR(--ISNUMBER(SEARCH("R60",G43))*60,0)+IFERROR(--ISNUMBER(SEARCH("R61",G43))*61,0)+IFERROR(--ISNUMBER(SEARCH("R62",G43))*62,0)+IFERROR(--ISNUMBER(SEARCH("R63",G43))*63,0)+IFERROR(--ISNUMBER(SEARCH("R64",G43))*64,0)+IFERROR(--ISNUMBER(SEARCH("R65",G43))*65,0)+IFERROR(--ISNUMBER(SEARCH("R66",G43))*66,0)+IFERROR(--ISNUMBER(SEARCH("R67",G43))*67,0)+IFERROR(--ISNUMBER(SEARCH("R68",G43))*68,0)+IFERROR(--ISNUMBER(SEARCH("R69",G43))*69,0)+IFERROR(--ISNUMBER(SEARCH("R70",G43))*70,0)+IFERROR(--ISNUMBER(SEARCH("R71",G43))*71,0)+IFERROR(--ISNUMBER(SEARCH("R72",G43))*72,0)+IFERROR(--ISNUMBER(SEARCH("R73",G43))*73,0)+IFERROR(--ISNUMBER(SEARCH("R74",G43))*74,0)+IFERROR(--ISNUMBER(SEARCH("R75",G43))*75,0)+IFERROR(--ISNUMBER(SEARCH("R76",G43))*76,0)+IFERROR(--ISNUMBER(SEARCH("R77",G43))*77,0)+IFERROR(--ISNUMBER(SEARCH("R78",G43))*78,0)+IFERROR(--ISNUMBER(SEARCH("R79",G43))*79,0)+IFERROR(--ISNUMBER(SEARCH("R80",G43))*80,0)+IFERROR(--ISNUMBER(SEARCH("R81",G43))*81,0)+IFERROR(--ISNUMBER(SEARCH("R82",G43))*82,0)+IFERROR(--ISNUMBER(SEARCH("R83",G43))*83,0)+IFERROR(--ISNUMBER(SEARCH("R84",G43))*84,0)+IFERROR(--ISNUMBER(SEARCH("R85",G43))*85,0)+IFERROR(--ISNUMBER(SEARCH("R86",G43))*86,0)+IFERROR(--ISNUMBER(SEARCH("R87",G43))*87,0)+IFERROR(--ISNUMBER(SEARCH("R88",G43))*88,0)+IFERROR(--ISNUMBER(SEARCH("R89",G43))*89,0)+IFERROR(--ISNUMBER(SEARCH("R90",G43))*90,0)+IFERROR(--ISNUMBER(SEARCH("R91",G43))*91,0)+IFERROR(--ISNUMBER(SEARCH("R92",G43))*92,0)+IFERROR(--ISNUMBER(SEARCH("R93",G43))*93,0)+IFERROR(--ISNUMBER(SEARCH("R94",G43))*94,0)+IFERROR(--ISNUMBER(SEARCH("R95",G43))*95,0)+IFERROR(--ISNUMBER(SEARCH("R96",G43))*96,0)+IFERROR(--ISNUMBER(SEARCH("R97",G43))*97,0)+IFERROR(--ISNUMBER(SEARCH("R98",G43))*98,0)+IFERROR(--ISNUMBER(SEARCH("R99",G43))*99,0)+IFERROR(--ISNUMBER(SEARCH("R100",G43))*100,0)+IFERROR(--ISNUMBER(SEARCH("R101",G43))*101,0)+IFERROR(--ISNUMBER(SEARCH("R102",G43))*102,0)+IFERROR(--ISNUMBER(SEARCH("R103",G43))*103,0)+IFERROR(--ISNUMBER(SEARCH("R104",G43))*104,0)+IFERROR(--ISNUMBER(SEARCH("R105",G43))*105,0)+IFERROR(--ISNUMBER(SEARCH("R106",G43))*106,0)+IFERROR(--ISNUMBER(SEARCH("R107",G43))*107,0)+IFERROR(--ISNUMBER(SEARCH("R108",G43))*108,0)+IFERROR(--ISNUMBER(SEARCH("R109",G43))*109,0)+IFERROR(--ISNUMBER(SEARCH("R110",G43))*110,0)+IFERROR(--ISNUMBER(SEARCH("R111",G43))*111,0)+IFERROR(--ISNUMBER(SEARCH("R112",G43))*112,0)+IFERROR(--ISNUMBER(SEARCH("R113",G43))*113,0)+IFERROR(--ISNUMBER(SEARCH("R114",G43))*114,0)+IFERROR(--ISNUMBER(SEARCH("R115",G43))*115,0)+IFERROR(--ISNUMBER(SEARCH("R116",G43))*116,0)+IFERROR(--ISNUMBER(SEARCH("R117",G43))*117,0)+IFERROR(--ISNUMBER(SEARCH("R118",G43))*118,0)+IFERROR(--ISNUMBER(SEARCH("R119",G43))*119,0)+IFERROR(--ISNUMBER(SEARCH("R120",G43))*120,0)+IFERROR(--ISNUMBER(SEARCH("R121",G43))*121,0)+IFERROR(--ISNUMBER(SEARCH("R122",G43))*122,0)+IFERROR(--ISNUMBER(SEARCH("R123",G43))*123,0)+IFERROR(--ISNUMBER(SEARCH("R124",G43))*124,0)+IFERROR(--ISNUMBER(SEARCH("R125",G43))*125,0)+IFERROR(--ISNUMBER(SEARCH("R126",G43))*126,0)+IFERROR(--ISNUMBER(SEARCH("R127",G43))*127,0)+IFERROR(--ISNUMBER(SEARCH("R128",G43))*128,0)+IFERROR(--ISNUMBER(SEARCH("R129",G43))*129,0)+IFERROR(--ISNUMBER(SEARCH("R130",G43))*130,0)+IFERROR(--ISNUMBER(SEARCH("R131",G43))*131,0)+IFERROR(--ISNUMBER(SEARCH("R132",G43))*132,0)+IFERROR(--ISNUMBER(SEARCH("R133",G43))*133,0)+IFERROR(--ISNUMBER(SEARCH("R134",G43))*134,0)+IFERROR(--ISNUMBER(SEARCH("R135",G43))*135,0)+IFERROR(--ISNUMBER(SEARCH("R136",G43))*136,0)+IFERROR(--ISNUMBER(SEARCH("R137",G43))*137,0)+IFERROR(--ISNUMBER(SEARCH("R138",G43))*138,0)+IFERROR(--ISNUMBER(SEARCH("R139",G43))*139,0)+IFERROR(--ISNUMBER(SEARCH("R140",G43))*140,0)+IFERROR(--ISNUMBER(SEARCH("R141",G43))*141,0))</f>
        <v/>
      </c>
      <c r="V43" s="59">
        <f>IF(A43="","",IF(K43&lt;&gt;"",K43,J43))</f>
        <v/>
      </c>
      <c r="W43" s="59">
        <f>IF(A43="","",IF(AND(V43=29,O43&lt;&gt;"",COUNTIFS($V$6:$V$505,29,$F$6:$F$505,F43,$C$6:$C$505,C43,$O$6:$O$505,"&lt;&gt;")&gt;1),IF(COUNTIFS($V$6:V43,29,$F$6:F43,F43,$C$6:C43,C43,$O$6:O43,"&lt;&gt;")=1,"Esta es la fila que se debe CONSERVAR (aparición 1 de "&amp;COUNTIFS($V$6:$V$505,29,$F$6:$F$505,F43,$C$6:$C$505,C43,$O$6:$O$505,"&lt;&gt;")&amp;" con el mismo tercero y valor, casilla 29). Si hay más filas iguales, bórreles el valor a ELLAS, no a esta.","DUPLICADO — ya existe otra fila con el mismo tercero y valor para casilla 29 (aparición "&amp;COUNTIFS($V$6:V43,29,$F$6:F43,F43,$C$6:C43,C43,$O$6:O43,"&lt;&gt;")&amp;" de "&amp;COUNTIFS($V$6:$V$505,29,$F$6:$F$505,F43,$C$6:$C$505,C43,$O$6:$O$505,"&lt;&gt;")&amp;"). Para resolverlo: seleccione la celda O"&amp;ROW()&amp;" (columna Valor a declarar de ESTA fila) y presione Supr."),""))</f>
        <v/>
      </c>
      <c r="X43" s="463">
        <f>IF(A43="","",F43)</f>
        <v/>
      </c>
      <c r="Y43" s="463">
        <f>IF(A43="","",SUMIF(Entrada_Manual!$I$88:$I$187,A43,Entrada_Manual!$F$88:$F$187))</f>
        <v/>
      </c>
      <c r="Z43" s="463">
        <f>IF(A43="","",X43-Y43)</f>
        <v/>
      </c>
      <c r="AA43">
        <f>IF(A43="","",SUMPRODUCT((Entrada_Manual!$I$88:$I$187=A43)*1))</f>
        <v/>
      </c>
      <c r="AB43">
        <f>IF(A43="","",IF(S43&lt;=1,"",IF(AA43=0,"PENDIENTE — SIN ASIGNAR",IF(Z43=0,"RESUELTO","PARCIAL — DIFERENCIA "&amp;TEXT(Z43,"#,##0")))))</f>
        <v/>
      </c>
    </row>
    <row r="44" ht="42.75" customHeight="1" s="235">
      <c r="A44" s="47">
        <f>IF(Exogena_RAW!E53&lt;&gt;"",ROW()-5,"")</f>
        <v/>
      </c>
      <c r="B44" s="48">
        <f>IF(A44="","",53)</f>
        <v/>
      </c>
      <c r="C44" s="48">
        <f>IF(A44="","",IFERROR(Exogena_RAW!A53,""))</f>
        <v/>
      </c>
      <c r="D44" s="48">
        <f>IF(A44="","",IFERROR(Exogena_RAW!B53,""))</f>
        <v/>
      </c>
      <c r="E44" s="48">
        <f>IF(A44="","",Exogena_RAW!E53)</f>
        <v/>
      </c>
      <c r="F44" s="461">
        <f>IF(A44="","",Exogena_RAW!F53)</f>
        <v/>
      </c>
      <c r="G44" s="48">
        <f>IF(A44="","",IFERROR(Exogena_RAW!G53,""))</f>
        <v/>
      </c>
      <c r="H44" s="48">
        <f>IF(A44="","",IFERROR(Exogena_RAW!H53,""))</f>
        <v/>
      </c>
      <c r="I44" s="48">
        <f>IF(A44="","",IFERROR(IF(S44&gt;1,"VARIAS CASILLAS",IF(S44=1,IF(T44=1,"PROPUESTA DE CASILLA","REVISIÓN: CASILLA NO DIRECTA"),IF(OR(ISNUMBER(SEARCH("TOPE",UPPER(E44))),ISNUMBER(SEARCH("TOPE",UPPER(G44)))),"SOLO CONTROL",IF(ISNUMBER(SEARCH("RETEN",UPPER(E44))),"RETENCIÓN","REVISAR")))),"REVISAR"))</f>
        <v/>
      </c>
      <c r="J44" s="48">
        <f>IF(A44="","",IF(ISNUMBER(SEARCH("ingreso laboral promedio de los últimos seis meses",E44)),"",IFERROR(IF(AND(S44=1,T44=1),U44,""),"")))</f>
        <v/>
      </c>
      <c r="K44" s="216" t="n"/>
      <c r="L44" s="48">
        <f>IF(A44="","",IFERROR(IF(K44&lt;&gt;"","Casilla elegida por usuario",IF(S44&gt;1,"Varias casillas — elegir en K",IF(J44&lt;&gt;"","Sugerencia directa",IF(S44=1,"No trasladar directo — revisar",IF(OR(ISNUMBER(SEARCH("TOPE",UPPER(E44))),ISNUMBER(SEARCH("TOPE",UPPER(G44)))),"Solo control","Revisar manualmente"))))),"Revisar manualmente"))</f>
        <v/>
      </c>
      <c r="M44" s="461">
        <f>IF(A44="","",IF(IF(K44&lt;&gt;"",K44,J44)="",0,IF(COUNTIFS(Reglas!$I$5:$I$118,IF(K44&lt;&gt;"",K44,J44),Reglas!$J$5:$J$118,"Sí")=1,F44,0)))</f>
        <v/>
      </c>
      <c r="N44" s="56" t="n"/>
      <c r="O44" s="462">
        <f>IF(A44="","",IF(M44=0,"",M44))</f>
        <v/>
      </c>
      <c r="P44" s="461">
        <f>IF(A44="","",IF(O44="",0,IF(ISNUMBER(O44),O44,0)))</f>
        <v/>
      </c>
      <c r="Q44" s="48">
        <f>IF(A44="","",IF(Exogena_RAW!$C$4="","BLOQUEADO: FALTA AÑO",IF(Exogena_RAW!$K$10&lt;&gt;Reglas!$B$5,"BLOQUEADO: AÑO",IF(IF(K44&lt;&gt;"",K44,J44)="",IF(S44&gt;1,"REQUIERE ASIGNACIÓN MANUAL (VARIAS CASILLAS)","INFORMATIVO (sin casilla — no se declara)"),IF(COUNTIFS(Reglas!$I$5:$I$118,IF(K44&lt;&gt;"",K44,J44),Reglas!$J$5:$J$118,"Sí")=0,"BLOQUEADO: CASILLA NO DIRECTA",IF(O44="","EXCLUIDO (valor borrado por el usuario)",IF(_xlfn.ISFORMULA(O44),IF(W44&lt;&gt;"","BORRADOR — VALOR SUGERIDO DIAN ⚠ VER ALERTA","BORRADOR — VALOR SUGERIDO DIAN"),IF(W44&lt;&gt;"","ACEPTADO ⚠ VER ALERTA","ACEPTADO"))))))))</f>
        <v/>
      </c>
      <c r="R44" s="218" t="n"/>
      <c r="S44" s="58">
        <f>IF(A44="","",IFERROR(--ISNUMBER(SEARCH("R28",G44)),0)+IFERROR(--ISNUMBER(SEARCH("R29",G44)),0)+IFERROR(--ISNUMBER(SEARCH("R30",G44)),0)+IFERROR(--ISNUMBER(SEARCH("R31",G44)),0)+IFERROR(--ISNUMBER(SEARCH("R32",G44)),0)+IFERROR(--ISNUMBER(SEARCH("R33",G44)),0)+IFERROR(--ISNUMBER(SEARCH("R34",G44)),0)+IFERROR(--ISNUMBER(SEARCH("R35",G44)),0)+IFERROR(--ISNUMBER(SEARCH("R36",G44)),0)+IFERROR(--ISNUMBER(SEARCH("R37",G44)),0)+IFERROR(--ISNUMBER(SEARCH("R38",G44)),0)+IFERROR(--ISNUMBER(SEARCH("R39",G44)),0)+IFERROR(--ISNUMBER(SEARCH("R40",G44)),0)+IFERROR(--ISNUMBER(SEARCH("R41",G44)),0)+IFERROR(--ISNUMBER(SEARCH("R42",G44)),0)+IFERROR(--ISNUMBER(SEARCH("R43",G44)),0)+IFERROR(--ISNUMBER(SEARCH("R44",G44)),0)+IFERROR(--ISNUMBER(SEARCH("R45",G44)),0)+IFERROR(--ISNUMBER(SEARCH("R46",G44)),0)+IFERROR(--ISNUMBER(SEARCH("R47",G44)),0)+IFERROR(--ISNUMBER(SEARCH("R48",G44)),0)+IFERROR(--ISNUMBER(SEARCH("R49",G44)),0)+IFERROR(--ISNUMBER(SEARCH("R50",G44)),0)+IFERROR(--ISNUMBER(SEARCH("R51",G44)),0)+IFERROR(--ISNUMBER(SEARCH("R52",G44)),0)+IFERROR(--ISNUMBER(SEARCH("R53",G44)),0)+IFERROR(--ISNUMBER(SEARCH("R54",G44)),0)+IFERROR(--ISNUMBER(SEARCH("R55",G44)),0)+IFERROR(--ISNUMBER(SEARCH("R56",G44)),0)+IFERROR(--ISNUMBER(SEARCH("R57",G44)),0)+IFERROR(--ISNUMBER(SEARCH("R58",G44)),0)+IFERROR(--ISNUMBER(SEARCH("R59",G44)),0)+IFERROR(--ISNUMBER(SEARCH("R60",G44)),0)+IFERROR(--ISNUMBER(SEARCH("R61",G44)),0)+IFERROR(--ISNUMBER(SEARCH("R62",G44)),0)+IFERROR(--ISNUMBER(SEARCH("R63",G44)),0)+IFERROR(--ISNUMBER(SEARCH("R64",G44)),0)+IFERROR(--ISNUMBER(SEARCH("R65",G44)),0)+IFERROR(--ISNUMBER(SEARCH("R66",G44)),0)+IFERROR(--ISNUMBER(SEARCH("R67",G44)),0)+IFERROR(--ISNUMBER(SEARCH("R68",G44)),0)+IFERROR(--ISNUMBER(SEARCH("R69",G44)),0)+IFERROR(--ISNUMBER(SEARCH("R70",G44)),0)+IFERROR(--ISNUMBER(SEARCH("R71",G44)),0)+IFERROR(--ISNUMBER(SEARCH("R72",G44)),0)+IFERROR(--ISNUMBER(SEARCH("R73",G44)),0)+IFERROR(--ISNUMBER(SEARCH("R74",G44)),0)+IFERROR(--ISNUMBER(SEARCH("R75",G44)),0)+IFERROR(--ISNUMBER(SEARCH("R76",G44)),0)+IFERROR(--ISNUMBER(SEARCH("R77",G44)),0)+IFERROR(--ISNUMBER(SEARCH("R78",G44)),0)+IFERROR(--ISNUMBER(SEARCH("R79",G44)),0)+IFERROR(--ISNUMBER(SEARCH("R80",G44)),0)+IFERROR(--ISNUMBER(SEARCH("R81",G44)),0)+IFERROR(--ISNUMBER(SEARCH("R82",G44)),0)+IFERROR(--ISNUMBER(SEARCH("R83",G44)),0)+IFERROR(--ISNUMBER(SEARCH("R84",G44)),0)+IFERROR(--ISNUMBER(SEARCH("R85",G44)),0)+IFERROR(--ISNUMBER(SEARCH("R86",G44)),0)+IFERROR(--ISNUMBER(SEARCH("R87",G44)),0)+IFERROR(--ISNUMBER(SEARCH("R88",G44)),0)+IFERROR(--ISNUMBER(SEARCH("R89",G44)),0)+IFERROR(--ISNUMBER(SEARCH("R90",G44)),0)+IFERROR(--ISNUMBER(SEARCH("R91",G44)),0)+IFERROR(--ISNUMBER(SEARCH("R92",G44)),0)+IFERROR(--ISNUMBER(SEARCH("R93",G44)),0)+IFERROR(--ISNUMBER(SEARCH("R94",G44)),0)+IFERROR(--ISNUMBER(SEARCH("R95",G44)),0)+IFERROR(--ISNUMBER(SEARCH("R96",G44)),0)+IFERROR(--ISNUMBER(SEARCH("R97",G44)),0)+IFERROR(--ISNUMBER(SEARCH("R98",G44)),0)+IFERROR(--ISNUMBER(SEARCH("R99",G44)),0)+IFERROR(--ISNUMBER(SEARCH("R100",G44)),0)+IFERROR(--ISNUMBER(SEARCH("R101",G44)),0)+IFERROR(--ISNUMBER(SEARCH("R102",G44)),0)+IFERROR(--ISNUMBER(SEARCH("R103",G44)),0)+IFERROR(--ISNUMBER(SEARCH("R104",G44)),0)+IFERROR(--ISNUMBER(SEARCH("R105",G44)),0)+IFERROR(--ISNUMBER(SEARCH("R106",G44)),0)+IFERROR(--ISNUMBER(SEARCH("R107",G44)),0)+IFERROR(--ISNUMBER(SEARCH("R108",G44)),0)+IFERROR(--ISNUMBER(SEARCH("R109",G44)),0)+IFERROR(--ISNUMBER(SEARCH("R110",G44)),0)+IFERROR(--ISNUMBER(SEARCH("R111",G44)),0)+IFERROR(--ISNUMBER(SEARCH("R112",G44)),0)+IFERROR(--ISNUMBER(SEARCH("R113",G44)),0)+IFERROR(--ISNUMBER(SEARCH("R114",G44)),0)+IFERROR(--ISNUMBER(SEARCH("R115",G44)),0)+IFERROR(--ISNUMBER(SEARCH("R116",G44)),0)+IFERROR(--ISNUMBER(SEARCH("R117",G44)),0)+IFERROR(--ISNUMBER(SEARCH("R118",G44)),0)+IFERROR(--ISNUMBER(SEARCH("R119",G44)),0)+IFERROR(--ISNUMBER(SEARCH("R120",G44)),0)+IFERROR(--ISNUMBER(SEARCH("R121",G44)),0)+IFERROR(--ISNUMBER(SEARCH("R122",G44)),0)+IFERROR(--ISNUMBER(SEARCH("R123",G44)),0)+IFERROR(--ISNUMBER(SEARCH("R124",G44)),0)+IFERROR(--ISNUMBER(SEARCH("R125",G44)),0)+IFERROR(--ISNUMBER(SEARCH("R126",G44)),0)+IFERROR(--ISNUMBER(SEARCH("R127",G44)),0)+IFERROR(--ISNUMBER(SEARCH("R128",G44)),0)+IFERROR(--ISNUMBER(SEARCH("R129",G44)),0)+IFERROR(--ISNUMBER(SEARCH("R130",G44)),0)+IFERROR(--ISNUMBER(SEARCH("R131",G44)),0)+IFERROR(--ISNUMBER(SEARCH("R132",G44)),0)+IFERROR(--ISNUMBER(SEARCH("R133",G44)),0)+IFERROR(--ISNUMBER(SEARCH("R134",G44)),0)+IFERROR(--ISNUMBER(SEARCH("R135",G44)),0)+IFERROR(--ISNUMBER(SEARCH("R136",G44)),0)+IFERROR(--ISNUMBER(SEARCH("R137",G44)),0)+IFERROR(--ISNUMBER(SEARCH("R138",G44)),0)+IFERROR(--ISNUMBER(SEARCH("R139",G44)),0)+IFERROR(--ISNUMBER(SEARCH("R140",G44)),0)+IFERROR(--ISNUMBER(SEARCH("R141",G44)),0))</f>
        <v/>
      </c>
      <c r="T44" s="58">
        <f>IF(A44="","",IFERROR(--ISNUMBER(SEARCH("R28",G44)),0)+IFERROR(--ISNUMBER(SEARCH("R29",G44)),0)+IFERROR(--ISNUMBER(SEARCH("R30",G44)),0)+IFERROR(--ISNUMBER(SEARCH("R32",G44)),0)+IFERROR(--ISNUMBER(SEARCH("R33",G44)),0)+IFERROR(--ISNUMBER(SEARCH("R35",G44)),0)+IFERROR(--ISNUMBER(SEARCH("R36",G44)),0)+IFERROR(--ISNUMBER(SEARCH("R38",G44)),0)+IFERROR(--ISNUMBER(SEARCH("R39",G44)),0)+IFERROR(--ISNUMBER(SEARCH("R43",G44)),0)+IFERROR(--ISNUMBER(SEARCH("R44",G44)),0)+IFERROR(--ISNUMBER(SEARCH("R45",G44)),0)+IFERROR(--ISNUMBER(SEARCH("R47",G44)),0)+IFERROR(--ISNUMBER(SEARCH("R48",G44)),0)+IFERROR(--ISNUMBER(SEARCH("R50",G44)),0)+IFERROR(--ISNUMBER(SEARCH("R51",G44)),0)+IFERROR(--ISNUMBER(SEARCH("R56",G44)),0)+IFERROR(--ISNUMBER(SEARCH("R58",G44)),0)+IFERROR(--ISNUMBER(SEARCH("R59",G44)),0)+IFERROR(--ISNUMBER(SEARCH("R60",G44)),0)+IFERROR(--ISNUMBER(SEARCH("R62",G44)),0)+IFERROR(--ISNUMBER(SEARCH("R63",G44)),0)+IFERROR(--ISNUMBER(SEARCH("R64",G44)),0)+IFERROR(--ISNUMBER(SEARCH("R66",G44)),0)+IFERROR(--ISNUMBER(SEARCH("R67",G44)),0)+IFERROR(--ISNUMBER(SEARCH("R72",G44)),0)+IFERROR(--ISNUMBER(SEARCH("R74",G44)),0)+IFERROR(--ISNUMBER(SEARCH("R75",G44)),0)+IFERROR(--ISNUMBER(SEARCH("R76",G44)),0)+IFERROR(--ISNUMBER(SEARCH("R77",G44)),0)+IFERROR(--ISNUMBER(SEARCH("R79",G44)),0)+IFERROR(--ISNUMBER(SEARCH("R80",G44)),0)+IFERROR(--ISNUMBER(SEARCH("R81",G44)),0)+IFERROR(--ISNUMBER(SEARCH("R83",G44)),0)+IFERROR(--ISNUMBER(SEARCH("R84",G44)),0)+IFERROR(--ISNUMBER(SEARCH("R89",G44)),0)+IFERROR(--ISNUMBER(SEARCH("R94",G44)),0)+IFERROR(--ISNUMBER(SEARCH("R95",G44)),0)+IFERROR(--ISNUMBER(SEARCH("R96",G44)),0)+IFERROR(--ISNUMBER(SEARCH("R98",G44)),0)+IFERROR(--ISNUMBER(SEARCH("R99",G44)),0)+IFERROR(--ISNUMBER(SEARCH("R100",G44)),0)+IFERROR(--ISNUMBER(SEARCH("R104",G44)),0)+IFERROR(--ISNUMBER(SEARCH("R105",G44)),0)+IFERROR(--ISNUMBER(SEARCH("R107",G44)),0)+IFERROR(--ISNUMBER(SEARCH("R108",G44)),0)+IFERROR(--ISNUMBER(SEARCH("R109",G44)),0)+IFERROR(--ISNUMBER(SEARCH("R110",G44)),0)+IFERROR(--ISNUMBER(SEARCH("R112",G44)),0)+IFERROR(--ISNUMBER(SEARCH("R113",G44)),0)+IFERROR(--ISNUMBER(SEARCH("R114",G44)),0)+IFERROR(--ISNUMBER(SEARCH("R118",G44)),0)+IFERROR(--ISNUMBER(SEARCH("R119",G44)),0)+IFERROR(--ISNUMBER(SEARCH("R120",G44)),0)+IFERROR(--ISNUMBER(SEARCH("R122",G44)),0)+IFERROR(--ISNUMBER(SEARCH("R123",G44)),0)+IFERROR(--ISNUMBER(SEARCH("R124",G44)),0)+IFERROR(--ISNUMBER(SEARCH("R128",G44)),0)+IFERROR(--ISNUMBER(SEARCH("R130",G44)),0)+IFERROR(--ISNUMBER(SEARCH("R131",G44)),0)+IFERROR(--ISNUMBER(SEARCH("R132",G44)),0)+IFERROR(--ISNUMBER(SEARCH("R135",G44)),0)+IFERROR(--ISNUMBER(SEARCH("R138",G44)),0)+IFERROR(--ISNUMBER(SEARCH("R141",G44)),0))</f>
        <v/>
      </c>
      <c r="U44" s="58">
        <f>IF(A44="","",IFERROR(--ISNUMBER(SEARCH("R28",G44))*28,0)+IFERROR(--ISNUMBER(SEARCH("R29",G44))*29,0)+IFERROR(--ISNUMBER(SEARCH("R30",G44))*30,0)+IFERROR(--ISNUMBER(SEARCH("R31",G44))*31,0)+IFERROR(--ISNUMBER(SEARCH("R32",G44))*32,0)+IFERROR(--ISNUMBER(SEARCH("R33",G44))*33,0)+IFERROR(--ISNUMBER(SEARCH("R34",G44))*34,0)+IFERROR(--ISNUMBER(SEARCH("R35",G44))*35,0)+IFERROR(--ISNUMBER(SEARCH("R36",G44))*36,0)+IFERROR(--ISNUMBER(SEARCH("R37",G44))*37,0)+IFERROR(--ISNUMBER(SEARCH("R38",G44))*38,0)+IFERROR(--ISNUMBER(SEARCH("R39",G44))*39,0)+IFERROR(--ISNUMBER(SEARCH("R40",G44))*40,0)+IFERROR(--ISNUMBER(SEARCH("R41",G44))*41,0)+IFERROR(--ISNUMBER(SEARCH("R42",G44))*42,0)+IFERROR(--ISNUMBER(SEARCH("R43",G44))*43,0)+IFERROR(--ISNUMBER(SEARCH("R44",G44))*44,0)+IFERROR(--ISNUMBER(SEARCH("R45",G44))*45,0)+IFERROR(--ISNUMBER(SEARCH("R46",G44))*46,0)+IFERROR(--ISNUMBER(SEARCH("R47",G44))*47,0)+IFERROR(--ISNUMBER(SEARCH("R48",G44))*48,0)+IFERROR(--ISNUMBER(SEARCH("R49",G44))*49,0)+IFERROR(--ISNUMBER(SEARCH("R50",G44))*50,0)+IFERROR(--ISNUMBER(SEARCH("R51",G44))*51,0)+IFERROR(--ISNUMBER(SEARCH("R52",G44))*52,0)+IFERROR(--ISNUMBER(SEARCH("R53",G44))*53,0)+IFERROR(--ISNUMBER(SEARCH("R54",G44))*54,0)+IFERROR(--ISNUMBER(SEARCH("R55",G44))*55,0)+IFERROR(--ISNUMBER(SEARCH("R56",G44))*56,0)+IFERROR(--ISNUMBER(SEARCH("R57",G44))*57,0)+IFERROR(--ISNUMBER(SEARCH("R58",G44))*58,0)+IFERROR(--ISNUMBER(SEARCH("R59",G44))*59,0)+IFERROR(--ISNUMBER(SEARCH("R60",G44))*60,0)+IFERROR(--ISNUMBER(SEARCH("R61",G44))*61,0)+IFERROR(--ISNUMBER(SEARCH("R62",G44))*62,0)+IFERROR(--ISNUMBER(SEARCH("R63",G44))*63,0)+IFERROR(--ISNUMBER(SEARCH("R64",G44))*64,0)+IFERROR(--ISNUMBER(SEARCH("R65",G44))*65,0)+IFERROR(--ISNUMBER(SEARCH("R66",G44))*66,0)+IFERROR(--ISNUMBER(SEARCH("R67",G44))*67,0)+IFERROR(--ISNUMBER(SEARCH("R68",G44))*68,0)+IFERROR(--ISNUMBER(SEARCH("R69",G44))*69,0)+IFERROR(--ISNUMBER(SEARCH("R70",G44))*70,0)+IFERROR(--ISNUMBER(SEARCH("R71",G44))*71,0)+IFERROR(--ISNUMBER(SEARCH("R72",G44))*72,0)+IFERROR(--ISNUMBER(SEARCH("R73",G44))*73,0)+IFERROR(--ISNUMBER(SEARCH("R74",G44))*74,0)+IFERROR(--ISNUMBER(SEARCH("R75",G44))*75,0)+IFERROR(--ISNUMBER(SEARCH("R76",G44))*76,0)+IFERROR(--ISNUMBER(SEARCH("R77",G44))*77,0)+IFERROR(--ISNUMBER(SEARCH("R78",G44))*78,0)+IFERROR(--ISNUMBER(SEARCH("R79",G44))*79,0)+IFERROR(--ISNUMBER(SEARCH("R80",G44))*80,0)+IFERROR(--ISNUMBER(SEARCH("R81",G44))*81,0)+IFERROR(--ISNUMBER(SEARCH("R82",G44))*82,0)+IFERROR(--ISNUMBER(SEARCH("R83",G44))*83,0)+IFERROR(--ISNUMBER(SEARCH("R84",G44))*84,0)+IFERROR(--ISNUMBER(SEARCH("R85",G44))*85,0)+IFERROR(--ISNUMBER(SEARCH("R86",G44))*86,0)+IFERROR(--ISNUMBER(SEARCH("R87",G44))*87,0)+IFERROR(--ISNUMBER(SEARCH("R88",G44))*88,0)+IFERROR(--ISNUMBER(SEARCH("R89",G44))*89,0)+IFERROR(--ISNUMBER(SEARCH("R90",G44))*90,0)+IFERROR(--ISNUMBER(SEARCH("R91",G44))*91,0)+IFERROR(--ISNUMBER(SEARCH("R92",G44))*92,0)+IFERROR(--ISNUMBER(SEARCH("R93",G44))*93,0)+IFERROR(--ISNUMBER(SEARCH("R94",G44))*94,0)+IFERROR(--ISNUMBER(SEARCH("R95",G44))*95,0)+IFERROR(--ISNUMBER(SEARCH("R96",G44))*96,0)+IFERROR(--ISNUMBER(SEARCH("R97",G44))*97,0)+IFERROR(--ISNUMBER(SEARCH("R98",G44))*98,0)+IFERROR(--ISNUMBER(SEARCH("R99",G44))*99,0)+IFERROR(--ISNUMBER(SEARCH("R100",G44))*100,0)+IFERROR(--ISNUMBER(SEARCH("R101",G44))*101,0)+IFERROR(--ISNUMBER(SEARCH("R102",G44))*102,0)+IFERROR(--ISNUMBER(SEARCH("R103",G44))*103,0)+IFERROR(--ISNUMBER(SEARCH("R104",G44))*104,0)+IFERROR(--ISNUMBER(SEARCH("R105",G44))*105,0)+IFERROR(--ISNUMBER(SEARCH("R106",G44))*106,0)+IFERROR(--ISNUMBER(SEARCH("R107",G44))*107,0)+IFERROR(--ISNUMBER(SEARCH("R108",G44))*108,0)+IFERROR(--ISNUMBER(SEARCH("R109",G44))*109,0)+IFERROR(--ISNUMBER(SEARCH("R110",G44))*110,0)+IFERROR(--ISNUMBER(SEARCH("R111",G44))*111,0)+IFERROR(--ISNUMBER(SEARCH("R112",G44))*112,0)+IFERROR(--ISNUMBER(SEARCH("R113",G44))*113,0)+IFERROR(--ISNUMBER(SEARCH("R114",G44))*114,0)+IFERROR(--ISNUMBER(SEARCH("R115",G44))*115,0)+IFERROR(--ISNUMBER(SEARCH("R116",G44))*116,0)+IFERROR(--ISNUMBER(SEARCH("R117",G44))*117,0)+IFERROR(--ISNUMBER(SEARCH("R118",G44))*118,0)+IFERROR(--ISNUMBER(SEARCH("R119",G44))*119,0)+IFERROR(--ISNUMBER(SEARCH("R120",G44))*120,0)+IFERROR(--ISNUMBER(SEARCH("R121",G44))*121,0)+IFERROR(--ISNUMBER(SEARCH("R122",G44))*122,0)+IFERROR(--ISNUMBER(SEARCH("R123",G44))*123,0)+IFERROR(--ISNUMBER(SEARCH("R124",G44))*124,0)+IFERROR(--ISNUMBER(SEARCH("R125",G44))*125,0)+IFERROR(--ISNUMBER(SEARCH("R126",G44))*126,0)+IFERROR(--ISNUMBER(SEARCH("R127",G44))*127,0)+IFERROR(--ISNUMBER(SEARCH("R128",G44))*128,0)+IFERROR(--ISNUMBER(SEARCH("R129",G44))*129,0)+IFERROR(--ISNUMBER(SEARCH("R130",G44))*130,0)+IFERROR(--ISNUMBER(SEARCH("R131",G44))*131,0)+IFERROR(--ISNUMBER(SEARCH("R132",G44))*132,0)+IFERROR(--ISNUMBER(SEARCH("R133",G44))*133,0)+IFERROR(--ISNUMBER(SEARCH("R134",G44))*134,0)+IFERROR(--ISNUMBER(SEARCH("R135",G44))*135,0)+IFERROR(--ISNUMBER(SEARCH("R136",G44))*136,0)+IFERROR(--ISNUMBER(SEARCH("R137",G44))*137,0)+IFERROR(--ISNUMBER(SEARCH("R138",G44))*138,0)+IFERROR(--ISNUMBER(SEARCH("R139",G44))*139,0)+IFERROR(--ISNUMBER(SEARCH("R140",G44))*140,0)+IFERROR(--ISNUMBER(SEARCH("R141",G44))*141,0))</f>
        <v/>
      </c>
      <c r="V44" s="59">
        <f>IF(A44="","",IF(K44&lt;&gt;"",K44,J44))</f>
        <v/>
      </c>
      <c r="W44" s="59">
        <f>IF(A44="","",IF(AND(V44=29,O44&lt;&gt;"",COUNTIFS($V$6:$V$505,29,$F$6:$F$505,F44,$C$6:$C$505,C44,$O$6:$O$505,"&lt;&gt;")&gt;1),IF(COUNTIFS($V$6:V44,29,$F$6:F44,F44,$C$6:C44,C44,$O$6:O44,"&lt;&gt;")=1,"Esta es la fila que se debe CONSERVAR (aparición 1 de "&amp;COUNTIFS($V$6:$V$505,29,$F$6:$F$505,F44,$C$6:$C$505,C44,$O$6:$O$505,"&lt;&gt;")&amp;" con el mismo tercero y valor, casilla 29). Si hay más filas iguales, bórreles el valor a ELLAS, no a esta.","DUPLICADO — ya existe otra fila con el mismo tercero y valor para casilla 29 (aparición "&amp;COUNTIFS($V$6:V44,29,$F$6:F44,F44,$C$6:C44,C44,$O$6:O44,"&lt;&gt;")&amp;" de "&amp;COUNTIFS($V$6:$V$505,29,$F$6:$F$505,F44,$C$6:$C$505,C44,$O$6:$O$505,"&lt;&gt;")&amp;"). Para resolverlo: seleccione la celda O"&amp;ROW()&amp;" (columna Valor a declarar de ESTA fila) y presione Supr."),""))</f>
        <v/>
      </c>
      <c r="X44" s="463">
        <f>IF(A44="","",F44)</f>
        <v/>
      </c>
      <c r="Y44" s="463">
        <f>IF(A44="","",SUMIF(Entrada_Manual!$I$88:$I$187,A44,Entrada_Manual!$F$88:$F$187))</f>
        <v/>
      </c>
      <c r="Z44" s="463">
        <f>IF(A44="","",X44-Y44)</f>
        <v/>
      </c>
      <c r="AA44">
        <f>IF(A44="","",SUMPRODUCT((Entrada_Manual!$I$88:$I$187=A44)*1))</f>
        <v/>
      </c>
      <c r="AB44">
        <f>IF(A44="","",IF(S44&lt;=1,"",IF(AA44=0,"PENDIENTE — SIN ASIGNAR",IF(Z44=0,"RESUELTO","PARCIAL — DIFERENCIA "&amp;TEXT(Z44,"#,##0")))))</f>
        <v/>
      </c>
    </row>
    <row r="45" ht="28.5" customHeight="1" s="235">
      <c r="A45" s="47">
        <f>IF(Exogena_RAW!E54&lt;&gt;"",ROW()-5,"")</f>
        <v/>
      </c>
      <c r="B45" s="48">
        <f>IF(A45="","",54)</f>
        <v/>
      </c>
      <c r="C45" s="48">
        <f>IF(A45="","",IFERROR(Exogena_RAW!A54,""))</f>
        <v/>
      </c>
      <c r="D45" s="48">
        <f>IF(A45="","",IFERROR(Exogena_RAW!B54,""))</f>
        <v/>
      </c>
      <c r="E45" s="48">
        <f>IF(A45="","",Exogena_RAW!E54)</f>
        <v/>
      </c>
      <c r="F45" s="461">
        <f>IF(A45="","",Exogena_RAW!F54)</f>
        <v/>
      </c>
      <c r="G45" s="48">
        <f>IF(A45="","",IFERROR(Exogena_RAW!G54,""))</f>
        <v/>
      </c>
      <c r="H45" s="48">
        <f>IF(A45="","",IFERROR(Exogena_RAW!H54,""))</f>
        <v/>
      </c>
      <c r="I45" s="48">
        <f>IF(A45="","",IFERROR(IF(S45&gt;1,"VARIAS CASILLAS",IF(S45=1,IF(T45=1,"PROPUESTA DE CASILLA","REVISIÓN: CASILLA NO DIRECTA"),IF(OR(ISNUMBER(SEARCH("TOPE",UPPER(E45))),ISNUMBER(SEARCH("TOPE",UPPER(G45)))),"SOLO CONTROL",IF(ISNUMBER(SEARCH("RETEN",UPPER(E45))),"RETENCIÓN","REVISAR")))),"REVISAR"))</f>
        <v/>
      </c>
      <c r="J45" s="61">
        <f>IF(A45="","",IF(ISNUMBER(SEARCH("ingreso laboral promedio de los últimos seis meses",E45)),"",IFERROR(IF(AND(S45=1,T45=1),U45,""),"")))</f>
        <v/>
      </c>
      <c r="K45" s="216" t="n"/>
      <c r="L45" s="48">
        <f>IF(A45="","",IFERROR(IF(K45&lt;&gt;"","Casilla elegida por usuario",IF(S45&gt;1,"Varias casillas — elegir en K",IF(J45&lt;&gt;"","Sugerencia directa",IF(S45=1,"No trasladar directo — revisar",IF(OR(ISNUMBER(SEARCH("TOPE",UPPER(E45))),ISNUMBER(SEARCH("TOPE",UPPER(G45)))),"Solo control","Revisar manualmente"))))),"Revisar manualmente"))</f>
        <v/>
      </c>
      <c r="M45" s="461">
        <f>IF(A45="","",IF(IF(K45&lt;&gt;"",K45,J45)="",0,IF(COUNTIFS(Reglas!$I$5:$I$118,IF(K45&lt;&gt;"",K45,J45),Reglas!$J$5:$J$118,"Sí")=1,F45,0)))</f>
        <v/>
      </c>
      <c r="N45" s="56" t="n"/>
      <c r="O45" s="462">
        <f>IF(A45="","",IF(M45=0,"",M45))</f>
        <v/>
      </c>
      <c r="P45" s="461">
        <f>IF(A45="","",IF(O45="",0,IF(ISNUMBER(O45),O45,0)))</f>
        <v/>
      </c>
      <c r="Q45" s="48">
        <f>IF(A45="","",IF(Exogena_RAW!$C$4="","BLOQUEADO: FALTA AÑO",IF(Exogena_RAW!$K$10&lt;&gt;Reglas!$B$5,"BLOQUEADO: AÑO",IF(IF(K45&lt;&gt;"",K45,J45)="",IF(S45&gt;1,"REQUIERE ASIGNACIÓN MANUAL (VARIAS CASILLAS)","INFORMATIVO (sin casilla — no se declara)"),IF(COUNTIFS(Reglas!$I$5:$I$118,IF(K45&lt;&gt;"",K45,J45),Reglas!$J$5:$J$118,"Sí")=0,"BLOQUEADO: CASILLA NO DIRECTA",IF(O45="","EXCLUIDO (valor borrado por el usuario)",IF(_xlfn.ISFORMULA(O45),IF(W45&lt;&gt;"","BORRADOR — VALOR SUGERIDO DIAN ⚠ VER ALERTA","BORRADOR — VALOR SUGERIDO DIAN"),IF(W45&lt;&gt;"","ACEPTADO ⚠ VER ALERTA","ACEPTADO"))))))))</f>
        <v/>
      </c>
      <c r="R45" s="218" t="n"/>
      <c r="S45" s="58">
        <f>IF(A45="","",IFERROR(--ISNUMBER(SEARCH("R28",G45)),0)+IFERROR(--ISNUMBER(SEARCH("R29",G45)),0)+IFERROR(--ISNUMBER(SEARCH("R30",G45)),0)+IFERROR(--ISNUMBER(SEARCH("R31",G45)),0)+IFERROR(--ISNUMBER(SEARCH("R32",G45)),0)+IFERROR(--ISNUMBER(SEARCH("R33",G45)),0)+IFERROR(--ISNUMBER(SEARCH("R34",G45)),0)+IFERROR(--ISNUMBER(SEARCH("R35",G45)),0)+IFERROR(--ISNUMBER(SEARCH("R36",G45)),0)+IFERROR(--ISNUMBER(SEARCH("R37",G45)),0)+IFERROR(--ISNUMBER(SEARCH("R38",G45)),0)+IFERROR(--ISNUMBER(SEARCH("R39",G45)),0)+IFERROR(--ISNUMBER(SEARCH("R40",G45)),0)+IFERROR(--ISNUMBER(SEARCH("R41",G45)),0)+IFERROR(--ISNUMBER(SEARCH("R42",G45)),0)+IFERROR(--ISNUMBER(SEARCH("R43",G45)),0)+IFERROR(--ISNUMBER(SEARCH("R44",G45)),0)+IFERROR(--ISNUMBER(SEARCH("R45",G45)),0)+IFERROR(--ISNUMBER(SEARCH("R46",G45)),0)+IFERROR(--ISNUMBER(SEARCH("R47",G45)),0)+IFERROR(--ISNUMBER(SEARCH("R48",G45)),0)+IFERROR(--ISNUMBER(SEARCH("R49",G45)),0)+IFERROR(--ISNUMBER(SEARCH("R50",G45)),0)+IFERROR(--ISNUMBER(SEARCH("R51",G45)),0)+IFERROR(--ISNUMBER(SEARCH("R52",G45)),0)+IFERROR(--ISNUMBER(SEARCH("R53",G45)),0)+IFERROR(--ISNUMBER(SEARCH("R54",G45)),0)+IFERROR(--ISNUMBER(SEARCH("R55",G45)),0)+IFERROR(--ISNUMBER(SEARCH("R56",G45)),0)+IFERROR(--ISNUMBER(SEARCH("R57",G45)),0)+IFERROR(--ISNUMBER(SEARCH("R58",G45)),0)+IFERROR(--ISNUMBER(SEARCH("R59",G45)),0)+IFERROR(--ISNUMBER(SEARCH("R60",G45)),0)+IFERROR(--ISNUMBER(SEARCH("R61",G45)),0)+IFERROR(--ISNUMBER(SEARCH("R62",G45)),0)+IFERROR(--ISNUMBER(SEARCH("R63",G45)),0)+IFERROR(--ISNUMBER(SEARCH("R64",G45)),0)+IFERROR(--ISNUMBER(SEARCH("R65",G45)),0)+IFERROR(--ISNUMBER(SEARCH("R66",G45)),0)+IFERROR(--ISNUMBER(SEARCH("R67",G45)),0)+IFERROR(--ISNUMBER(SEARCH("R68",G45)),0)+IFERROR(--ISNUMBER(SEARCH("R69",G45)),0)+IFERROR(--ISNUMBER(SEARCH("R70",G45)),0)+IFERROR(--ISNUMBER(SEARCH("R71",G45)),0)+IFERROR(--ISNUMBER(SEARCH("R72",G45)),0)+IFERROR(--ISNUMBER(SEARCH("R73",G45)),0)+IFERROR(--ISNUMBER(SEARCH("R74",G45)),0)+IFERROR(--ISNUMBER(SEARCH("R75",G45)),0)+IFERROR(--ISNUMBER(SEARCH("R76",G45)),0)+IFERROR(--ISNUMBER(SEARCH("R77",G45)),0)+IFERROR(--ISNUMBER(SEARCH("R78",G45)),0)+IFERROR(--ISNUMBER(SEARCH("R79",G45)),0)+IFERROR(--ISNUMBER(SEARCH("R80",G45)),0)+IFERROR(--ISNUMBER(SEARCH("R81",G45)),0)+IFERROR(--ISNUMBER(SEARCH("R82",G45)),0)+IFERROR(--ISNUMBER(SEARCH("R83",G45)),0)+IFERROR(--ISNUMBER(SEARCH("R84",G45)),0)+IFERROR(--ISNUMBER(SEARCH("R85",G45)),0)+IFERROR(--ISNUMBER(SEARCH("R86",G45)),0)+IFERROR(--ISNUMBER(SEARCH("R87",G45)),0)+IFERROR(--ISNUMBER(SEARCH("R88",G45)),0)+IFERROR(--ISNUMBER(SEARCH("R89",G45)),0)+IFERROR(--ISNUMBER(SEARCH("R90",G45)),0)+IFERROR(--ISNUMBER(SEARCH("R91",G45)),0)+IFERROR(--ISNUMBER(SEARCH("R92",G45)),0)+IFERROR(--ISNUMBER(SEARCH("R93",G45)),0)+IFERROR(--ISNUMBER(SEARCH("R94",G45)),0)+IFERROR(--ISNUMBER(SEARCH("R95",G45)),0)+IFERROR(--ISNUMBER(SEARCH("R96",G45)),0)+IFERROR(--ISNUMBER(SEARCH("R97",G45)),0)+IFERROR(--ISNUMBER(SEARCH("R98",G45)),0)+IFERROR(--ISNUMBER(SEARCH("R99",G45)),0)+IFERROR(--ISNUMBER(SEARCH("R100",G45)),0)+IFERROR(--ISNUMBER(SEARCH("R101",G45)),0)+IFERROR(--ISNUMBER(SEARCH("R102",G45)),0)+IFERROR(--ISNUMBER(SEARCH("R103",G45)),0)+IFERROR(--ISNUMBER(SEARCH("R104",G45)),0)+IFERROR(--ISNUMBER(SEARCH("R105",G45)),0)+IFERROR(--ISNUMBER(SEARCH("R106",G45)),0)+IFERROR(--ISNUMBER(SEARCH("R107",G45)),0)+IFERROR(--ISNUMBER(SEARCH("R108",G45)),0)+IFERROR(--ISNUMBER(SEARCH("R109",G45)),0)+IFERROR(--ISNUMBER(SEARCH("R110",G45)),0)+IFERROR(--ISNUMBER(SEARCH("R111",G45)),0)+IFERROR(--ISNUMBER(SEARCH("R112",G45)),0)+IFERROR(--ISNUMBER(SEARCH("R113",G45)),0)+IFERROR(--ISNUMBER(SEARCH("R114",G45)),0)+IFERROR(--ISNUMBER(SEARCH("R115",G45)),0)+IFERROR(--ISNUMBER(SEARCH("R116",G45)),0)+IFERROR(--ISNUMBER(SEARCH("R117",G45)),0)+IFERROR(--ISNUMBER(SEARCH("R118",G45)),0)+IFERROR(--ISNUMBER(SEARCH("R119",G45)),0)+IFERROR(--ISNUMBER(SEARCH("R120",G45)),0)+IFERROR(--ISNUMBER(SEARCH("R121",G45)),0)+IFERROR(--ISNUMBER(SEARCH("R122",G45)),0)+IFERROR(--ISNUMBER(SEARCH("R123",G45)),0)+IFERROR(--ISNUMBER(SEARCH("R124",G45)),0)+IFERROR(--ISNUMBER(SEARCH("R125",G45)),0)+IFERROR(--ISNUMBER(SEARCH("R126",G45)),0)+IFERROR(--ISNUMBER(SEARCH("R127",G45)),0)+IFERROR(--ISNUMBER(SEARCH("R128",G45)),0)+IFERROR(--ISNUMBER(SEARCH("R129",G45)),0)+IFERROR(--ISNUMBER(SEARCH("R130",G45)),0)+IFERROR(--ISNUMBER(SEARCH("R131",G45)),0)+IFERROR(--ISNUMBER(SEARCH("R132",G45)),0)+IFERROR(--ISNUMBER(SEARCH("R133",G45)),0)+IFERROR(--ISNUMBER(SEARCH("R134",G45)),0)+IFERROR(--ISNUMBER(SEARCH("R135",G45)),0)+IFERROR(--ISNUMBER(SEARCH("R136",G45)),0)+IFERROR(--ISNUMBER(SEARCH("R137",G45)),0)+IFERROR(--ISNUMBER(SEARCH("R138",G45)),0)+IFERROR(--ISNUMBER(SEARCH("R139",G45)),0)+IFERROR(--ISNUMBER(SEARCH("R140",G45)),0)+IFERROR(--ISNUMBER(SEARCH("R141",G45)),0))</f>
        <v/>
      </c>
      <c r="T45" s="58">
        <f>IF(A45="","",IFERROR(--ISNUMBER(SEARCH("R28",G45)),0)+IFERROR(--ISNUMBER(SEARCH("R29",G45)),0)+IFERROR(--ISNUMBER(SEARCH("R30",G45)),0)+IFERROR(--ISNUMBER(SEARCH("R32",G45)),0)+IFERROR(--ISNUMBER(SEARCH("R33",G45)),0)+IFERROR(--ISNUMBER(SEARCH("R35",G45)),0)+IFERROR(--ISNUMBER(SEARCH("R36",G45)),0)+IFERROR(--ISNUMBER(SEARCH("R38",G45)),0)+IFERROR(--ISNUMBER(SEARCH("R39",G45)),0)+IFERROR(--ISNUMBER(SEARCH("R43",G45)),0)+IFERROR(--ISNUMBER(SEARCH("R44",G45)),0)+IFERROR(--ISNUMBER(SEARCH("R45",G45)),0)+IFERROR(--ISNUMBER(SEARCH("R47",G45)),0)+IFERROR(--ISNUMBER(SEARCH("R48",G45)),0)+IFERROR(--ISNUMBER(SEARCH("R50",G45)),0)+IFERROR(--ISNUMBER(SEARCH("R51",G45)),0)+IFERROR(--ISNUMBER(SEARCH("R56",G45)),0)+IFERROR(--ISNUMBER(SEARCH("R58",G45)),0)+IFERROR(--ISNUMBER(SEARCH("R59",G45)),0)+IFERROR(--ISNUMBER(SEARCH("R60",G45)),0)+IFERROR(--ISNUMBER(SEARCH("R62",G45)),0)+IFERROR(--ISNUMBER(SEARCH("R63",G45)),0)+IFERROR(--ISNUMBER(SEARCH("R64",G45)),0)+IFERROR(--ISNUMBER(SEARCH("R66",G45)),0)+IFERROR(--ISNUMBER(SEARCH("R67",G45)),0)+IFERROR(--ISNUMBER(SEARCH("R72",G45)),0)+IFERROR(--ISNUMBER(SEARCH("R74",G45)),0)+IFERROR(--ISNUMBER(SEARCH("R75",G45)),0)+IFERROR(--ISNUMBER(SEARCH("R76",G45)),0)+IFERROR(--ISNUMBER(SEARCH("R77",G45)),0)+IFERROR(--ISNUMBER(SEARCH("R79",G45)),0)+IFERROR(--ISNUMBER(SEARCH("R80",G45)),0)+IFERROR(--ISNUMBER(SEARCH("R81",G45)),0)+IFERROR(--ISNUMBER(SEARCH("R83",G45)),0)+IFERROR(--ISNUMBER(SEARCH("R84",G45)),0)+IFERROR(--ISNUMBER(SEARCH("R89",G45)),0)+IFERROR(--ISNUMBER(SEARCH("R94",G45)),0)+IFERROR(--ISNUMBER(SEARCH("R95",G45)),0)+IFERROR(--ISNUMBER(SEARCH("R96",G45)),0)+IFERROR(--ISNUMBER(SEARCH("R98",G45)),0)+IFERROR(--ISNUMBER(SEARCH("R99",G45)),0)+IFERROR(--ISNUMBER(SEARCH("R100",G45)),0)+IFERROR(--ISNUMBER(SEARCH("R104",G45)),0)+IFERROR(--ISNUMBER(SEARCH("R105",G45)),0)+IFERROR(--ISNUMBER(SEARCH("R107",G45)),0)+IFERROR(--ISNUMBER(SEARCH("R108",G45)),0)+IFERROR(--ISNUMBER(SEARCH("R109",G45)),0)+IFERROR(--ISNUMBER(SEARCH("R110",G45)),0)+IFERROR(--ISNUMBER(SEARCH("R112",G45)),0)+IFERROR(--ISNUMBER(SEARCH("R113",G45)),0)+IFERROR(--ISNUMBER(SEARCH("R114",G45)),0)+IFERROR(--ISNUMBER(SEARCH("R118",G45)),0)+IFERROR(--ISNUMBER(SEARCH("R119",G45)),0)+IFERROR(--ISNUMBER(SEARCH("R120",G45)),0)+IFERROR(--ISNUMBER(SEARCH("R122",G45)),0)+IFERROR(--ISNUMBER(SEARCH("R123",G45)),0)+IFERROR(--ISNUMBER(SEARCH("R124",G45)),0)+IFERROR(--ISNUMBER(SEARCH("R128",G45)),0)+IFERROR(--ISNUMBER(SEARCH("R130",G45)),0)+IFERROR(--ISNUMBER(SEARCH("R131",G45)),0)+IFERROR(--ISNUMBER(SEARCH("R132",G45)),0)+IFERROR(--ISNUMBER(SEARCH("R135",G45)),0)+IFERROR(--ISNUMBER(SEARCH("R138",G45)),0)+IFERROR(--ISNUMBER(SEARCH("R141",G45)),0))</f>
        <v/>
      </c>
      <c r="U45" s="58">
        <f>IF(A45="","",IFERROR(--ISNUMBER(SEARCH("R28",G45))*28,0)+IFERROR(--ISNUMBER(SEARCH("R29",G45))*29,0)+IFERROR(--ISNUMBER(SEARCH("R30",G45))*30,0)+IFERROR(--ISNUMBER(SEARCH("R31",G45))*31,0)+IFERROR(--ISNUMBER(SEARCH("R32",G45))*32,0)+IFERROR(--ISNUMBER(SEARCH("R33",G45))*33,0)+IFERROR(--ISNUMBER(SEARCH("R34",G45))*34,0)+IFERROR(--ISNUMBER(SEARCH("R35",G45))*35,0)+IFERROR(--ISNUMBER(SEARCH("R36",G45))*36,0)+IFERROR(--ISNUMBER(SEARCH("R37",G45))*37,0)+IFERROR(--ISNUMBER(SEARCH("R38",G45))*38,0)+IFERROR(--ISNUMBER(SEARCH("R39",G45))*39,0)+IFERROR(--ISNUMBER(SEARCH("R40",G45))*40,0)+IFERROR(--ISNUMBER(SEARCH("R41",G45))*41,0)+IFERROR(--ISNUMBER(SEARCH("R42",G45))*42,0)+IFERROR(--ISNUMBER(SEARCH("R43",G45))*43,0)+IFERROR(--ISNUMBER(SEARCH("R44",G45))*44,0)+IFERROR(--ISNUMBER(SEARCH("R45",G45))*45,0)+IFERROR(--ISNUMBER(SEARCH("R46",G45))*46,0)+IFERROR(--ISNUMBER(SEARCH("R47",G45))*47,0)+IFERROR(--ISNUMBER(SEARCH("R48",G45))*48,0)+IFERROR(--ISNUMBER(SEARCH("R49",G45))*49,0)+IFERROR(--ISNUMBER(SEARCH("R50",G45))*50,0)+IFERROR(--ISNUMBER(SEARCH("R51",G45))*51,0)+IFERROR(--ISNUMBER(SEARCH("R52",G45))*52,0)+IFERROR(--ISNUMBER(SEARCH("R53",G45))*53,0)+IFERROR(--ISNUMBER(SEARCH("R54",G45))*54,0)+IFERROR(--ISNUMBER(SEARCH("R55",G45))*55,0)+IFERROR(--ISNUMBER(SEARCH("R56",G45))*56,0)+IFERROR(--ISNUMBER(SEARCH("R57",G45))*57,0)+IFERROR(--ISNUMBER(SEARCH("R58",G45))*58,0)+IFERROR(--ISNUMBER(SEARCH("R59",G45))*59,0)+IFERROR(--ISNUMBER(SEARCH("R60",G45))*60,0)+IFERROR(--ISNUMBER(SEARCH("R61",G45))*61,0)+IFERROR(--ISNUMBER(SEARCH("R62",G45))*62,0)+IFERROR(--ISNUMBER(SEARCH("R63",G45))*63,0)+IFERROR(--ISNUMBER(SEARCH("R64",G45))*64,0)+IFERROR(--ISNUMBER(SEARCH("R65",G45))*65,0)+IFERROR(--ISNUMBER(SEARCH("R66",G45))*66,0)+IFERROR(--ISNUMBER(SEARCH("R67",G45))*67,0)+IFERROR(--ISNUMBER(SEARCH("R68",G45))*68,0)+IFERROR(--ISNUMBER(SEARCH("R69",G45))*69,0)+IFERROR(--ISNUMBER(SEARCH("R70",G45))*70,0)+IFERROR(--ISNUMBER(SEARCH("R71",G45))*71,0)+IFERROR(--ISNUMBER(SEARCH("R72",G45))*72,0)+IFERROR(--ISNUMBER(SEARCH("R73",G45))*73,0)+IFERROR(--ISNUMBER(SEARCH("R74",G45))*74,0)+IFERROR(--ISNUMBER(SEARCH("R75",G45))*75,0)+IFERROR(--ISNUMBER(SEARCH("R76",G45))*76,0)+IFERROR(--ISNUMBER(SEARCH("R77",G45))*77,0)+IFERROR(--ISNUMBER(SEARCH("R78",G45))*78,0)+IFERROR(--ISNUMBER(SEARCH("R79",G45))*79,0)+IFERROR(--ISNUMBER(SEARCH("R80",G45))*80,0)+IFERROR(--ISNUMBER(SEARCH("R81",G45))*81,0)+IFERROR(--ISNUMBER(SEARCH("R82",G45))*82,0)+IFERROR(--ISNUMBER(SEARCH("R83",G45))*83,0)+IFERROR(--ISNUMBER(SEARCH("R84",G45))*84,0)+IFERROR(--ISNUMBER(SEARCH("R85",G45))*85,0)+IFERROR(--ISNUMBER(SEARCH("R86",G45))*86,0)+IFERROR(--ISNUMBER(SEARCH("R87",G45))*87,0)+IFERROR(--ISNUMBER(SEARCH("R88",G45))*88,0)+IFERROR(--ISNUMBER(SEARCH("R89",G45))*89,0)+IFERROR(--ISNUMBER(SEARCH("R90",G45))*90,0)+IFERROR(--ISNUMBER(SEARCH("R91",G45))*91,0)+IFERROR(--ISNUMBER(SEARCH("R92",G45))*92,0)+IFERROR(--ISNUMBER(SEARCH("R93",G45))*93,0)+IFERROR(--ISNUMBER(SEARCH("R94",G45))*94,0)+IFERROR(--ISNUMBER(SEARCH("R95",G45))*95,0)+IFERROR(--ISNUMBER(SEARCH("R96",G45))*96,0)+IFERROR(--ISNUMBER(SEARCH("R97",G45))*97,0)+IFERROR(--ISNUMBER(SEARCH("R98",G45))*98,0)+IFERROR(--ISNUMBER(SEARCH("R99",G45))*99,0)+IFERROR(--ISNUMBER(SEARCH("R100",G45))*100,0)+IFERROR(--ISNUMBER(SEARCH("R101",G45))*101,0)+IFERROR(--ISNUMBER(SEARCH("R102",G45))*102,0)+IFERROR(--ISNUMBER(SEARCH("R103",G45))*103,0)+IFERROR(--ISNUMBER(SEARCH("R104",G45))*104,0)+IFERROR(--ISNUMBER(SEARCH("R105",G45))*105,0)+IFERROR(--ISNUMBER(SEARCH("R106",G45))*106,0)+IFERROR(--ISNUMBER(SEARCH("R107",G45))*107,0)+IFERROR(--ISNUMBER(SEARCH("R108",G45))*108,0)+IFERROR(--ISNUMBER(SEARCH("R109",G45))*109,0)+IFERROR(--ISNUMBER(SEARCH("R110",G45))*110,0)+IFERROR(--ISNUMBER(SEARCH("R111",G45))*111,0)+IFERROR(--ISNUMBER(SEARCH("R112",G45))*112,0)+IFERROR(--ISNUMBER(SEARCH("R113",G45))*113,0)+IFERROR(--ISNUMBER(SEARCH("R114",G45))*114,0)+IFERROR(--ISNUMBER(SEARCH("R115",G45))*115,0)+IFERROR(--ISNUMBER(SEARCH("R116",G45))*116,0)+IFERROR(--ISNUMBER(SEARCH("R117",G45))*117,0)+IFERROR(--ISNUMBER(SEARCH("R118",G45))*118,0)+IFERROR(--ISNUMBER(SEARCH("R119",G45))*119,0)+IFERROR(--ISNUMBER(SEARCH("R120",G45))*120,0)+IFERROR(--ISNUMBER(SEARCH("R121",G45))*121,0)+IFERROR(--ISNUMBER(SEARCH("R122",G45))*122,0)+IFERROR(--ISNUMBER(SEARCH("R123",G45))*123,0)+IFERROR(--ISNUMBER(SEARCH("R124",G45))*124,0)+IFERROR(--ISNUMBER(SEARCH("R125",G45))*125,0)+IFERROR(--ISNUMBER(SEARCH("R126",G45))*126,0)+IFERROR(--ISNUMBER(SEARCH("R127",G45))*127,0)+IFERROR(--ISNUMBER(SEARCH("R128",G45))*128,0)+IFERROR(--ISNUMBER(SEARCH("R129",G45))*129,0)+IFERROR(--ISNUMBER(SEARCH("R130",G45))*130,0)+IFERROR(--ISNUMBER(SEARCH("R131",G45))*131,0)+IFERROR(--ISNUMBER(SEARCH("R132",G45))*132,0)+IFERROR(--ISNUMBER(SEARCH("R133",G45))*133,0)+IFERROR(--ISNUMBER(SEARCH("R134",G45))*134,0)+IFERROR(--ISNUMBER(SEARCH("R135",G45))*135,0)+IFERROR(--ISNUMBER(SEARCH("R136",G45))*136,0)+IFERROR(--ISNUMBER(SEARCH("R137",G45))*137,0)+IFERROR(--ISNUMBER(SEARCH("R138",G45))*138,0)+IFERROR(--ISNUMBER(SEARCH("R139",G45))*139,0)+IFERROR(--ISNUMBER(SEARCH("R140",G45))*140,0)+IFERROR(--ISNUMBER(SEARCH("R141",G45))*141,0))</f>
        <v/>
      </c>
      <c r="V45" s="59">
        <f>IF(A45="","",IF(K45&lt;&gt;"",K45,J45))</f>
        <v/>
      </c>
      <c r="W45" s="59">
        <f>IF(A45="","",IF(AND(V45=29,O45&lt;&gt;"",COUNTIFS($V$6:$V$505,29,$F$6:$F$505,F45,$C$6:$C$505,C45,$O$6:$O$505,"&lt;&gt;")&gt;1),IF(COUNTIFS($V$6:V45,29,$F$6:F45,F45,$C$6:C45,C45,$O$6:O45,"&lt;&gt;")=1,"Esta es la fila que se debe CONSERVAR (aparición 1 de "&amp;COUNTIFS($V$6:$V$505,29,$F$6:$F$505,F45,$C$6:$C$505,C45,$O$6:$O$505,"&lt;&gt;")&amp;" con el mismo tercero y valor, casilla 29). Si hay más filas iguales, bórreles el valor a ELLAS, no a esta.","DUPLICADO — ya existe otra fila con el mismo tercero y valor para casilla 29 (aparición "&amp;COUNTIFS($V$6:V45,29,$F$6:F45,F45,$C$6:C45,C45,$O$6:O45,"&lt;&gt;")&amp;" de "&amp;COUNTIFS($V$6:$V$505,29,$F$6:$F$505,F45,$C$6:$C$505,C45,$O$6:$O$505,"&lt;&gt;")&amp;"). Para resolverlo: seleccione la celda O"&amp;ROW()&amp;" (columna Valor a declarar de ESTA fila) y presione Supr."),""))</f>
        <v/>
      </c>
      <c r="X45" s="463">
        <f>IF(A45="","",F45)</f>
        <v/>
      </c>
      <c r="Y45" s="463">
        <f>IF(A45="","",SUMIF(Entrada_Manual!$I$88:$I$187,A45,Entrada_Manual!$F$88:$F$187))</f>
        <v/>
      </c>
      <c r="Z45" s="463">
        <f>IF(A45="","",X45-Y45)</f>
        <v/>
      </c>
      <c r="AA45">
        <f>IF(A45="","",SUMPRODUCT((Entrada_Manual!$I$88:$I$187=A45)*1))</f>
        <v/>
      </c>
      <c r="AB45">
        <f>IF(A45="","",IF(S45&lt;=1,"",IF(AA45=0,"PENDIENTE — SIN ASIGNAR",IF(Z45=0,"RESUELTO","PARCIAL — DIFERENCIA "&amp;TEXT(Z45,"#,##0")))))</f>
        <v/>
      </c>
    </row>
    <row r="46" ht="42.75" customHeight="1" s="235">
      <c r="A46" s="47">
        <f>IF(Exogena_RAW!E55&lt;&gt;"",ROW()-5,"")</f>
        <v/>
      </c>
      <c r="B46" s="48">
        <f>IF(A46="","",55)</f>
        <v/>
      </c>
      <c r="C46" s="48">
        <f>IF(A46="","",IFERROR(Exogena_RAW!A55,""))</f>
        <v/>
      </c>
      <c r="D46" s="48">
        <f>IF(A46="","",IFERROR(Exogena_RAW!B55,""))</f>
        <v/>
      </c>
      <c r="E46" s="48">
        <f>IF(A46="","",Exogena_RAW!E55)</f>
        <v/>
      </c>
      <c r="F46" s="461">
        <f>IF(A46="","",Exogena_RAW!F55)</f>
        <v/>
      </c>
      <c r="G46" s="48">
        <f>IF(A46="","",IFERROR(Exogena_RAW!G55,""))</f>
        <v/>
      </c>
      <c r="H46" s="48">
        <f>IF(A46="","",IFERROR(Exogena_RAW!H55,""))</f>
        <v/>
      </c>
      <c r="I46" s="48">
        <f>IF(A46="","",IFERROR(IF(S46&gt;1,"VARIAS CASILLAS",IF(S46=1,IF(T46=1,"PROPUESTA DE CASILLA","REVISIÓN: CASILLA NO DIRECTA"),IF(OR(ISNUMBER(SEARCH("TOPE",UPPER(E46))),ISNUMBER(SEARCH("TOPE",UPPER(G46)))),"SOLO CONTROL",IF(ISNUMBER(SEARCH("RETEN",UPPER(E46))),"RETENCIÓN","REVISAR")))),"REVISAR"))</f>
        <v/>
      </c>
      <c r="J46" s="48">
        <f>IF(A46="","",IF(ISNUMBER(SEARCH("ingreso laboral promedio de los últimos seis meses",E46)),"",IFERROR(IF(AND(S46=1,T46=1),U46,""),"")))</f>
        <v/>
      </c>
      <c r="K46" s="216" t="n"/>
      <c r="L46" s="48">
        <f>IF(A46="","",IFERROR(IF(K46&lt;&gt;"","Casilla elegida por usuario",IF(S46&gt;1,"Varias casillas — elegir en K",IF(J46&lt;&gt;"","Sugerencia directa",IF(S46=1,"No trasladar directo — revisar",IF(OR(ISNUMBER(SEARCH("TOPE",UPPER(E46))),ISNUMBER(SEARCH("TOPE",UPPER(G46)))),"Solo control","Revisar manualmente"))))),"Revisar manualmente"))</f>
        <v/>
      </c>
      <c r="M46" s="461">
        <f>IF(A46="","",IF(IF(K46&lt;&gt;"",K46,J46)="",0,IF(COUNTIFS(Reglas!$I$5:$I$118,IF(K46&lt;&gt;"",K46,J46),Reglas!$J$5:$J$118,"Sí")=1,F46,0)))</f>
        <v/>
      </c>
      <c r="N46" s="56" t="n"/>
      <c r="O46" s="462">
        <f>IF(A46="","",IF(M46=0,"",M46))</f>
        <v/>
      </c>
      <c r="P46" s="461">
        <f>IF(A46="","",IF(O46="",0,IF(ISNUMBER(O46),O46,0)))</f>
        <v/>
      </c>
      <c r="Q46" s="48">
        <f>IF(A46="","",IF(Exogena_RAW!$C$4="","BLOQUEADO: FALTA AÑO",IF(Exogena_RAW!$K$10&lt;&gt;Reglas!$B$5,"BLOQUEADO: AÑO",IF(IF(K46&lt;&gt;"",K46,J46)="",IF(S46&gt;1,"REQUIERE ASIGNACIÓN MANUAL (VARIAS CASILLAS)","INFORMATIVO (sin casilla — no se declara)"),IF(COUNTIFS(Reglas!$I$5:$I$118,IF(K46&lt;&gt;"",K46,J46),Reglas!$J$5:$J$118,"Sí")=0,"BLOQUEADO: CASILLA NO DIRECTA",IF(O46="","EXCLUIDO (valor borrado por el usuario)",IF(_xlfn.ISFORMULA(O46),IF(W46&lt;&gt;"","BORRADOR — VALOR SUGERIDO DIAN ⚠ VER ALERTA","BORRADOR — VALOR SUGERIDO DIAN"),IF(W46&lt;&gt;"","ACEPTADO ⚠ VER ALERTA","ACEPTADO"))))))))</f>
        <v/>
      </c>
      <c r="R46" s="218" t="n"/>
      <c r="S46" s="58">
        <f>IF(A46="","",IFERROR(--ISNUMBER(SEARCH("R28",G46)),0)+IFERROR(--ISNUMBER(SEARCH("R29",G46)),0)+IFERROR(--ISNUMBER(SEARCH("R30",G46)),0)+IFERROR(--ISNUMBER(SEARCH("R31",G46)),0)+IFERROR(--ISNUMBER(SEARCH("R32",G46)),0)+IFERROR(--ISNUMBER(SEARCH("R33",G46)),0)+IFERROR(--ISNUMBER(SEARCH("R34",G46)),0)+IFERROR(--ISNUMBER(SEARCH("R35",G46)),0)+IFERROR(--ISNUMBER(SEARCH("R36",G46)),0)+IFERROR(--ISNUMBER(SEARCH("R37",G46)),0)+IFERROR(--ISNUMBER(SEARCH("R38",G46)),0)+IFERROR(--ISNUMBER(SEARCH("R39",G46)),0)+IFERROR(--ISNUMBER(SEARCH("R40",G46)),0)+IFERROR(--ISNUMBER(SEARCH("R41",G46)),0)+IFERROR(--ISNUMBER(SEARCH("R42",G46)),0)+IFERROR(--ISNUMBER(SEARCH("R43",G46)),0)+IFERROR(--ISNUMBER(SEARCH("R44",G46)),0)+IFERROR(--ISNUMBER(SEARCH("R45",G46)),0)+IFERROR(--ISNUMBER(SEARCH("R46",G46)),0)+IFERROR(--ISNUMBER(SEARCH("R47",G46)),0)+IFERROR(--ISNUMBER(SEARCH("R48",G46)),0)+IFERROR(--ISNUMBER(SEARCH("R49",G46)),0)+IFERROR(--ISNUMBER(SEARCH("R50",G46)),0)+IFERROR(--ISNUMBER(SEARCH("R51",G46)),0)+IFERROR(--ISNUMBER(SEARCH("R52",G46)),0)+IFERROR(--ISNUMBER(SEARCH("R53",G46)),0)+IFERROR(--ISNUMBER(SEARCH("R54",G46)),0)+IFERROR(--ISNUMBER(SEARCH("R55",G46)),0)+IFERROR(--ISNUMBER(SEARCH("R56",G46)),0)+IFERROR(--ISNUMBER(SEARCH("R57",G46)),0)+IFERROR(--ISNUMBER(SEARCH("R58",G46)),0)+IFERROR(--ISNUMBER(SEARCH("R59",G46)),0)+IFERROR(--ISNUMBER(SEARCH("R60",G46)),0)+IFERROR(--ISNUMBER(SEARCH("R61",G46)),0)+IFERROR(--ISNUMBER(SEARCH("R62",G46)),0)+IFERROR(--ISNUMBER(SEARCH("R63",G46)),0)+IFERROR(--ISNUMBER(SEARCH("R64",G46)),0)+IFERROR(--ISNUMBER(SEARCH("R65",G46)),0)+IFERROR(--ISNUMBER(SEARCH("R66",G46)),0)+IFERROR(--ISNUMBER(SEARCH("R67",G46)),0)+IFERROR(--ISNUMBER(SEARCH("R68",G46)),0)+IFERROR(--ISNUMBER(SEARCH("R69",G46)),0)+IFERROR(--ISNUMBER(SEARCH("R70",G46)),0)+IFERROR(--ISNUMBER(SEARCH("R71",G46)),0)+IFERROR(--ISNUMBER(SEARCH("R72",G46)),0)+IFERROR(--ISNUMBER(SEARCH("R73",G46)),0)+IFERROR(--ISNUMBER(SEARCH("R74",G46)),0)+IFERROR(--ISNUMBER(SEARCH("R75",G46)),0)+IFERROR(--ISNUMBER(SEARCH("R76",G46)),0)+IFERROR(--ISNUMBER(SEARCH("R77",G46)),0)+IFERROR(--ISNUMBER(SEARCH("R78",G46)),0)+IFERROR(--ISNUMBER(SEARCH("R79",G46)),0)+IFERROR(--ISNUMBER(SEARCH("R80",G46)),0)+IFERROR(--ISNUMBER(SEARCH("R81",G46)),0)+IFERROR(--ISNUMBER(SEARCH("R82",G46)),0)+IFERROR(--ISNUMBER(SEARCH("R83",G46)),0)+IFERROR(--ISNUMBER(SEARCH("R84",G46)),0)+IFERROR(--ISNUMBER(SEARCH("R85",G46)),0)+IFERROR(--ISNUMBER(SEARCH("R86",G46)),0)+IFERROR(--ISNUMBER(SEARCH("R87",G46)),0)+IFERROR(--ISNUMBER(SEARCH("R88",G46)),0)+IFERROR(--ISNUMBER(SEARCH("R89",G46)),0)+IFERROR(--ISNUMBER(SEARCH("R90",G46)),0)+IFERROR(--ISNUMBER(SEARCH("R91",G46)),0)+IFERROR(--ISNUMBER(SEARCH("R92",G46)),0)+IFERROR(--ISNUMBER(SEARCH("R93",G46)),0)+IFERROR(--ISNUMBER(SEARCH("R94",G46)),0)+IFERROR(--ISNUMBER(SEARCH("R95",G46)),0)+IFERROR(--ISNUMBER(SEARCH("R96",G46)),0)+IFERROR(--ISNUMBER(SEARCH("R97",G46)),0)+IFERROR(--ISNUMBER(SEARCH("R98",G46)),0)+IFERROR(--ISNUMBER(SEARCH("R99",G46)),0)+IFERROR(--ISNUMBER(SEARCH("R100",G46)),0)+IFERROR(--ISNUMBER(SEARCH("R101",G46)),0)+IFERROR(--ISNUMBER(SEARCH("R102",G46)),0)+IFERROR(--ISNUMBER(SEARCH("R103",G46)),0)+IFERROR(--ISNUMBER(SEARCH("R104",G46)),0)+IFERROR(--ISNUMBER(SEARCH("R105",G46)),0)+IFERROR(--ISNUMBER(SEARCH("R106",G46)),0)+IFERROR(--ISNUMBER(SEARCH("R107",G46)),0)+IFERROR(--ISNUMBER(SEARCH("R108",G46)),0)+IFERROR(--ISNUMBER(SEARCH("R109",G46)),0)+IFERROR(--ISNUMBER(SEARCH("R110",G46)),0)+IFERROR(--ISNUMBER(SEARCH("R111",G46)),0)+IFERROR(--ISNUMBER(SEARCH("R112",G46)),0)+IFERROR(--ISNUMBER(SEARCH("R113",G46)),0)+IFERROR(--ISNUMBER(SEARCH("R114",G46)),0)+IFERROR(--ISNUMBER(SEARCH("R115",G46)),0)+IFERROR(--ISNUMBER(SEARCH("R116",G46)),0)+IFERROR(--ISNUMBER(SEARCH("R117",G46)),0)+IFERROR(--ISNUMBER(SEARCH("R118",G46)),0)+IFERROR(--ISNUMBER(SEARCH("R119",G46)),0)+IFERROR(--ISNUMBER(SEARCH("R120",G46)),0)+IFERROR(--ISNUMBER(SEARCH("R121",G46)),0)+IFERROR(--ISNUMBER(SEARCH("R122",G46)),0)+IFERROR(--ISNUMBER(SEARCH("R123",G46)),0)+IFERROR(--ISNUMBER(SEARCH("R124",G46)),0)+IFERROR(--ISNUMBER(SEARCH("R125",G46)),0)+IFERROR(--ISNUMBER(SEARCH("R126",G46)),0)+IFERROR(--ISNUMBER(SEARCH("R127",G46)),0)+IFERROR(--ISNUMBER(SEARCH("R128",G46)),0)+IFERROR(--ISNUMBER(SEARCH("R129",G46)),0)+IFERROR(--ISNUMBER(SEARCH("R130",G46)),0)+IFERROR(--ISNUMBER(SEARCH("R131",G46)),0)+IFERROR(--ISNUMBER(SEARCH("R132",G46)),0)+IFERROR(--ISNUMBER(SEARCH("R133",G46)),0)+IFERROR(--ISNUMBER(SEARCH("R134",G46)),0)+IFERROR(--ISNUMBER(SEARCH("R135",G46)),0)+IFERROR(--ISNUMBER(SEARCH("R136",G46)),0)+IFERROR(--ISNUMBER(SEARCH("R137",G46)),0)+IFERROR(--ISNUMBER(SEARCH("R138",G46)),0)+IFERROR(--ISNUMBER(SEARCH("R139",G46)),0)+IFERROR(--ISNUMBER(SEARCH("R140",G46)),0)+IFERROR(--ISNUMBER(SEARCH("R141",G46)),0))</f>
        <v/>
      </c>
      <c r="T46" s="58">
        <f>IF(A46="","",IFERROR(--ISNUMBER(SEARCH("R28",G46)),0)+IFERROR(--ISNUMBER(SEARCH("R29",G46)),0)+IFERROR(--ISNUMBER(SEARCH("R30",G46)),0)+IFERROR(--ISNUMBER(SEARCH("R32",G46)),0)+IFERROR(--ISNUMBER(SEARCH("R33",G46)),0)+IFERROR(--ISNUMBER(SEARCH("R35",G46)),0)+IFERROR(--ISNUMBER(SEARCH("R36",G46)),0)+IFERROR(--ISNUMBER(SEARCH("R38",G46)),0)+IFERROR(--ISNUMBER(SEARCH("R39",G46)),0)+IFERROR(--ISNUMBER(SEARCH("R43",G46)),0)+IFERROR(--ISNUMBER(SEARCH("R44",G46)),0)+IFERROR(--ISNUMBER(SEARCH("R45",G46)),0)+IFERROR(--ISNUMBER(SEARCH("R47",G46)),0)+IFERROR(--ISNUMBER(SEARCH("R48",G46)),0)+IFERROR(--ISNUMBER(SEARCH("R50",G46)),0)+IFERROR(--ISNUMBER(SEARCH("R51",G46)),0)+IFERROR(--ISNUMBER(SEARCH("R56",G46)),0)+IFERROR(--ISNUMBER(SEARCH("R58",G46)),0)+IFERROR(--ISNUMBER(SEARCH("R59",G46)),0)+IFERROR(--ISNUMBER(SEARCH("R60",G46)),0)+IFERROR(--ISNUMBER(SEARCH("R62",G46)),0)+IFERROR(--ISNUMBER(SEARCH("R63",G46)),0)+IFERROR(--ISNUMBER(SEARCH("R64",G46)),0)+IFERROR(--ISNUMBER(SEARCH("R66",G46)),0)+IFERROR(--ISNUMBER(SEARCH("R67",G46)),0)+IFERROR(--ISNUMBER(SEARCH("R72",G46)),0)+IFERROR(--ISNUMBER(SEARCH("R74",G46)),0)+IFERROR(--ISNUMBER(SEARCH("R75",G46)),0)+IFERROR(--ISNUMBER(SEARCH("R76",G46)),0)+IFERROR(--ISNUMBER(SEARCH("R77",G46)),0)+IFERROR(--ISNUMBER(SEARCH("R79",G46)),0)+IFERROR(--ISNUMBER(SEARCH("R80",G46)),0)+IFERROR(--ISNUMBER(SEARCH("R81",G46)),0)+IFERROR(--ISNUMBER(SEARCH("R83",G46)),0)+IFERROR(--ISNUMBER(SEARCH("R84",G46)),0)+IFERROR(--ISNUMBER(SEARCH("R89",G46)),0)+IFERROR(--ISNUMBER(SEARCH("R94",G46)),0)+IFERROR(--ISNUMBER(SEARCH("R95",G46)),0)+IFERROR(--ISNUMBER(SEARCH("R96",G46)),0)+IFERROR(--ISNUMBER(SEARCH("R98",G46)),0)+IFERROR(--ISNUMBER(SEARCH("R99",G46)),0)+IFERROR(--ISNUMBER(SEARCH("R100",G46)),0)+IFERROR(--ISNUMBER(SEARCH("R104",G46)),0)+IFERROR(--ISNUMBER(SEARCH("R105",G46)),0)+IFERROR(--ISNUMBER(SEARCH("R107",G46)),0)+IFERROR(--ISNUMBER(SEARCH("R108",G46)),0)+IFERROR(--ISNUMBER(SEARCH("R109",G46)),0)+IFERROR(--ISNUMBER(SEARCH("R110",G46)),0)+IFERROR(--ISNUMBER(SEARCH("R112",G46)),0)+IFERROR(--ISNUMBER(SEARCH("R113",G46)),0)+IFERROR(--ISNUMBER(SEARCH("R114",G46)),0)+IFERROR(--ISNUMBER(SEARCH("R118",G46)),0)+IFERROR(--ISNUMBER(SEARCH("R119",G46)),0)+IFERROR(--ISNUMBER(SEARCH("R120",G46)),0)+IFERROR(--ISNUMBER(SEARCH("R122",G46)),0)+IFERROR(--ISNUMBER(SEARCH("R123",G46)),0)+IFERROR(--ISNUMBER(SEARCH("R124",G46)),0)+IFERROR(--ISNUMBER(SEARCH("R128",G46)),0)+IFERROR(--ISNUMBER(SEARCH("R130",G46)),0)+IFERROR(--ISNUMBER(SEARCH("R131",G46)),0)+IFERROR(--ISNUMBER(SEARCH("R132",G46)),0)+IFERROR(--ISNUMBER(SEARCH("R135",G46)),0)+IFERROR(--ISNUMBER(SEARCH("R138",G46)),0)+IFERROR(--ISNUMBER(SEARCH("R141",G46)),0))</f>
        <v/>
      </c>
      <c r="U46" s="58">
        <f>IF(A46="","",IFERROR(--ISNUMBER(SEARCH("R28",G46))*28,0)+IFERROR(--ISNUMBER(SEARCH("R29",G46))*29,0)+IFERROR(--ISNUMBER(SEARCH("R30",G46))*30,0)+IFERROR(--ISNUMBER(SEARCH("R31",G46))*31,0)+IFERROR(--ISNUMBER(SEARCH("R32",G46))*32,0)+IFERROR(--ISNUMBER(SEARCH("R33",G46))*33,0)+IFERROR(--ISNUMBER(SEARCH("R34",G46))*34,0)+IFERROR(--ISNUMBER(SEARCH("R35",G46))*35,0)+IFERROR(--ISNUMBER(SEARCH("R36",G46))*36,0)+IFERROR(--ISNUMBER(SEARCH("R37",G46))*37,0)+IFERROR(--ISNUMBER(SEARCH("R38",G46))*38,0)+IFERROR(--ISNUMBER(SEARCH("R39",G46))*39,0)+IFERROR(--ISNUMBER(SEARCH("R40",G46))*40,0)+IFERROR(--ISNUMBER(SEARCH("R41",G46))*41,0)+IFERROR(--ISNUMBER(SEARCH("R42",G46))*42,0)+IFERROR(--ISNUMBER(SEARCH("R43",G46))*43,0)+IFERROR(--ISNUMBER(SEARCH("R44",G46))*44,0)+IFERROR(--ISNUMBER(SEARCH("R45",G46))*45,0)+IFERROR(--ISNUMBER(SEARCH("R46",G46))*46,0)+IFERROR(--ISNUMBER(SEARCH("R47",G46))*47,0)+IFERROR(--ISNUMBER(SEARCH("R48",G46))*48,0)+IFERROR(--ISNUMBER(SEARCH("R49",G46))*49,0)+IFERROR(--ISNUMBER(SEARCH("R50",G46))*50,0)+IFERROR(--ISNUMBER(SEARCH("R51",G46))*51,0)+IFERROR(--ISNUMBER(SEARCH("R52",G46))*52,0)+IFERROR(--ISNUMBER(SEARCH("R53",G46))*53,0)+IFERROR(--ISNUMBER(SEARCH("R54",G46))*54,0)+IFERROR(--ISNUMBER(SEARCH("R55",G46))*55,0)+IFERROR(--ISNUMBER(SEARCH("R56",G46))*56,0)+IFERROR(--ISNUMBER(SEARCH("R57",G46))*57,0)+IFERROR(--ISNUMBER(SEARCH("R58",G46))*58,0)+IFERROR(--ISNUMBER(SEARCH("R59",G46))*59,0)+IFERROR(--ISNUMBER(SEARCH("R60",G46))*60,0)+IFERROR(--ISNUMBER(SEARCH("R61",G46))*61,0)+IFERROR(--ISNUMBER(SEARCH("R62",G46))*62,0)+IFERROR(--ISNUMBER(SEARCH("R63",G46))*63,0)+IFERROR(--ISNUMBER(SEARCH("R64",G46))*64,0)+IFERROR(--ISNUMBER(SEARCH("R65",G46))*65,0)+IFERROR(--ISNUMBER(SEARCH("R66",G46))*66,0)+IFERROR(--ISNUMBER(SEARCH("R67",G46))*67,0)+IFERROR(--ISNUMBER(SEARCH("R68",G46))*68,0)+IFERROR(--ISNUMBER(SEARCH("R69",G46))*69,0)+IFERROR(--ISNUMBER(SEARCH("R70",G46))*70,0)+IFERROR(--ISNUMBER(SEARCH("R71",G46))*71,0)+IFERROR(--ISNUMBER(SEARCH("R72",G46))*72,0)+IFERROR(--ISNUMBER(SEARCH("R73",G46))*73,0)+IFERROR(--ISNUMBER(SEARCH("R74",G46))*74,0)+IFERROR(--ISNUMBER(SEARCH("R75",G46))*75,0)+IFERROR(--ISNUMBER(SEARCH("R76",G46))*76,0)+IFERROR(--ISNUMBER(SEARCH("R77",G46))*77,0)+IFERROR(--ISNUMBER(SEARCH("R78",G46))*78,0)+IFERROR(--ISNUMBER(SEARCH("R79",G46))*79,0)+IFERROR(--ISNUMBER(SEARCH("R80",G46))*80,0)+IFERROR(--ISNUMBER(SEARCH("R81",G46))*81,0)+IFERROR(--ISNUMBER(SEARCH("R82",G46))*82,0)+IFERROR(--ISNUMBER(SEARCH("R83",G46))*83,0)+IFERROR(--ISNUMBER(SEARCH("R84",G46))*84,0)+IFERROR(--ISNUMBER(SEARCH("R85",G46))*85,0)+IFERROR(--ISNUMBER(SEARCH("R86",G46))*86,0)+IFERROR(--ISNUMBER(SEARCH("R87",G46))*87,0)+IFERROR(--ISNUMBER(SEARCH("R88",G46))*88,0)+IFERROR(--ISNUMBER(SEARCH("R89",G46))*89,0)+IFERROR(--ISNUMBER(SEARCH("R90",G46))*90,0)+IFERROR(--ISNUMBER(SEARCH("R91",G46))*91,0)+IFERROR(--ISNUMBER(SEARCH("R92",G46))*92,0)+IFERROR(--ISNUMBER(SEARCH("R93",G46))*93,0)+IFERROR(--ISNUMBER(SEARCH("R94",G46))*94,0)+IFERROR(--ISNUMBER(SEARCH("R95",G46))*95,0)+IFERROR(--ISNUMBER(SEARCH("R96",G46))*96,0)+IFERROR(--ISNUMBER(SEARCH("R97",G46))*97,0)+IFERROR(--ISNUMBER(SEARCH("R98",G46))*98,0)+IFERROR(--ISNUMBER(SEARCH("R99",G46))*99,0)+IFERROR(--ISNUMBER(SEARCH("R100",G46))*100,0)+IFERROR(--ISNUMBER(SEARCH("R101",G46))*101,0)+IFERROR(--ISNUMBER(SEARCH("R102",G46))*102,0)+IFERROR(--ISNUMBER(SEARCH("R103",G46))*103,0)+IFERROR(--ISNUMBER(SEARCH("R104",G46))*104,0)+IFERROR(--ISNUMBER(SEARCH("R105",G46))*105,0)+IFERROR(--ISNUMBER(SEARCH("R106",G46))*106,0)+IFERROR(--ISNUMBER(SEARCH("R107",G46))*107,0)+IFERROR(--ISNUMBER(SEARCH("R108",G46))*108,0)+IFERROR(--ISNUMBER(SEARCH("R109",G46))*109,0)+IFERROR(--ISNUMBER(SEARCH("R110",G46))*110,0)+IFERROR(--ISNUMBER(SEARCH("R111",G46))*111,0)+IFERROR(--ISNUMBER(SEARCH("R112",G46))*112,0)+IFERROR(--ISNUMBER(SEARCH("R113",G46))*113,0)+IFERROR(--ISNUMBER(SEARCH("R114",G46))*114,0)+IFERROR(--ISNUMBER(SEARCH("R115",G46))*115,0)+IFERROR(--ISNUMBER(SEARCH("R116",G46))*116,0)+IFERROR(--ISNUMBER(SEARCH("R117",G46))*117,0)+IFERROR(--ISNUMBER(SEARCH("R118",G46))*118,0)+IFERROR(--ISNUMBER(SEARCH("R119",G46))*119,0)+IFERROR(--ISNUMBER(SEARCH("R120",G46))*120,0)+IFERROR(--ISNUMBER(SEARCH("R121",G46))*121,0)+IFERROR(--ISNUMBER(SEARCH("R122",G46))*122,0)+IFERROR(--ISNUMBER(SEARCH("R123",G46))*123,0)+IFERROR(--ISNUMBER(SEARCH("R124",G46))*124,0)+IFERROR(--ISNUMBER(SEARCH("R125",G46))*125,0)+IFERROR(--ISNUMBER(SEARCH("R126",G46))*126,0)+IFERROR(--ISNUMBER(SEARCH("R127",G46))*127,0)+IFERROR(--ISNUMBER(SEARCH("R128",G46))*128,0)+IFERROR(--ISNUMBER(SEARCH("R129",G46))*129,0)+IFERROR(--ISNUMBER(SEARCH("R130",G46))*130,0)+IFERROR(--ISNUMBER(SEARCH("R131",G46))*131,0)+IFERROR(--ISNUMBER(SEARCH("R132",G46))*132,0)+IFERROR(--ISNUMBER(SEARCH("R133",G46))*133,0)+IFERROR(--ISNUMBER(SEARCH("R134",G46))*134,0)+IFERROR(--ISNUMBER(SEARCH("R135",G46))*135,0)+IFERROR(--ISNUMBER(SEARCH("R136",G46))*136,0)+IFERROR(--ISNUMBER(SEARCH("R137",G46))*137,0)+IFERROR(--ISNUMBER(SEARCH("R138",G46))*138,0)+IFERROR(--ISNUMBER(SEARCH("R139",G46))*139,0)+IFERROR(--ISNUMBER(SEARCH("R140",G46))*140,0)+IFERROR(--ISNUMBER(SEARCH("R141",G46))*141,0))</f>
        <v/>
      </c>
      <c r="V46" s="59">
        <f>IF(A46="","",IF(K46&lt;&gt;"",K46,J46))</f>
        <v/>
      </c>
      <c r="W46" s="59">
        <f>IF(A46="","",IF(AND(V46=29,O46&lt;&gt;"",COUNTIFS($V$6:$V$505,29,$F$6:$F$505,F46,$C$6:$C$505,C46,$O$6:$O$505,"&lt;&gt;")&gt;1),IF(COUNTIFS($V$6:V46,29,$F$6:F46,F46,$C$6:C46,C46,$O$6:O46,"&lt;&gt;")=1,"Esta es la fila que se debe CONSERVAR (aparición 1 de "&amp;COUNTIFS($V$6:$V$505,29,$F$6:$F$505,F46,$C$6:$C$505,C46,$O$6:$O$505,"&lt;&gt;")&amp;" con el mismo tercero y valor, casilla 29). Si hay más filas iguales, bórreles el valor a ELLAS, no a esta.","DUPLICADO — ya existe otra fila con el mismo tercero y valor para casilla 29 (aparición "&amp;COUNTIFS($V$6:V46,29,$F$6:F46,F46,$C$6:C46,C46,$O$6:O46,"&lt;&gt;")&amp;" de "&amp;COUNTIFS($V$6:$V$505,29,$F$6:$F$505,F46,$C$6:$C$505,C46,$O$6:$O$505,"&lt;&gt;")&amp;"). Para resolverlo: seleccione la celda O"&amp;ROW()&amp;" (columna Valor a declarar de ESTA fila) y presione Supr."),""))</f>
        <v/>
      </c>
      <c r="X46" s="463">
        <f>IF(A46="","",F46)</f>
        <v/>
      </c>
      <c r="Y46" s="463">
        <f>IF(A46="","",SUMIF(Entrada_Manual!$I$88:$I$187,A46,Entrada_Manual!$F$88:$F$187))</f>
        <v/>
      </c>
      <c r="Z46" s="463">
        <f>IF(A46="","",X46-Y46)</f>
        <v/>
      </c>
      <c r="AA46">
        <f>IF(A46="","",SUMPRODUCT((Entrada_Manual!$I$88:$I$187=A46)*1))</f>
        <v/>
      </c>
      <c r="AB46">
        <f>IF(A46="","",IF(S46&lt;=1,"",IF(AA46=0,"PENDIENTE — SIN ASIGNAR",IF(Z46=0,"RESUELTO","PARCIAL — DIFERENCIA "&amp;TEXT(Z46,"#,##0")))))</f>
        <v/>
      </c>
    </row>
    <row r="47" ht="42.75" customHeight="1" s="235">
      <c r="A47" s="47">
        <f>IF(Exogena_RAW!E56&lt;&gt;"",ROW()-5,"")</f>
        <v/>
      </c>
      <c r="B47" s="48">
        <f>IF(A47="","",56)</f>
        <v/>
      </c>
      <c r="C47" s="48">
        <f>IF(A47="","",IFERROR(Exogena_RAW!A56,""))</f>
        <v/>
      </c>
      <c r="D47" s="48">
        <f>IF(A47="","",IFERROR(Exogena_RAW!B56,""))</f>
        <v/>
      </c>
      <c r="E47" s="48">
        <f>IF(A47="","",Exogena_RAW!E56)</f>
        <v/>
      </c>
      <c r="F47" s="461">
        <f>IF(A47="","",Exogena_RAW!F56)</f>
        <v/>
      </c>
      <c r="G47" s="48">
        <f>IF(A47="","",IFERROR(Exogena_RAW!G56,""))</f>
        <v/>
      </c>
      <c r="H47" s="48">
        <f>IF(A47="","",IFERROR(Exogena_RAW!H56,""))</f>
        <v/>
      </c>
      <c r="I47" s="48">
        <f>IF(A47="","",IFERROR(IF(S47&gt;1,"VARIAS CASILLAS",IF(S47=1,IF(T47=1,"PROPUESTA DE CASILLA","REVISIÓN: CASILLA NO DIRECTA"),IF(OR(ISNUMBER(SEARCH("TOPE",UPPER(E47))),ISNUMBER(SEARCH("TOPE",UPPER(G47)))),"SOLO CONTROL",IF(ISNUMBER(SEARCH("RETEN",UPPER(E47))),"RETENCIÓN","REVISAR")))),"REVISAR"))</f>
        <v/>
      </c>
      <c r="J47" s="48">
        <f>IF(A47="","",IF(ISNUMBER(SEARCH("ingreso laboral promedio de los últimos seis meses",E47)),"",IFERROR(IF(AND(S47=1,T47=1),U47,""),"")))</f>
        <v/>
      </c>
      <c r="K47" s="216" t="n"/>
      <c r="L47" s="48">
        <f>IF(A47="","",IFERROR(IF(K47&lt;&gt;"","Casilla elegida por usuario",IF(S47&gt;1,"Varias casillas — elegir en K",IF(J47&lt;&gt;"","Sugerencia directa",IF(S47=1,"No trasladar directo — revisar",IF(OR(ISNUMBER(SEARCH("TOPE",UPPER(E47))),ISNUMBER(SEARCH("TOPE",UPPER(G47)))),"Solo control","Revisar manualmente"))))),"Revisar manualmente"))</f>
        <v/>
      </c>
      <c r="M47" s="461">
        <f>IF(A47="","",IF(IF(K47&lt;&gt;"",K47,J47)="",0,IF(COUNTIFS(Reglas!$I$5:$I$118,IF(K47&lt;&gt;"",K47,J47),Reglas!$J$5:$J$118,"Sí")=1,F47,0)))</f>
        <v/>
      </c>
      <c r="N47" s="56" t="n"/>
      <c r="O47" s="462">
        <f>IF(A47="","",IF(M47=0,"",M47))</f>
        <v/>
      </c>
      <c r="P47" s="461">
        <f>IF(A47="","",IF(O47="",0,IF(ISNUMBER(O47),O47,0)))</f>
        <v/>
      </c>
      <c r="Q47" s="48">
        <f>IF(A47="","",IF(Exogena_RAW!$C$4="","BLOQUEADO: FALTA AÑO",IF(Exogena_RAW!$K$10&lt;&gt;Reglas!$B$5,"BLOQUEADO: AÑO",IF(IF(K47&lt;&gt;"",K47,J47)="",IF(S47&gt;1,"REQUIERE ASIGNACIÓN MANUAL (VARIAS CASILLAS)","INFORMATIVO (sin casilla — no se declara)"),IF(COUNTIFS(Reglas!$I$5:$I$118,IF(K47&lt;&gt;"",K47,J47),Reglas!$J$5:$J$118,"Sí")=0,"BLOQUEADO: CASILLA NO DIRECTA",IF(O47="","EXCLUIDO (valor borrado por el usuario)",IF(_xlfn.ISFORMULA(O47),IF(W47&lt;&gt;"","BORRADOR — VALOR SUGERIDO DIAN ⚠ VER ALERTA","BORRADOR — VALOR SUGERIDO DIAN"),IF(W47&lt;&gt;"","ACEPTADO ⚠ VER ALERTA","ACEPTADO"))))))))</f>
        <v/>
      </c>
      <c r="R47" s="218" t="n"/>
      <c r="S47" s="58">
        <f>IF(A47="","",IFERROR(--ISNUMBER(SEARCH("R28",G47)),0)+IFERROR(--ISNUMBER(SEARCH("R29",G47)),0)+IFERROR(--ISNUMBER(SEARCH("R30",G47)),0)+IFERROR(--ISNUMBER(SEARCH("R31",G47)),0)+IFERROR(--ISNUMBER(SEARCH("R32",G47)),0)+IFERROR(--ISNUMBER(SEARCH("R33",G47)),0)+IFERROR(--ISNUMBER(SEARCH("R34",G47)),0)+IFERROR(--ISNUMBER(SEARCH("R35",G47)),0)+IFERROR(--ISNUMBER(SEARCH("R36",G47)),0)+IFERROR(--ISNUMBER(SEARCH("R37",G47)),0)+IFERROR(--ISNUMBER(SEARCH("R38",G47)),0)+IFERROR(--ISNUMBER(SEARCH("R39",G47)),0)+IFERROR(--ISNUMBER(SEARCH("R40",G47)),0)+IFERROR(--ISNUMBER(SEARCH("R41",G47)),0)+IFERROR(--ISNUMBER(SEARCH("R42",G47)),0)+IFERROR(--ISNUMBER(SEARCH("R43",G47)),0)+IFERROR(--ISNUMBER(SEARCH("R44",G47)),0)+IFERROR(--ISNUMBER(SEARCH("R45",G47)),0)+IFERROR(--ISNUMBER(SEARCH("R46",G47)),0)+IFERROR(--ISNUMBER(SEARCH("R47",G47)),0)+IFERROR(--ISNUMBER(SEARCH("R48",G47)),0)+IFERROR(--ISNUMBER(SEARCH("R49",G47)),0)+IFERROR(--ISNUMBER(SEARCH("R50",G47)),0)+IFERROR(--ISNUMBER(SEARCH("R51",G47)),0)+IFERROR(--ISNUMBER(SEARCH("R52",G47)),0)+IFERROR(--ISNUMBER(SEARCH("R53",G47)),0)+IFERROR(--ISNUMBER(SEARCH("R54",G47)),0)+IFERROR(--ISNUMBER(SEARCH("R55",G47)),0)+IFERROR(--ISNUMBER(SEARCH("R56",G47)),0)+IFERROR(--ISNUMBER(SEARCH("R57",G47)),0)+IFERROR(--ISNUMBER(SEARCH("R58",G47)),0)+IFERROR(--ISNUMBER(SEARCH("R59",G47)),0)+IFERROR(--ISNUMBER(SEARCH("R60",G47)),0)+IFERROR(--ISNUMBER(SEARCH("R61",G47)),0)+IFERROR(--ISNUMBER(SEARCH("R62",G47)),0)+IFERROR(--ISNUMBER(SEARCH("R63",G47)),0)+IFERROR(--ISNUMBER(SEARCH("R64",G47)),0)+IFERROR(--ISNUMBER(SEARCH("R65",G47)),0)+IFERROR(--ISNUMBER(SEARCH("R66",G47)),0)+IFERROR(--ISNUMBER(SEARCH("R67",G47)),0)+IFERROR(--ISNUMBER(SEARCH("R68",G47)),0)+IFERROR(--ISNUMBER(SEARCH("R69",G47)),0)+IFERROR(--ISNUMBER(SEARCH("R70",G47)),0)+IFERROR(--ISNUMBER(SEARCH("R71",G47)),0)+IFERROR(--ISNUMBER(SEARCH("R72",G47)),0)+IFERROR(--ISNUMBER(SEARCH("R73",G47)),0)+IFERROR(--ISNUMBER(SEARCH("R74",G47)),0)+IFERROR(--ISNUMBER(SEARCH("R75",G47)),0)+IFERROR(--ISNUMBER(SEARCH("R76",G47)),0)+IFERROR(--ISNUMBER(SEARCH("R77",G47)),0)+IFERROR(--ISNUMBER(SEARCH("R78",G47)),0)+IFERROR(--ISNUMBER(SEARCH("R79",G47)),0)+IFERROR(--ISNUMBER(SEARCH("R80",G47)),0)+IFERROR(--ISNUMBER(SEARCH("R81",G47)),0)+IFERROR(--ISNUMBER(SEARCH("R82",G47)),0)+IFERROR(--ISNUMBER(SEARCH("R83",G47)),0)+IFERROR(--ISNUMBER(SEARCH("R84",G47)),0)+IFERROR(--ISNUMBER(SEARCH("R85",G47)),0)+IFERROR(--ISNUMBER(SEARCH("R86",G47)),0)+IFERROR(--ISNUMBER(SEARCH("R87",G47)),0)+IFERROR(--ISNUMBER(SEARCH("R88",G47)),0)+IFERROR(--ISNUMBER(SEARCH("R89",G47)),0)+IFERROR(--ISNUMBER(SEARCH("R90",G47)),0)+IFERROR(--ISNUMBER(SEARCH("R91",G47)),0)+IFERROR(--ISNUMBER(SEARCH("R92",G47)),0)+IFERROR(--ISNUMBER(SEARCH("R93",G47)),0)+IFERROR(--ISNUMBER(SEARCH("R94",G47)),0)+IFERROR(--ISNUMBER(SEARCH("R95",G47)),0)+IFERROR(--ISNUMBER(SEARCH("R96",G47)),0)+IFERROR(--ISNUMBER(SEARCH("R97",G47)),0)+IFERROR(--ISNUMBER(SEARCH("R98",G47)),0)+IFERROR(--ISNUMBER(SEARCH("R99",G47)),0)+IFERROR(--ISNUMBER(SEARCH("R100",G47)),0)+IFERROR(--ISNUMBER(SEARCH("R101",G47)),0)+IFERROR(--ISNUMBER(SEARCH("R102",G47)),0)+IFERROR(--ISNUMBER(SEARCH("R103",G47)),0)+IFERROR(--ISNUMBER(SEARCH("R104",G47)),0)+IFERROR(--ISNUMBER(SEARCH("R105",G47)),0)+IFERROR(--ISNUMBER(SEARCH("R106",G47)),0)+IFERROR(--ISNUMBER(SEARCH("R107",G47)),0)+IFERROR(--ISNUMBER(SEARCH("R108",G47)),0)+IFERROR(--ISNUMBER(SEARCH("R109",G47)),0)+IFERROR(--ISNUMBER(SEARCH("R110",G47)),0)+IFERROR(--ISNUMBER(SEARCH("R111",G47)),0)+IFERROR(--ISNUMBER(SEARCH("R112",G47)),0)+IFERROR(--ISNUMBER(SEARCH("R113",G47)),0)+IFERROR(--ISNUMBER(SEARCH("R114",G47)),0)+IFERROR(--ISNUMBER(SEARCH("R115",G47)),0)+IFERROR(--ISNUMBER(SEARCH("R116",G47)),0)+IFERROR(--ISNUMBER(SEARCH("R117",G47)),0)+IFERROR(--ISNUMBER(SEARCH("R118",G47)),0)+IFERROR(--ISNUMBER(SEARCH("R119",G47)),0)+IFERROR(--ISNUMBER(SEARCH("R120",G47)),0)+IFERROR(--ISNUMBER(SEARCH("R121",G47)),0)+IFERROR(--ISNUMBER(SEARCH("R122",G47)),0)+IFERROR(--ISNUMBER(SEARCH("R123",G47)),0)+IFERROR(--ISNUMBER(SEARCH("R124",G47)),0)+IFERROR(--ISNUMBER(SEARCH("R125",G47)),0)+IFERROR(--ISNUMBER(SEARCH("R126",G47)),0)+IFERROR(--ISNUMBER(SEARCH("R127",G47)),0)+IFERROR(--ISNUMBER(SEARCH("R128",G47)),0)+IFERROR(--ISNUMBER(SEARCH("R129",G47)),0)+IFERROR(--ISNUMBER(SEARCH("R130",G47)),0)+IFERROR(--ISNUMBER(SEARCH("R131",G47)),0)+IFERROR(--ISNUMBER(SEARCH("R132",G47)),0)+IFERROR(--ISNUMBER(SEARCH("R133",G47)),0)+IFERROR(--ISNUMBER(SEARCH("R134",G47)),0)+IFERROR(--ISNUMBER(SEARCH("R135",G47)),0)+IFERROR(--ISNUMBER(SEARCH("R136",G47)),0)+IFERROR(--ISNUMBER(SEARCH("R137",G47)),0)+IFERROR(--ISNUMBER(SEARCH("R138",G47)),0)+IFERROR(--ISNUMBER(SEARCH("R139",G47)),0)+IFERROR(--ISNUMBER(SEARCH("R140",G47)),0)+IFERROR(--ISNUMBER(SEARCH("R141",G47)),0))</f>
        <v/>
      </c>
      <c r="T47" s="58">
        <f>IF(A47="","",IFERROR(--ISNUMBER(SEARCH("R28",G47)),0)+IFERROR(--ISNUMBER(SEARCH("R29",G47)),0)+IFERROR(--ISNUMBER(SEARCH("R30",G47)),0)+IFERROR(--ISNUMBER(SEARCH("R32",G47)),0)+IFERROR(--ISNUMBER(SEARCH("R33",G47)),0)+IFERROR(--ISNUMBER(SEARCH("R35",G47)),0)+IFERROR(--ISNUMBER(SEARCH("R36",G47)),0)+IFERROR(--ISNUMBER(SEARCH("R38",G47)),0)+IFERROR(--ISNUMBER(SEARCH("R39",G47)),0)+IFERROR(--ISNUMBER(SEARCH("R43",G47)),0)+IFERROR(--ISNUMBER(SEARCH("R44",G47)),0)+IFERROR(--ISNUMBER(SEARCH("R45",G47)),0)+IFERROR(--ISNUMBER(SEARCH("R47",G47)),0)+IFERROR(--ISNUMBER(SEARCH("R48",G47)),0)+IFERROR(--ISNUMBER(SEARCH("R50",G47)),0)+IFERROR(--ISNUMBER(SEARCH("R51",G47)),0)+IFERROR(--ISNUMBER(SEARCH("R56",G47)),0)+IFERROR(--ISNUMBER(SEARCH("R58",G47)),0)+IFERROR(--ISNUMBER(SEARCH("R59",G47)),0)+IFERROR(--ISNUMBER(SEARCH("R60",G47)),0)+IFERROR(--ISNUMBER(SEARCH("R62",G47)),0)+IFERROR(--ISNUMBER(SEARCH("R63",G47)),0)+IFERROR(--ISNUMBER(SEARCH("R64",G47)),0)+IFERROR(--ISNUMBER(SEARCH("R66",G47)),0)+IFERROR(--ISNUMBER(SEARCH("R67",G47)),0)+IFERROR(--ISNUMBER(SEARCH("R72",G47)),0)+IFERROR(--ISNUMBER(SEARCH("R74",G47)),0)+IFERROR(--ISNUMBER(SEARCH("R75",G47)),0)+IFERROR(--ISNUMBER(SEARCH("R76",G47)),0)+IFERROR(--ISNUMBER(SEARCH("R77",G47)),0)+IFERROR(--ISNUMBER(SEARCH("R79",G47)),0)+IFERROR(--ISNUMBER(SEARCH("R80",G47)),0)+IFERROR(--ISNUMBER(SEARCH("R81",G47)),0)+IFERROR(--ISNUMBER(SEARCH("R83",G47)),0)+IFERROR(--ISNUMBER(SEARCH("R84",G47)),0)+IFERROR(--ISNUMBER(SEARCH("R89",G47)),0)+IFERROR(--ISNUMBER(SEARCH("R94",G47)),0)+IFERROR(--ISNUMBER(SEARCH("R95",G47)),0)+IFERROR(--ISNUMBER(SEARCH("R96",G47)),0)+IFERROR(--ISNUMBER(SEARCH("R98",G47)),0)+IFERROR(--ISNUMBER(SEARCH("R99",G47)),0)+IFERROR(--ISNUMBER(SEARCH("R100",G47)),0)+IFERROR(--ISNUMBER(SEARCH("R104",G47)),0)+IFERROR(--ISNUMBER(SEARCH("R105",G47)),0)+IFERROR(--ISNUMBER(SEARCH("R107",G47)),0)+IFERROR(--ISNUMBER(SEARCH("R108",G47)),0)+IFERROR(--ISNUMBER(SEARCH("R109",G47)),0)+IFERROR(--ISNUMBER(SEARCH("R110",G47)),0)+IFERROR(--ISNUMBER(SEARCH("R112",G47)),0)+IFERROR(--ISNUMBER(SEARCH("R113",G47)),0)+IFERROR(--ISNUMBER(SEARCH("R114",G47)),0)+IFERROR(--ISNUMBER(SEARCH("R118",G47)),0)+IFERROR(--ISNUMBER(SEARCH("R119",G47)),0)+IFERROR(--ISNUMBER(SEARCH("R120",G47)),0)+IFERROR(--ISNUMBER(SEARCH("R122",G47)),0)+IFERROR(--ISNUMBER(SEARCH("R123",G47)),0)+IFERROR(--ISNUMBER(SEARCH("R124",G47)),0)+IFERROR(--ISNUMBER(SEARCH("R128",G47)),0)+IFERROR(--ISNUMBER(SEARCH("R130",G47)),0)+IFERROR(--ISNUMBER(SEARCH("R131",G47)),0)+IFERROR(--ISNUMBER(SEARCH("R132",G47)),0)+IFERROR(--ISNUMBER(SEARCH("R135",G47)),0)+IFERROR(--ISNUMBER(SEARCH("R138",G47)),0)+IFERROR(--ISNUMBER(SEARCH("R141",G47)),0))</f>
        <v/>
      </c>
      <c r="U47" s="58">
        <f>IF(A47="","",IFERROR(--ISNUMBER(SEARCH("R28",G47))*28,0)+IFERROR(--ISNUMBER(SEARCH("R29",G47))*29,0)+IFERROR(--ISNUMBER(SEARCH("R30",G47))*30,0)+IFERROR(--ISNUMBER(SEARCH("R31",G47))*31,0)+IFERROR(--ISNUMBER(SEARCH("R32",G47))*32,0)+IFERROR(--ISNUMBER(SEARCH("R33",G47))*33,0)+IFERROR(--ISNUMBER(SEARCH("R34",G47))*34,0)+IFERROR(--ISNUMBER(SEARCH("R35",G47))*35,0)+IFERROR(--ISNUMBER(SEARCH("R36",G47))*36,0)+IFERROR(--ISNUMBER(SEARCH("R37",G47))*37,0)+IFERROR(--ISNUMBER(SEARCH("R38",G47))*38,0)+IFERROR(--ISNUMBER(SEARCH("R39",G47))*39,0)+IFERROR(--ISNUMBER(SEARCH("R40",G47))*40,0)+IFERROR(--ISNUMBER(SEARCH("R41",G47))*41,0)+IFERROR(--ISNUMBER(SEARCH("R42",G47))*42,0)+IFERROR(--ISNUMBER(SEARCH("R43",G47))*43,0)+IFERROR(--ISNUMBER(SEARCH("R44",G47))*44,0)+IFERROR(--ISNUMBER(SEARCH("R45",G47))*45,0)+IFERROR(--ISNUMBER(SEARCH("R46",G47))*46,0)+IFERROR(--ISNUMBER(SEARCH("R47",G47))*47,0)+IFERROR(--ISNUMBER(SEARCH("R48",G47))*48,0)+IFERROR(--ISNUMBER(SEARCH("R49",G47))*49,0)+IFERROR(--ISNUMBER(SEARCH("R50",G47))*50,0)+IFERROR(--ISNUMBER(SEARCH("R51",G47))*51,0)+IFERROR(--ISNUMBER(SEARCH("R52",G47))*52,0)+IFERROR(--ISNUMBER(SEARCH("R53",G47))*53,0)+IFERROR(--ISNUMBER(SEARCH("R54",G47))*54,0)+IFERROR(--ISNUMBER(SEARCH("R55",G47))*55,0)+IFERROR(--ISNUMBER(SEARCH("R56",G47))*56,0)+IFERROR(--ISNUMBER(SEARCH("R57",G47))*57,0)+IFERROR(--ISNUMBER(SEARCH("R58",G47))*58,0)+IFERROR(--ISNUMBER(SEARCH("R59",G47))*59,0)+IFERROR(--ISNUMBER(SEARCH("R60",G47))*60,0)+IFERROR(--ISNUMBER(SEARCH("R61",G47))*61,0)+IFERROR(--ISNUMBER(SEARCH("R62",G47))*62,0)+IFERROR(--ISNUMBER(SEARCH("R63",G47))*63,0)+IFERROR(--ISNUMBER(SEARCH("R64",G47))*64,0)+IFERROR(--ISNUMBER(SEARCH("R65",G47))*65,0)+IFERROR(--ISNUMBER(SEARCH("R66",G47))*66,0)+IFERROR(--ISNUMBER(SEARCH("R67",G47))*67,0)+IFERROR(--ISNUMBER(SEARCH("R68",G47))*68,0)+IFERROR(--ISNUMBER(SEARCH("R69",G47))*69,0)+IFERROR(--ISNUMBER(SEARCH("R70",G47))*70,0)+IFERROR(--ISNUMBER(SEARCH("R71",G47))*71,0)+IFERROR(--ISNUMBER(SEARCH("R72",G47))*72,0)+IFERROR(--ISNUMBER(SEARCH("R73",G47))*73,0)+IFERROR(--ISNUMBER(SEARCH("R74",G47))*74,0)+IFERROR(--ISNUMBER(SEARCH("R75",G47))*75,0)+IFERROR(--ISNUMBER(SEARCH("R76",G47))*76,0)+IFERROR(--ISNUMBER(SEARCH("R77",G47))*77,0)+IFERROR(--ISNUMBER(SEARCH("R78",G47))*78,0)+IFERROR(--ISNUMBER(SEARCH("R79",G47))*79,0)+IFERROR(--ISNUMBER(SEARCH("R80",G47))*80,0)+IFERROR(--ISNUMBER(SEARCH("R81",G47))*81,0)+IFERROR(--ISNUMBER(SEARCH("R82",G47))*82,0)+IFERROR(--ISNUMBER(SEARCH("R83",G47))*83,0)+IFERROR(--ISNUMBER(SEARCH("R84",G47))*84,0)+IFERROR(--ISNUMBER(SEARCH("R85",G47))*85,0)+IFERROR(--ISNUMBER(SEARCH("R86",G47))*86,0)+IFERROR(--ISNUMBER(SEARCH("R87",G47))*87,0)+IFERROR(--ISNUMBER(SEARCH("R88",G47))*88,0)+IFERROR(--ISNUMBER(SEARCH("R89",G47))*89,0)+IFERROR(--ISNUMBER(SEARCH("R90",G47))*90,0)+IFERROR(--ISNUMBER(SEARCH("R91",G47))*91,0)+IFERROR(--ISNUMBER(SEARCH("R92",G47))*92,0)+IFERROR(--ISNUMBER(SEARCH("R93",G47))*93,0)+IFERROR(--ISNUMBER(SEARCH("R94",G47))*94,0)+IFERROR(--ISNUMBER(SEARCH("R95",G47))*95,0)+IFERROR(--ISNUMBER(SEARCH("R96",G47))*96,0)+IFERROR(--ISNUMBER(SEARCH("R97",G47))*97,0)+IFERROR(--ISNUMBER(SEARCH("R98",G47))*98,0)+IFERROR(--ISNUMBER(SEARCH("R99",G47))*99,0)+IFERROR(--ISNUMBER(SEARCH("R100",G47))*100,0)+IFERROR(--ISNUMBER(SEARCH("R101",G47))*101,0)+IFERROR(--ISNUMBER(SEARCH("R102",G47))*102,0)+IFERROR(--ISNUMBER(SEARCH("R103",G47))*103,0)+IFERROR(--ISNUMBER(SEARCH("R104",G47))*104,0)+IFERROR(--ISNUMBER(SEARCH("R105",G47))*105,0)+IFERROR(--ISNUMBER(SEARCH("R106",G47))*106,0)+IFERROR(--ISNUMBER(SEARCH("R107",G47))*107,0)+IFERROR(--ISNUMBER(SEARCH("R108",G47))*108,0)+IFERROR(--ISNUMBER(SEARCH("R109",G47))*109,0)+IFERROR(--ISNUMBER(SEARCH("R110",G47))*110,0)+IFERROR(--ISNUMBER(SEARCH("R111",G47))*111,0)+IFERROR(--ISNUMBER(SEARCH("R112",G47))*112,0)+IFERROR(--ISNUMBER(SEARCH("R113",G47))*113,0)+IFERROR(--ISNUMBER(SEARCH("R114",G47))*114,0)+IFERROR(--ISNUMBER(SEARCH("R115",G47))*115,0)+IFERROR(--ISNUMBER(SEARCH("R116",G47))*116,0)+IFERROR(--ISNUMBER(SEARCH("R117",G47))*117,0)+IFERROR(--ISNUMBER(SEARCH("R118",G47))*118,0)+IFERROR(--ISNUMBER(SEARCH("R119",G47))*119,0)+IFERROR(--ISNUMBER(SEARCH("R120",G47))*120,0)+IFERROR(--ISNUMBER(SEARCH("R121",G47))*121,0)+IFERROR(--ISNUMBER(SEARCH("R122",G47))*122,0)+IFERROR(--ISNUMBER(SEARCH("R123",G47))*123,0)+IFERROR(--ISNUMBER(SEARCH("R124",G47))*124,0)+IFERROR(--ISNUMBER(SEARCH("R125",G47))*125,0)+IFERROR(--ISNUMBER(SEARCH("R126",G47))*126,0)+IFERROR(--ISNUMBER(SEARCH("R127",G47))*127,0)+IFERROR(--ISNUMBER(SEARCH("R128",G47))*128,0)+IFERROR(--ISNUMBER(SEARCH("R129",G47))*129,0)+IFERROR(--ISNUMBER(SEARCH("R130",G47))*130,0)+IFERROR(--ISNUMBER(SEARCH("R131",G47))*131,0)+IFERROR(--ISNUMBER(SEARCH("R132",G47))*132,0)+IFERROR(--ISNUMBER(SEARCH("R133",G47))*133,0)+IFERROR(--ISNUMBER(SEARCH("R134",G47))*134,0)+IFERROR(--ISNUMBER(SEARCH("R135",G47))*135,0)+IFERROR(--ISNUMBER(SEARCH("R136",G47))*136,0)+IFERROR(--ISNUMBER(SEARCH("R137",G47))*137,0)+IFERROR(--ISNUMBER(SEARCH("R138",G47))*138,0)+IFERROR(--ISNUMBER(SEARCH("R139",G47))*139,0)+IFERROR(--ISNUMBER(SEARCH("R140",G47))*140,0)+IFERROR(--ISNUMBER(SEARCH("R141",G47))*141,0))</f>
        <v/>
      </c>
      <c r="V47" s="59">
        <f>IF(A47="","",IF(K47&lt;&gt;"",K47,J47))</f>
        <v/>
      </c>
      <c r="W47" s="59">
        <f>IF(A47="","",IF(AND(V47=29,O47&lt;&gt;"",COUNTIFS($V$6:$V$505,29,$F$6:$F$505,F47,$C$6:$C$505,C47,$O$6:$O$505,"&lt;&gt;")&gt;1),IF(COUNTIFS($V$6:V47,29,$F$6:F47,F47,$C$6:C47,C47,$O$6:O47,"&lt;&gt;")=1,"Esta es la fila que se debe CONSERVAR (aparición 1 de "&amp;COUNTIFS($V$6:$V$505,29,$F$6:$F$505,F47,$C$6:$C$505,C47,$O$6:$O$505,"&lt;&gt;")&amp;" con el mismo tercero y valor, casilla 29). Si hay más filas iguales, bórreles el valor a ELLAS, no a esta.","DUPLICADO — ya existe otra fila con el mismo tercero y valor para casilla 29 (aparición "&amp;COUNTIFS($V$6:V47,29,$F$6:F47,F47,$C$6:C47,C47,$O$6:O47,"&lt;&gt;")&amp;" de "&amp;COUNTIFS($V$6:$V$505,29,$F$6:$F$505,F47,$C$6:$C$505,C47,$O$6:$O$505,"&lt;&gt;")&amp;"). Para resolverlo: seleccione la celda O"&amp;ROW()&amp;" (columna Valor a declarar de ESTA fila) y presione Supr."),""))</f>
        <v/>
      </c>
      <c r="X47" s="463">
        <f>IF(A47="","",F47)</f>
        <v/>
      </c>
      <c r="Y47" s="463">
        <f>IF(A47="","",SUMIF(Entrada_Manual!$I$88:$I$187,A47,Entrada_Manual!$F$88:$F$187))</f>
        <v/>
      </c>
      <c r="Z47" s="463">
        <f>IF(A47="","",X47-Y47)</f>
        <v/>
      </c>
      <c r="AA47">
        <f>IF(A47="","",SUMPRODUCT((Entrada_Manual!$I$88:$I$187=A47)*1))</f>
        <v/>
      </c>
      <c r="AB47">
        <f>IF(A47="","",IF(S47&lt;=1,"",IF(AA47=0,"PENDIENTE — SIN ASIGNAR",IF(Z47=0,"RESUELTO","PARCIAL — DIFERENCIA "&amp;TEXT(Z47,"#,##0")))))</f>
        <v/>
      </c>
    </row>
    <row r="48" ht="28.5" customHeight="1" s="235">
      <c r="A48" s="47">
        <f>IF(Exogena_RAW!E57&lt;&gt;"",ROW()-5,"")</f>
        <v/>
      </c>
      <c r="B48" s="48">
        <f>IF(A48="","",57)</f>
        <v/>
      </c>
      <c r="C48" s="48">
        <f>IF(A48="","",IFERROR(Exogena_RAW!A57,""))</f>
        <v/>
      </c>
      <c r="D48" s="48">
        <f>IF(A48="","",IFERROR(Exogena_RAW!B57,""))</f>
        <v/>
      </c>
      <c r="E48" s="48">
        <f>IF(A48="","",Exogena_RAW!E57)</f>
        <v/>
      </c>
      <c r="F48" s="461">
        <f>IF(A48="","",Exogena_RAW!F57)</f>
        <v/>
      </c>
      <c r="G48" s="48">
        <f>IF(A48="","",IFERROR(Exogena_RAW!G57,""))</f>
        <v/>
      </c>
      <c r="H48" s="48">
        <f>IF(A48="","",IFERROR(Exogena_RAW!H57,""))</f>
        <v/>
      </c>
      <c r="I48" s="48">
        <f>IF(A48="","",IFERROR(IF(S48&gt;1,"VARIAS CASILLAS",IF(S48=1,IF(T48=1,"PROPUESTA DE CASILLA","REVISIÓN: CASILLA NO DIRECTA"),IF(OR(ISNUMBER(SEARCH("TOPE",UPPER(E48))),ISNUMBER(SEARCH("TOPE",UPPER(G48)))),"SOLO CONTROL",IF(ISNUMBER(SEARCH("RETEN",UPPER(E48))),"RETENCIÓN","REVISAR")))),"REVISAR"))</f>
        <v/>
      </c>
      <c r="J48" s="61">
        <f>IF(A48="","",IF(ISNUMBER(SEARCH("ingreso laboral promedio de los últimos seis meses",E48)),"",IFERROR(IF(AND(S48=1,T48=1),U48,""),"")))</f>
        <v/>
      </c>
      <c r="K48" s="216" t="n"/>
      <c r="L48" s="48">
        <f>IF(A48="","",IFERROR(IF(K48&lt;&gt;"","Casilla elegida por usuario",IF(S48&gt;1,"Varias casillas — elegir en K",IF(J48&lt;&gt;"","Sugerencia directa",IF(S48=1,"No trasladar directo — revisar",IF(OR(ISNUMBER(SEARCH("TOPE",UPPER(E48))),ISNUMBER(SEARCH("TOPE",UPPER(G48)))),"Solo control","Revisar manualmente"))))),"Revisar manualmente"))</f>
        <v/>
      </c>
      <c r="M48" s="461">
        <f>IF(A48="","",IF(IF(K48&lt;&gt;"",K48,J48)="",0,IF(COUNTIFS(Reglas!$I$5:$I$118,IF(K48&lt;&gt;"",K48,J48),Reglas!$J$5:$J$118,"Sí")=1,F48,0)))</f>
        <v/>
      </c>
      <c r="N48" s="56" t="n"/>
      <c r="O48" s="462">
        <f>IF(A48="","",IF(M48=0,"",M48))</f>
        <v/>
      </c>
      <c r="P48" s="461">
        <f>IF(A48="","",IF(O48="",0,IF(ISNUMBER(O48),O48,0)))</f>
        <v/>
      </c>
      <c r="Q48" s="48">
        <f>IF(A48="","",IF(Exogena_RAW!$C$4="","BLOQUEADO: FALTA AÑO",IF(Exogena_RAW!$K$10&lt;&gt;Reglas!$B$5,"BLOQUEADO: AÑO",IF(IF(K48&lt;&gt;"",K48,J48)="",IF(S48&gt;1,"REQUIERE ASIGNACIÓN MANUAL (VARIAS CASILLAS)","INFORMATIVO (sin casilla — no se declara)"),IF(COUNTIFS(Reglas!$I$5:$I$118,IF(K48&lt;&gt;"",K48,J48),Reglas!$J$5:$J$118,"Sí")=0,"BLOQUEADO: CASILLA NO DIRECTA",IF(O48="","EXCLUIDO (valor borrado por el usuario)",IF(_xlfn.ISFORMULA(O48),IF(W48&lt;&gt;"","BORRADOR — VALOR SUGERIDO DIAN ⚠ VER ALERTA","BORRADOR — VALOR SUGERIDO DIAN"),IF(W48&lt;&gt;"","ACEPTADO ⚠ VER ALERTA","ACEPTADO"))))))))</f>
        <v/>
      </c>
      <c r="R48" s="218" t="n"/>
      <c r="S48" s="58">
        <f>IF(A48="","",IFERROR(--ISNUMBER(SEARCH("R28",G48)),0)+IFERROR(--ISNUMBER(SEARCH("R29",G48)),0)+IFERROR(--ISNUMBER(SEARCH("R30",G48)),0)+IFERROR(--ISNUMBER(SEARCH("R31",G48)),0)+IFERROR(--ISNUMBER(SEARCH("R32",G48)),0)+IFERROR(--ISNUMBER(SEARCH("R33",G48)),0)+IFERROR(--ISNUMBER(SEARCH("R34",G48)),0)+IFERROR(--ISNUMBER(SEARCH("R35",G48)),0)+IFERROR(--ISNUMBER(SEARCH("R36",G48)),0)+IFERROR(--ISNUMBER(SEARCH("R37",G48)),0)+IFERROR(--ISNUMBER(SEARCH("R38",G48)),0)+IFERROR(--ISNUMBER(SEARCH("R39",G48)),0)+IFERROR(--ISNUMBER(SEARCH("R40",G48)),0)+IFERROR(--ISNUMBER(SEARCH("R41",G48)),0)+IFERROR(--ISNUMBER(SEARCH("R42",G48)),0)+IFERROR(--ISNUMBER(SEARCH("R43",G48)),0)+IFERROR(--ISNUMBER(SEARCH("R44",G48)),0)+IFERROR(--ISNUMBER(SEARCH("R45",G48)),0)+IFERROR(--ISNUMBER(SEARCH("R46",G48)),0)+IFERROR(--ISNUMBER(SEARCH("R47",G48)),0)+IFERROR(--ISNUMBER(SEARCH("R48",G48)),0)+IFERROR(--ISNUMBER(SEARCH("R49",G48)),0)+IFERROR(--ISNUMBER(SEARCH("R50",G48)),0)+IFERROR(--ISNUMBER(SEARCH("R51",G48)),0)+IFERROR(--ISNUMBER(SEARCH("R52",G48)),0)+IFERROR(--ISNUMBER(SEARCH("R53",G48)),0)+IFERROR(--ISNUMBER(SEARCH("R54",G48)),0)+IFERROR(--ISNUMBER(SEARCH("R55",G48)),0)+IFERROR(--ISNUMBER(SEARCH("R56",G48)),0)+IFERROR(--ISNUMBER(SEARCH("R57",G48)),0)+IFERROR(--ISNUMBER(SEARCH("R58",G48)),0)+IFERROR(--ISNUMBER(SEARCH("R59",G48)),0)+IFERROR(--ISNUMBER(SEARCH("R60",G48)),0)+IFERROR(--ISNUMBER(SEARCH("R61",G48)),0)+IFERROR(--ISNUMBER(SEARCH("R62",G48)),0)+IFERROR(--ISNUMBER(SEARCH("R63",G48)),0)+IFERROR(--ISNUMBER(SEARCH("R64",G48)),0)+IFERROR(--ISNUMBER(SEARCH("R65",G48)),0)+IFERROR(--ISNUMBER(SEARCH("R66",G48)),0)+IFERROR(--ISNUMBER(SEARCH("R67",G48)),0)+IFERROR(--ISNUMBER(SEARCH("R68",G48)),0)+IFERROR(--ISNUMBER(SEARCH("R69",G48)),0)+IFERROR(--ISNUMBER(SEARCH("R70",G48)),0)+IFERROR(--ISNUMBER(SEARCH("R71",G48)),0)+IFERROR(--ISNUMBER(SEARCH("R72",G48)),0)+IFERROR(--ISNUMBER(SEARCH("R73",G48)),0)+IFERROR(--ISNUMBER(SEARCH("R74",G48)),0)+IFERROR(--ISNUMBER(SEARCH("R75",G48)),0)+IFERROR(--ISNUMBER(SEARCH("R76",G48)),0)+IFERROR(--ISNUMBER(SEARCH("R77",G48)),0)+IFERROR(--ISNUMBER(SEARCH("R78",G48)),0)+IFERROR(--ISNUMBER(SEARCH("R79",G48)),0)+IFERROR(--ISNUMBER(SEARCH("R80",G48)),0)+IFERROR(--ISNUMBER(SEARCH("R81",G48)),0)+IFERROR(--ISNUMBER(SEARCH("R82",G48)),0)+IFERROR(--ISNUMBER(SEARCH("R83",G48)),0)+IFERROR(--ISNUMBER(SEARCH("R84",G48)),0)+IFERROR(--ISNUMBER(SEARCH("R85",G48)),0)+IFERROR(--ISNUMBER(SEARCH("R86",G48)),0)+IFERROR(--ISNUMBER(SEARCH("R87",G48)),0)+IFERROR(--ISNUMBER(SEARCH("R88",G48)),0)+IFERROR(--ISNUMBER(SEARCH("R89",G48)),0)+IFERROR(--ISNUMBER(SEARCH("R90",G48)),0)+IFERROR(--ISNUMBER(SEARCH("R91",G48)),0)+IFERROR(--ISNUMBER(SEARCH("R92",G48)),0)+IFERROR(--ISNUMBER(SEARCH("R93",G48)),0)+IFERROR(--ISNUMBER(SEARCH("R94",G48)),0)+IFERROR(--ISNUMBER(SEARCH("R95",G48)),0)+IFERROR(--ISNUMBER(SEARCH("R96",G48)),0)+IFERROR(--ISNUMBER(SEARCH("R97",G48)),0)+IFERROR(--ISNUMBER(SEARCH("R98",G48)),0)+IFERROR(--ISNUMBER(SEARCH("R99",G48)),0)+IFERROR(--ISNUMBER(SEARCH("R100",G48)),0)+IFERROR(--ISNUMBER(SEARCH("R101",G48)),0)+IFERROR(--ISNUMBER(SEARCH("R102",G48)),0)+IFERROR(--ISNUMBER(SEARCH("R103",G48)),0)+IFERROR(--ISNUMBER(SEARCH("R104",G48)),0)+IFERROR(--ISNUMBER(SEARCH("R105",G48)),0)+IFERROR(--ISNUMBER(SEARCH("R106",G48)),0)+IFERROR(--ISNUMBER(SEARCH("R107",G48)),0)+IFERROR(--ISNUMBER(SEARCH("R108",G48)),0)+IFERROR(--ISNUMBER(SEARCH("R109",G48)),0)+IFERROR(--ISNUMBER(SEARCH("R110",G48)),0)+IFERROR(--ISNUMBER(SEARCH("R111",G48)),0)+IFERROR(--ISNUMBER(SEARCH("R112",G48)),0)+IFERROR(--ISNUMBER(SEARCH("R113",G48)),0)+IFERROR(--ISNUMBER(SEARCH("R114",G48)),0)+IFERROR(--ISNUMBER(SEARCH("R115",G48)),0)+IFERROR(--ISNUMBER(SEARCH("R116",G48)),0)+IFERROR(--ISNUMBER(SEARCH("R117",G48)),0)+IFERROR(--ISNUMBER(SEARCH("R118",G48)),0)+IFERROR(--ISNUMBER(SEARCH("R119",G48)),0)+IFERROR(--ISNUMBER(SEARCH("R120",G48)),0)+IFERROR(--ISNUMBER(SEARCH("R121",G48)),0)+IFERROR(--ISNUMBER(SEARCH("R122",G48)),0)+IFERROR(--ISNUMBER(SEARCH("R123",G48)),0)+IFERROR(--ISNUMBER(SEARCH("R124",G48)),0)+IFERROR(--ISNUMBER(SEARCH("R125",G48)),0)+IFERROR(--ISNUMBER(SEARCH("R126",G48)),0)+IFERROR(--ISNUMBER(SEARCH("R127",G48)),0)+IFERROR(--ISNUMBER(SEARCH("R128",G48)),0)+IFERROR(--ISNUMBER(SEARCH("R129",G48)),0)+IFERROR(--ISNUMBER(SEARCH("R130",G48)),0)+IFERROR(--ISNUMBER(SEARCH("R131",G48)),0)+IFERROR(--ISNUMBER(SEARCH("R132",G48)),0)+IFERROR(--ISNUMBER(SEARCH("R133",G48)),0)+IFERROR(--ISNUMBER(SEARCH("R134",G48)),0)+IFERROR(--ISNUMBER(SEARCH("R135",G48)),0)+IFERROR(--ISNUMBER(SEARCH("R136",G48)),0)+IFERROR(--ISNUMBER(SEARCH("R137",G48)),0)+IFERROR(--ISNUMBER(SEARCH("R138",G48)),0)+IFERROR(--ISNUMBER(SEARCH("R139",G48)),0)+IFERROR(--ISNUMBER(SEARCH("R140",G48)),0)+IFERROR(--ISNUMBER(SEARCH("R141",G48)),0))</f>
        <v/>
      </c>
      <c r="T48" s="58">
        <f>IF(A48="","",IFERROR(--ISNUMBER(SEARCH("R28",G48)),0)+IFERROR(--ISNUMBER(SEARCH("R29",G48)),0)+IFERROR(--ISNUMBER(SEARCH("R30",G48)),0)+IFERROR(--ISNUMBER(SEARCH("R32",G48)),0)+IFERROR(--ISNUMBER(SEARCH("R33",G48)),0)+IFERROR(--ISNUMBER(SEARCH("R35",G48)),0)+IFERROR(--ISNUMBER(SEARCH("R36",G48)),0)+IFERROR(--ISNUMBER(SEARCH("R38",G48)),0)+IFERROR(--ISNUMBER(SEARCH("R39",G48)),0)+IFERROR(--ISNUMBER(SEARCH("R43",G48)),0)+IFERROR(--ISNUMBER(SEARCH("R44",G48)),0)+IFERROR(--ISNUMBER(SEARCH("R45",G48)),0)+IFERROR(--ISNUMBER(SEARCH("R47",G48)),0)+IFERROR(--ISNUMBER(SEARCH("R48",G48)),0)+IFERROR(--ISNUMBER(SEARCH("R50",G48)),0)+IFERROR(--ISNUMBER(SEARCH("R51",G48)),0)+IFERROR(--ISNUMBER(SEARCH("R56",G48)),0)+IFERROR(--ISNUMBER(SEARCH("R58",G48)),0)+IFERROR(--ISNUMBER(SEARCH("R59",G48)),0)+IFERROR(--ISNUMBER(SEARCH("R60",G48)),0)+IFERROR(--ISNUMBER(SEARCH("R62",G48)),0)+IFERROR(--ISNUMBER(SEARCH("R63",G48)),0)+IFERROR(--ISNUMBER(SEARCH("R64",G48)),0)+IFERROR(--ISNUMBER(SEARCH("R66",G48)),0)+IFERROR(--ISNUMBER(SEARCH("R67",G48)),0)+IFERROR(--ISNUMBER(SEARCH("R72",G48)),0)+IFERROR(--ISNUMBER(SEARCH("R74",G48)),0)+IFERROR(--ISNUMBER(SEARCH("R75",G48)),0)+IFERROR(--ISNUMBER(SEARCH("R76",G48)),0)+IFERROR(--ISNUMBER(SEARCH("R77",G48)),0)+IFERROR(--ISNUMBER(SEARCH("R79",G48)),0)+IFERROR(--ISNUMBER(SEARCH("R80",G48)),0)+IFERROR(--ISNUMBER(SEARCH("R81",G48)),0)+IFERROR(--ISNUMBER(SEARCH("R83",G48)),0)+IFERROR(--ISNUMBER(SEARCH("R84",G48)),0)+IFERROR(--ISNUMBER(SEARCH("R89",G48)),0)+IFERROR(--ISNUMBER(SEARCH("R94",G48)),0)+IFERROR(--ISNUMBER(SEARCH("R95",G48)),0)+IFERROR(--ISNUMBER(SEARCH("R96",G48)),0)+IFERROR(--ISNUMBER(SEARCH("R98",G48)),0)+IFERROR(--ISNUMBER(SEARCH("R99",G48)),0)+IFERROR(--ISNUMBER(SEARCH("R100",G48)),0)+IFERROR(--ISNUMBER(SEARCH("R104",G48)),0)+IFERROR(--ISNUMBER(SEARCH("R105",G48)),0)+IFERROR(--ISNUMBER(SEARCH("R107",G48)),0)+IFERROR(--ISNUMBER(SEARCH("R108",G48)),0)+IFERROR(--ISNUMBER(SEARCH("R109",G48)),0)+IFERROR(--ISNUMBER(SEARCH("R110",G48)),0)+IFERROR(--ISNUMBER(SEARCH("R112",G48)),0)+IFERROR(--ISNUMBER(SEARCH("R113",G48)),0)+IFERROR(--ISNUMBER(SEARCH("R114",G48)),0)+IFERROR(--ISNUMBER(SEARCH("R118",G48)),0)+IFERROR(--ISNUMBER(SEARCH("R119",G48)),0)+IFERROR(--ISNUMBER(SEARCH("R120",G48)),0)+IFERROR(--ISNUMBER(SEARCH("R122",G48)),0)+IFERROR(--ISNUMBER(SEARCH("R123",G48)),0)+IFERROR(--ISNUMBER(SEARCH("R124",G48)),0)+IFERROR(--ISNUMBER(SEARCH("R128",G48)),0)+IFERROR(--ISNUMBER(SEARCH("R130",G48)),0)+IFERROR(--ISNUMBER(SEARCH("R131",G48)),0)+IFERROR(--ISNUMBER(SEARCH("R132",G48)),0)+IFERROR(--ISNUMBER(SEARCH("R135",G48)),0)+IFERROR(--ISNUMBER(SEARCH("R138",G48)),0)+IFERROR(--ISNUMBER(SEARCH("R141",G48)),0))</f>
        <v/>
      </c>
      <c r="U48" s="58">
        <f>IF(A48="","",IFERROR(--ISNUMBER(SEARCH("R28",G48))*28,0)+IFERROR(--ISNUMBER(SEARCH("R29",G48))*29,0)+IFERROR(--ISNUMBER(SEARCH("R30",G48))*30,0)+IFERROR(--ISNUMBER(SEARCH("R31",G48))*31,0)+IFERROR(--ISNUMBER(SEARCH("R32",G48))*32,0)+IFERROR(--ISNUMBER(SEARCH("R33",G48))*33,0)+IFERROR(--ISNUMBER(SEARCH("R34",G48))*34,0)+IFERROR(--ISNUMBER(SEARCH("R35",G48))*35,0)+IFERROR(--ISNUMBER(SEARCH("R36",G48))*36,0)+IFERROR(--ISNUMBER(SEARCH("R37",G48))*37,0)+IFERROR(--ISNUMBER(SEARCH("R38",G48))*38,0)+IFERROR(--ISNUMBER(SEARCH("R39",G48))*39,0)+IFERROR(--ISNUMBER(SEARCH("R40",G48))*40,0)+IFERROR(--ISNUMBER(SEARCH("R41",G48))*41,0)+IFERROR(--ISNUMBER(SEARCH("R42",G48))*42,0)+IFERROR(--ISNUMBER(SEARCH("R43",G48))*43,0)+IFERROR(--ISNUMBER(SEARCH("R44",G48))*44,0)+IFERROR(--ISNUMBER(SEARCH("R45",G48))*45,0)+IFERROR(--ISNUMBER(SEARCH("R46",G48))*46,0)+IFERROR(--ISNUMBER(SEARCH("R47",G48))*47,0)+IFERROR(--ISNUMBER(SEARCH("R48",G48))*48,0)+IFERROR(--ISNUMBER(SEARCH("R49",G48))*49,0)+IFERROR(--ISNUMBER(SEARCH("R50",G48))*50,0)+IFERROR(--ISNUMBER(SEARCH("R51",G48))*51,0)+IFERROR(--ISNUMBER(SEARCH("R52",G48))*52,0)+IFERROR(--ISNUMBER(SEARCH("R53",G48))*53,0)+IFERROR(--ISNUMBER(SEARCH("R54",G48))*54,0)+IFERROR(--ISNUMBER(SEARCH("R55",G48))*55,0)+IFERROR(--ISNUMBER(SEARCH("R56",G48))*56,0)+IFERROR(--ISNUMBER(SEARCH("R57",G48))*57,0)+IFERROR(--ISNUMBER(SEARCH("R58",G48))*58,0)+IFERROR(--ISNUMBER(SEARCH("R59",G48))*59,0)+IFERROR(--ISNUMBER(SEARCH("R60",G48))*60,0)+IFERROR(--ISNUMBER(SEARCH("R61",G48))*61,0)+IFERROR(--ISNUMBER(SEARCH("R62",G48))*62,0)+IFERROR(--ISNUMBER(SEARCH("R63",G48))*63,0)+IFERROR(--ISNUMBER(SEARCH("R64",G48))*64,0)+IFERROR(--ISNUMBER(SEARCH("R65",G48))*65,0)+IFERROR(--ISNUMBER(SEARCH("R66",G48))*66,0)+IFERROR(--ISNUMBER(SEARCH("R67",G48))*67,0)+IFERROR(--ISNUMBER(SEARCH("R68",G48))*68,0)+IFERROR(--ISNUMBER(SEARCH("R69",G48))*69,0)+IFERROR(--ISNUMBER(SEARCH("R70",G48))*70,0)+IFERROR(--ISNUMBER(SEARCH("R71",G48))*71,0)+IFERROR(--ISNUMBER(SEARCH("R72",G48))*72,0)+IFERROR(--ISNUMBER(SEARCH("R73",G48))*73,0)+IFERROR(--ISNUMBER(SEARCH("R74",G48))*74,0)+IFERROR(--ISNUMBER(SEARCH("R75",G48))*75,0)+IFERROR(--ISNUMBER(SEARCH("R76",G48))*76,0)+IFERROR(--ISNUMBER(SEARCH("R77",G48))*77,0)+IFERROR(--ISNUMBER(SEARCH("R78",G48))*78,0)+IFERROR(--ISNUMBER(SEARCH("R79",G48))*79,0)+IFERROR(--ISNUMBER(SEARCH("R80",G48))*80,0)+IFERROR(--ISNUMBER(SEARCH("R81",G48))*81,0)+IFERROR(--ISNUMBER(SEARCH("R82",G48))*82,0)+IFERROR(--ISNUMBER(SEARCH("R83",G48))*83,0)+IFERROR(--ISNUMBER(SEARCH("R84",G48))*84,0)+IFERROR(--ISNUMBER(SEARCH("R85",G48))*85,0)+IFERROR(--ISNUMBER(SEARCH("R86",G48))*86,0)+IFERROR(--ISNUMBER(SEARCH("R87",G48))*87,0)+IFERROR(--ISNUMBER(SEARCH("R88",G48))*88,0)+IFERROR(--ISNUMBER(SEARCH("R89",G48))*89,0)+IFERROR(--ISNUMBER(SEARCH("R90",G48))*90,0)+IFERROR(--ISNUMBER(SEARCH("R91",G48))*91,0)+IFERROR(--ISNUMBER(SEARCH("R92",G48))*92,0)+IFERROR(--ISNUMBER(SEARCH("R93",G48))*93,0)+IFERROR(--ISNUMBER(SEARCH("R94",G48))*94,0)+IFERROR(--ISNUMBER(SEARCH("R95",G48))*95,0)+IFERROR(--ISNUMBER(SEARCH("R96",G48))*96,0)+IFERROR(--ISNUMBER(SEARCH("R97",G48))*97,0)+IFERROR(--ISNUMBER(SEARCH("R98",G48))*98,0)+IFERROR(--ISNUMBER(SEARCH("R99",G48))*99,0)+IFERROR(--ISNUMBER(SEARCH("R100",G48))*100,0)+IFERROR(--ISNUMBER(SEARCH("R101",G48))*101,0)+IFERROR(--ISNUMBER(SEARCH("R102",G48))*102,0)+IFERROR(--ISNUMBER(SEARCH("R103",G48))*103,0)+IFERROR(--ISNUMBER(SEARCH("R104",G48))*104,0)+IFERROR(--ISNUMBER(SEARCH("R105",G48))*105,0)+IFERROR(--ISNUMBER(SEARCH("R106",G48))*106,0)+IFERROR(--ISNUMBER(SEARCH("R107",G48))*107,0)+IFERROR(--ISNUMBER(SEARCH("R108",G48))*108,0)+IFERROR(--ISNUMBER(SEARCH("R109",G48))*109,0)+IFERROR(--ISNUMBER(SEARCH("R110",G48))*110,0)+IFERROR(--ISNUMBER(SEARCH("R111",G48))*111,0)+IFERROR(--ISNUMBER(SEARCH("R112",G48))*112,0)+IFERROR(--ISNUMBER(SEARCH("R113",G48))*113,0)+IFERROR(--ISNUMBER(SEARCH("R114",G48))*114,0)+IFERROR(--ISNUMBER(SEARCH("R115",G48))*115,0)+IFERROR(--ISNUMBER(SEARCH("R116",G48))*116,0)+IFERROR(--ISNUMBER(SEARCH("R117",G48))*117,0)+IFERROR(--ISNUMBER(SEARCH("R118",G48))*118,0)+IFERROR(--ISNUMBER(SEARCH("R119",G48))*119,0)+IFERROR(--ISNUMBER(SEARCH("R120",G48))*120,0)+IFERROR(--ISNUMBER(SEARCH("R121",G48))*121,0)+IFERROR(--ISNUMBER(SEARCH("R122",G48))*122,0)+IFERROR(--ISNUMBER(SEARCH("R123",G48))*123,0)+IFERROR(--ISNUMBER(SEARCH("R124",G48))*124,0)+IFERROR(--ISNUMBER(SEARCH("R125",G48))*125,0)+IFERROR(--ISNUMBER(SEARCH("R126",G48))*126,0)+IFERROR(--ISNUMBER(SEARCH("R127",G48))*127,0)+IFERROR(--ISNUMBER(SEARCH("R128",G48))*128,0)+IFERROR(--ISNUMBER(SEARCH("R129",G48))*129,0)+IFERROR(--ISNUMBER(SEARCH("R130",G48))*130,0)+IFERROR(--ISNUMBER(SEARCH("R131",G48))*131,0)+IFERROR(--ISNUMBER(SEARCH("R132",G48))*132,0)+IFERROR(--ISNUMBER(SEARCH("R133",G48))*133,0)+IFERROR(--ISNUMBER(SEARCH("R134",G48))*134,0)+IFERROR(--ISNUMBER(SEARCH("R135",G48))*135,0)+IFERROR(--ISNUMBER(SEARCH("R136",G48))*136,0)+IFERROR(--ISNUMBER(SEARCH("R137",G48))*137,0)+IFERROR(--ISNUMBER(SEARCH("R138",G48))*138,0)+IFERROR(--ISNUMBER(SEARCH("R139",G48))*139,0)+IFERROR(--ISNUMBER(SEARCH("R140",G48))*140,0)+IFERROR(--ISNUMBER(SEARCH("R141",G48))*141,0))</f>
        <v/>
      </c>
      <c r="V48" s="59">
        <f>IF(A48="","",IF(K48&lt;&gt;"",K48,J48))</f>
        <v/>
      </c>
      <c r="W48" s="59">
        <f>IF(A48="","",IF(AND(V48=29,O48&lt;&gt;"",COUNTIFS($V$6:$V$505,29,$F$6:$F$505,F48,$C$6:$C$505,C48,$O$6:$O$505,"&lt;&gt;")&gt;1),IF(COUNTIFS($V$6:V48,29,$F$6:F48,F48,$C$6:C48,C48,$O$6:O48,"&lt;&gt;")=1,"Esta es la fila que se debe CONSERVAR (aparición 1 de "&amp;COUNTIFS($V$6:$V$505,29,$F$6:$F$505,F48,$C$6:$C$505,C48,$O$6:$O$505,"&lt;&gt;")&amp;" con el mismo tercero y valor, casilla 29). Si hay más filas iguales, bórreles el valor a ELLAS, no a esta.","DUPLICADO — ya existe otra fila con el mismo tercero y valor para casilla 29 (aparición "&amp;COUNTIFS($V$6:V48,29,$F$6:F48,F48,$C$6:C48,C48,$O$6:O48,"&lt;&gt;")&amp;" de "&amp;COUNTIFS($V$6:$V$505,29,$F$6:$F$505,F48,$C$6:$C$505,C48,$O$6:$O$505,"&lt;&gt;")&amp;"). Para resolverlo: seleccione la celda O"&amp;ROW()&amp;" (columna Valor a declarar de ESTA fila) y presione Supr."),""))</f>
        <v/>
      </c>
      <c r="X48" s="463">
        <f>IF(A48="","",F48)</f>
        <v/>
      </c>
      <c r="Y48" s="463">
        <f>IF(A48="","",SUMIF(Entrada_Manual!$I$88:$I$187,A48,Entrada_Manual!$F$88:$F$187))</f>
        <v/>
      </c>
      <c r="Z48" s="463">
        <f>IF(A48="","",X48-Y48)</f>
        <v/>
      </c>
      <c r="AA48">
        <f>IF(A48="","",SUMPRODUCT((Entrada_Manual!$I$88:$I$187=A48)*1))</f>
        <v/>
      </c>
      <c r="AB48">
        <f>IF(A48="","",IF(S48&lt;=1,"",IF(AA48=0,"PENDIENTE — SIN ASIGNAR",IF(Z48=0,"RESUELTO","PARCIAL — DIFERENCIA "&amp;TEXT(Z48,"#,##0")))))</f>
        <v/>
      </c>
    </row>
    <row r="49" ht="28.5" customHeight="1" s="235">
      <c r="A49" s="47">
        <f>IF(Exogena_RAW!E58&lt;&gt;"",ROW()-5,"")</f>
        <v/>
      </c>
      <c r="B49" s="48">
        <f>IF(A49="","",58)</f>
        <v/>
      </c>
      <c r="C49" s="48">
        <f>IF(A49="","",IFERROR(Exogena_RAW!A58,""))</f>
        <v/>
      </c>
      <c r="D49" s="48">
        <f>IF(A49="","",IFERROR(Exogena_RAW!B58,""))</f>
        <v/>
      </c>
      <c r="E49" s="48">
        <f>IF(A49="","",Exogena_RAW!E58)</f>
        <v/>
      </c>
      <c r="F49" s="461">
        <f>IF(A49="","",Exogena_RAW!F58)</f>
        <v/>
      </c>
      <c r="G49" s="48">
        <f>IF(A49="","",IFERROR(Exogena_RAW!G58,""))</f>
        <v/>
      </c>
      <c r="H49" s="48">
        <f>IF(A49="","",IFERROR(Exogena_RAW!H58,""))</f>
        <v/>
      </c>
      <c r="I49" s="48">
        <f>IF(A49="","",IFERROR(IF(S49&gt;1,"VARIAS CASILLAS",IF(S49=1,IF(T49=1,"PROPUESTA DE CASILLA","REVISIÓN: CASILLA NO DIRECTA"),IF(OR(ISNUMBER(SEARCH("TOPE",UPPER(E49))),ISNUMBER(SEARCH("TOPE",UPPER(G49)))),"SOLO CONTROL",IF(ISNUMBER(SEARCH("RETEN",UPPER(E49))),"RETENCIÓN","REVISAR")))),"REVISAR"))</f>
        <v/>
      </c>
      <c r="J49" s="61">
        <f>IF(A49="","",IF(ISNUMBER(SEARCH("ingreso laboral promedio de los últimos seis meses",E49)),"",IFERROR(IF(AND(S49=1,T49=1),U49,""),"")))</f>
        <v/>
      </c>
      <c r="K49" s="216" t="n"/>
      <c r="L49" s="48">
        <f>IF(A49="","",IFERROR(IF(K49&lt;&gt;"","Casilla elegida por usuario",IF(S49&gt;1,"Varias casillas — elegir en K",IF(J49&lt;&gt;"","Sugerencia directa",IF(S49=1,"No trasladar directo — revisar",IF(OR(ISNUMBER(SEARCH("TOPE",UPPER(E49))),ISNUMBER(SEARCH("TOPE",UPPER(G49)))),"Solo control","Revisar manualmente"))))),"Revisar manualmente"))</f>
        <v/>
      </c>
      <c r="M49" s="461">
        <f>IF(A49="","",IF(IF(K49&lt;&gt;"",K49,J49)="",0,IF(COUNTIFS(Reglas!$I$5:$I$118,IF(K49&lt;&gt;"",K49,J49),Reglas!$J$5:$J$118,"Sí")=1,F49,0)))</f>
        <v/>
      </c>
      <c r="N49" s="56" t="n"/>
      <c r="O49" s="462">
        <f>IF(A49="","",IF(M49=0,"",M49))</f>
        <v/>
      </c>
      <c r="P49" s="461">
        <f>IF(A49="","",IF(O49="",0,IF(ISNUMBER(O49),O49,0)))</f>
        <v/>
      </c>
      <c r="Q49" s="48">
        <f>IF(A49="","",IF(Exogena_RAW!$C$4="","BLOQUEADO: FALTA AÑO",IF(Exogena_RAW!$K$10&lt;&gt;Reglas!$B$5,"BLOQUEADO: AÑO",IF(IF(K49&lt;&gt;"",K49,J49)="",IF(S49&gt;1,"REQUIERE ASIGNACIÓN MANUAL (VARIAS CASILLAS)","INFORMATIVO (sin casilla — no se declara)"),IF(COUNTIFS(Reglas!$I$5:$I$118,IF(K49&lt;&gt;"",K49,J49),Reglas!$J$5:$J$118,"Sí")=0,"BLOQUEADO: CASILLA NO DIRECTA",IF(O49="","EXCLUIDO (valor borrado por el usuario)",IF(_xlfn.ISFORMULA(O49),IF(W49&lt;&gt;"","BORRADOR — VALOR SUGERIDO DIAN ⚠ VER ALERTA","BORRADOR — VALOR SUGERIDO DIAN"),IF(W49&lt;&gt;"","ACEPTADO ⚠ VER ALERTA","ACEPTADO"))))))))</f>
        <v/>
      </c>
      <c r="R49" s="218" t="n"/>
      <c r="S49" s="58">
        <f>IF(A49="","",IFERROR(--ISNUMBER(SEARCH("R28",G49)),0)+IFERROR(--ISNUMBER(SEARCH("R29",G49)),0)+IFERROR(--ISNUMBER(SEARCH("R30",G49)),0)+IFERROR(--ISNUMBER(SEARCH("R31",G49)),0)+IFERROR(--ISNUMBER(SEARCH("R32",G49)),0)+IFERROR(--ISNUMBER(SEARCH("R33",G49)),0)+IFERROR(--ISNUMBER(SEARCH("R34",G49)),0)+IFERROR(--ISNUMBER(SEARCH("R35",G49)),0)+IFERROR(--ISNUMBER(SEARCH("R36",G49)),0)+IFERROR(--ISNUMBER(SEARCH("R37",G49)),0)+IFERROR(--ISNUMBER(SEARCH("R38",G49)),0)+IFERROR(--ISNUMBER(SEARCH("R39",G49)),0)+IFERROR(--ISNUMBER(SEARCH("R40",G49)),0)+IFERROR(--ISNUMBER(SEARCH("R41",G49)),0)+IFERROR(--ISNUMBER(SEARCH("R42",G49)),0)+IFERROR(--ISNUMBER(SEARCH("R43",G49)),0)+IFERROR(--ISNUMBER(SEARCH("R44",G49)),0)+IFERROR(--ISNUMBER(SEARCH("R45",G49)),0)+IFERROR(--ISNUMBER(SEARCH("R46",G49)),0)+IFERROR(--ISNUMBER(SEARCH("R47",G49)),0)+IFERROR(--ISNUMBER(SEARCH("R48",G49)),0)+IFERROR(--ISNUMBER(SEARCH("R49",G49)),0)+IFERROR(--ISNUMBER(SEARCH("R50",G49)),0)+IFERROR(--ISNUMBER(SEARCH("R51",G49)),0)+IFERROR(--ISNUMBER(SEARCH("R52",G49)),0)+IFERROR(--ISNUMBER(SEARCH("R53",G49)),0)+IFERROR(--ISNUMBER(SEARCH("R54",G49)),0)+IFERROR(--ISNUMBER(SEARCH("R55",G49)),0)+IFERROR(--ISNUMBER(SEARCH("R56",G49)),0)+IFERROR(--ISNUMBER(SEARCH("R57",G49)),0)+IFERROR(--ISNUMBER(SEARCH("R58",G49)),0)+IFERROR(--ISNUMBER(SEARCH("R59",G49)),0)+IFERROR(--ISNUMBER(SEARCH("R60",G49)),0)+IFERROR(--ISNUMBER(SEARCH("R61",G49)),0)+IFERROR(--ISNUMBER(SEARCH("R62",G49)),0)+IFERROR(--ISNUMBER(SEARCH("R63",G49)),0)+IFERROR(--ISNUMBER(SEARCH("R64",G49)),0)+IFERROR(--ISNUMBER(SEARCH("R65",G49)),0)+IFERROR(--ISNUMBER(SEARCH("R66",G49)),0)+IFERROR(--ISNUMBER(SEARCH("R67",G49)),0)+IFERROR(--ISNUMBER(SEARCH("R68",G49)),0)+IFERROR(--ISNUMBER(SEARCH("R69",G49)),0)+IFERROR(--ISNUMBER(SEARCH("R70",G49)),0)+IFERROR(--ISNUMBER(SEARCH("R71",G49)),0)+IFERROR(--ISNUMBER(SEARCH("R72",G49)),0)+IFERROR(--ISNUMBER(SEARCH("R73",G49)),0)+IFERROR(--ISNUMBER(SEARCH("R74",G49)),0)+IFERROR(--ISNUMBER(SEARCH("R75",G49)),0)+IFERROR(--ISNUMBER(SEARCH("R76",G49)),0)+IFERROR(--ISNUMBER(SEARCH("R77",G49)),0)+IFERROR(--ISNUMBER(SEARCH("R78",G49)),0)+IFERROR(--ISNUMBER(SEARCH("R79",G49)),0)+IFERROR(--ISNUMBER(SEARCH("R80",G49)),0)+IFERROR(--ISNUMBER(SEARCH("R81",G49)),0)+IFERROR(--ISNUMBER(SEARCH("R82",G49)),0)+IFERROR(--ISNUMBER(SEARCH("R83",G49)),0)+IFERROR(--ISNUMBER(SEARCH("R84",G49)),0)+IFERROR(--ISNUMBER(SEARCH("R85",G49)),0)+IFERROR(--ISNUMBER(SEARCH("R86",G49)),0)+IFERROR(--ISNUMBER(SEARCH("R87",G49)),0)+IFERROR(--ISNUMBER(SEARCH("R88",G49)),0)+IFERROR(--ISNUMBER(SEARCH("R89",G49)),0)+IFERROR(--ISNUMBER(SEARCH("R90",G49)),0)+IFERROR(--ISNUMBER(SEARCH("R91",G49)),0)+IFERROR(--ISNUMBER(SEARCH("R92",G49)),0)+IFERROR(--ISNUMBER(SEARCH("R93",G49)),0)+IFERROR(--ISNUMBER(SEARCH("R94",G49)),0)+IFERROR(--ISNUMBER(SEARCH("R95",G49)),0)+IFERROR(--ISNUMBER(SEARCH("R96",G49)),0)+IFERROR(--ISNUMBER(SEARCH("R97",G49)),0)+IFERROR(--ISNUMBER(SEARCH("R98",G49)),0)+IFERROR(--ISNUMBER(SEARCH("R99",G49)),0)+IFERROR(--ISNUMBER(SEARCH("R100",G49)),0)+IFERROR(--ISNUMBER(SEARCH("R101",G49)),0)+IFERROR(--ISNUMBER(SEARCH("R102",G49)),0)+IFERROR(--ISNUMBER(SEARCH("R103",G49)),0)+IFERROR(--ISNUMBER(SEARCH("R104",G49)),0)+IFERROR(--ISNUMBER(SEARCH("R105",G49)),0)+IFERROR(--ISNUMBER(SEARCH("R106",G49)),0)+IFERROR(--ISNUMBER(SEARCH("R107",G49)),0)+IFERROR(--ISNUMBER(SEARCH("R108",G49)),0)+IFERROR(--ISNUMBER(SEARCH("R109",G49)),0)+IFERROR(--ISNUMBER(SEARCH("R110",G49)),0)+IFERROR(--ISNUMBER(SEARCH("R111",G49)),0)+IFERROR(--ISNUMBER(SEARCH("R112",G49)),0)+IFERROR(--ISNUMBER(SEARCH("R113",G49)),0)+IFERROR(--ISNUMBER(SEARCH("R114",G49)),0)+IFERROR(--ISNUMBER(SEARCH("R115",G49)),0)+IFERROR(--ISNUMBER(SEARCH("R116",G49)),0)+IFERROR(--ISNUMBER(SEARCH("R117",G49)),0)+IFERROR(--ISNUMBER(SEARCH("R118",G49)),0)+IFERROR(--ISNUMBER(SEARCH("R119",G49)),0)+IFERROR(--ISNUMBER(SEARCH("R120",G49)),0)+IFERROR(--ISNUMBER(SEARCH("R121",G49)),0)+IFERROR(--ISNUMBER(SEARCH("R122",G49)),0)+IFERROR(--ISNUMBER(SEARCH("R123",G49)),0)+IFERROR(--ISNUMBER(SEARCH("R124",G49)),0)+IFERROR(--ISNUMBER(SEARCH("R125",G49)),0)+IFERROR(--ISNUMBER(SEARCH("R126",G49)),0)+IFERROR(--ISNUMBER(SEARCH("R127",G49)),0)+IFERROR(--ISNUMBER(SEARCH("R128",G49)),0)+IFERROR(--ISNUMBER(SEARCH("R129",G49)),0)+IFERROR(--ISNUMBER(SEARCH("R130",G49)),0)+IFERROR(--ISNUMBER(SEARCH("R131",G49)),0)+IFERROR(--ISNUMBER(SEARCH("R132",G49)),0)+IFERROR(--ISNUMBER(SEARCH("R133",G49)),0)+IFERROR(--ISNUMBER(SEARCH("R134",G49)),0)+IFERROR(--ISNUMBER(SEARCH("R135",G49)),0)+IFERROR(--ISNUMBER(SEARCH("R136",G49)),0)+IFERROR(--ISNUMBER(SEARCH("R137",G49)),0)+IFERROR(--ISNUMBER(SEARCH("R138",G49)),0)+IFERROR(--ISNUMBER(SEARCH("R139",G49)),0)+IFERROR(--ISNUMBER(SEARCH("R140",G49)),0)+IFERROR(--ISNUMBER(SEARCH("R141",G49)),0))</f>
        <v/>
      </c>
      <c r="T49" s="58">
        <f>IF(A49="","",IFERROR(--ISNUMBER(SEARCH("R28",G49)),0)+IFERROR(--ISNUMBER(SEARCH("R29",G49)),0)+IFERROR(--ISNUMBER(SEARCH("R30",G49)),0)+IFERROR(--ISNUMBER(SEARCH("R32",G49)),0)+IFERROR(--ISNUMBER(SEARCH("R33",G49)),0)+IFERROR(--ISNUMBER(SEARCH("R35",G49)),0)+IFERROR(--ISNUMBER(SEARCH("R36",G49)),0)+IFERROR(--ISNUMBER(SEARCH("R38",G49)),0)+IFERROR(--ISNUMBER(SEARCH("R39",G49)),0)+IFERROR(--ISNUMBER(SEARCH("R43",G49)),0)+IFERROR(--ISNUMBER(SEARCH("R44",G49)),0)+IFERROR(--ISNUMBER(SEARCH("R45",G49)),0)+IFERROR(--ISNUMBER(SEARCH("R47",G49)),0)+IFERROR(--ISNUMBER(SEARCH("R48",G49)),0)+IFERROR(--ISNUMBER(SEARCH("R50",G49)),0)+IFERROR(--ISNUMBER(SEARCH("R51",G49)),0)+IFERROR(--ISNUMBER(SEARCH("R56",G49)),0)+IFERROR(--ISNUMBER(SEARCH("R58",G49)),0)+IFERROR(--ISNUMBER(SEARCH("R59",G49)),0)+IFERROR(--ISNUMBER(SEARCH("R60",G49)),0)+IFERROR(--ISNUMBER(SEARCH("R62",G49)),0)+IFERROR(--ISNUMBER(SEARCH("R63",G49)),0)+IFERROR(--ISNUMBER(SEARCH("R64",G49)),0)+IFERROR(--ISNUMBER(SEARCH("R66",G49)),0)+IFERROR(--ISNUMBER(SEARCH("R67",G49)),0)+IFERROR(--ISNUMBER(SEARCH("R72",G49)),0)+IFERROR(--ISNUMBER(SEARCH("R74",G49)),0)+IFERROR(--ISNUMBER(SEARCH("R75",G49)),0)+IFERROR(--ISNUMBER(SEARCH("R76",G49)),0)+IFERROR(--ISNUMBER(SEARCH("R77",G49)),0)+IFERROR(--ISNUMBER(SEARCH("R79",G49)),0)+IFERROR(--ISNUMBER(SEARCH("R80",G49)),0)+IFERROR(--ISNUMBER(SEARCH("R81",G49)),0)+IFERROR(--ISNUMBER(SEARCH("R83",G49)),0)+IFERROR(--ISNUMBER(SEARCH("R84",G49)),0)+IFERROR(--ISNUMBER(SEARCH("R89",G49)),0)+IFERROR(--ISNUMBER(SEARCH("R94",G49)),0)+IFERROR(--ISNUMBER(SEARCH("R95",G49)),0)+IFERROR(--ISNUMBER(SEARCH("R96",G49)),0)+IFERROR(--ISNUMBER(SEARCH("R98",G49)),0)+IFERROR(--ISNUMBER(SEARCH("R99",G49)),0)+IFERROR(--ISNUMBER(SEARCH("R100",G49)),0)+IFERROR(--ISNUMBER(SEARCH("R104",G49)),0)+IFERROR(--ISNUMBER(SEARCH("R105",G49)),0)+IFERROR(--ISNUMBER(SEARCH("R107",G49)),0)+IFERROR(--ISNUMBER(SEARCH("R108",G49)),0)+IFERROR(--ISNUMBER(SEARCH("R109",G49)),0)+IFERROR(--ISNUMBER(SEARCH("R110",G49)),0)+IFERROR(--ISNUMBER(SEARCH("R112",G49)),0)+IFERROR(--ISNUMBER(SEARCH("R113",G49)),0)+IFERROR(--ISNUMBER(SEARCH("R114",G49)),0)+IFERROR(--ISNUMBER(SEARCH("R118",G49)),0)+IFERROR(--ISNUMBER(SEARCH("R119",G49)),0)+IFERROR(--ISNUMBER(SEARCH("R120",G49)),0)+IFERROR(--ISNUMBER(SEARCH("R122",G49)),0)+IFERROR(--ISNUMBER(SEARCH("R123",G49)),0)+IFERROR(--ISNUMBER(SEARCH("R124",G49)),0)+IFERROR(--ISNUMBER(SEARCH("R128",G49)),0)+IFERROR(--ISNUMBER(SEARCH("R130",G49)),0)+IFERROR(--ISNUMBER(SEARCH("R131",G49)),0)+IFERROR(--ISNUMBER(SEARCH("R132",G49)),0)+IFERROR(--ISNUMBER(SEARCH("R135",G49)),0)+IFERROR(--ISNUMBER(SEARCH("R138",G49)),0)+IFERROR(--ISNUMBER(SEARCH("R141",G49)),0))</f>
        <v/>
      </c>
      <c r="U49" s="58">
        <f>IF(A49="","",IFERROR(--ISNUMBER(SEARCH("R28",G49))*28,0)+IFERROR(--ISNUMBER(SEARCH("R29",G49))*29,0)+IFERROR(--ISNUMBER(SEARCH("R30",G49))*30,0)+IFERROR(--ISNUMBER(SEARCH("R31",G49))*31,0)+IFERROR(--ISNUMBER(SEARCH("R32",G49))*32,0)+IFERROR(--ISNUMBER(SEARCH("R33",G49))*33,0)+IFERROR(--ISNUMBER(SEARCH("R34",G49))*34,0)+IFERROR(--ISNUMBER(SEARCH("R35",G49))*35,0)+IFERROR(--ISNUMBER(SEARCH("R36",G49))*36,0)+IFERROR(--ISNUMBER(SEARCH("R37",G49))*37,0)+IFERROR(--ISNUMBER(SEARCH("R38",G49))*38,0)+IFERROR(--ISNUMBER(SEARCH("R39",G49))*39,0)+IFERROR(--ISNUMBER(SEARCH("R40",G49))*40,0)+IFERROR(--ISNUMBER(SEARCH("R41",G49))*41,0)+IFERROR(--ISNUMBER(SEARCH("R42",G49))*42,0)+IFERROR(--ISNUMBER(SEARCH("R43",G49))*43,0)+IFERROR(--ISNUMBER(SEARCH("R44",G49))*44,0)+IFERROR(--ISNUMBER(SEARCH("R45",G49))*45,0)+IFERROR(--ISNUMBER(SEARCH("R46",G49))*46,0)+IFERROR(--ISNUMBER(SEARCH("R47",G49))*47,0)+IFERROR(--ISNUMBER(SEARCH("R48",G49))*48,0)+IFERROR(--ISNUMBER(SEARCH("R49",G49))*49,0)+IFERROR(--ISNUMBER(SEARCH("R50",G49))*50,0)+IFERROR(--ISNUMBER(SEARCH("R51",G49))*51,0)+IFERROR(--ISNUMBER(SEARCH("R52",G49))*52,0)+IFERROR(--ISNUMBER(SEARCH("R53",G49))*53,0)+IFERROR(--ISNUMBER(SEARCH("R54",G49))*54,0)+IFERROR(--ISNUMBER(SEARCH("R55",G49))*55,0)+IFERROR(--ISNUMBER(SEARCH("R56",G49))*56,0)+IFERROR(--ISNUMBER(SEARCH("R57",G49))*57,0)+IFERROR(--ISNUMBER(SEARCH("R58",G49))*58,0)+IFERROR(--ISNUMBER(SEARCH("R59",G49))*59,0)+IFERROR(--ISNUMBER(SEARCH("R60",G49))*60,0)+IFERROR(--ISNUMBER(SEARCH("R61",G49))*61,0)+IFERROR(--ISNUMBER(SEARCH("R62",G49))*62,0)+IFERROR(--ISNUMBER(SEARCH("R63",G49))*63,0)+IFERROR(--ISNUMBER(SEARCH("R64",G49))*64,0)+IFERROR(--ISNUMBER(SEARCH("R65",G49))*65,0)+IFERROR(--ISNUMBER(SEARCH("R66",G49))*66,0)+IFERROR(--ISNUMBER(SEARCH("R67",G49))*67,0)+IFERROR(--ISNUMBER(SEARCH("R68",G49))*68,0)+IFERROR(--ISNUMBER(SEARCH("R69",G49))*69,0)+IFERROR(--ISNUMBER(SEARCH("R70",G49))*70,0)+IFERROR(--ISNUMBER(SEARCH("R71",G49))*71,0)+IFERROR(--ISNUMBER(SEARCH("R72",G49))*72,0)+IFERROR(--ISNUMBER(SEARCH("R73",G49))*73,0)+IFERROR(--ISNUMBER(SEARCH("R74",G49))*74,0)+IFERROR(--ISNUMBER(SEARCH("R75",G49))*75,0)+IFERROR(--ISNUMBER(SEARCH("R76",G49))*76,0)+IFERROR(--ISNUMBER(SEARCH("R77",G49))*77,0)+IFERROR(--ISNUMBER(SEARCH("R78",G49))*78,0)+IFERROR(--ISNUMBER(SEARCH("R79",G49))*79,0)+IFERROR(--ISNUMBER(SEARCH("R80",G49))*80,0)+IFERROR(--ISNUMBER(SEARCH("R81",G49))*81,0)+IFERROR(--ISNUMBER(SEARCH("R82",G49))*82,0)+IFERROR(--ISNUMBER(SEARCH("R83",G49))*83,0)+IFERROR(--ISNUMBER(SEARCH("R84",G49))*84,0)+IFERROR(--ISNUMBER(SEARCH("R85",G49))*85,0)+IFERROR(--ISNUMBER(SEARCH("R86",G49))*86,0)+IFERROR(--ISNUMBER(SEARCH("R87",G49))*87,0)+IFERROR(--ISNUMBER(SEARCH("R88",G49))*88,0)+IFERROR(--ISNUMBER(SEARCH("R89",G49))*89,0)+IFERROR(--ISNUMBER(SEARCH("R90",G49))*90,0)+IFERROR(--ISNUMBER(SEARCH("R91",G49))*91,0)+IFERROR(--ISNUMBER(SEARCH("R92",G49))*92,0)+IFERROR(--ISNUMBER(SEARCH("R93",G49))*93,0)+IFERROR(--ISNUMBER(SEARCH("R94",G49))*94,0)+IFERROR(--ISNUMBER(SEARCH("R95",G49))*95,0)+IFERROR(--ISNUMBER(SEARCH("R96",G49))*96,0)+IFERROR(--ISNUMBER(SEARCH("R97",G49))*97,0)+IFERROR(--ISNUMBER(SEARCH("R98",G49))*98,0)+IFERROR(--ISNUMBER(SEARCH("R99",G49))*99,0)+IFERROR(--ISNUMBER(SEARCH("R100",G49))*100,0)+IFERROR(--ISNUMBER(SEARCH("R101",G49))*101,0)+IFERROR(--ISNUMBER(SEARCH("R102",G49))*102,0)+IFERROR(--ISNUMBER(SEARCH("R103",G49))*103,0)+IFERROR(--ISNUMBER(SEARCH("R104",G49))*104,0)+IFERROR(--ISNUMBER(SEARCH("R105",G49))*105,0)+IFERROR(--ISNUMBER(SEARCH("R106",G49))*106,0)+IFERROR(--ISNUMBER(SEARCH("R107",G49))*107,0)+IFERROR(--ISNUMBER(SEARCH("R108",G49))*108,0)+IFERROR(--ISNUMBER(SEARCH("R109",G49))*109,0)+IFERROR(--ISNUMBER(SEARCH("R110",G49))*110,0)+IFERROR(--ISNUMBER(SEARCH("R111",G49))*111,0)+IFERROR(--ISNUMBER(SEARCH("R112",G49))*112,0)+IFERROR(--ISNUMBER(SEARCH("R113",G49))*113,0)+IFERROR(--ISNUMBER(SEARCH("R114",G49))*114,0)+IFERROR(--ISNUMBER(SEARCH("R115",G49))*115,0)+IFERROR(--ISNUMBER(SEARCH("R116",G49))*116,0)+IFERROR(--ISNUMBER(SEARCH("R117",G49))*117,0)+IFERROR(--ISNUMBER(SEARCH("R118",G49))*118,0)+IFERROR(--ISNUMBER(SEARCH("R119",G49))*119,0)+IFERROR(--ISNUMBER(SEARCH("R120",G49))*120,0)+IFERROR(--ISNUMBER(SEARCH("R121",G49))*121,0)+IFERROR(--ISNUMBER(SEARCH("R122",G49))*122,0)+IFERROR(--ISNUMBER(SEARCH("R123",G49))*123,0)+IFERROR(--ISNUMBER(SEARCH("R124",G49))*124,0)+IFERROR(--ISNUMBER(SEARCH("R125",G49))*125,0)+IFERROR(--ISNUMBER(SEARCH("R126",G49))*126,0)+IFERROR(--ISNUMBER(SEARCH("R127",G49))*127,0)+IFERROR(--ISNUMBER(SEARCH("R128",G49))*128,0)+IFERROR(--ISNUMBER(SEARCH("R129",G49))*129,0)+IFERROR(--ISNUMBER(SEARCH("R130",G49))*130,0)+IFERROR(--ISNUMBER(SEARCH("R131",G49))*131,0)+IFERROR(--ISNUMBER(SEARCH("R132",G49))*132,0)+IFERROR(--ISNUMBER(SEARCH("R133",G49))*133,0)+IFERROR(--ISNUMBER(SEARCH("R134",G49))*134,0)+IFERROR(--ISNUMBER(SEARCH("R135",G49))*135,0)+IFERROR(--ISNUMBER(SEARCH("R136",G49))*136,0)+IFERROR(--ISNUMBER(SEARCH("R137",G49))*137,0)+IFERROR(--ISNUMBER(SEARCH("R138",G49))*138,0)+IFERROR(--ISNUMBER(SEARCH("R139",G49))*139,0)+IFERROR(--ISNUMBER(SEARCH("R140",G49))*140,0)+IFERROR(--ISNUMBER(SEARCH("R141",G49))*141,0))</f>
        <v/>
      </c>
      <c r="V49" s="59">
        <f>IF(A49="","",IF(K49&lt;&gt;"",K49,J49))</f>
        <v/>
      </c>
      <c r="W49" s="59">
        <f>IF(A49="","",IF(AND(V49=29,O49&lt;&gt;"",COUNTIFS($V$6:$V$505,29,$F$6:$F$505,F49,$C$6:$C$505,C49,$O$6:$O$505,"&lt;&gt;")&gt;1),IF(COUNTIFS($V$6:V49,29,$F$6:F49,F49,$C$6:C49,C49,$O$6:O49,"&lt;&gt;")=1,"Esta es la fila que se debe CONSERVAR (aparición 1 de "&amp;COUNTIFS($V$6:$V$505,29,$F$6:$F$505,F49,$C$6:$C$505,C49,$O$6:$O$505,"&lt;&gt;")&amp;" con el mismo tercero y valor, casilla 29). Si hay más filas iguales, bórreles el valor a ELLAS, no a esta.","DUPLICADO — ya existe otra fila con el mismo tercero y valor para casilla 29 (aparición "&amp;COUNTIFS($V$6:V49,29,$F$6:F49,F49,$C$6:C49,C49,$O$6:O49,"&lt;&gt;")&amp;" de "&amp;COUNTIFS($V$6:$V$505,29,$F$6:$F$505,F49,$C$6:$C$505,C49,$O$6:$O$505,"&lt;&gt;")&amp;"). Para resolverlo: seleccione la celda O"&amp;ROW()&amp;" (columna Valor a declarar de ESTA fila) y presione Supr."),""))</f>
        <v/>
      </c>
      <c r="X49" s="463">
        <f>IF(A49="","",F49)</f>
        <v/>
      </c>
      <c r="Y49" s="463">
        <f>IF(A49="","",SUMIF(Entrada_Manual!$I$88:$I$187,A49,Entrada_Manual!$F$88:$F$187))</f>
        <v/>
      </c>
      <c r="Z49" s="463">
        <f>IF(A49="","",X49-Y49)</f>
        <v/>
      </c>
      <c r="AA49">
        <f>IF(A49="","",SUMPRODUCT((Entrada_Manual!$I$88:$I$187=A49)*1))</f>
        <v/>
      </c>
      <c r="AB49">
        <f>IF(A49="","",IF(S49&lt;=1,"",IF(AA49=0,"PENDIENTE — SIN ASIGNAR",IF(Z49=0,"RESUELTO","PARCIAL — DIFERENCIA "&amp;TEXT(Z49,"#,##0")))))</f>
        <v/>
      </c>
    </row>
    <row r="50" ht="28.5" customHeight="1" s="235">
      <c r="A50" s="47">
        <f>IF(Exogena_RAW!E59&lt;&gt;"",ROW()-5,"")</f>
        <v/>
      </c>
      <c r="B50" s="48">
        <f>IF(A50="","",59)</f>
        <v/>
      </c>
      <c r="C50" s="48">
        <f>IF(A50="","",IFERROR(Exogena_RAW!A59,""))</f>
        <v/>
      </c>
      <c r="D50" s="48">
        <f>IF(A50="","",IFERROR(Exogena_RAW!B59,""))</f>
        <v/>
      </c>
      <c r="E50" s="48">
        <f>IF(A50="","",Exogena_RAW!E59)</f>
        <v/>
      </c>
      <c r="F50" s="461">
        <f>IF(A50="","",Exogena_RAW!F59)</f>
        <v/>
      </c>
      <c r="G50" s="48">
        <f>IF(A50="","",IFERROR(Exogena_RAW!G59,""))</f>
        <v/>
      </c>
      <c r="H50" s="48">
        <f>IF(A50="","",IFERROR(Exogena_RAW!H59,""))</f>
        <v/>
      </c>
      <c r="I50" s="48">
        <f>IF(A50="","",IFERROR(IF(S50&gt;1,"VARIAS CASILLAS",IF(S50=1,IF(T50=1,"PROPUESTA DE CASILLA","REVISIÓN: CASILLA NO DIRECTA"),IF(OR(ISNUMBER(SEARCH("TOPE",UPPER(E50))),ISNUMBER(SEARCH("TOPE",UPPER(G50)))),"SOLO CONTROL",IF(ISNUMBER(SEARCH("RETEN",UPPER(E50))),"RETENCIÓN","REVISAR")))),"REVISAR"))</f>
        <v/>
      </c>
      <c r="J50" s="61">
        <f>IF(A50="","",IF(ISNUMBER(SEARCH("ingreso laboral promedio de los últimos seis meses",E50)),"",IFERROR(IF(AND(S50=1,T50=1),U50,""),"")))</f>
        <v/>
      </c>
      <c r="K50" s="216" t="n"/>
      <c r="L50" s="48">
        <f>IF(A50="","",IFERROR(IF(K50&lt;&gt;"","Casilla elegida por usuario",IF(S50&gt;1,"Varias casillas — elegir en K",IF(J50&lt;&gt;"","Sugerencia directa",IF(S50=1,"No trasladar directo — revisar",IF(OR(ISNUMBER(SEARCH("TOPE",UPPER(E50))),ISNUMBER(SEARCH("TOPE",UPPER(G50)))),"Solo control","Revisar manualmente"))))),"Revisar manualmente"))</f>
        <v/>
      </c>
      <c r="M50" s="461">
        <f>IF(A50="","",IF(IF(K50&lt;&gt;"",K50,J50)="",0,IF(COUNTIFS(Reglas!$I$5:$I$118,IF(K50&lt;&gt;"",K50,J50),Reglas!$J$5:$J$118,"Sí")=1,F50,0)))</f>
        <v/>
      </c>
      <c r="N50" s="56" t="n"/>
      <c r="O50" s="462">
        <f>IF(A50="","",IF(M50=0,"",M50))</f>
        <v/>
      </c>
      <c r="P50" s="461">
        <f>IF(A50="","",IF(O50="",0,IF(ISNUMBER(O50),O50,0)))</f>
        <v/>
      </c>
      <c r="Q50" s="48">
        <f>IF(A50="","",IF(Exogena_RAW!$C$4="","BLOQUEADO: FALTA AÑO",IF(Exogena_RAW!$K$10&lt;&gt;Reglas!$B$5,"BLOQUEADO: AÑO",IF(IF(K50&lt;&gt;"",K50,J50)="",IF(S50&gt;1,"REQUIERE ASIGNACIÓN MANUAL (VARIAS CASILLAS)","INFORMATIVO (sin casilla — no se declara)"),IF(COUNTIFS(Reglas!$I$5:$I$118,IF(K50&lt;&gt;"",K50,J50),Reglas!$J$5:$J$118,"Sí")=0,"BLOQUEADO: CASILLA NO DIRECTA",IF(O50="","EXCLUIDO (valor borrado por el usuario)",IF(_xlfn.ISFORMULA(O50),IF(W50&lt;&gt;"","BORRADOR — VALOR SUGERIDO DIAN ⚠ VER ALERTA","BORRADOR — VALOR SUGERIDO DIAN"),IF(W50&lt;&gt;"","ACEPTADO ⚠ VER ALERTA","ACEPTADO"))))))))</f>
        <v/>
      </c>
      <c r="R50" s="218" t="n"/>
      <c r="S50" s="58">
        <f>IF(A50="","",IFERROR(--ISNUMBER(SEARCH("R28",G50)),0)+IFERROR(--ISNUMBER(SEARCH("R29",G50)),0)+IFERROR(--ISNUMBER(SEARCH("R30",G50)),0)+IFERROR(--ISNUMBER(SEARCH("R31",G50)),0)+IFERROR(--ISNUMBER(SEARCH("R32",G50)),0)+IFERROR(--ISNUMBER(SEARCH("R33",G50)),0)+IFERROR(--ISNUMBER(SEARCH("R34",G50)),0)+IFERROR(--ISNUMBER(SEARCH("R35",G50)),0)+IFERROR(--ISNUMBER(SEARCH("R36",G50)),0)+IFERROR(--ISNUMBER(SEARCH("R37",G50)),0)+IFERROR(--ISNUMBER(SEARCH("R38",G50)),0)+IFERROR(--ISNUMBER(SEARCH("R39",G50)),0)+IFERROR(--ISNUMBER(SEARCH("R40",G50)),0)+IFERROR(--ISNUMBER(SEARCH("R41",G50)),0)+IFERROR(--ISNUMBER(SEARCH("R42",G50)),0)+IFERROR(--ISNUMBER(SEARCH("R43",G50)),0)+IFERROR(--ISNUMBER(SEARCH("R44",G50)),0)+IFERROR(--ISNUMBER(SEARCH("R45",G50)),0)+IFERROR(--ISNUMBER(SEARCH("R46",G50)),0)+IFERROR(--ISNUMBER(SEARCH("R47",G50)),0)+IFERROR(--ISNUMBER(SEARCH("R48",G50)),0)+IFERROR(--ISNUMBER(SEARCH("R49",G50)),0)+IFERROR(--ISNUMBER(SEARCH("R50",G50)),0)+IFERROR(--ISNUMBER(SEARCH("R51",G50)),0)+IFERROR(--ISNUMBER(SEARCH("R52",G50)),0)+IFERROR(--ISNUMBER(SEARCH("R53",G50)),0)+IFERROR(--ISNUMBER(SEARCH("R54",G50)),0)+IFERROR(--ISNUMBER(SEARCH("R55",G50)),0)+IFERROR(--ISNUMBER(SEARCH("R56",G50)),0)+IFERROR(--ISNUMBER(SEARCH("R57",G50)),0)+IFERROR(--ISNUMBER(SEARCH("R58",G50)),0)+IFERROR(--ISNUMBER(SEARCH("R59",G50)),0)+IFERROR(--ISNUMBER(SEARCH("R60",G50)),0)+IFERROR(--ISNUMBER(SEARCH("R61",G50)),0)+IFERROR(--ISNUMBER(SEARCH("R62",G50)),0)+IFERROR(--ISNUMBER(SEARCH("R63",G50)),0)+IFERROR(--ISNUMBER(SEARCH("R64",G50)),0)+IFERROR(--ISNUMBER(SEARCH("R65",G50)),0)+IFERROR(--ISNUMBER(SEARCH("R66",G50)),0)+IFERROR(--ISNUMBER(SEARCH("R67",G50)),0)+IFERROR(--ISNUMBER(SEARCH("R68",G50)),0)+IFERROR(--ISNUMBER(SEARCH("R69",G50)),0)+IFERROR(--ISNUMBER(SEARCH("R70",G50)),0)+IFERROR(--ISNUMBER(SEARCH("R71",G50)),0)+IFERROR(--ISNUMBER(SEARCH("R72",G50)),0)+IFERROR(--ISNUMBER(SEARCH("R73",G50)),0)+IFERROR(--ISNUMBER(SEARCH("R74",G50)),0)+IFERROR(--ISNUMBER(SEARCH("R75",G50)),0)+IFERROR(--ISNUMBER(SEARCH("R76",G50)),0)+IFERROR(--ISNUMBER(SEARCH("R77",G50)),0)+IFERROR(--ISNUMBER(SEARCH("R78",G50)),0)+IFERROR(--ISNUMBER(SEARCH("R79",G50)),0)+IFERROR(--ISNUMBER(SEARCH("R80",G50)),0)+IFERROR(--ISNUMBER(SEARCH("R81",G50)),0)+IFERROR(--ISNUMBER(SEARCH("R82",G50)),0)+IFERROR(--ISNUMBER(SEARCH("R83",G50)),0)+IFERROR(--ISNUMBER(SEARCH("R84",G50)),0)+IFERROR(--ISNUMBER(SEARCH("R85",G50)),0)+IFERROR(--ISNUMBER(SEARCH("R86",G50)),0)+IFERROR(--ISNUMBER(SEARCH("R87",G50)),0)+IFERROR(--ISNUMBER(SEARCH("R88",G50)),0)+IFERROR(--ISNUMBER(SEARCH("R89",G50)),0)+IFERROR(--ISNUMBER(SEARCH("R90",G50)),0)+IFERROR(--ISNUMBER(SEARCH("R91",G50)),0)+IFERROR(--ISNUMBER(SEARCH("R92",G50)),0)+IFERROR(--ISNUMBER(SEARCH("R93",G50)),0)+IFERROR(--ISNUMBER(SEARCH("R94",G50)),0)+IFERROR(--ISNUMBER(SEARCH("R95",G50)),0)+IFERROR(--ISNUMBER(SEARCH("R96",G50)),0)+IFERROR(--ISNUMBER(SEARCH("R97",G50)),0)+IFERROR(--ISNUMBER(SEARCH("R98",G50)),0)+IFERROR(--ISNUMBER(SEARCH("R99",G50)),0)+IFERROR(--ISNUMBER(SEARCH("R100",G50)),0)+IFERROR(--ISNUMBER(SEARCH("R101",G50)),0)+IFERROR(--ISNUMBER(SEARCH("R102",G50)),0)+IFERROR(--ISNUMBER(SEARCH("R103",G50)),0)+IFERROR(--ISNUMBER(SEARCH("R104",G50)),0)+IFERROR(--ISNUMBER(SEARCH("R105",G50)),0)+IFERROR(--ISNUMBER(SEARCH("R106",G50)),0)+IFERROR(--ISNUMBER(SEARCH("R107",G50)),0)+IFERROR(--ISNUMBER(SEARCH("R108",G50)),0)+IFERROR(--ISNUMBER(SEARCH("R109",G50)),0)+IFERROR(--ISNUMBER(SEARCH("R110",G50)),0)+IFERROR(--ISNUMBER(SEARCH("R111",G50)),0)+IFERROR(--ISNUMBER(SEARCH("R112",G50)),0)+IFERROR(--ISNUMBER(SEARCH("R113",G50)),0)+IFERROR(--ISNUMBER(SEARCH("R114",G50)),0)+IFERROR(--ISNUMBER(SEARCH("R115",G50)),0)+IFERROR(--ISNUMBER(SEARCH("R116",G50)),0)+IFERROR(--ISNUMBER(SEARCH("R117",G50)),0)+IFERROR(--ISNUMBER(SEARCH("R118",G50)),0)+IFERROR(--ISNUMBER(SEARCH("R119",G50)),0)+IFERROR(--ISNUMBER(SEARCH("R120",G50)),0)+IFERROR(--ISNUMBER(SEARCH("R121",G50)),0)+IFERROR(--ISNUMBER(SEARCH("R122",G50)),0)+IFERROR(--ISNUMBER(SEARCH("R123",G50)),0)+IFERROR(--ISNUMBER(SEARCH("R124",G50)),0)+IFERROR(--ISNUMBER(SEARCH("R125",G50)),0)+IFERROR(--ISNUMBER(SEARCH("R126",G50)),0)+IFERROR(--ISNUMBER(SEARCH("R127",G50)),0)+IFERROR(--ISNUMBER(SEARCH("R128",G50)),0)+IFERROR(--ISNUMBER(SEARCH("R129",G50)),0)+IFERROR(--ISNUMBER(SEARCH("R130",G50)),0)+IFERROR(--ISNUMBER(SEARCH("R131",G50)),0)+IFERROR(--ISNUMBER(SEARCH("R132",G50)),0)+IFERROR(--ISNUMBER(SEARCH("R133",G50)),0)+IFERROR(--ISNUMBER(SEARCH("R134",G50)),0)+IFERROR(--ISNUMBER(SEARCH("R135",G50)),0)+IFERROR(--ISNUMBER(SEARCH("R136",G50)),0)+IFERROR(--ISNUMBER(SEARCH("R137",G50)),0)+IFERROR(--ISNUMBER(SEARCH("R138",G50)),0)+IFERROR(--ISNUMBER(SEARCH("R139",G50)),0)+IFERROR(--ISNUMBER(SEARCH("R140",G50)),0)+IFERROR(--ISNUMBER(SEARCH("R141",G50)),0))</f>
        <v/>
      </c>
      <c r="T50" s="58">
        <f>IF(A50="","",IFERROR(--ISNUMBER(SEARCH("R28",G50)),0)+IFERROR(--ISNUMBER(SEARCH("R29",G50)),0)+IFERROR(--ISNUMBER(SEARCH("R30",G50)),0)+IFERROR(--ISNUMBER(SEARCH("R32",G50)),0)+IFERROR(--ISNUMBER(SEARCH("R33",G50)),0)+IFERROR(--ISNUMBER(SEARCH("R35",G50)),0)+IFERROR(--ISNUMBER(SEARCH("R36",G50)),0)+IFERROR(--ISNUMBER(SEARCH("R38",G50)),0)+IFERROR(--ISNUMBER(SEARCH("R39",G50)),0)+IFERROR(--ISNUMBER(SEARCH("R43",G50)),0)+IFERROR(--ISNUMBER(SEARCH("R44",G50)),0)+IFERROR(--ISNUMBER(SEARCH("R45",G50)),0)+IFERROR(--ISNUMBER(SEARCH("R47",G50)),0)+IFERROR(--ISNUMBER(SEARCH("R48",G50)),0)+IFERROR(--ISNUMBER(SEARCH("R50",G50)),0)+IFERROR(--ISNUMBER(SEARCH("R51",G50)),0)+IFERROR(--ISNUMBER(SEARCH("R56",G50)),0)+IFERROR(--ISNUMBER(SEARCH("R58",G50)),0)+IFERROR(--ISNUMBER(SEARCH("R59",G50)),0)+IFERROR(--ISNUMBER(SEARCH("R60",G50)),0)+IFERROR(--ISNUMBER(SEARCH("R62",G50)),0)+IFERROR(--ISNUMBER(SEARCH("R63",G50)),0)+IFERROR(--ISNUMBER(SEARCH("R64",G50)),0)+IFERROR(--ISNUMBER(SEARCH("R66",G50)),0)+IFERROR(--ISNUMBER(SEARCH("R67",G50)),0)+IFERROR(--ISNUMBER(SEARCH("R72",G50)),0)+IFERROR(--ISNUMBER(SEARCH("R74",G50)),0)+IFERROR(--ISNUMBER(SEARCH("R75",G50)),0)+IFERROR(--ISNUMBER(SEARCH("R76",G50)),0)+IFERROR(--ISNUMBER(SEARCH("R77",G50)),0)+IFERROR(--ISNUMBER(SEARCH("R79",G50)),0)+IFERROR(--ISNUMBER(SEARCH("R80",G50)),0)+IFERROR(--ISNUMBER(SEARCH("R81",G50)),0)+IFERROR(--ISNUMBER(SEARCH("R83",G50)),0)+IFERROR(--ISNUMBER(SEARCH("R84",G50)),0)+IFERROR(--ISNUMBER(SEARCH("R89",G50)),0)+IFERROR(--ISNUMBER(SEARCH("R94",G50)),0)+IFERROR(--ISNUMBER(SEARCH("R95",G50)),0)+IFERROR(--ISNUMBER(SEARCH("R96",G50)),0)+IFERROR(--ISNUMBER(SEARCH("R98",G50)),0)+IFERROR(--ISNUMBER(SEARCH("R99",G50)),0)+IFERROR(--ISNUMBER(SEARCH("R100",G50)),0)+IFERROR(--ISNUMBER(SEARCH("R104",G50)),0)+IFERROR(--ISNUMBER(SEARCH("R105",G50)),0)+IFERROR(--ISNUMBER(SEARCH("R107",G50)),0)+IFERROR(--ISNUMBER(SEARCH("R108",G50)),0)+IFERROR(--ISNUMBER(SEARCH("R109",G50)),0)+IFERROR(--ISNUMBER(SEARCH("R110",G50)),0)+IFERROR(--ISNUMBER(SEARCH("R112",G50)),0)+IFERROR(--ISNUMBER(SEARCH("R113",G50)),0)+IFERROR(--ISNUMBER(SEARCH("R114",G50)),0)+IFERROR(--ISNUMBER(SEARCH("R118",G50)),0)+IFERROR(--ISNUMBER(SEARCH("R119",G50)),0)+IFERROR(--ISNUMBER(SEARCH("R120",G50)),0)+IFERROR(--ISNUMBER(SEARCH("R122",G50)),0)+IFERROR(--ISNUMBER(SEARCH("R123",G50)),0)+IFERROR(--ISNUMBER(SEARCH("R124",G50)),0)+IFERROR(--ISNUMBER(SEARCH("R128",G50)),0)+IFERROR(--ISNUMBER(SEARCH("R130",G50)),0)+IFERROR(--ISNUMBER(SEARCH("R131",G50)),0)+IFERROR(--ISNUMBER(SEARCH("R132",G50)),0)+IFERROR(--ISNUMBER(SEARCH("R135",G50)),0)+IFERROR(--ISNUMBER(SEARCH("R138",G50)),0)+IFERROR(--ISNUMBER(SEARCH("R141",G50)),0))</f>
        <v/>
      </c>
      <c r="U50" s="58">
        <f>IF(A50="","",IFERROR(--ISNUMBER(SEARCH("R28",G50))*28,0)+IFERROR(--ISNUMBER(SEARCH("R29",G50))*29,0)+IFERROR(--ISNUMBER(SEARCH("R30",G50))*30,0)+IFERROR(--ISNUMBER(SEARCH("R31",G50))*31,0)+IFERROR(--ISNUMBER(SEARCH("R32",G50))*32,0)+IFERROR(--ISNUMBER(SEARCH("R33",G50))*33,0)+IFERROR(--ISNUMBER(SEARCH("R34",G50))*34,0)+IFERROR(--ISNUMBER(SEARCH("R35",G50))*35,0)+IFERROR(--ISNUMBER(SEARCH("R36",G50))*36,0)+IFERROR(--ISNUMBER(SEARCH("R37",G50))*37,0)+IFERROR(--ISNUMBER(SEARCH("R38",G50))*38,0)+IFERROR(--ISNUMBER(SEARCH("R39",G50))*39,0)+IFERROR(--ISNUMBER(SEARCH("R40",G50))*40,0)+IFERROR(--ISNUMBER(SEARCH("R41",G50))*41,0)+IFERROR(--ISNUMBER(SEARCH("R42",G50))*42,0)+IFERROR(--ISNUMBER(SEARCH("R43",G50))*43,0)+IFERROR(--ISNUMBER(SEARCH("R44",G50))*44,0)+IFERROR(--ISNUMBER(SEARCH("R45",G50))*45,0)+IFERROR(--ISNUMBER(SEARCH("R46",G50))*46,0)+IFERROR(--ISNUMBER(SEARCH("R47",G50))*47,0)+IFERROR(--ISNUMBER(SEARCH("R48",G50))*48,0)+IFERROR(--ISNUMBER(SEARCH("R49",G50))*49,0)+IFERROR(--ISNUMBER(SEARCH("R50",G50))*50,0)+IFERROR(--ISNUMBER(SEARCH("R51",G50))*51,0)+IFERROR(--ISNUMBER(SEARCH("R52",G50))*52,0)+IFERROR(--ISNUMBER(SEARCH("R53",G50))*53,0)+IFERROR(--ISNUMBER(SEARCH("R54",G50))*54,0)+IFERROR(--ISNUMBER(SEARCH("R55",G50))*55,0)+IFERROR(--ISNUMBER(SEARCH("R56",G50))*56,0)+IFERROR(--ISNUMBER(SEARCH("R57",G50))*57,0)+IFERROR(--ISNUMBER(SEARCH("R58",G50))*58,0)+IFERROR(--ISNUMBER(SEARCH("R59",G50))*59,0)+IFERROR(--ISNUMBER(SEARCH("R60",G50))*60,0)+IFERROR(--ISNUMBER(SEARCH("R61",G50))*61,0)+IFERROR(--ISNUMBER(SEARCH("R62",G50))*62,0)+IFERROR(--ISNUMBER(SEARCH("R63",G50))*63,0)+IFERROR(--ISNUMBER(SEARCH("R64",G50))*64,0)+IFERROR(--ISNUMBER(SEARCH("R65",G50))*65,0)+IFERROR(--ISNUMBER(SEARCH("R66",G50))*66,0)+IFERROR(--ISNUMBER(SEARCH("R67",G50))*67,0)+IFERROR(--ISNUMBER(SEARCH("R68",G50))*68,0)+IFERROR(--ISNUMBER(SEARCH("R69",G50))*69,0)+IFERROR(--ISNUMBER(SEARCH("R70",G50))*70,0)+IFERROR(--ISNUMBER(SEARCH("R71",G50))*71,0)+IFERROR(--ISNUMBER(SEARCH("R72",G50))*72,0)+IFERROR(--ISNUMBER(SEARCH("R73",G50))*73,0)+IFERROR(--ISNUMBER(SEARCH("R74",G50))*74,0)+IFERROR(--ISNUMBER(SEARCH("R75",G50))*75,0)+IFERROR(--ISNUMBER(SEARCH("R76",G50))*76,0)+IFERROR(--ISNUMBER(SEARCH("R77",G50))*77,0)+IFERROR(--ISNUMBER(SEARCH("R78",G50))*78,0)+IFERROR(--ISNUMBER(SEARCH("R79",G50))*79,0)+IFERROR(--ISNUMBER(SEARCH("R80",G50))*80,0)+IFERROR(--ISNUMBER(SEARCH("R81",G50))*81,0)+IFERROR(--ISNUMBER(SEARCH("R82",G50))*82,0)+IFERROR(--ISNUMBER(SEARCH("R83",G50))*83,0)+IFERROR(--ISNUMBER(SEARCH("R84",G50))*84,0)+IFERROR(--ISNUMBER(SEARCH("R85",G50))*85,0)+IFERROR(--ISNUMBER(SEARCH("R86",G50))*86,0)+IFERROR(--ISNUMBER(SEARCH("R87",G50))*87,0)+IFERROR(--ISNUMBER(SEARCH("R88",G50))*88,0)+IFERROR(--ISNUMBER(SEARCH("R89",G50))*89,0)+IFERROR(--ISNUMBER(SEARCH("R90",G50))*90,0)+IFERROR(--ISNUMBER(SEARCH("R91",G50))*91,0)+IFERROR(--ISNUMBER(SEARCH("R92",G50))*92,0)+IFERROR(--ISNUMBER(SEARCH("R93",G50))*93,0)+IFERROR(--ISNUMBER(SEARCH("R94",G50))*94,0)+IFERROR(--ISNUMBER(SEARCH("R95",G50))*95,0)+IFERROR(--ISNUMBER(SEARCH("R96",G50))*96,0)+IFERROR(--ISNUMBER(SEARCH("R97",G50))*97,0)+IFERROR(--ISNUMBER(SEARCH("R98",G50))*98,0)+IFERROR(--ISNUMBER(SEARCH("R99",G50))*99,0)+IFERROR(--ISNUMBER(SEARCH("R100",G50))*100,0)+IFERROR(--ISNUMBER(SEARCH("R101",G50))*101,0)+IFERROR(--ISNUMBER(SEARCH("R102",G50))*102,0)+IFERROR(--ISNUMBER(SEARCH("R103",G50))*103,0)+IFERROR(--ISNUMBER(SEARCH("R104",G50))*104,0)+IFERROR(--ISNUMBER(SEARCH("R105",G50))*105,0)+IFERROR(--ISNUMBER(SEARCH("R106",G50))*106,0)+IFERROR(--ISNUMBER(SEARCH("R107",G50))*107,0)+IFERROR(--ISNUMBER(SEARCH("R108",G50))*108,0)+IFERROR(--ISNUMBER(SEARCH("R109",G50))*109,0)+IFERROR(--ISNUMBER(SEARCH("R110",G50))*110,0)+IFERROR(--ISNUMBER(SEARCH("R111",G50))*111,0)+IFERROR(--ISNUMBER(SEARCH("R112",G50))*112,0)+IFERROR(--ISNUMBER(SEARCH("R113",G50))*113,0)+IFERROR(--ISNUMBER(SEARCH("R114",G50))*114,0)+IFERROR(--ISNUMBER(SEARCH("R115",G50))*115,0)+IFERROR(--ISNUMBER(SEARCH("R116",G50))*116,0)+IFERROR(--ISNUMBER(SEARCH("R117",G50))*117,0)+IFERROR(--ISNUMBER(SEARCH("R118",G50))*118,0)+IFERROR(--ISNUMBER(SEARCH("R119",G50))*119,0)+IFERROR(--ISNUMBER(SEARCH("R120",G50))*120,0)+IFERROR(--ISNUMBER(SEARCH("R121",G50))*121,0)+IFERROR(--ISNUMBER(SEARCH("R122",G50))*122,0)+IFERROR(--ISNUMBER(SEARCH("R123",G50))*123,0)+IFERROR(--ISNUMBER(SEARCH("R124",G50))*124,0)+IFERROR(--ISNUMBER(SEARCH("R125",G50))*125,0)+IFERROR(--ISNUMBER(SEARCH("R126",G50))*126,0)+IFERROR(--ISNUMBER(SEARCH("R127",G50))*127,0)+IFERROR(--ISNUMBER(SEARCH("R128",G50))*128,0)+IFERROR(--ISNUMBER(SEARCH("R129",G50))*129,0)+IFERROR(--ISNUMBER(SEARCH("R130",G50))*130,0)+IFERROR(--ISNUMBER(SEARCH("R131",G50))*131,0)+IFERROR(--ISNUMBER(SEARCH("R132",G50))*132,0)+IFERROR(--ISNUMBER(SEARCH("R133",G50))*133,0)+IFERROR(--ISNUMBER(SEARCH("R134",G50))*134,0)+IFERROR(--ISNUMBER(SEARCH("R135",G50))*135,0)+IFERROR(--ISNUMBER(SEARCH("R136",G50))*136,0)+IFERROR(--ISNUMBER(SEARCH("R137",G50))*137,0)+IFERROR(--ISNUMBER(SEARCH("R138",G50))*138,0)+IFERROR(--ISNUMBER(SEARCH("R139",G50))*139,0)+IFERROR(--ISNUMBER(SEARCH("R140",G50))*140,0)+IFERROR(--ISNUMBER(SEARCH("R141",G50))*141,0))</f>
        <v/>
      </c>
      <c r="V50" s="59">
        <f>IF(A50="","",IF(K50&lt;&gt;"",K50,J50))</f>
        <v/>
      </c>
      <c r="W50" s="59">
        <f>IF(A50="","",IF(AND(V50=29,O50&lt;&gt;"",COUNTIFS($V$6:$V$505,29,$F$6:$F$505,F50,$C$6:$C$505,C50,$O$6:$O$505,"&lt;&gt;")&gt;1),IF(COUNTIFS($V$6:V50,29,$F$6:F50,F50,$C$6:C50,C50,$O$6:O50,"&lt;&gt;")=1,"Esta es la fila que se debe CONSERVAR (aparición 1 de "&amp;COUNTIFS($V$6:$V$505,29,$F$6:$F$505,F50,$C$6:$C$505,C50,$O$6:$O$505,"&lt;&gt;")&amp;" con el mismo tercero y valor, casilla 29). Si hay más filas iguales, bórreles el valor a ELLAS, no a esta.","DUPLICADO — ya existe otra fila con el mismo tercero y valor para casilla 29 (aparición "&amp;COUNTIFS($V$6:V50,29,$F$6:F50,F50,$C$6:C50,C50,$O$6:O50,"&lt;&gt;")&amp;" de "&amp;COUNTIFS($V$6:$V$505,29,$F$6:$F$505,F50,$C$6:$C$505,C50,$O$6:$O$505,"&lt;&gt;")&amp;"). Para resolverlo: seleccione la celda O"&amp;ROW()&amp;" (columna Valor a declarar de ESTA fila) y presione Supr."),""))</f>
        <v/>
      </c>
      <c r="X50" s="463">
        <f>IF(A50="","",F50)</f>
        <v/>
      </c>
      <c r="Y50" s="463">
        <f>IF(A50="","",SUMIF(Entrada_Manual!$I$88:$I$187,A50,Entrada_Manual!$F$88:$F$187))</f>
        <v/>
      </c>
      <c r="Z50" s="463">
        <f>IF(A50="","",X50-Y50)</f>
        <v/>
      </c>
      <c r="AA50">
        <f>IF(A50="","",SUMPRODUCT((Entrada_Manual!$I$88:$I$187=A50)*1))</f>
        <v/>
      </c>
      <c r="AB50">
        <f>IF(A50="","",IF(S50&lt;=1,"",IF(AA50=0,"PENDIENTE — SIN ASIGNAR",IF(Z50=0,"RESUELTO","PARCIAL — DIFERENCIA "&amp;TEXT(Z50,"#,##0")))))</f>
        <v/>
      </c>
    </row>
    <row r="51" ht="28.5" customHeight="1" s="235">
      <c r="A51" s="47">
        <f>IF(Exogena_RAW!E60&lt;&gt;"",ROW()-5,"")</f>
        <v/>
      </c>
      <c r="B51" s="48">
        <f>IF(A51="","",60)</f>
        <v/>
      </c>
      <c r="C51" s="48">
        <f>IF(A51="","",IFERROR(Exogena_RAW!A60,""))</f>
        <v/>
      </c>
      <c r="D51" s="48">
        <f>IF(A51="","",IFERROR(Exogena_RAW!B60,""))</f>
        <v/>
      </c>
      <c r="E51" s="48">
        <f>IF(A51="","",Exogena_RAW!E60)</f>
        <v/>
      </c>
      <c r="F51" s="461">
        <f>IF(A51="","",Exogena_RAW!F60)</f>
        <v/>
      </c>
      <c r="G51" s="48">
        <f>IF(A51="","",IFERROR(Exogena_RAW!G60,""))</f>
        <v/>
      </c>
      <c r="H51" s="48">
        <f>IF(A51="","",IFERROR(Exogena_RAW!H60,""))</f>
        <v/>
      </c>
      <c r="I51" s="48">
        <f>IF(A51="","",IFERROR(IF(S51&gt;1,"VARIAS CASILLAS",IF(S51=1,IF(T51=1,"PROPUESTA DE CASILLA","REVISIÓN: CASILLA NO DIRECTA"),IF(OR(ISNUMBER(SEARCH("TOPE",UPPER(E51))),ISNUMBER(SEARCH("TOPE",UPPER(G51)))),"SOLO CONTROL",IF(ISNUMBER(SEARCH("RETEN",UPPER(E51))),"RETENCIÓN","REVISAR")))),"REVISAR"))</f>
        <v/>
      </c>
      <c r="J51" s="48">
        <f>IF(A51="","",IF(ISNUMBER(SEARCH("ingreso laboral promedio de los últimos seis meses",E51)),"",IFERROR(IF(AND(S51=1,T51=1),U51,""),"")))</f>
        <v/>
      </c>
      <c r="K51" s="216" t="n"/>
      <c r="L51" s="48">
        <f>IF(A51="","",IFERROR(IF(K51&lt;&gt;"","Casilla elegida por usuario",IF(S51&gt;1,"Varias casillas — elegir en K",IF(J51&lt;&gt;"","Sugerencia directa",IF(S51=1,"No trasladar directo — revisar",IF(OR(ISNUMBER(SEARCH("TOPE",UPPER(E51))),ISNUMBER(SEARCH("TOPE",UPPER(G51)))),"Solo control","Revisar manualmente"))))),"Revisar manualmente"))</f>
        <v/>
      </c>
      <c r="M51" s="461">
        <f>IF(A51="","",IF(IF(K51&lt;&gt;"",K51,J51)="",0,IF(COUNTIFS(Reglas!$I$5:$I$118,IF(K51&lt;&gt;"",K51,J51),Reglas!$J$5:$J$118,"Sí")=1,F51,0)))</f>
        <v/>
      </c>
      <c r="N51" s="56" t="n"/>
      <c r="O51" s="462">
        <f>IF(A51="","",IF(M51=0,"",M51))</f>
        <v/>
      </c>
      <c r="P51" s="461">
        <f>IF(A51="","",IF(O51="",0,IF(ISNUMBER(O51),O51,0)))</f>
        <v/>
      </c>
      <c r="Q51" s="48">
        <f>IF(A51="","",IF(Exogena_RAW!$C$4="","BLOQUEADO: FALTA AÑO",IF(Exogena_RAW!$K$10&lt;&gt;Reglas!$B$5,"BLOQUEADO: AÑO",IF(IF(K51&lt;&gt;"",K51,J51)="",IF(S51&gt;1,"REQUIERE ASIGNACIÓN MANUAL (VARIAS CASILLAS)","INFORMATIVO (sin casilla — no se declara)"),IF(COUNTIFS(Reglas!$I$5:$I$118,IF(K51&lt;&gt;"",K51,J51),Reglas!$J$5:$J$118,"Sí")=0,"BLOQUEADO: CASILLA NO DIRECTA",IF(O51="","EXCLUIDO (valor borrado por el usuario)",IF(_xlfn.ISFORMULA(O51),IF(W51&lt;&gt;"","BORRADOR — VALOR SUGERIDO DIAN ⚠ VER ALERTA","BORRADOR — VALOR SUGERIDO DIAN"),IF(W51&lt;&gt;"","ACEPTADO ⚠ VER ALERTA","ACEPTADO"))))))))</f>
        <v/>
      </c>
      <c r="R51" s="218" t="n"/>
      <c r="S51" s="58">
        <f>IF(A51="","",IFERROR(--ISNUMBER(SEARCH("R28",G51)),0)+IFERROR(--ISNUMBER(SEARCH("R29",G51)),0)+IFERROR(--ISNUMBER(SEARCH("R30",G51)),0)+IFERROR(--ISNUMBER(SEARCH("R31",G51)),0)+IFERROR(--ISNUMBER(SEARCH("R32",G51)),0)+IFERROR(--ISNUMBER(SEARCH("R33",G51)),0)+IFERROR(--ISNUMBER(SEARCH("R34",G51)),0)+IFERROR(--ISNUMBER(SEARCH("R35",G51)),0)+IFERROR(--ISNUMBER(SEARCH("R36",G51)),0)+IFERROR(--ISNUMBER(SEARCH("R37",G51)),0)+IFERROR(--ISNUMBER(SEARCH("R38",G51)),0)+IFERROR(--ISNUMBER(SEARCH("R39",G51)),0)+IFERROR(--ISNUMBER(SEARCH("R40",G51)),0)+IFERROR(--ISNUMBER(SEARCH("R41",G51)),0)+IFERROR(--ISNUMBER(SEARCH("R42",G51)),0)+IFERROR(--ISNUMBER(SEARCH("R43",G51)),0)+IFERROR(--ISNUMBER(SEARCH("R44",G51)),0)+IFERROR(--ISNUMBER(SEARCH("R45",G51)),0)+IFERROR(--ISNUMBER(SEARCH("R46",G51)),0)+IFERROR(--ISNUMBER(SEARCH("R47",G51)),0)+IFERROR(--ISNUMBER(SEARCH("R48",G51)),0)+IFERROR(--ISNUMBER(SEARCH("R49",G51)),0)+IFERROR(--ISNUMBER(SEARCH("R50",G51)),0)+IFERROR(--ISNUMBER(SEARCH("R51",G51)),0)+IFERROR(--ISNUMBER(SEARCH("R52",G51)),0)+IFERROR(--ISNUMBER(SEARCH("R53",G51)),0)+IFERROR(--ISNUMBER(SEARCH("R54",G51)),0)+IFERROR(--ISNUMBER(SEARCH("R55",G51)),0)+IFERROR(--ISNUMBER(SEARCH("R56",G51)),0)+IFERROR(--ISNUMBER(SEARCH("R57",G51)),0)+IFERROR(--ISNUMBER(SEARCH("R58",G51)),0)+IFERROR(--ISNUMBER(SEARCH("R59",G51)),0)+IFERROR(--ISNUMBER(SEARCH("R60",G51)),0)+IFERROR(--ISNUMBER(SEARCH("R61",G51)),0)+IFERROR(--ISNUMBER(SEARCH("R62",G51)),0)+IFERROR(--ISNUMBER(SEARCH("R63",G51)),0)+IFERROR(--ISNUMBER(SEARCH("R64",G51)),0)+IFERROR(--ISNUMBER(SEARCH("R65",G51)),0)+IFERROR(--ISNUMBER(SEARCH("R66",G51)),0)+IFERROR(--ISNUMBER(SEARCH("R67",G51)),0)+IFERROR(--ISNUMBER(SEARCH("R68",G51)),0)+IFERROR(--ISNUMBER(SEARCH("R69",G51)),0)+IFERROR(--ISNUMBER(SEARCH("R70",G51)),0)+IFERROR(--ISNUMBER(SEARCH("R71",G51)),0)+IFERROR(--ISNUMBER(SEARCH("R72",G51)),0)+IFERROR(--ISNUMBER(SEARCH("R73",G51)),0)+IFERROR(--ISNUMBER(SEARCH("R74",G51)),0)+IFERROR(--ISNUMBER(SEARCH("R75",G51)),0)+IFERROR(--ISNUMBER(SEARCH("R76",G51)),0)+IFERROR(--ISNUMBER(SEARCH("R77",G51)),0)+IFERROR(--ISNUMBER(SEARCH("R78",G51)),0)+IFERROR(--ISNUMBER(SEARCH("R79",G51)),0)+IFERROR(--ISNUMBER(SEARCH("R80",G51)),0)+IFERROR(--ISNUMBER(SEARCH("R81",G51)),0)+IFERROR(--ISNUMBER(SEARCH("R82",G51)),0)+IFERROR(--ISNUMBER(SEARCH("R83",G51)),0)+IFERROR(--ISNUMBER(SEARCH("R84",G51)),0)+IFERROR(--ISNUMBER(SEARCH("R85",G51)),0)+IFERROR(--ISNUMBER(SEARCH("R86",G51)),0)+IFERROR(--ISNUMBER(SEARCH("R87",G51)),0)+IFERROR(--ISNUMBER(SEARCH("R88",G51)),0)+IFERROR(--ISNUMBER(SEARCH("R89",G51)),0)+IFERROR(--ISNUMBER(SEARCH("R90",G51)),0)+IFERROR(--ISNUMBER(SEARCH("R91",G51)),0)+IFERROR(--ISNUMBER(SEARCH("R92",G51)),0)+IFERROR(--ISNUMBER(SEARCH("R93",G51)),0)+IFERROR(--ISNUMBER(SEARCH("R94",G51)),0)+IFERROR(--ISNUMBER(SEARCH("R95",G51)),0)+IFERROR(--ISNUMBER(SEARCH("R96",G51)),0)+IFERROR(--ISNUMBER(SEARCH("R97",G51)),0)+IFERROR(--ISNUMBER(SEARCH("R98",G51)),0)+IFERROR(--ISNUMBER(SEARCH("R99",G51)),0)+IFERROR(--ISNUMBER(SEARCH("R100",G51)),0)+IFERROR(--ISNUMBER(SEARCH("R101",G51)),0)+IFERROR(--ISNUMBER(SEARCH("R102",G51)),0)+IFERROR(--ISNUMBER(SEARCH("R103",G51)),0)+IFERROR(--ISNUMBER(SEARCH("R104",G51)),0)+IFERROR(--ISNUMBER(SEARCH("R105",G51)),0)+IFERROR(--ISNUMBER(SEARCH("R106",G51)),0)+IFERROR(--ISNUMBER(SEARCH("R107",G51)),0)+IFERROR(--ISNUMBER(SEARCH("R108",G51)),0)+IFERROR(--ISNUMBER(SEARCH("R109",G51)),0)+IFERROR(--ISNUMBER(SEARCH("R110",G51)),0)+IFERROR(--ISNUMBER(SEARCH("R111",G51)),0)+IFERROR(--ISNUMBER(SEARCH("R112",G51)),0)+IFERROR(--ISNUMBER(SEARCH("R113",G51)),0)+IFERROR(--ISNUMBER(SEARCH("R114",G51)),0)+IFERROR(--ISNUMBER(SEARCH("R115",G51)),0)+IFERROR(--ISNUMBER(SEARCH("R116",G51)),0)+IFERROR(--ISNUMBER(SEARCH("R117",G51)),0)+IFERROR(--ISNUMBER(SEARCH("R118",G51)),0)+IFERROR(--ISNUMBER(SEARCH("R119",G51)),0)+IFERROR(--ISNUMBER(SEARCH("R120",G51)),0)+IFERROR(--ISNUMBER(SEARCH("R121",G51)),0)+IFERROR(--ISNUMBER(SEARCH("R122",G51)),0)+IFERROR(--ISNUMBER(SEARCH("R123",G51)),0)+IFERROR(--ISNUMBER(SEARCH("R124",G51)),0)+IFERROR(--ISNUMBER(SEARCH("R125",G51)),0)+IFERROR(--ISNUMBER(SEARCH("R126",G51)),0)+IFERROR(--ISNUMBER(SEARCH("R127",G51)),0)+IFERROR(--ISNUMBER(SEARCH("R128",G51)),0)+IFERROR(--ISNUMBER(SEARCH("R129",G51)),0)+IFERROR(--ISNUMBER(SEARCH("R130",G51)),0)+IFERROR(--ISNUMBER(SEARCH("R131",G51)),0)+IFERROR(--ISNUMBER(SEARCH("R132",G51)),0)+IFERROR(--ISNUMBER(SEARCH("R133",G51)),0)+IFERROR(--ISNUMBER(SEARCH("R134",G51)),0)+IFERROR(--ISNUMBER(SEARCH("R135",G51)),0)+IFERROR(--ISNUMBER(SEARCH("R136",G51)),0)+IFERROR(--ISNUMBER(SEARCH("R137",G51)),0)+IFERROR(--ISNUMBER(SEARCH("R138",G51)),0)+IFERROR(--ISNUMBER(SEARCH("R139",G51)),0)+IFERROR(--ISNUMBER(SEARCH("R140",G51)),0)+IFERROR(--ISNUMBER(SEARCH("R141",G51)),0))</f>
        <v/>
      </c>
      <c r="T51" s="58">
        <f>IF(A51="","",IFERROR(--ISNUMBER(SEARCH("R28",G51)),0)+IFERROR(--ISNUMBER(SEARCH("R29",G51)),0)+IFERROR(--ISNUMBER(SEARCH("R30",G51)),0)+IFERROR(--ISNUMBER(SEARCH("R32",G51)),0)+IFERROR(--ISNUMBER(SEARCH("R33",G51)),0)+IFERROR(--ISNUMBER(SEARCH("R35",G51)),0)+IFERROR(--ISNUMBER(SEARCH("R36",G51)),0)+IFERROR(--ISNUMBER(SEARCH("R38",G51)),0)+IFERROR(--ISNUMBER(SEARCH("R39",G51)),0)+IFERROR(--ISNUMBER(SEARCH("R43",G51)),0)+IFERROR(--ISNUMBER(SEARCH("R44",G51)),0)+IFERROR(--ISNUMBER(SEARCH("R45",G51)),0)+IFERROR(--ISNUMBER(SEARCH("R47",G51)),0)+IFERROR(--ISNUMBER(SEARCH("R48",G51)),0)+IFERROR(--ISNUMBER(SEARCH("R50",G51)),0)+IFERROR(--ISNUMBER(SEARCH("R51",G51)),0)+IFERROR(--ISNUMBER(SEARCH("R56",G51)),0)+IFERROR(--ISNUMBER(SEARCH("R58",G51)),0)+IFERROR(--ISNUMBER(SEARCH("R59",G51)),0)+IFERROR(--ISNUMBER(SEARCH("R60",G51)),0)+IFERROR(--ISNUMBER(SEARCH("R62",G51)),0)+IFERROR(--ISNUMBER(SEARCH("R63",G51)),0)+IFERROR(--ISNUMBER(SEARCH("R64",G51)),0)+IFERROR(--ISNUMBER(SEARCH("R66",G51)),0)+IFERROR(--ISNUMBER(SEARCH("R67",G51)),0)+IFERROR(--ISNUMBER(SEARCH("R72",G51)),0)+IFERROR(--ISNUMBER(SEARCH("R74",G51)),0)+IFERROR(--ISNUMBER(SEARCH("R75",G51)),0)+IFERROR(--ISNUMBER(SEARCH("R76",G51)),0)+IFERROR(--ISNUMBER(SEARCH("R77",G51)),0)+IFERROR(--ISNUMBER(SEARCH("R79",G51)),0)+IFERROR(--ISNUMBER(SEARCH("R80",G51)),0)+IFERROR(--ISNUMBER(SEARCH("R81",G51)),0)+IFERROR(--ISNUMBER(SEARCH("R83",G51)),0)+IFERROR(--ISNUMBER(SEARCH("R84",G51)),0)+IFERROR(--ISNUMBER(SEARCH("R89",G51)),0)+IFERROR(--ISNUMBER(SEARCH("R94",G51)),0)+IFERROR(--ISNUMBER(SEARCH("R95",G51)),0)+IFERROR(--ISNUMBER(SEARCH("R96",G51)),0)+IFERROR(--ISNUMBER(SEARCH("R98",G51)),0)+IFERROR(--ISNUMBER(SEARCH("R99",G51)),0)+IFERROR(--ISNUMBER(SEARCH("R100",G51)),0)+IFERROR(--ISNUMBER(SEARCH("R104",G51)),0)+IFERROR(--ISNUMBER(SEARCH("R105",G51)),0)+IFERROR(--ISNUMBER(SEARCH("R107",G51)),0)+IFERROR(--ISNUMBER(SEARCH("R108",G51)),0)+IFERROR(--ISNUMBER(SEARCH("R109",G51)),0)+IFERROR(--ISNUMBER(SEARCH("R110",G51)),0)+IFERROR(--ISNUMBER(SEARCH("R112",G51)),0)+IFERROR(--ISNUMBER(SEARCH("R113",G51)),0)+IFERROR(--ISNUMBER(SEARCH("R114",G51)),0)+IFERROR(--ISNUMBER(SEARCH("R118",G51)),0)+IFERROR(--ISNUMBER(SEARCH("R119",G51)),0)+IFERROR(--ISNUMBER(SEARCH("R120",G51)),0)+IFERROR(--ISNUMBER(SEARCH("R122",G51)),0)+IFERROR(--ISNUMBER(SEARCH("R123",G51)),0)+IFERROR(--ISNUMBER(SEARCH("R124",G51)),0)+IFERROR(--ISNUMBER(SEARCH("R128",G51)),0)+IFERROR(--ISNUMBER(SEARCH("R130",G51)),0)+IFERROR(--ISNUMBER(SEARCH("R131",G51)),0)+IFERROR(--ISNUMBER(SEARCH("R132",G51)),0)+IFERROR(--ISNUMBER(SEARCH("R135",G51)),0)+IFERROR(--ISNUMBER(SEARCH("R138",G51)),0)+IFERROR(--ISNUMBER(SEARCH("R141",G51)),0))</f>
        <v/>
      </c>
      <c r="U51" s="58">
        <f>IF(A51="","",IFERROR(--ISNUMBER(SEARCH("R28",G51))*28,0)+IFERROR(--ISNUMBER(SEARCH("R29",G51))*29,0)+IFERROR(--ISNUMBER(SEARCH("R30",G51))*30,0)+IFERROR(--ISNUMBER(SEARCH("R31",G51))*31,0)+IFERROR(--ISNUMBER(SEARCH("R32",G51))*32,0)+IFERROR(--ISNUMBER(SEARCH("R33",G51))*33,0)+IFERROR(--ISNUMBER(SEARCH("R34",G51))*34,0)+IFERROR(--ISNUMBER(SEARCH("R35",G51))*35,0)+IFERROR(--ISNUMBER(SEARCH("R36",G51))*36,0)+IFERROR(--ISNUMBER(SEARCH("R37",G51))*37,0)+IFERROR(--ISNUMBER(SEARCH("R38",G51))*38,0)+IFERROR(--ISNUMBER(SEARCH("R39",G51))*39,0)+IFERROR(--ISNUMBER(SEARCH("R40",G51))*40,0)+IFERROR(--ISNUMBER(SEARCH("R41",G51))*41,0)+IFERROR(--ISNUMBER(SEARCH("R42",G51))*42,0)+IFERROR(--ISNUMBER(SEARCH("R43",G51))*43,0)+IFERROR(--ISNUMBER(SEARCH("R44",G51))*44,0)+IFERROR(--ISNUMBER(SEARCH("R45",G51))*45,0)+IFERROR(--ISNUMBER(SEARCH("R46",G51))*46,0)+IFERROR(--ISNUMBER(SEARCH("R47",G51))*47,0)+IFERROR(--ISNUMBER(SEARCH("R48",G51))*48,0)+IFERROR(--ISNUMBER(SEARCH("R49",G51))*49,0)+IFERROR(--ISNUMBER(SEARCH("R50",G51))*50,0)+IFERROR(--ISNUMBER(SEARCH("R51",G51))*51,0)+IFERROR(--ISNUMBER(SEARCH("R52",G51))*52,0)+IFERROR(--ISNUMBER(SEARCH("R53",G51))*53,0)+IFERROR(--ISNUMBER(SEARCH("R54",G51))*54,0)+IFERROR(--ISNUMBER(SEARCH("R55",G51))*55,0)+IFERROR(--ISNUMBER(SEARCH("R56",G51))*56,0)+IFERROR(--ISNUMBER(SEARCH("R57",G51))*57,0)+IFERROR(--ISNUMBER(SEARCH("R58",G51))*58,0)+IFERROR(--ISNUMBER(SEARCH("R59",G51))*59,0)+IFERROR(--ISNUMBER(SEARCH("R60",G51))*60,0)+IFERROR(--ISNUMBER(SEARCH("R61",G51))*61,0)+IFERROR(--ISNUMBER(SEARCH("R62",G51))*62,0)+IFERROR(--ISNUMBER(SEARCH("R63",G51))*63,0)+IFERROR(--ISNUMBER(SEARCH("R64",G51))*64,0)+IFERROR(--ISNUMBER(SEARCH("R65",G51))*65,0)+IFERROR(--ISNUMBER(SEARCH("R66",G51))*66,0)+IFERROR(--ISNUMBER(SEARCH("R67",G51))*67,0)+IFERROR(--ISNUMBER(SEARCH("R68",G51))*68,0)+IFERROR(--ISNUMBER(SEARCH("R69",G51))*69,0)+IFERROR(--ISNUMBER(SEARCH("R70",G51))*70,0)+IFERROR(--ISNUMBER(SEARCH("R71",G51))*71,0)+IFERROR(--ISNUMBER(SEARCH("R72",G51))*72,0)+IFERROR(--ISNUMBER(SEARCH("R73",G51))*73,0)+IFERROR(--ISNUMBER(SEARCH("R74",G51))*74,0)+IFERROR(--ISNUMBER(SEARCH("R75",G51))*75,0)+IFERROR(--ISNUMBER(SEARCH("R76",G51))*76,0)+IFERROR(--ISNUMBER(SEARCH("R77",G51))*77,0)+IFERROR(--ISNUMBER(SEARCH("R78",G51))*78,0)+IFERROR(--ISNUMBER(SEARCH("R79",G51))*79,0)+IFERROR(--ISNUMBER(SEARCH("R80",G51))*80,0)+IFERROR(--ISNUMBER(SEARCH("R81",G51))*81,0)+IFERROR(--ISNUMBER(SEARCH("R82",G51))*82,0)+IFERROR(--ISNUMBER(SEARCH("R83",G51))*83,0)+IFERROR(--ISNUMBER(SEARCH("R84",G51))*84,0)+IFERROR(--ISNUMBER(SEARCH("R85",G51))*85,0)+IFERROR(--ISNUMBER(SEARCH("R86",G51))*86,0)+IFERROR(--ISNUMBER(SEARCH("R87",G51))*87,0)+IFERROR(--ISNUMBER(SEARCH("R88",G51))*88,0)+IFERROR(--ISNUMBER(SEARCH("R89",G51))*89,0)+IFERROR(--ISNUMBER(SEARCH("R90",G51))*90,0)+IFERROR(--ISNUMBER(SEARCH("R91",G51))*91,0)+IFERROR(--ISNUMBER(SEARCH("R92",G51))*92,0)+IFERROR(--ISNUMBER(SEARCH("R93",G51))*93,0)+IFERROR(--ISNUMBER(SEARCH("R94",G51))*94,0)+IFERROR(--ISNUMBER(SEARCH("R95",G51))*95,0)+IFERROR(--ISNUMBER(SEARCH("R96",G51))*96,0)+IFERROR(--ISNUMBER(SEARCH("R97",G51))*97,0)+IFERROR(--ISNUMBER(SEARCH("R98",G51))*98,0)+IFERROR(--ISNUMBER(SEARCH("R99",G51))*99,0)+IFERROR(--ISNUMBER(SEARCH("R100",G51))*100,0)+IFERROR(--ISNUMBER(SEARCH("R101",G51))*101,0)+IFERROR(--ISNUMBER(SEARCH("R102",G51))*102,0)+IFERROR(--ISNUMBER(SEARCH("R103",G51))*103,0)+IFERROR(--ISNUMBER(SEARCH("R104",G51))*104,0)+IFERROR(--ISNUMBER(SEARCH("R105",G51))*105,0)+IFERROR(--ISNUMBER(SEARCH("R106",G51))*106,0)+IFERROR(--ISNUMBER(SEARCH("R107",G51))*107,0)+IFERROR(--ISNUMBER(SEARCH("R108",G51))*108,0)+IFERROR(--ISNUMBER(SEARCH("R109",G51))*109,0)+IFERROR(--ISNUMBER(SEARCH("R110",G51))*110,0)+IFERROR(--ISNUMBER(SEARCH("R111",G51))*111,0)+IFERROR(--ISNUMBER(SEARCH("R112",G51))*112,0)+IFERROR(--ISNUMBER(SEARCH("R113",G51))*113,0)+IFERROR(--ISNUMBER(SEARCH("R114",G51))*114,0)+IFERROR(--ISNUMBER(SEARCH("R115",G51))*115,0)+IFERROR(--ISNUMBER(SEARCH("R116",G51))*116,0)+IFERROR(--ISNUMBER(SEARCH("R117",G51))*117,0)+IFERROR(--ISNUMBER(SEARCH("R118",G51))*118,0)+IFERROR(--ISNUMBER(SEARCH("R119",G51))*119,0)+IFERROR(--ISNUMBER(SEARCH("R120",G51))*120,0)+IFERROR(--ISNUMBER(SEARCH("R121",G51))*121,0)+IFERROR(--ISNUMBER(SEARCH("R122",G51))*122,0)+IFERROR(--ISNUMBER(SEARCH("R123",G51))*123,0)+IFERROR(--ISNUMBER(SEARCH("R124",G51))*124,0)+IFERROR(--ISNUMBER(SEARCH("R125",G51))*125,0)+IFERROR(--ISNUMBER(SEARCH("R126",G51))*126,0)+IFERROR(--ISNUMBER(SEARCH("R127",G51))*127,0)+IFERROR(--ISNUMBER(SEARCH("R128",G51))*128,0)+IFERROR(--ISNUMBER(SEARCH("R129",G51))*129,0)+IFERROR(--ISNUMBER(SEARCH("R130",G51))*130,0)+IFERROR(--ISNUMBER(SEARCH("R131",G51))*131,0)+IFERROR(--ISNUMBER(SEARCH("R132",G51))*132,0)+IFERROR(--ISNUMBER(SEARCH("R133",G51))*133,0)+IFERROR(--ISNUMBER(SEARCH("R134",G51))*134,0)+IFERROR(--ISNUMBER(SEARCH("R135",G51))*135,0)+IFERROR(--ISNUMBER(SEARCH("R136",G51))*136,0)+IFERROR(--ISNUMBER(SEARCH("R137",G51))*137,0)+IFERROR(--ISNUMBER(SEARCH("R138",G51))*138,0)+IFERROR(--ISNUMBER(SEARCH("R139",G51))*139,0)+IFERROR(--ISNUMBER(SEARCH("R140",G51))*140,0)+IFERROR(--ISNUMBER(SEARCH("R141",G51))*141,0))</f>
        <v/>
      </c>
      <c r="V51" s="59">
        <f>IF(A51="","",IF(K51&lt;&gt;"",K51,J51))</f>
        <v/>
      </c>
      <c r="W51" s="59">
        <f>IF(A51="","",IF(AND(V51=29,O51&lt;&gt;"",COUNTIFS($V$6:$V$505,29,$F$6:$F$505,F51,$C$6:$C$505,C51,$O$6:$O$505,"&lt;&gt;")&gt;1),IF(COUNTIFS($V$6:V51,29,$F$6:F51,F51,$C$6:C51,C51,$O$6:O51,"&lt;&gt;")=1,"Esta es la fila que se debe CONSERVAR (aparición 1 de "&amp;COUNTIFS($V$6:$V$505,29,$F$6:$F$505,F51,$C$6:$C$505,C51,$O$6:$O$505,"&lt;&gt;")&amp;" con el mismo tercero y valor, casilla 29). Si hay más filas iguales, bórreles el valor a ELLAS, no a esta.","DUPLICADO — ya existe otra fila con el mismo tercero y valor para casilla 29 (aparición "&amp;COUNTIFS($V$6:V51,29,$F$6:F51,F51,$C$6:C51,C51,$O$6:O51,"&lt;&gt;")&amp;" de "&amp;COUNTIFS($V$6:$V$505,29,$F$6:$F$505,F51,$C$6:$C$505,C51,$O$6:$O$505,"&lt;&gt;")&amp;"). Para resolverlo: seleccione la celda O"&amp;ROW()&amp;" (columna Valor a declarar de ESTA fila) y presione Supr."),""))</f>
        <v/>
      </c>
      <c r="X51" s="463">
        <f>IF(A51="","",F51)</f>
        <v/>
      </c>
      <c r="Y51" s="463">
        <f>IF(A51="","",SUMIF(Entrada_Manual!$I$88:$I$187,A51,Entrada_Manual!$F$88:$F$187))</f>
        <v/>
      </c>
      <c r="Z51" s="463">
        <f>IF(A51="","",X51-Y51)</f>
        <v/>
      </c>
      <c r="AA51">
        <f>IF(A51="","",SUMPRODUCT((Entrada_Manual!$I$88:$I$187=A51)*1))</f>
        <v/>
      </c>
      <c r="AB51">
        <f>IF(A51="","",IF(S51&lt;=1,"",IF(AA51=0,"PENDIENTE — SIN ASIGNAR",IF(Z51=0,"RESUELTO","PARCIAL — DIFERENCIA "&amp;TEXT(Z51,"#,##0")))))</f>
        <v/>
      </c>
    </row>
    <row r="52" ht="42.75" customHeight="1" s="235">
      <c r="A52" s="47">
        <f>IF(Exogena_RAW!E61&lt;&gt;"",ROW()-5,"")</f>
        <v/>
      </c>
      <c r="B52" s="48">
        <f>IF(A52="","",61)</f>
        <v/>
      </c>
      <c r="C52" s="48">
        <f>IF(A52="","",IFERROR(Exogena_RAW!A61,""))</f>
        <v/>
      </c>
      <c r="D52" s="48">
        <f>IF(A52="","",IFERROR(Exogena_RAW!B61,""))</f>
        <v/>
      </c>
      <c r="E52" s="48">
        <f>IF(A52="","",Exogena_RAW!E61)</f>
        <v/>
      </c>
      <c r="F52" s="461">
        <f>IF(A52="","",Exogena_RAW!F61)</f>
        <v/>
      </c>
      <c r="G52" s="48">
        <f>IF(A52="","",IFERROR(Exogena_RAW!G61,""))</f>
        <v/>
      </c>
      <c r="H52" s="48">
        <f>IF(A52="","",IFERROR(Exogena_RAW!H61,""))</f>
        <v/>
      </c>
      <c r="I52" s="48">
        <f>IF(A52="","",IFERROR(IF(S52&gt;1,"VARIAS CASILLAS",IF(S52=1,IF(T52=1,"PROPUESTA DE CASILLA","REVISIÓN: CASILLA NO DIRECTA"),IF(OR(ISNUMBER(SEARCH("TOPE",UPPER(E52))),ISNUMBER(SEARCH("TOPE",UPPER(G52)))),"SOLO CONTROL",IF(ISNUMBER(SEARCH("RETEN",UPPER(E52))),"RETENCIÓN","REVISAR")))),"REVISAR"))</f>
        <v/>
      </c>
      <c r="J52" s="48">
        <f>IF(A52="","",IF(ISNUMBER(SEARCH("ingreso laboral promedio de los últimos seis meses",E52)),"",IFERROR(IF(AND(S52=1,T52=1),U52,""),"")))</f>
        <v/>
      </c>
      <c r="K52" s="216" t="n"/>
      <c r="L52" s="48">
        <f>IF(A52="","",IFERROR(IF(K52&lt;&gt;"","Casilla elegida por usuario",IF(S52&gt;1,"Varias casillas — elegir en K",IF(J52&lt;&gt;"","Sugerencia directa",IF(S52=1,"No trasladar directo — revisar",IF(OR(ISNUMBER(SEARCH("TOPE",UPPER(E52))),ISNUMBER(SEARCH("TOPE",UPPER(G52)))),"Solo control","Revisar manualmente"))))),"Revisar manualmente"))</f>
        <v/>
      </c>
      <c r="M52" s="461">
        <f>IF(A52="","",IF(IF(K52&lt;&gt;"",K52,J52)="",0,IF(COUNTIFS(Reglas!$I$5:$I$118,IF(K52&lt;&gt;"",K52,J52),Reglas!$J$5:$J$118,"Sí")=1,F52,0)))</f>
        <v/>
      </c>
      <c r="N52" s="56" t="n"/>
      <c r="O52" s="462">
        <f>IF(A52="","",IF(M52=0,"",M52))</f>
        <v/>
      </c>
      <c r="P52" s="461">
        <f>IF(A52="","",IF(O52="",0,IF(ISNUMBER(O52),O52,0)))</f>
        <v/>
      </c>
      <c r="Q52" s="48">
        <f>IF(A52="","",IF(Exogena_RAW!$C$4="","BLOQUEADO: FALTA AÑO",IF(Exogena_RAW!$K$10&lt;&gt;Reglas!$B$5,"BLOQUEADO: AÑO",IF(IF(K52&lt;&gt;"",K52,J52)="",IF(S52&gt;1,"REQUIERE ASIGNACIÓN MANUAL (VARIAS CASILLAS)","INFORMATIVO (sin casilla — no se declara)"),IF(COUNTIFS(Reglas!$I$5:$I$118,IF(K52&lt;&gt;"",K52,J52),Reglas!$J$5:$J$118,"Sí")=0,"BLOQUEADO: CASILLA NO DIRECTA",IF(O52="","EXCLUIDO (valor borrado por el usuario)",IF(_xlfn.ISFORMULA(O52),IF(W52&lt;&gt;"","BORRADOR — VALOR SUGERIDO DIAN ⚠ VER ALERTA","BORRADOR — VALOR SUGERIDO DIAN"),IF(W52&lt;&gt;"","ACEPTADO ⚠ VER ALERTA","ACEPTADO"))))))))</f>
        <v/>
      </c>
      <c r="R52" s="218" t="n"/>
      <c r="S52" s="58">
        <f>IF(A52="","",IFERROR(--ISNUMBER(SEARCH("R28",G52)),0)+IFERROR(--ISNUMBER(SEARCH("R29",G52)),0)+IFERROR(--ISNUMBER(SEARCH("R30",G52)),0)+IFERROR(--ISNUMBER(SEARCH("R31",G52)),0)+IFERROR(--ISNUMBER(SEARCH("R32",G52)),0)+IFERROR(--ISNUMBER(SEARCH("R33",G52)),0)+IFERROR(--ISNUMBER(SEARCH("R34",G52)),0)+IFERROR(--ISNUMBER(SEARCH("R35",G52)),0)+IFERROR(--ISNUMBER(SEARCH("R36",G52)),0)+IFERROR(--ISNUMBER(SEARCH("R37",G52)),0)+IFERROR(--ISNUMBER(SEARCH("R38",G52)),0)+IFERROR(--ISNUMBER(SEARCH("R39",G52)),0)+IFERROR(--ISNUMBER(SEARCH("R40",G52)),0)+IFERROR(--ISNUMBER(SEARCH("R41",G52)),0)+IFERROR(--ISNUMBER(SEARCH("R42",G52)),0)+IFERROR(--ISNUMBER(SEARCH("R43",G52)),0)+IFERROR(--ISNUMBER(SEARCH("R44",G52)),0)+IFERROR(--ISNUMBER(SEARCH("R45",G52)),0)+IFERROR(--ISNUMBER(SEARCH("R46",G52)),0)+IFERROR(--ISNUMBER(SEARCH("R47",G52)),0)+IFERROR(--ISNUMBER(SEARCH("R48",G52)),0)+IFERROR(--ISNUMBER(SEARCH("R49",G52)),0)+IFERROR(--ISNUMBER(SEARCH("R50",G52)),0)+IFERROR(--ISNUMBER(SEARCH("R51",G52)),0)+IFERROR(--ISNUMBER(SEARCH("R52",G52)),0)+IFERROR(--ISNUMBER(SEARCH("R53",G52)),0)+IFERROR(--ISNUMBER(SEARCH("R54",G52)),0)+IFERROR(--ISNUMBER(SEARCH("R55",G52)),0)+IFERROR(--ISNUMBER(SEARCH("R56",G52)),0)+IFERROR(--ISNUMBER(SEARCH("R57",G52)),0)+IFERROR(--ISNUMBER(SEARCH("R58",G52)),0)+IFERROR(--ISNUMBER(SEARCH("R59",G52)),0)+IFERROR(--ISNUMBER(SEARCH("R60",G52)),0)+IFERROR(--ISNUMBER(SEARCH("R61",G52)),0)+IFERROR(--ISNUMBER(SEARCH("R62",G52)),0)+IFERROR(--ISNUMBER(SEARCH("R63",G52)),0)+IFERROR(--ISNUMBER(SEARCH("R64",G52)),0)+IFERROR(--ISNUMBER(SEARCH("R65",G52)),0)+IFERROR(--ISNUMBER(SEARCH("R66",G52)),0)+IFERROR(--ISNUMBER(SEARCH("R67",G52)),0)+IFERROR(--ISNUMBER(SEARCH("R68",G52)),0)+IFERROR(--ISNUMBER(SEARCH("R69",G52)),0)+IFERROR(--ISNUMBER(SEARCH("R70",G52)),0)+IFERROR(--ISNUMBER(SEARCH("R71",G52)),0)+IFERROR(--ISNUMBER(SEARCH("R72",G52)),0)+IFERROR(--ISNUMBER(SEARCH("R73",G52)),0)+IFERROR(--ISNUMBER(SEARCH("R74",G52)),0)+IFERROR(--ISNUMBER(SEARCH("R75",G52)),0)+IFERROR(--ISNUMBER(SEARCH("R76",G52)),0)+IFERROR(--ISNUMBER(SEARCH("R77",G52)),0)+IFERROR(--ISNUMBER(SEARCH("R78",G52)),0)+IFERROR(--ISNUMBER(SEARCH("R79",G52)),0)+IFERROR(--ISNUMBER(SEARCH("R80",G52)),0)+IFERROR(--ISNUMBER(SEARCH("R81",G52)),0)+IFERROR(--ISNUMBER(SEARCH("R82",G52)),0)+IFERROR(--ISNUMBER(SEARCH("R83",G52)),0)+IFERROR(--ISNUMBER(SEARCH("R84",G52)),0)+IFERROR(--ISNUMBER(SEARCH("R85",G52)),0)+IFERROR(--ISNUMBER(SEARCH("R86",G52)),0)+IFERROR(--ISNUMBER(SEARCH("R87",G52)),0)+IFERROR(--ISNUMBER(SEARCH("R88",G52)),0)+IFERROR(--ISNUMBER(SEARCH("R89",G52)),0)+IFERROR(--ISNUMBER(SEARCH("R90",G52)),0)+IFERROR(--ISNUMBER(SEARCH("R91",G52)),0)+IFERROR(--ISNUMBER(SEARCH("R92",G52)),0)+IFERROR(--ISNUMBER(SEARCH("R93",G52)),0)+IFERROR(--ISNUMBER(SEARCH("R94",G52)),0)+IFERROR(--ISNUMBER(SEARCH("R95",G52)),0)+IFERROR(--ISNUMBER(SEARCH("R96",G52)),0)+IFERROR(--ISNUMBER(SEARCH("R97",G52)),0)+IFERROR(--ISNUMBER(SEARCH("R98",G52)),0)+IFERROR(--ISNUMBER(SEARCH("R99",G52)),0)+IFERROR(--ISNUMBER(SEARCH("R100",G52)),0)+IFERROR(--ISNUMBER(SEARCH("R101",G52)),0)+IFERROR(--ISNUMBER(SEARCH("R102",G52)),0)+IFERROR(--ISNUMBER(SEARCH("R103",G52)),0)+IFERROR(--ISNUMBER(SEARCH("R104",G52)),0)+IFERROR(--ISNUMBER(SEARCH("R105",G52)),0)+IFERROR(--ISNUMBER(SEARCH("R106",G52)),0)+IFERROR(--ISNUMBER(SEARCH("R107",G52)),0)+IFERROR(--ISNUMBER(SEARCH("R108",G52)),0)+IFERROR(--ISNUMBER(SEARCH("R109",G52)),0)+IFERROR(--ISNUMBER(SEARCH("R110",G52)),0)+IFERROR(--ISNUMBER(SEARCH("R111",G52)),0)+IFERROR(--ISNUMBER(SEARCH("R112",G52)),0)+IFERROR(--ISNUMBER(SEARCH("R113",G52)),0)+IFERROR(--ISNUMBER(SEARCH("R114",G52)),0)+IFERROR(--ISNUMBER(SEARCH("R115",G52)),0)+IFERROR(--ISNUMBER(SEARCH("R116",G52)),0)+IFERROR(--ISNUMBER(SEARCH("R117",G52)),0)+IFERROR(--ISNUMBER(SEARCH("R118",G52)),0)+IFERROR(--ISNUMBER(SEARCH("R119",G52)),0)+IFERROR(--ISNUMBER(SEARCH("R120",G52)),0)+IFERROR(--ISNUMBER(SEARCH("R121",G52)),0)+IFERROR(--ISNUMBER(SEARCH("R122",G52)),0)+IFERROR(--ISNUMBER(SEARCH("R123",G52)),0)+IFERROR(--ISNUMBER(SEARCH("R124",G52)),0)+IFERROR(--ISNUMBER(SEARCH("R125",G52)),0)+IFERROR(--ISNUMBER(SEARCH("R126",G52)),0)+IFERROR(--ISNUMBER(SEARCH("R127",G52)),0)+IFERROR(--ISNUMBER(SEARCH("R128",G52)),0)+IFERROR(--ISNUMBER(SEARCH("R129",G52)),0)+IFERROR(--ISNUMBER(SEARCH("R130",G52)),0)+IFERROR(--ISNUMBER(SEARCH("R131",G52)),0)+IFERROR(--ISNUMBER(SEARCH("R132",G52)),0)+IFERROR(--ISNUMBER(SEARCH("R133",G52)),0)+IFERROR(--ISNUMBER(SEARCH("R134",G52)),0)+IFERROR(--ISNUMBER(SEARCH("R135",G52)),0)+IFERROR(--ISNUMBER(SEARCH("R136",G52)),0)+IFERROR(--ISNUMBER(SEARCH("R137",G52)),0)+IFERROR(--ISNUMBER(SEARCH("R138",G52)),0)+IFERROR(--ISNUMBER(SEARCH("R139",G52)),0)+IFERROR(--ISNUMBER(SEARCH("R140",G52)),0)+IFERROR(--ISNUMBER(SEARCH("R141",G52)),0))</f>
        <v/>
      </c>
      <c r="T52" s="58">
        <f>IF(A52="","",IFERROR(--ISNUMBER(SEARCH("R28",G52)),0)+IFERROR(--ISNUMBER(SEARCH("R29",G52)),0)+IFERROR(--ISNUMBER(SEARCH("R30",G52)),0)+IFERROR(--ISNUMBER(SEARCH("R32",G52)),0)+IFERROR(--ISNUMBER(SEARCH("R33",G52)),0)+IFERROR(--ISNUMBER(SEARCH("R35",G52)),0)+IFERROR(--ISNUMBER(SEARCH("R36",G52)),0)+IFERROR(--ISNUMBER(SEARCH("R38",G52)),0)+IFERROR(--ISNUMBER(SEARCH("R39",G52)),0)+IFERROR(--ISNUMBER(SEARCH("R43",G52)),0)+IFERROR(--ISNUMBER(SEARCH("R44",G52)),0)+IFERROR(--ISNUMBER(SEARCH("R45",G52)),0)+IFERROR(--ISNUMBER(SEARCH("R47",G52)),0)+IFERROR(--ISNUMBER(SEARCH("R48",G52)),0)+IFERROR(--ISNUMBER(SEARCH("R50",G52)),0)+IFERROR(--ISNUMBER(SEARCH("R51",G52)),0)+IFERROR(--ISNUMBER(SEARCH("R56",G52)),0)+IFERROR(--ISNUMBER(SEARCH("R58",G52)),0)+IFERROR(--ISNUMBER(SEARCH("R59",G52)),0)+IFERROR(--ISNUMBER(SEARCH("R60",G52)),0)+IFERROR(--ISNUMBER(SEARCH("R62",G52)),0)+IFERROR(--ISNUMBER(SEARCH("R63",G52)),0)+IFERROR(--ISNUMBER(SEARCH("R64",G52)),0)+IFERROR(--ISNUMBER(SEARCH("R66",G52)),0)+IFERROR(--ISNUMBER(SEARCH("R67",G52)),0)+IFERROR(--ISNUMBER(SEARCH("R72",G52)),0)+IFERROR(--ISNUMBER(SEARCH("R74",G52)),0)+IFERROR(--ISNUMBER(SEARCH("R75",G52)),0)+IFERROR(--ISNUMBER(SEARCH("R76",G52)),0)+IFERROR(--ISNUMBER(SEARCH("R77",G52)),0)+IFERROR(--ISNUMBER(SEARCH("R79",G52)),0)+IFERROR(--ISNUMBER(SEARCH("R80",G52)),0)+IFERROR(--ISNUMBER(SEARCH("R81",G52)),0)+IFERROR(--ISNUMBER(SEARCH("R83",G52)),0)+IFERROR(--ISNUMBER(SEARCH("R84",G52)),0)+IFERROR(--ISNUMBER(SEARCH("R89",G52)),0)+IFERROR(--ISNUMBER(SEARCH("R94",G52)),0)+IFERROR(--ISNUMBER(SEARCH("R95",G52)),0)+IFERROR(--ISNUMBER(SEARCH("R96",G52)),0)+IFERROR(--ISNUMBER(SEARCH("R98",G52)),0)+IFERROR(--ISNUMBER(SEARCH("R99",G52)),0)+IFERROR(--ISNUMBER(SEARCH("R100",G52)),0)+IFERROR(--ISNUMBER(SEARCH("R104",G52)),0)+IFERROR(--ISNUMBER(SEARCH("R105",G52)),0)+IFERROR(--ISNUMBER(SEARCH("R107",G52)),0)+IFERROR(--ISNUMBER(SEARCH("R108",G52)),0)+IFERROR(--ISNUMBER(SEARCH("R109",G52)),0)+IFERROR(--ISNUMBER(SEARCH("R110",G52)),0)+IFERROR(--ISNUMBER(SEARCH("R112",G52)),0)+IFERROR(--ISNUMBER(SEARCH("R113",G52)),0)+IFERROR(--ISNUMBER(SEARCH("R114",G52)),0)+IFERROR(--ISNUMBER(SEARCH("R118",G52)),0)+IFERROR(--ISNUMBER(SEARCH("R119",G52)),0)+IFERROR(--ISNUMBER(SEARCH("R120",G52)),0)+IFERROR(--ISNUMBER(SEARCH("R122",G52)),0)+IFERROR(--ISNUMBER(SEARCH("R123",G52)),0)+IFERROR(--ISNUMBER(SEARCH("R124",G52)),0)+IFERROR(--ISNUMBER(SEARCH("R128",G52)),0)+IFERROR(--ISNUMBER(SEARCH("R130",G52)),0)+IFERROR(--ISNUMBER(SEARCH("R131",G52)),0)+IFERROR(--ISNUMBER(SEARCH("R132",G52)),0)+IFERROR(--ISNUMBER(SEARCH("R135",G52)),0)+IFERROR(--ISNUMBER(SEARCH("R138",G52)),0)+IFERROR(--ISNUMBER(SEARCH("R141",G52)),0))</f>
        <v/>
      </c>
      <c r="U52" s="58">
        <f>IF(A52="","",IFERROR(--ISNUMBER(SEARCH("R28",G52))*28,0)+IFERROR(--ISNUMBER(SEARCH("R29",G52))*29,0)+IFERROR(--ISNUMBER(SEARCH("R30",G52))*30,0)+IFERROR(--ISNUMBER(SEARCH("R31",G52))*31,0)+IFERROR(--ISNUMBER(SEARCH("R32",G52))*32,0)+IFERROR(--ISNUMBER(SEARCH("R33",G52))*33,0)+IFERROR(--ISNUMBER(SEARCH("R34",G52))*34,0)+IFERROR(--ISNUMBER(SEARCH("R35",G52))*35,0)+IFERROR(--ISNUMBER(SEARCH("R36",G52))*36,0)+IFERROR(--ISNUMBER(SEARCH("R37",G52))*37,0)+IFERROR(--ISNUMBER(SEARCH("R38",G52))*38,0)+IFERROR(--ISNUMBER(SEARCH("R39",G52))*39,0)+IFERROR(--ISNUMBER(SEARCH("R40",G52))*40,0)+IFERROR(--ISNUMBER(SEARCH("R41",G52))*41,0)+IFERROR(--ISNUMBER(SEARCH("R42",G52))*42,0)+IFERROR(--ISNUMBER(SEARCH("R43",G52))*43,0)+IFERROR(--ISNUMBER(SEARCH("R44",G52))*44,0)+IFERROR(--ISNUMBER(SEARCH("R45",G52))*45,0)+IFERROR(--ISNUMBER(SEARCH("R46",G52))*46,0)+IFERROR(--ISNUMBER(SEARCH("R47",G52))*47,0)+IFERROR(--ISNUMBER(SEARCH("R48",G52))*48,0)+IFERROR(--ISNUMBER(SEARCH("R49",G52))*49,0)+IFERROR(--ISNUMBER(SEARCH("R50",G52))*50,0)+IFERROR(--ISNUMBER(SEARCH("R51",G52))*51,0)+IFERROR(--ISNUMBER(SEARCH("R52",G52))*52,0)+IFERROR(--ISNUMBER(SEARCH("R53",G52))*53,0)+IFERROR(--ISNUMBER(SEARCH("R54",G52))*54,0)+IFERROR(--ISNUMBER(SEARCH("R55",G52))*55,0)+IFERROR(--ISNUMBER(SEARCH("R56",G52))*56,0)+IFERROR(--ISNUMBER(SEARCH("R57",G52))*57,0)+IFERROR(--ISNUMBER(SEARCH("R58",G52))*58,0)+IFERROR(--ISNUMBER(SEARCH("R59",G52))*59,0)+IFERROR(--ISNUMBER(SEARCH("R60",G52))*60,0)+IFERROR(--ISNUMBER(SEARCH("R61",G52))*61,0)+IFERROR(--ISNUMBER(SEARCH("R62",G52))*62,0)+IFERROR(--ISNUMBER(SEARCH("R63",G52))*63,0)+IFERROR(--ISNUMBER(SEARCH("R64",G52))*64,0)+IFERROR(--ISNUMBER(SEARCH("R65",G52))*65,0)+IFERROR(--ISNUMBER(SEARCH("R66",G52))*66,0)+IFERROR(--ISNUMBER(SEARCH("R67",G52))*67,0)+IFERROR(--ISNUMBER(SEARCH("R68",G52))*68,0)+IFERROR(--ISNUMBER(SEARCH("R69",G52))*69,0)+IFERROR(--ISNUMBER(SEARCH("R70",G52))*70,0)+IFERROR(--ISNUMBER(SEARCH("R71",G52))*71,0)+IFERROR(--ISNUMBER(SEARCH("R72",G52))*72,0)+IFERROR(--ISNUMBER(SEARCH("R73",G52))*73,0)+IFERROR(--ISNUMBER(SEARCH("R74",G52))*74,0)+IFERROR(--ISNUMBER(SEARCH("R75",G52))*75,0)+IFERROR(--ISNUMBER(SEARCH("R76",G52))*76,0)+IFERROR(--ISNUMBER(SEARCH("R77",G52))*77,0)+IFERROR(--ISNUMBER(SEARCH("R78",G52))*78,0)+IFERROR(--ISNUMBER(SEARCH("R79",G52))*79,0)+IFERROR(--ISNUMBER(SEARCH("R80",G52))*80,0)+IFERROR(--ISNUMBER(SEARCH("R81",G52))*81,0)+IFERROR(--ISNUMBER(SEARCH("R82",G52))*82,0)+IFERROR(--ISNUMBER(SEARCH("R83",G52))*83,0)+IFERROR(--ISNUMBER(SEARCH("R84",G52))*84,0)+IFERROR(--ISNUMBER(SEARCH("R85",G52))*85,0)+IFERROR(--ISNUMBER(SEARCH("R86",G52))*86,0)+IFERROR(--ISNUMBER(SEARCH("R87",G52))*87,0)+IFERROR(--ISNUMBER(SEARCH("R88",G52))*88,0)+IFERROR(--ISNUMBER(SEARCH("R89",G52))*89,0)+IFERROR(--ISNUMBER(SEARCH("R90",G52))*90,0)+IFERROR(--ISNUMBER(SEARCH("R91",G52))*91,0)+IFERROR(--ISNUMBER(SEARCH("R92",G52))*92,0)+IFERROR(--ISNUMBER(SEARCH("R93",G52))*93,0)+IFERROR(--ISNUMBER(SEARCH("R94",G52))*94,0)+IFERROR(--ISNUMBER(SEARCH("R95",G52))*95,0)+IFERROR(--ISNUMBER(SEARCH("R96",G52))*96,0)+IFERROR(--ISNUMBER(SEARCH("R97",G52))*97,0)+IFERROR(--ISNUMBER(SEARCH("R98",G52))*98,0)+IFERROR(--ISNUMBER(SEARCH("R99",G52))*99,0)+IFERROR(--ISNUMBER(SEARCH("R100",G52))*100,0)+IFERROR(--ISNUMBER(SEARCH("R101",G52))*101,0)+IFERROR(--ISNUMBER(SEARCH("R102",G52))*102,0)+IFERROR(--ISNUMBER(SEARCH("R103",G52))*103,0)+IFERROR(--ISNUMBER(SEARCH("R104",G52))*104,0)+IFERROR(--ISNUMBER(SEARCH("R105",G52))*105,0)+IFERROR(--ISNUMBER(SEARCH("R106",G52))*106,0)+IFERROR(--ISNUMBER(SEARCH("R107",G52))*107,0)+IFERROR(--ISNUMBER(SEARCH("R108",G52))*108,0)+IFERROR(--ISNUMBER(SEARCH("R109",G52))*109,0)+IFERROR(--ISNUMBER(SEARCH("R110",G52))*110,0)+IFERROR(--ISNUMBER(SEARCH("R111",G52))*111,0)+IFERROR(--ISNUMBER(SEARCH("R112",G52))*112,0)+IFERROR(--ISNUMBER(SEARCH("R113",G52))*113,0)+IFERROR(--ISNUMBER(SEARCH("R114",G52))*114,0)+IFERROR(--ISNUMBER(SEARCH("R115",G52))*115,0)+IFERROR(--ISNUMBER(SEARCH("R116",G52))*116,0)+IFERROR(--ISNUMBER(SEARCH("R117",G52))*117,0)+IFERROR(--ISNUMBER(SEARCH("R118",G52))*118,0)+IFERROR(--ISNUMBER(SEARCH("R119",G52))*119,0)+IFERROR(--ISNUMBER(SEARCH("R120",G52))*120,0)+IFERROR(--ISNUMBER(SEARCH("R121",G52))*121,0)+IFERROR(--ISNUMBER(SEARCH("R122",G52))*122,0)+IFERROR(--ISNUMBER(SEARCH("R123",G52))*123,0)+IFERROR(--ISNUMBER(SEARCH("R124",G52))*124,0)+IFERROR(--ISNUMBER(SEARCH("R125",G52))*125,0)+IFERROR(--ISNUMBER(SEARCH("R126",G52))*126,0)+IFERROR(--ISNUMBER(SEARCH("R127",G52))*127,0)+IFERROR(--ISNUMBER(SEARCH("R128",G52))*128,0)+IFERROR(--ISNUMBER(SEARCH("R129",G52))*129,0)+IFERROR(--ISNUMBER(SEARCH("R130",G52))*130,0)+IFERROR(--ISNUMBER(SEARCH("R131",G52))*131,0)+IFERROR(--ISNUMBER(SEARCH("R132",G52))*132,0)+IFERROR(--ISNUMBER(SEARCH("R133",G52))*133,0)+IFERROR(--ISNUMBER(SEARCH("R134",G52))*134,0)+IFERROR(--ISNUMBER(SEARCH("R135",G52))*135,0)+IFERROR(--ISNUMBER(SEARCH("R136",G52))*136,0)+IFERROR(--ISNUMBER(SEARCH("R137",G52))*137,0)+IFERROR(--ISNUMBER(SEARCH("R138",G52))*138,0)+IFERROR(--ISNUMBER(SEARCH("R139",G52))*139,0)+IFERROR(--ISNUMBER(SEARCH("R140",G52))*140,0)+IFERROR(--ISNUMBER(SEARCH("R141",G52))*141,0))</f>
        <v/>
      </c>
      <c r="V52" s="59">
        <f>IF(A52="","",IF(K52&lt;&gt;"",K52,J52))</f>
        <v/>
      </c>
      <c r="W52" s="59">
        <f>IF(A52="","",IF(AND(V52=29,O52&lt;&gt;"",COUNTIFS($V$6:$V$505,29,$F$6:$F$505,F52,$C$6:$C$505,C52,$O$6:$O$505,"&lt;&gt;")&gt;1),IF(COUNTIFS($V$6:V52,29,$F$6:F52,F52,$C$6:C52,C52,$O$6:O52,"&lt;&gt;")=1,"Esta es la fila que se debe CONSERVAR (aparición 1 de "&amp;COUNTIFS($V$6:$V$505,29,$F$6:$F$505,F52,$C$6:$C$505,C52,$O$6:$O$505,"&lt;&gt;")&amp;" con el mismo tercero y valor, casilla 29). Si hay más filas iguales, bórreles el valor a ELLAS, no a esta.","DUPLICADO — ya existe otra fila con el mismo tercero y valor para casilla 29 (aparición "&amp;COUNTIFS($V$6:V52,29,$F$6:F52,F52,$C$6:C52,C52,$O$6:O52,"&lt;&gt;")&amp;" de "&amp;COUNTIFS($V$6:$V$505,29,$F$6:$F$505,F52,$C$6:$C$505,C52,$O$6:$O$505,"&lt;&gt;")&amp;"). Para resolverlo: seleccione la celda O"&amp;ROW()&amp;" (columna Valor a declarar de ESTA fila) y presione Supr."),""))</f>
        <v/>
      </c>
      <c r="X52" s="463">
        <f>IF(A52="","",F52)</f>
        <v/>
      </c>
      <c r="Y52" s="463">
        <f>IF(A52="","",SUMIF(Entrada_Manual!$I$88:$I$187,A52,Entrada_Manual!$F$88:$F$187))</f>
        <v/>
      </c>
      <c r="Z52" s="463">
        <f>IF(A52="","",X52-Y52)</f>
        <v/>
      </c>
      <c r="AA52">
        <f>IF(A52="","",SUMPRODUCT((Entrada_Manual!$I$88:$I$187=A52)*1))</f>
        <v/>
      </c>
      <c r="AB52">
        <f>IF(A52="","",IF(S52&lt;=1,"",IF(AA52=0,"PENDIENTE — SIN ASIGNAR",IF(Z52=0,"RESUELTO","PARCIAL — DIFERENCIA "&amp;TEXT(Z52,"#,##0")))))</f>
        <v/>
      </c>
    </row>
    <row r="53" ht="28.5" customHeight="1" s="235">
      <c r="A53" s="47">
        <f>IF(Exogena_RAW!E62&lt;&gt;"",ROW()-5,"")</f>
        <v/>
      </c>
      <c r="B53" s="48">
        <f>IF(A53="","",62)</f>
        <v/>
      </c>
      <c r="C53" s="48">
        <f>IF(A53="","",IFERROR(Exogena_RAW!A62,""))</f>
        <v/>
      </c>
      <c r="D53" s="48">
        <f>IF(A53="","",IFERROR(Exogena_RAW!B62,""))</f>
        <v/>
      </c>
      <c r="E53" s="48">
        <f>IF(A53="","",Exogena_RAW!E62)</f>
        <v/>
      </c>
      <c r="F53" s="461">
        <f>IF(A53="","",Exogena_RAW!F62)</f>
        <v/>
      </c>
      <c r="G53" s="48">
        <f>IF(A53="","",IFERROR(Exogena_RAW!G62,""))</f>
        <v/>
      </c>
      <c r="H53" s="48">
        <f>IF(A53="","",IFERROR(Exogena_RAW!H62,""))</f>
        <v/>
      </c>
      <c r="I53" s="48">
        <f>IF(A53="","",IFERROR(IF(S53&gt;1,"VARIAS CASILLAS",IF(S53=1,IF(T53=1,"PROPUESTA DE CASILLA","REVISIÓN: CASILLA NO DIRECTA"),IF(OR(ISNUMBER(SEARCH("TOPE",UPPER(E53))),ISNUMBER(SEARCH("TOPE",UPPER(G53)))),"SOLO CONTROL",IF(ISNUMBER(SEARCH("RETEN",UPPER(E53))),"RETENCIÓN","REVISAR")))),"REVISAR"))</f>
        <v/>
      </c>
      <c r="J53" s="61">
        <f>IF(A53="","",IF(ISNUMBER(SEARCH("ingreso laboral promedio de los últimos seis meses",E53)),"",IFERROR(IF(AND(S53=1,T53=1),U53,""),"")))</f>
        <v/>
      </c>
      <c r="K53" s="216" t="n"/>
      <c r="L53" s="48">
        <f>IF(A53="","",IFERROR(IF(K53&lt;&gt;"","Casilla elegida por usuario",IF(S53&gt;1,"Varias casillas — elegir en K",IF(J53&lt;&gt;"","Sugerencia directa",IF(S53=1,"No trasladar directo — revisar",IF(OR(ISNUMBER(SEARCH("TOPE",UPPER(E53))),ISNUMBER(SEARCH("TOPE",UPPER(G53)))),"Solo control","Revisar manualmente"))))),"Revisar manualmente"))</f>
        <v/>
      </c>
      <c r="M53" s="461">
        <f>IF(A53="","",IF(IF(K53&lt;&gt;"",K53,J53)="",0,IF(COUNTIFS(Reglas!$I$5:$I$118,IF(K53&lt;&gt;"",K53,J53),Reglas!$J$5:$J$118,"Sí")=1,F53,0)))</f>
        <v/>
      </c>
      <c r="N53" s="56" t="n"/>
      <c r="O53" s="462">
        <f>IF(A53="","",IF(M53=0,"",M53))</f>
        <v/>
      </c>
      <c r="P53" s="461">
        <f>IF(A53="","",IF(O53="",0,IF(ISNUMBER(O53),O53,0)))</f>
        <v/>
      </c>
      <c r="Q53" s="48">
        <f>IF(A53="","",IF(Exogena_RAW!$C$4="","BLOQUEADO: FALTA AÑO",IF(Exogena_RAW!$K$10&lt;&gt;Reglas!$B$5,"BLOQUEADO: AÑO",IF(IF(K53&lt;&gt;"",K53,J53)="",IF(S53&gt;1,"REQUIERE ASIGNACIÓN MANUAL (VARIAS CASILLAS)","INFORMATIVO (sin casilla — no se declara)"),IF(COUNTIFS(Reglas!$I$5:$I$118,IF(K53&lt;&gt;"",K53,J53),Reglas!$J$5:$J$118,"Sí")=0,"BLOQUEADO: CASILLA NO DIRECTA",IF(O53="","EXCLUIDO (valor borrado por el usuario)",IF(_xlfn.ISFORMULA(O53),IF(W53&lt;&gt;"","BORRADOR — VALOR SUGERIDO DIAN ⚠ VER ALERTA","BORRADOR — VALOR SUGERIDO DIAN"),IF(W53&lt;&gt;"","ACEPTADO ⚠ VER ALERTA","ACEPTADO"))))))))</f>
        <v/>
      </c>
      <c r="R53" s="218" t="n"/>
      <c r="S53" s="58">
        <f>IF(A53="","",IFERROR(--ISNUMBER(SEARCH("R28",G53)),0)+IFERROR(--ISNUMBER(SEARCH("R29",G53)),0)+IFERROR(--ISNUMBER(SEARCH("R30",G53)),0)+IFERROR(--ISNUMBER(SEARCH("R31",G53)),0)+IFERROR(--ISNUMBER(SEARCH("R32",G53)),0)+IFERROR(--ISNUMBER(SEARCH("R33",G53)),0)+IFERROR(--ISNUMBER(SEARCH("R34",G53)),0)+IFERROR(--ISNUMBER(SEARCH("R35",G53)),0)+IFERROR(--ISNUMBER(SEARCH("R36",G53)),0)+IFERROR(--ISNUMBER(SEARCH("R37",G53)),0)+IFERROR(--ISNUMBER(SEARCH("R38",G53)),0)+IFERROR(--ISNUMBER(SEARCH("R39",G53)),0)+IFERROR(--ISNUMBER(SEARCH("R40",G53)),0)+IFERROR(--ISNUMBER(SEARCH("R41",G53)),0)+IFERROR(--ISNUMBER(SEARCH("R42",G53)),0)+IFERROR(--ISNUMBER(SEARCH("R43",G53)),0)+IFERROR(--ISNUMBER(SEARCH("R44",G53)),0)+IFERROR(--ISNUMBER(SEARCH("R45",G53)),0)+IFERROR(--ISNUMBER(SEARCH("R46",G53)),0)+IFERROR(--ISNUMBER(SEARCH("R47",G53)),0)+IFERROR(--ISNUMBER(SEARCH("R48",G53)),0)+IFERROR(--ISNUMBER(SEARCH("R49",G53)),0)+IFERROR(--ISNUMBER(SEARCH("R50",G53)),0)+IFERROR(--ISNUMBER(SEARCH("R51",G53)),0)+IFERROR(--ISNUMBER(SEARCH("R52",G53)),0)+IFERROR(--ISNUMBER(SEARCH("R53",G53)),0)+IFERROR(--ISNUMBER(SEARCH("R54",G53)),0)+IFERROR(--ISNUMBER(SEARCH("R55",G53)),0)+IFERROR(--ISNUMBER(SEARCH("R56",G53)),0)+IFERROR(--ISNUMBER(SEARCH("R57",G53)),0)+IFERROR(--ISNUMBER(SEARCH("R58",G53)),0)+IFERROR(--ISNUMBER(SEARCH("R59",G53)),0)+IFERROR(--ISNUMBER(SEARCH("R60",G53)),0)+IFERROR(--ISNUMBER(SEARCH("R61",G53)),0)+IFERROR(--ISNUMBER(SEARCH("R62",G53)),0)+IFERROR(--ISNUMBER(SEARCH("R63",G53)),0)+IFERROR(--ISNUMBER(SEARCH("R64",G53)),0)+IFERROR(--ISNUMBER(SEARCH("R65",G53)),0)+IFERROR(--ISNUMBER(SEARCH("R66",G53)),0)+IFERROR(--ISNUMBER(SEARCH("R67",G53)),0)+IFERROR(--ISNUMBER(SEARCH("R68",G53)),0)+IFERROR(--ISNUMBER(SEARCH("R69",G53)),0)+IFERROR(--ISNUMBER(SEARCH("R70",G53)),0)+IFERROR(--ISNUMBER(SEARCH("R71",G53)),0)+IFERROR(--ISNUMBER(SEARCH("R72",G53)),0)+IFERROR(--ISNUMBER(SEARCH("R73",G53)),0)+IFERROR(--ISNUMBER(SEARCH("R74",G53)),0)+IFERROR(--ISNUMBER(SEARCH("R75",G53)),0)+IFERROR(--ISNUMBER(SEARCH("R76",G53)),0)+IFERROR(--ISNUMBER(SEARCH("R77",G53)),0)+IFERROR(--ISNUMBER(SEARCH("R78",G53)),0)+IFERROR(--ISNUMBER(SEARCH("R79",G53)),0)+IFERROR(--ISNUMBER(SEARCH("R80",G53)),0)+IFERROR(--ISNUMBER(SEARCH("R81",G53)),0)+IFERROR(--ISNUMBER(SEARCH("R82",G53)),0)+IFERROR(--ISNUMBER(SEARCH("R83",G53)),0)+IFERROR(--ISNUMBER(SEARCH("R84",G53)),0)+IFERROR(--ISNUMBER(SEARCH("R85",G53)),0)+IFERROR(--ISNUMBER(SEARCH("R86",G53)),0)+IFERROR(--ISNUMBER(SEARCH("R87",G53)),0)+IFERROR(--ISNUMBER(SEARCH("R88",G53)),0)+IFERROR(--ISNUMBER(SEARCH("R89",G53)),0)+IFERROR(--ISNUMBER(SEARCH("R90",G53)),0)+IFERROR(--ISNUMBER(SEARCH("R91",G53)),0)+IFERROR(--ISNUMBER(SEARCH("R92",G53)),0)+IFERROR(--ISNUMBER(SEARCH("R93",G53)),0)+IFERROR(--ISNUMBER(SEARCH("R94",G53)),0)+IFERROR(--ISNUMBER(SEARCH("R95",G53)),0)+IFERROR(--ISNUMBER(SEARCH("R96",G53)),0)+IFERROR(--ISNUMBER(SEARCH("R97",G53)),0)+IFERROR(--ISNUMBER(SEARCH("R98",G53)),0)+IFERROR(--ISNUMBER(SEARCH("R99",G53)),0)+IFERROR(--ISNUMBER(SEARCH("R100",G53)),0)+IFERROR(--ISNUMBER(SEARCH("R101",G53)),0)+IFERROR(--ISNUMBER(SEARCH("R102",G53)),0)+IFERROR(--ISNUMBER(SEARCH("R103",G53)),0)+IFERROR(--ISNUMBER(SEARCH("R104",G53)),0)+IFERROR(--ISNUMBER(SEARCH("R105",G53)),0)+IFERROR(--ISNUMBER(SEARCH("R106",G53)),0)+IFERROR(--ISNUMBER(SEARCH("R107",G53)),0)+IFERROR(--ISNUMBER(SEARCH("R108",G53)),0)+IFERROR(--ISNUMBER(SEARCH("R109",G53)),0)+IFERROR(--ISNUMBER(SEARCH("R110",G53)),0)+IFERROR(--ISNUMBER(SEARCH("R111",G53)),0)+IFERROR(--ISNUMBER(SEARCH("R112",G53)),0)+IFERROR(--ISNUMBER(SEARCH("R113",G53)),0)+IFERROR(--ISNUMBER(SEARCH("R114",G53)),0)+IFERROR(--ISNUMBER(SEARCH("R115",G53)),0)+IFERROR(--ISNUMBER(SEARCH("R116",G53)),0)+IFERROR(--ISNUMBER(SEARCH("R117",G53)),0)+IFERROR(--ISNUMBER(SEARCH("R118",G53)),0)+IFERROR(--ISNUMBER(SEARCH("R119",G53)),0)+IFERROR(--ISNUMBER(SEARCH("R120",G53)),0)+IFERROR(--ISNUMBER(SEARCH("R121",G53)),0)+IFERROR(--ISNUMBER(SEARCH("R122",G53)),0)+IFERROR(--ISNUMBER(SEARCH("R123",G53)),0)+IFERROR(--ISNUMBER(SEARCH("R124",G53)),0)+IFERROR(--ISNUMBER(SEARCH("R125",G53)),0)+IFERROR(--ISNUMBER(SEARCH("R126",G53)),0)+IFERROR(--ISNUMBER(SEARCH("R127",G53)),0)+IFERROR(--ISNUMBER(SEARCH("R128",G53)),0)+IFERROR(--ISNUMBER(SEARCH("R129",G53)),0)+IFERROR(--ISNUMBER(SEARCH("R130",G53)),0)+IFERROR(--ISNUMBER(SEARCH("R131",G53)),0)+IFERROR(--ISNUMBER(SEARCH("R132",G53)),0)+IFERROR(--ISNUMBER(SEARCH("R133",G53)),0)+IFERROR(--ISNUMBER(SEARCH("R134",G53)),0)+IFERROR(--ISNUMBER(SEARCH("R135",G53)),0)+IFERROR(--ISNUMBER(SEARCH("R136",G53)),0)+IFERROR(--ISNUMBER(SEARCH("R137",G53)),0)+IFERROR(--ISNUMBER(SEARCH("R138",G53)),0)+IFERROR(--ISNUMBER(SEARCH("R139",G53)),0)+IFERROR(--ISNUMBER(SEARCH("R140",G53)),0)+IFERROR(--ISNUMBER(SEARCH("R141",G53)),0))</f>
        <v/>
      </c>
      <c r="T53" s="58">
        <f>IF(A53="","",IFERROR(--ISNUMBER(SEARCH("R28",G53)),0)+IFERROR(--ISNUMBER(SEARCH("R29",G53)),0)+IFERROR(--ISNUMBER(SEARCH("R30",G53)),0)+IFERROR(--ISNUMBER(SEARCH("R32",G53)),0)+IFERROR(--ISNUMBER(SEARCH("R33",G53)),0)+IFERROR(--ISNUMBER(SEARCH("R35",G53)),0)+IFERROR(--ISNUMBER(SEARCH("R36",G53)),0)+IFERROR(--ISNUMBER(SEARCH("R38",G53)),0)+IFERROR(--ISNUMBER(SEARCH("R39",G53)),0)+IFERROR(--ISNUMBER(SEARCH("R43",G53)),0)+IFERROR(--ISNUMBER(SEARCH("R44",G53)),0)+IFERROR(--ISNUMBER(SEARCH("R45",G53)),0)+IFERROR(--ISNUMBER(SEARCH("R47",G53)),0)+IFERROR(--ISNUMBER(SEARCH("R48",G53)),0)+IFERROR(--ISNUMBER(SEARCH("R50",G53)),0)+IFERROR(--ISNUMBER(SEARCH("R51",G53)),0)+IFERROR(--ISNUMBER(SEARCH("R56",G53)),0)+IFERROR(--ISNUMBER(SEARCH("R58",G53)),0)+IFERROR(--ISNUMBER(SEARCH("R59",G53)),0)+IFERROR(--ISNUMBER(SEARCH("R60",G53)),0)+IFERROR(--ISNUMBER(SEARCH("R62",G53)),0)+IFERROR(--ISNUMBER(SEARCH("R63",G53)),0)+IFERROR(--ISNUMBER(SEARCH("R64",G53)),0)+IFERROR(--ISNUMBER(SEARCH("R66",G53)),0)+IFERROR(--ISNUMBER(SEARCH("R67",G53)),0)+IFERROR(--ISNUMBER(SEARCH("R72",G53)),0)+IFERROR(--ISNUMBER(SEARCH("R74",G53)),0)+IFERROR(--ISNUMBER(SEARCH("R75",G53)),0)+IFERROR(--ISNUMBER(SEARCH("R76",G53)),0)+IFERROR(--ISNUMBER(SEARCH("R77",G53)),0)+IFERROR(--ISNUMBER(SEARCH("R79",G53)),0)+IFERROR(--ISNUMBER(SEARCH("R80",G53)),0)+IFERROR(--ISNUMBER(SEARCH("R81",G53)),0)+IFERROR(--ISNUMBER(SEARCH("R83",G53)),0)+IFERROR(--ISNUMBER(SEARCH("R84",G53)),0)+IFERROR(--ISNUMBER(SEARCH("R89",G53)),0)+IFERROR(--ISNUMBER(SEARCH("R94",G53)),0)+IFERROR(--ISNUMBER(SEARCH("R95",G53)),0)+IFERROR(--ISNUMBER(SEARCH("R96",G53)),0)+IFERROR(--ISNUMBER(SEARCH("R98",G53)),0)+IFERROR(--ISNUMBER(SEARCH("R99",G53)),0)+IFERROR(--ISNUMBER(SEARCH("R100",G53)),0)+IFERROR(--ISNUMBER(SEARCH("R104",G53)),0)+IFERROR(--ISNUMBER(SEARCH("R105",G53)),0)+IFERROR(--ISNUMBER(SEARCH("R107",G53)),0)+IFERROR(--ISNUMBER(SEARCH("R108",G53)),0)+IFERROR(--ISNUMBER(SEARCH("R109",G53)),0)+IFERROR(--ISNUMBER(SEARCH("R110",G53)),0)+IFERROR(--ISNUMBER(SEARCH("R112",G53)),0)+IFERROR(--ISNUMBER(SEARCH("R113",G53)),0)+IFERROR(--ISNUMBER(SEARCH("R114",G53)),0)+IFERROR(--ISNUMBER(SEARCH("R118",G53)),0)+IFERROR(--ISNUMBER(SEARCH("R119",G53)),0)+IFERROR(--ISNUMBER(SEARCH("R120",G53)),0)+IFERROR(--ISNUMBER(SEARCH("R122",G53)),0)+IFERROR(--ISNUMBER(SEARCH("R123",G53)),0)+IFERROR(--ISNUMBER(SEARCH("R124",G53)),0)+IFERROR(--ISNUMBER(SEARCH("R128",G53)),0)+IFERROR(--ISNUMBER(SEARCH("R130",G53)),0)+IFERROR(--ISNUMBER(SEARCH("R131",G53)),0)+IFERROR(--ISNUMBER(SEARCH("R132",G53)),0)+IFERROR(--ISNUMBER(SEARCH("R135",G53)),0)+IFERROR(--ISNUMBER(SEARCH("R138",G53)),0)+IFERROR(--ISNUMBER(SEARCH("R141",G53)),0))</f>
        <v/>
      </c>
      <c r="U53" s="58">
        <f>IF(A53="","",IFERROR(--ISNUMBER(SEARCH("R28",G53))*28,0)+IFERROR(--ISNUMBER(SEARCH("R29",G53))*29,0)+IFERROR(--ISNUMBER(SEARCH("R30",G53))*30,0)+IFERROR(--ISNUMBER(SEARCH("R31",G53))*31,0)+IFERROR(--ISNUMBER(SEARCH("R32",G53))*32,0)+IFERROR(--ISNUMBER(SEARCH("R33",G53))*33,0)+IFERROR(--ISNUMBER(SEARCH("R34",G53))*34,0)+IFERROR(--ISNUMBER(SEARCH("R35",G53))*35,0)+IFERROR(--ISNUMBER(SEARCH("R36",G53))*36,0)+IFERROR(--ISNUMBER(SEARCH("R37",G53))*37,0)+IFERROR(--ISNUMBER(SEARCH("R38",G53))*38,0)+IFERROR(--ISNUMBER(SEARCH("R39",G53))*39,0)+IFERROR(--ISNUMBER(SEARCH("R40",G53))*40,0)+IFERROR(--ISNUMBER(SEARCH("R41",G53))*41,0)+IFERROR(--ISNUMBER(SEARCH("R42",G53))*42,0)+IFERROR(--ISNUMBER(SEARCH("R43",G53))*43,0)+IFERROR(--ISNUMBER(SEARCH("R44",G53))*44,0)+IFERROR(--ISNUMBER(SEARCH("R45",G53))*45,0)+IFERROR(--ISNUMBER(SEARCH("R46",G53))*46,0)+IFERROR(--ISNUMBER(SEARCH("R47",G53))*47,0)+IFERROR(--ISNUMBER(SEARCH("R48",G53))*48,0)+IFERROR(--ISNUMBER(SEARCH("R49",G53))*49,0)+IFERROR(--ISNUMBER(SEARCH("R50",G53))*50,0)+IFERROR(--ISNUMBER(SEARCH("R51",G53))*51,0)+IFERROR(--ISNUMBER(SEARCH("R52",G53))*52,0)+IFERROR(--ISNUMBER(SEARCH("R53",G53))*53,0)+IFERROR(--ISNUMBER(SEARCH("R54",G53))*54,0)+IFERROR(--ISNUMBER(SEARCH("R55",G53))*55,0)+IFERROR(--ISNUMBER(SEARCH("R56",G53))*56,0)+IFERROR(--ISNUMBER(SEARCH("R57",G53))*57,0)+IFERROR(--ISNUMBER(SEARCH("R58",G53))*58,0)+IFERROR(--ISNUMBER(SEARCH("R59",G53))*59,0)+IFERROR(--ISNUMBER(SEARCH("R60",G53))*60,0)+IFERROR(--ISNUMBER(SEARCH("R61",G53))*61,0)+IFERROR(--ISNUMBER(SEARCH("R62",G53))*62,0)+IFERROR(--ISNUMBER(SEARCH("R63",G53))*63,0)+IFERROR(--ISNUMBER(SEARCH("R64",G53))*64,0)+IFERROR(--ISNUMBER(SEARCH("R65",G53))*65,0)+IFERROR(--ISNUMBER(SEARCH("R66",G53))*66,0)+IFERROR(--ISNUMBER(SEARCH("R67",G53))*67,0)+IFERROR(--ISNUMBER(SEARCH("R68",G53))*68,0)+IFERROR(--ISNUMBER(SEARCH("R69",G53))*69,0)+IFERROR(--ISNUMBER(SEARCH("R70",G53))*70,0)+IFERROR(--ISNUMBER(SEARCH("R71",G53))*71,0)+IFERROR(--ISNUMBER(SEARCH("R72",G53))*72,0)+IFERROR(--ISNUMBER(SEARCH("R73",G53))*73,0)+IFERROR(--ISNUMBER(SEARCH("R74",G53))*74,0)+IFERROR(--ISNUMBER(SEARCH("R75",G53))*75,0)+IFERROR(--ISNUMBER(SEARCH("R76",G53))*76,0)+IFERROR(--ISNUMBER(SEARCH("R77",G53))*77,0)+IFERROR(--ISNUMBER(SEARCH("R78",G53))*78,0)+IFERROR(--ISNUMBER(SEARCH("R79",G53))*79,0)+IFERROR(--ISNUMBER(SEARCH("R80",G53))*80,0)+IFERROR(--ISNUMBER(SEARCH("R81",G53))*81,0)+IFERROR(--ISNUMBER(SEARCH("R82",G53))*82,0)+IFERROR(--ISNUMBER(SEARCH("R83",G53))*83,0)+IFERROR(--ISNUMBER(SEARCH("R84",G53))*84,0)+IFERROR(--ISNUMBER(SEARCH("R85",G53))*85,0)+IFERROR(--ISNUMBER(SEARCH("R86",G53))*86,0)+IFERROR(--ISNUMBER(SEARCH("R87",G53))*87,0)+IFERROR(--ISNUMBER(SEARCH("R88",G53))*88,0)+IFERROR(--ISNUMBER(SEARCH("R89",G53))*89,0)+IFERROR(--ISNUMBER(SEARCH("R90",G53))*90,0)+IFERROR(--ISNUMBER(SEARCH("R91",G53))*91,0)+IFERROR(--ISNUMBER(SEARCH("R92",G53))*92,0)+IFERROR(--ISNUMBER(SEARCH("R93",G53))*93,0)+IFERROR(--ISNUMBER(SEARCH("R94",G53))*94,0)+IFERROR(--ISNUMBER(SEARCH("R95",G53))*95,0)+IFERROR(--ISNUMBER(SEARCH("R96",G53))*96,0)+IFERROR(--ISNUMBER(SEARCH("R97",G53))*97,0)+IFERROR(--ISNUMBER(SEARCH("R98",G53))*98,0)+IFERROR(--ISNUMBER(SEARCH("R99",G53))*99,0)+IFERROR(--ISNUMBER(SEARCH("R100",G53))*100,0)+IFERROR(--ISNUMBER(SEARCH("R101",G53))*101,0)+IFERROR(--ISNUMBER(SEARCH("R102",G53))*102,0)+IFERROR(--ISNUMBER(SEARCH("R103",G53))*103,0)+IFERROR(--ISNUMBER(SEARCH("R104",G53))*104,0)+IFERROR(--ISNUMBER(SEARCH("R105",G53))*105,0)+IFERROR(--ISNUMBER(SEARCH("R106",G53))*106,0)+IFERROR(--ISNUMBER(SEARCH("R107",G53))*107,0)+IFERROR(--ISNUMBER(SEARCH("R108",G53))*108,0)+IFERROR(--ISNUMBER(SEARCH("R109",G53))*109,0)+IFERROR(--ISNUMBER(SEARCH("R110",G53))*110,0)+IFERROR(--ISNUMBER(SEARCH("R111",G53))*111,0)+IFERROR(--ISNUMBER(SEARCH("R112",G53))*112,0)+IFERROR(--ISNUMBER(SEARCH("R113",G53))*113,0)+IFERROR(--ISNUMBER(SEARCH("R114",G53))*114,0)+IFERROR(--ISNUMBER(SEARCH("R115",G53))*115,0)+IFERROR(--ISNUMBER(SEARCH("R116",G53))*116,0)+IFERROR(--ISNUMBER(SEARCH("R117",G53))*117,0)+IFERROR(--ISNUMBER(SEARCH("R118",G53))*118,0)+IFERROR(--ISNUMBER(SEARCH("R119",G53))*119,0)+IFERROR(--ISNUMBER(SEARCH("R120",G53))*120,0)+IFERROR(--ISNUMBER(SEARCH("R121",G53))*121,0)+IFERROR(--ISNUMBER(SEARCH("R122",G53))*122,0)+IFERROR(--ISNUMBER(SEARCH("R123",G53))*123,0)+IFERROR(--ISNUMBER(SEARCH("R124",G53))*124,0)+IFERROR(--ISNUMBER(SEARCH("R125",G53))*125,0)+IFERROR(--ISNUMBER(SEARCH("R126",G53))*126,0)+IFERROR(--ISNUMBER(SEARCH("R127",G53))*127,0)+IFERROR(--ISNUMBER(SEARCH("R128",G53))*128,0)+IFERROR(--ISNUMBER(SEARCH("R129",G53))*129,0)+IFERROR(--ISNUMBER(SEARCH("R130",G53))*130,0)+IFERROR(--ISNUMBER(SEARCH("R131",G53))*131,0)+IFERROR(--ISNUMBER(SEARCH("R132",G53))*132,0)+IFERROR(--ISNUMBER(SEARCH("R133",G53))*133,0)+IFERROR(--ISNUMBER(SEARCH("R134",G53))*134,0)+IFERROR(--ISNUMBER(SEARCH("R135",G53))*135,0)+IFERROR(--ISNUMBER(SEARCH("R136",G53))*136,0)+IFERROR(--ISNUMBER(SEARCH("R137",G53))*137,0)+IFERROR(--ISNUMBER(SEARCH("R138",G53))*138,0)+IFERROR(--ISNUMBER(SEARCH("R139",G53))*139,0)+IFERROR(--ISNUMBER(SEARCH("R140",G53))*140,0)+IFERROR(--ISNUMBER(SEARCH("R141",G53))*141,0))</f>
        <v/>
      </c>
      <c r="V53" s="59">
        <f>IF(A53="","",IF(K53&lt;&gt;"",K53,J53))</f>
        <v/>
      </c>
      <c r="W53" s="59">
        <f>IF(A53="","",IF(AND(V53=29,O53&lt;&gt;"",COUNTIFS($V$6:$V$505,29,$F$6:$F$505,F53,$C$6:$C$505,C53,$O$6:$O$505,"&lt;&gt;")&gt;1),IF(COUNTIFS($V$6:V53,29,$F$6:F53,F53,$C$6:C53,C53,$O$6:O53,"&lt;&gt;")=1,"Esta es la fila que se debe CONSERVAR (aparición 1 de "&amp;COUNTIFS($V$6:$V$505,29,$F$6:$F$505,F53,$C$6:$C$505,C53,$O$6:$O$505,"&lt;&gt;")&amp;" con el mismo tercero y valor, casilla 29). Si hay más filas iguales, bórreles el valor a ELLAS, no a esta.","DUPLICADO — ya existe otra fila con el mismo tercero y valor para casilla 29 (aparición "&amp;COUNTIFS($V$6:V53,29,$F$6:F53,F53,$C$6:C53,C53,$O$6:O53,"&lt;&gt;")&amp;" de "&amp;COUNTIFS($V$6:$V$505,29,$F$6:$F$505,F53,$C$6:$C$505,C53,$O$6:$O$505,"&lt;&gt;")&amp;"). Para resolverlo: seleccione la celda O"&amp;ROW()&amp;" (columna Valor a declarar de ESTA fila) y presione Supr."),""))</f>
        <v/>
      </c>
      <c r="X53" s="463">
        <f>IF(A53="","",F53)</f>
        <v/>
      </c>
      <c r="Y53" s="463">
        <f>IF(A53="","",SUMIF(Entrada_Manual!$I$88:$I$187,A53,Entrada_Manual!$F$88:$F$187))</f>
        <v/>
      </c>
      <c r="Z53" s="463">
        <f>IF(A53="","",X53-Y53)</f>
        <v/>
      </c>
      <c r="AA53">
        <f>IF(A53="","",SUMPRODUCT((Entrada_Manual!$I$88:$I$187=A53)*1))</f>
        <v/>
      </c>
      <c r="AB53">
        <f>IF(A53="","",IF(S53&lt;=1,"",IF(AA53=0,"PENDIENTE — SIN ASIGNAR",IF(Z53=0,"RESUELTO","PARCIAL — DIFERENCIA "&amp;TEXT(Z53,"#,##0")))))</f>
        <v/>
      </c>
    </row>
    <row r="54" ht="28.5" customHeight="1" s="235">
      <c r="A54" s="47">
        <f>IF(Exogena_RAW!E63&lt;&gt;"",ROW()-5,"")</f>
        <v/>
      </c>
      <c r="B54" s="48">
        <f>IF(A54="","",63)</f>
        <v/>
      </c>
      <c r="C54" s="48">
        <f>IF(A54="","",IFERROR(Exogena_RAW!A63,""))</f>
        <v/>
      </c>
      <c r="D54" s="48">
        <f>IF(A54="","",IFERROR(Exogena_RAW!B63,""))</f>
        <v/>
      </c>
      <c r="E54" s="48">
        <f>IF(A54="","",Exogena_RAW!E63)</f>
        <v/>
      </c>
      <c r="F54" s="461">
        <f>IF(A54="","",Exogena_RAW!F63)</f>
        <v/>
      </c>
      <c r="G54" s="48">
        <f>IF(A54="","",IFERROR(Exogena_RAW!G63,""))</f>
        <v/>
      </c>
      <c r="H54" s="48">
        <f>IF(A54="","",IFERROR(Exogena_RAW!H63,""))</f>
        <v/>
      </c>
      <c r="I54" s="48">
        <f>IF(A54="","",IFERROR(IF(S54&gt;1,"VARIAS CASILLAS",IF(S54=1,IF(T54=1,"PROPUESTA DE CASILLA","REVISIÓN: CASILLA NO DIRECTA"),IF(OR(ISNUMBER(SEARCH("TOPE",UPPER(E54))),ISNUMBER(SEARCH("TOPE",UPPER(G54)))),"SOLO CONTROL",IF(ISNUMBER(SEARCH("RETEN",UPPER(E54))),"RETENCIÓN","REVISAR")))),"REVISAR"))</f>
        <v/>
      </c>
      <c r="J54" s="61">
        <f>IF(A54="","",IF(ISNUMBER(SEARCH("ingreso laboral promedio de los últimos seis meses",E54)),"",IFERROR(IF(AND(S54=1,T54=1),U54,""),"")))</f>
        <v/>
      </c>
      <c r="K54" s="216" t="n"/>
      <c r="L54" s="48">
        <f>IF(A54="","",IFERROR(IF(K54&lt;&gt;"","Casilla elegida por usuario",IF(S54&gt;1,"Varias casillas — elegir en K",IF(J54&lt;&gt;"","Sugerencia directa",IF(S54=1,"No trasladar directo — revisar",IF(OR(ISNUMBER(SEARCH("TOPE",UPPER(E54))),ISNUMBER(SEARCH("TOPE",UPPER(G54)))),"Solo control","Revisar manualmente"))))),"Revisar manualmente"))</f>
        <v/>
      </c>
      <c r="M54" s="461">
        <f>IF(A54="","",IF(IF(K54&lt;&gt;"",K54,J54)="",0,IF(COUNTIFS(Reglas!$I$5:$I$118,IF(K54&lt;&gt;"",K54,J54),Reglas!$J$5:$J$118,"Sí")=1,F54,0)))</f>
        <v/>
      </c>
      <c r="N54" s="56" t="n"/>
      <c r="O54" s="462">
        <f>IF(A54="","",IF(M54=0,"",M54))</f>
        <v/>
      </c>
      <c r="P54" s="461">
        <f>IF(A54="","",IF(O54="",0,IF(ISNUMBER(O54),O54,0)))</f>
        <v/>
      </c>
      <c r="Q54" s="48">
        <f>IF(A54="","",IF(Exogena_RAW!$C$4="","BLOQUEADO: FALTA AÑO",IF(Exogena_RAW!$K$10&lt;&gt;Reglas!$B$5,"BLOQUEADO: AÑO",IF(IF(K54&lt;&gt;"",K54,J54)="",IF(S54&gt;1,"REQUIERE ASIGNACIÓN MANUAL (VARIAS CASILLAS)","INFORMATIVO (sin casilla — no se declara)"),IF(COUNTIFS(Reglas!$I$5:$I$118,IF(K54&lt;&gt;"",K54,J54),Reglas!$J$5:$J$118,"Sí")=0,"BLOQUEADO: CASILLA NO DIRECTA",IF(O54="","EXCLUIDO (valor borrado por el usuario)",IF(_xlfn.ISFORMULA(O54),IF(W54&lt;&gt;"","BORRADOR — VALOR SUGERIDO DIAN ⚠ VER ALERTA","BORRADOR — VALOR SUGERIDO DIAN"),IF(W54&lt;&gt;"","ACEPTADO ⚠ VER ALERTA","ACEPTADO"))))))))</f>
        <v/>
      </c>
      <c r="R54" s="218" t="n"/>
      <c r="S54" s="58">
        <f>IF(A54="","",IFERROR(--ISNUMBER(SEARCH("R28",G54)),0)+IFERROR(--ISNUMBER(SEARCH("R29",G54)),0)+IFERROR(--ISNUMBER(SEARCH("R30",G54)),0)+IFERROR(--ISNUMBER(SEARCH("R31",G54)),0)+IFERROR(--ISNUMBER(SEARCH("R32",G54)),0)+IFERROR(--ISNUMBER(SEARCH("R33",G54)),0)+IFERROR(--ISNUMBER(SEARCH("R34",G54)),0)+IFERROR(--ISNUMBER(SEARCH("R35",G54)),0)+IFERROR(--ISNUMBER(SEARCH("R36",G54)),0)+IFERROR(--ISNUMBER(SEARCH("R37",G54)),0)+IFERROR(--ISNUMBER(SEARCH("R38",G54)),0)+IFERROR(--ISNUMBER(SEARCH("R39",G54)),0)+IFERROR(--ISNUMBER(SEARCH("R40",G54)),0)+IFERROR(--ISNUMBER(SEARCH("R41",G54)),0)+IFERROR(--ISNUMBER(SEARCH("R42",G54)),0)+IFERROR(--ISNUMBER(SEARCH("R43",G54)),0)+IFERROR(--ISNUMBER(SEARCH("R44",G54)),0)+IFERROR(--ISNUMBER(SEARCH("R45",G54)),0)+IFERROR(--ISNUMBER(SEARCH("R46",G54)),0)+IFERROR(--ISNUMBER(SEARCH("R47",G54)),0)+IFERROR(--ISNUMBER(SEARCH("R48",G54)),0)+IFERROR(--ISNUMBER(SEARCH("R49",G54)),0)+IFERROR(--ISNUMBER(SEARCH("R50",G54)),0)+IFERROR(--ISNUMBER(SEARCH("R51",G54)),0)+IFERROR(--ISNUMBER(SEARCH("R52",G54)),0)+IFERROR(--ISNUMBER(SEARCH("R53",G54)),0)+IFERROR(--ISNUMBER(SEARCH("R54",G54)),0)+IFERROR(--ISNUMBER(SEARCH("R55",G54)),0)+IFERROR(--ISNUMBER(SEARCH("R56",G54)),0)+IFERROR(--ISNUMBER(SEARCH("R57",G54)),0)+IFERROR(--ISNUMBER(SEARCH("R58",G54)),0)+IFERROR(--ISNUMBER(SEARCH("R59",G54)),0)+IFERROR(--ISNUMBER(SEARCH("R60",G54)),0)+IFERROR(--ISNUMBER(SEARCH("R61",G54)),0)+IFERROR(--ISNUMBER(SEARCH("R62",G54)),0)+IFERROR(--ISNUMBER(SEARCH("R63",G54)),0)+IFERROR(--ISNUMBER(SEARCH("R64",G54)),0)+IFERROR(--ISNUMBER(SEARCH("R65",G54)),0)+IFERROR(--ISNUMBER(SEARCH("R66",G54)),0)+IFERROR(--ISNUMBER(SEARCH("R67",G54)),0)+IFERROR(--ISNUMBER(SEARCH("R68",G54)),0)+IFERROR(--ISNUMBER(SEARCH("R69",G54)),0)+IFERROR(--ISNUMBER(SEARCH("R70",G54)),0)+IFERROR(--ISNUMBER(SEARCH("R71",G54)),0)+IFERROR(--ISNUMBER(SEARCH("R72",G54)),0)+IFERROR(--ISNUMBER(SEARCH("R73",G54)),0)+IFERROR(--ISNUMBER(SEARCH("R74",G54)),0)+IFERROR(--ISNUMBER(SEARCH("R75",G54)),0)+IFERROR(--ISNUMBER(SEARCH("R76",G54)),0)+IFERROR(--ISNUMBER(SEARCH("R77",G54)),0)+IFERROR(--ISNUMBER(SEARCH("R78",G54)),0)+IFERROR(--ISNUMBER(SEARCH("R79",G54)),0)+IFERROR(--ISNUMBER(SEARCH("R80",G54)),0)+IFERROR(--ISNUMBER(SEARCH("R81",G54)),0)+IFERROR(--ISNUMBER(SEARCH("R82",G54)),0)+IFERROR(--ISNUMBER(SEARCH("R83",G54)),0)+IFERROR(--ISNUMBER(SEARCH("R84",G54)),0)+IFERROR(--ISNUMBER(SEARCH("R85",G54)),0)+IFERROR(--ISNUMBER(SEARCH("R86",G54)),0)+IFERROR(--ISNUMBER(SEARCH("R87",G54)),0)+IFERROR(--ISNUMBER(SEARCH("R88",G54)),0)+IFERROR(--ISNUMBER(SEARCH("R89",G54)),0)+IFERROR(--ISNUMBER(SEARCH("R90",G54)),0)+IFERROR(--ISNUMBER(SEARCH("R91",G54)),0)+IFERROR(--ISNUMBER(SEARCH("R92",G54)),0)+IFERROR(--ISNUMBER(SEARCH("R93",G54)),0)+IFERROR(--ISNUMBER(SEARCH("R94",G54)),0)+IFERROR(--ISNUMBER(SEARCH("R95",G54)),0)+IFERROR(--ISNUMBER(SEARCH("R96",G54)),0)+IFERROR(--ISNUMBER(SEARCH("R97",G54)),0)+IFERROR(--ISNUMBER(SEARCH("R98",G54)),0)+IFERROR(--ISNUMBER(SEARCH("R99",G54)),0)+IFERROR(--ISNUMBER(SEARCH("R100",G54)),0)+IFERROR(--ISNUMBER(SEARCH("R101",G54)),0)+IFERROR(--ISNUMBER(SEARCH("R102",G54)),0)+IFERROR(--ISNUMBER(SEARCH("R103",G54)),0)+IFERROR(--ISNUMBER(SEARCH("R104",G54)),0)+IFERROR(--ISNUMBER(SEARCH("R105",G54)),0)+IFERROR(--ISNUMBER(SEARCH("R106",G54)),0)+IFERROR(--ISNUMBER(SEARCH("R107",G54)),0)+IFERROR(--ISNUMBER(SEARCH("R108",G54)),0)+IFERROR(--ISNUMBER(SEARCH("R109",G54)),0)+IFERROR(--ISNUMBER(SEARCH("R110",G54)),0)+IFERROR(--ISNUMBER(SEARCH("R111",G54)),0)+IFERROR(--ISNUMBER(SEARCH("R112",G54)),0)+IFERROR(--ISNUMBER(SEARCH("R113",G54)),0)+IFERROR(--ISNUMBER(SEARCH("R114",G54)),0)+IFERROR(--ISNUMBER(SEARCH("R115",G54)),0)+IFERROR(--ISNUMBER(SEARCH("R116",G54)),0)+IFERROR(--ISNUMBER(SEARCH("R117",G54)),0)+IFERROR(--ISNUMBER(SEARCH("R118",G54)),0)+IFERROR(--ISNUMBER(SEARCH("R119",G54)),0)+IFERROR(--ISNUMBER(SEARCH("R120",G54)),0)+IFERROR(--ISNUMBER(SEARCH("R121",G54)),0)+IFERROR(--ISNUMBER(SEARCH("R122",G54)),0)+IFERROR(--ISNUMBER(SEARCH("R123",G54)),0)+IFERROR(--ISNUMBER(SEARCH("R124",G54)),0)+IFERROR(--ISNUMBER(SEARCH("R125",G54)),0)+IFERROR(--ISNUMBER(SEARCH("R126",G54)),0)+IFERROR(--ISNUMBER(SEARCH("R127",G54)),0)+IFERROR(--ISNUMBER(SEARCH("R128",G54)),0)+IFERROR(--ISNUMBER(SEARCH("R129",G54)),0)+IFERROR(--ISNUMBER(SEARCH("R130",G54)),0)+IFERROR(--ISNUMBER(SEARCH("R131",G54)),0)+IFERROR(--ISNUMBER(SEARCH("R132",G54)),0)+IFERROR(--ISNUMBER(SEARCH("R133",G54)),0)+IFERROR(--ISNUMBER(SEARCH("R134",G54)),0)+IFERROR(--ISNUMBER(SEARCH("R135",G54)),0)+IFERROR(--ISNUMBER(SEARCH("R136",G54)),0)+IFERROR(--ISNUMBER(SEARCH("R137",G54)),0)+IFERROR(--ISNUMBER(SEARCH("R138",G54)),0)+IFERROR(--ISNUMBER(SEARCH("R139",G54)),0)+IFERROR(--ISNUMBER(SEARCH("R140",G54)),0)+IFERROR(--ISNUMBER(SEARCH("R141",G54)),0))</f>
        <v/>
      </c>
      <c r="T54" s="58">
        <f>IF(A54="","",IFERROR(--ISNUMBER(SEARCH("R28",G54)),0)+IFERROR(--ISNUMBER(SEARCH("R29",G54)),0)+IFERROR(--ISNUMBER(SEARCH("R30",G54)),0)+IFERROR(--ISNUMBER(SEARCH("R32",G54)),0)+IFERROR(--ISNUMBER(SEARCH("R33",G54)),0)+IFERROR(--ISNUMBER(SEARCH("R35",G54)),0)+IFERROR(--ISNUMBER(SEARCH("R36",G54)),0)+IFERROR(--ISNUMBER(SEARCH("R38",G54)),0)+IFERROR(--ISNUMBER(SEARCH("R39",G54)),0)+IFERROR(--ISNUMBER(SEARCH("R43",G54)),0)+IFERROR(--ISNUMBER(SEARCH("R44",G54)),0)+IFERROR(--ISNUMBER(SEARCH("R45",G54)),0)+IFERROR(--ISNUMBER(SEARCH("R47",G54)),0)+IFERROR(--ISNUMBER(SEARCH("R48",G54)),0)+IFERROR(--ISNUMBER(SEARCH("R50",G54)),0)+IFERROR(--ISNUMBER(SEARCH("R51",G54)),0)+IFERROR(--ISNUMBER(SEARCH("R56",G54)),0)+IFERROR(--ISNUMBER(SEARCH("R58",G54)),0)+IFERROR(--ISNUMBER(SEARCH("R59",G54)),0)+IFERROR(--ISNUMBER(SEARCH("R60",G54)),0)+IFERROR(--ISNUMBER(SEARCH("R62",G54)),0)+IFERROR(--ISNUMBER(SEARCH("R63",G54)),0)+IFERROR(--ISNUMBER(SEARCH("R64",G54)),0)+IFERROR(--ISNUMBER(SEARCH("R66",G54)),0)+IFERROR(--ISNUMBER(SEARCH("R67",G54)),0)+IFERROR(--ISNUMBER(SEARCH("R72",G54)),0)+IFERROR(--ISNUMBER(SEARCH("R74",G54)),0)+IFERROR(--ISNUMBER(SEARCH("R75",G54)),0)+IFERROR(--ISNUMBER(SEARCH("R76",G54)),0)+IFERROR(--ISNUMBER(SEARCH("R77",G54)),0)+IFERROR(--ISNUMBER(SEARCH("R79",G54)),0)+IFERROR(--ISNUMBER(SEARCH("R80",G54)),0)+IFERROR(--ISNUMBER(SEARCH("R81",G54)),0)+IFERROR(--ISNUMBER(SEARCH("R83",G54)),0)+IFERROR(--ISNUMBER(SEARCH("R84",G54)),0)+IFERROR(--ISNUMBER(SEARCH("R89",G54)),0)+IFERROR(--ISNUMBER(SEARCH("R94",G54)),0)+IFERROR(--ISNUMBER(SEARCH("R95",G54)),0)+IFERROR(--ISNUMBER(SEARCH("R96",G54)),0)+IFERROR(--ISNUMBER(SEARCH("R98",G54)),0)+IFERROR(--ISNUMBER(SEARCH("R99",G54)),0)+IFERROR(--ISNUMBER(SEARCH("R100",G54)),0)+IFERROR(--ISNUMBER(SEARCH("R104",G54)),0)+IFERROR(--ISNUMBER(SEARCH("R105",G54)),0)+IFERROR(--ISNUMBER(SEARCH("R107",G54)),0)+IFERROR(--ISNUMBER(SEARCH("R108",G54)),0)+IFERROR(--ISNUMBER(SEARCH("R109",G54)),0)+IFERROR(--ISNUMBER(SEARCH("R110",G54)),0)+IFERROR(--ISNUMBER(SEARCH("R112",G54)),0)+IFERROR(--ISNUMBER(SEARCH("R113",G54)),0)+IFERROR(--ISNUMBER(SEARCH("R114",G54)),0)+IFERROR(--ISNUMBER(SEARCH("R118",G54)),0)+IFERROR(--ISNUMBER(SEARCH("R119",G54)),0)+IFERROR(--ISNUMBER(SEARCH("R120",G54)),0)+IFERROR(--ISNUMBER(SEARCH("R122",G54)),0)+IFERROR(--ISNUMBER(SEARCH("R123",G54)),0)+IFERROR(--ISNUMBER(SEARCH("R124",G54)),0)+IFERROR(--ISNUMBER(SEARCH("R128",G54)),0)+IFERROR(--ISNUMBER(SEARCH("R130",G54)),0)+IFERROR(--ISNUMBER(SEARCH("R131",G54)),0)+IFERROR(--ISNUMBER(SEARCH("R132",G54)),0)+IFERROR(--ISNUMBER(SEARCH("R135",G54)),0)+IFERROR(--ISNUMBER(SEARCH("R138",G54)),0)+IFERROR(--ISNUMBER(SEARCH("R141",G54)),0))</f>
        <v/>
      </c>
      <c r="U54" s="58">
        <f>IF(A54="","",IFERROR(--ISNUMBER(SEARCH("R28",G54))*28,0)+IFERROR(--ISNUMBER(SEARCH("R29",G54))*29,0)+IFERROR(--ISNUMBER(SEARCH("R30",G54))*30,0)+IFERROR(--ISNUMBER(SEARCH("R31",G54))*31,0)+IFERROR(--ISNUMBER(SEARCH("R32",G54))*32,0)+IFERROR(--ISNUMBER(SEARCH("R33",G54))*33,0)+IFERROR(--ISNUMBER(SEARCH("R34",G54))*34,0)+IFERROR(--ISNUMBER(SEARCH("R35",G54))*35,0)+IFERROR(--ISNUMBER(SEARCH("R36",G54))*36,0)+IFERROR(--ISNUMBER(SEARCH("R37",G54))*37,0)+IFERROR(--ISNUMBER(SEARCH("R38",G54))*38,0)+IFERROR(--ISNUMBER(SEARCH("R39",G54))*39,0)+IFERROR(--ISNUMBER(SEARCH("R40",G54))*40,0)+IFERROR(--ISNUMBER(SEARCH("R41",G54))*41,0)+IFERROR(--ISNUMBER(SEARCH("R42",G54))*42,0)+IFERROR(--ISNUMBER(SEARCH("R43",G54))*43,0)+IFERROR(--ISNUMBER(SEARCH("R44",G54))*44,0)+IFERROR(--ISNUMBER(SEARCH("R45",G54))*45,0)+IFERROR(--ISNUMBER(SEARCH("R46",G54))*46,0)+IFERROR(--ISNUMBER(SEARCH("R47",G54))*47,0)+IFERROR(--ISNUMBER(SEARCH("R48",G54))*48,0)+IFERROR(--ISNUMBER(SEARCH("R49",G54))*49,0)+IFERROR(--ISNUMBER(SEARCH("R50",G54))*50,0)+IFERROR(--ISNUMBER(SEARCH("R51",G54))*51,0)+IFERROR(--ISNUMBER(SEARCH("R52",G54))*52,0)+IFERROR(--ISNUMBER(SEARCH("R53",G54))*53,0)+IFERROR(--ISNUMBER(SEARCH("R54",G54))*54,0)+IFERROR(--ISNUMBER(SEARCH("R55",G54))*55,0)+IFERROR(--ISNUMBER(SEARCH("R56",G54))*56,0)+IFERROR(--ISNUMBER(SEARCH("R57",G54))*57,0)+IFERROR(--ISNUMBER(SEARCH("R58",G54))*58,0)+IFERROR(--ISNUMBER(SEARCH("R59",G54))*59,0)+IFERROR(--ISNUMBER(SEARCH("R60",G54))*60,0)+IFERROR(--ISNUMBER(SEARCH("R61",G54))*61,0)+IFERROR(--ISNUMBER(SEARCH("R62",G54))*62,0)+IFERROR(--ISNUMBER(SEARCH("R63",G54))*63,0)+IFERROR(--ISNUMBER(SEARCH("R64",G54))*64,0)+IFERROR(--ISNUMBER(SEARCH("R65",G54))*65,0)+IFERROR(--ISNUMBER(SEARCH("R66",G54))*66,0)+IFERROR(--ISNUMBER(SEARCH("R67",G54))*67,0)+IFERROR(--ISNUMBER(SEARCH("R68",G54))*68,0)+IFERROR(--ISNUMBER(SEARCH("R69",G54))*69,0)+IFERROR(--ISNUMBER(SEARCH("R70",G54))*70,0)+IFERROR(--ISNUMBER(SEARCH("R71",G54))*71,0)+IFERROR(--ISNUMBER(SEARCH("R72",G54))*72,0)+IFERROR(--ISNUMBER(SEARCH("R73",G54))*73,0)+IFERROR(--ISNUMBER(SEARCH("R74",G54))*74,0)+IFERROR(--ISNUMBER(SEARCH("R75",G54))*75,0)+IFERROR(--ISNUMBER(SEARCH("R76",G54))*76,0)+IFERROR(--ISNUMBER(SEARCH("R77",G54))*77,0)+IFERROR(--ISNUMBER(SEARCH("R78",G54))*78,0)+IFERROR(--ISNUMBER(SEARCH("R79",G54))*79,0)+IFERROR(--ISNUMBER(SEARCH("R80",G54))*80,0)+IFERROR(--ISNUMBER(SEARCH("R81",G54))*81,0)+IFERROR(--ISNUMBER(SEARCH("R82",G54))*82,0)+IFERROR(--ISNUMBER(SEARCH("R83",G54))*83,0)+IFERROR(--ISNUMBER(SEARCH("R84",G54))*84,0)+IFERROR(--ISNUMBER(SEARCH("R85",G54))*85,0)+IFERROR(--ISNUMBER(SEARCH("R86",G54))*86,0)+IFERROR(--ISNUMBER(SEARCH("R87",G54))*87,0)+IFERROR(--ISNUMBER(SEARCH("R88",G54))*88,0)+IFERROR(--ISNUMBER(SEARCH("R89",G54))*89,0)+IFERROR(--ISNUMBER(SEARCH("R90",G54))*90,0)+IFERROR(--ISNUMBER(SEARCH("R91",G54))*91,0)+IFERROR(--ISNUMBER(SEARCH("R92",G54))*92,0)+IFERROR(--ISNUMBER(SEARCH("R93",G54))*93,0)+IFERROR(--ISNUMBER(SEARCH("R94",G54))*94,0)+IFERROR(--ISNUMBER(SEARCH("R95",G54))*95,0)+IFERROR(--ISNUMBER(SEARCH("R96",G54))*96,0)+IFERROR(--ISNUMBER(SEARCH("R97",G54))*97,0)+IFERROR(--ISNUMBER(SEARCH("R98",G54))*98,0)+IFERROR(--ISNUMBER(SEARCH("R99",G54))*99,0)+IFERROR(--ISNUMBER(SEARCH("R100",G54))*100,0)+IFERROR(--ISNUMBER(SEARCH("R101",G54))*101,0)+IFERROR(--ISNUMBER(SEARCH("R102",G54))*102,0)+IFERROR(--ISNUMBER(SEARCH("R103",G54))*103,0)+IFERROR(--ISNUMBER(SEARCH("R104",G54))*104,0)+IFERROR(--ISNUMBER(SEARCH("R105",G54))*105,0)+IFERROR(--ISNUMBER(SEARCH("R106",G54))*106,0)+IFERROR(--ISNUMBER(SEARCH("R107",G54))*107,0)+IFERROR(--ISNUMBER(SEARCH("R108",G54))*108,0)+IFERROR(--ISNUMBER(SEARCH("R109",G54))*109,0)+IFERROR(--ISNUMBER(SEARCH("R110",G54))*110,0)+IFERROR(--ISNUMBER(SEARCH("R111",G54))*111,0)+IFERROR(--ISNUMBER(SEARCH("R112",G54))*112,0)+IFERROR(--ISNUMBER(SEARCH("R113",G54))*113,0)+IFERROR(--ISNUMBER(SEARCH("R114",G54))*114,0)+IFERROR(--ISNUMBER(SEARCH("R115",G54))*115,0)+IFERROR(--ISNUMBER(SEARCH("R116",G54))*116,0)+IFERROR(--ISNUMBER(SEARCH("R117",G54))*117,0)+IFERROR(--ISNUMBER(SEARCH("R118",G54))*118,0)+IFERROR(--ISNUMBER(SEARCH("R119",G54))*119,0)+IFERROR(--ISNUMBER(SEARCH("R120",G54))*120,0)+IFERROR(--ISNUMBER(SEARCH("R121",G54))*121,0)+IFERROR(--ISNUMBER(SEARCH("R122",G54))*122,0)+IFERROR(--ISNUMBER(SEARCH("R123",G54))*123,0)+IFERROR(--ISNUMBER(SEARCH("R124",G54))*124,0)+IFERROR(--ISNUMBER(SEARCH("R125",G54))*125,0)+IFERROR(--ISNUMBER(SEARCH("R126",G54))*126,0)+IFERROR(--ISNUMBER(SEARCH("R127",G54))*127,0)+IFERROR(--ISNUMBER(SEARCH("R128",G54))*128,0)+IFERROR(--ISNUMBER(SEARCH("R129",G54))*129,0)+IFERROR(--ISNUMBER(SEARCH("R130",G54))*130,0)+IFERROR(--ISNUMBER(SEARCH("R131",G54))*131,0)+IFERROR(--ISNUMBER(SEARCH("R132",G54))*132,0)+IFERROR(--ISNUMBER(SEARCH("R133",G54))*133,0)+IFERROR(--ISNUMBER(SEARCH("R134",G54))*134,0)+IFERROR(--ISNUMBER(SEARCH("R135",G54))*135,0)+IFERROR(--ISNUMBER(SEARCH("R136",G54))*136,0)+IFERROR(--ISNUMBER(SEARCH("R137",G54))*137,0)+IFERROR(--ISNUMBER(SEARCH("R138",G54))*138,0)+IFERROR(--ISNUMBER(SEARCH("R139",G54))*139,0)+IFERROR(--ISNUMBER(SEARCH("R140",G54))*140,0)+IFERROR(--ISNUMBER(SEARCH("R141",G54))*141,0))</f>
        <v/>
      </c>
      <c r="V54" s="59">
        <f>IF(A54="","",IF(K54&lt;&gt;"",K54,J54))</f>
        <v/>
      </c>
      <c r="W54" s="59">
        <f>IF(A54="","",IF(AND(V54=29,O54&lt;&gt;"",COUNTIFS($V$6:$V$505,29,$F$6:$F$505,F54,$C$6:$C$505,C54,$O$6:$O$505,"&lt;&gt;")&gt;1),IF(COUNTIFS($V$6:V54,29,$F$6:F54,F54,$C$6:C54,C54,$O$6:O54,"&lt;&gt;")=1,"Esta es la fila que se debe CONSERVAR (aparición 1 de "&amp;COUNTIFS($V$6:$V$505,29,$F$6:$F$505,F54,$C$6:$C$505,C54,$O$6:$O$505,"&lt;&gt;")&amp;" con el mismo tercero y valor, casilla 29). Si hay más filas iguales, bórreles el valor a ELLAS, no a esta.","DUPLICADO — ya existe otra fila con el mismo tercero y valor para casilla 29 (aparición "&amp;COUNTIFS($V$6:V54,29,$F$6:F54,F54,$C$6:C54,C54,$O$6:O54,"&lt;&gt;")&amp;" de "&amp;COUNTIFS($V$6:$V$505,29,$F$6:$F$505,F54,$C$6:$C$505,C54,$O$6:$O$505,"&lt;&gt;")&amp;"). Para resolverlo: seleccione la celda O"&amp;ROW()&amp;" (columna Valor a declarar de ESTA fila) y presione Supr."),""))</f>
        <v/>
      </c>
      <c r="X54" s="463">
        <f>IF(A54="","",F54)</f>
        <v/>
      </c>
      <c r="Y54" s="463">
        <f>IF(A54="","",SUMIF(Entrada_Manual!$I$88:$I$187,A54,Entrada_Manual!$F$88:$F$187))</f>
        <v/>
      </c>
      <c r="Z54" s="463">
        <f>IF(A54="","",X54-Y54)</f>
        <v/>
      </c>
      <c r="AA54">
        <f>IF(A54="","",SUMPRODUCT((Entrada_Manual!$I$88:$I$187=A54)*1))</f>
        <v/>
      </c>
      <c r="AB54">
        <f>IF(A54="","",IF(S54&lt;=1,"",IF(AA54=0,"PENDIENTE — SIN ASIGNAR",IF(Z54=0,"RESUELTO","PARCIAL — DIFERENCIA "&amp;TEXT(Z54,"#,##0")))))</f>
        <v/>
      </c>
    </row>
    <row r="55" ht="42.75" customHeight="1" s="235">
      <c r="A55" s="47">
        <f>IF(Exogena_RAW!E64&lt;&gt;"",ROW()-5,"")</f>
        <v/>
      </c>
      <c r="B55" s="48">
        <f>IF(A55="","",64)</f>
        <v/>
      </c>
      <c r="C55" s="48">
        <f>IF(A55="","",IFERROR(Exogena_RAW!A64,""))</f>
        <v/>
      </c>
      <c r="D55" s="48">
        <f>IF(A55="","",IFERROR(Exogena_RAW!B64,""))</f>
        <v/>
      </c>
      <c r="E55" s="48">
        <f>IF(A55="","",Exogena_RAW!E64)</f>
        <v/>
      </c>
      <c r="F55" s="461">
        <f>IF(A55="","",Exogena_RAW!F64)</f>
        <v/>
      </c>
      <c r="G55" s="48">
        <f>IF(A55="","",IFERROR(Exogena_RAW!G64,""))</f>
        <v/>
      </c>
      <c r="H55" s="48">
        <f>IF(A55="","",IFERROR(Exogena_RAW!H64,""))</f>
        <v/>
      </c>
      <c r="I55" s="48">
        <f>IF(A55="","",IFERROR(IF(S55&gt;1,"VARIAS CASILLAS",IF(S55=1,IF(T55=1,"PROPUESTA DE CASILLA","REVISIÓN: CASILLA NO DIRECTA"),IF(OR(ISNUMBER(SEARCH("TOPE",UPPER(E55))),ISNUMBER(SEARCH("TOPE",UPPER(G55)))),"SOLO CONTROL",IF(ISNUMBER(SEARCH("RETEN",UPPER(E55))),"RETENCIÓN","REVISAR")))),"REVISAR"))</f>
        <v/>
      </c>
      <c r="J55" s="48">
        <f>IF(A55="","",IF(ISNUMBER(SEARCH("ingreso laboral promedio de los últimos seis meses",E55)),"",IFERROR(IF(AND(S55=1,T55=1),U55,""),"")))</f>
        <v/>
      </c>
      <c r="K55" s="216" t="n"/>
      <c r="L55" s="48">
        <f>IF(A55="","",IFERROR(IF(K55&lt;&gt;"","Casilla elegida por usuario",IF(S55&gt;1,"Varias casillas — elegir en K",IF(J55&lt;&gt;"","Sugerencia directa",IF(S55=1,"No trasladar directo — revisar",IF(OR(ISNUMBER(SEARCH("TOPE",UPPER(E55))),ISNUMBER(SEARCH("TOPE",UPPER(G55)))),"Solo control","Revisar manualmente"))))),"Revisar manualmente"))</f>
        <v/>
      </c>
      <c r="M55" s="461">
        <f>IF(A55="","",IF(IF(K55&lt;&gt;"",K55,J55)="",0,IF(COUNTIFS(Reglas!$I$5:$I$118,IF(K55&lt;&gt;"",K55,J55),Reglas!$J$5:$J$118,"Sí")=1,F55,0)))</f>
        <v/>
      </c>
      <c r="N55" s="56" t="n"/>
      <c r="O55" s="462">
        <f>IF(A55="","",IF(M55=0,"",M55))</f>
        <v/>
      </c>
      <c r="P55" s="461">
        <f>IF(A55="","",IF(O55="",0,IF(ISNUMBER(O55),O55,0)))</f>
        <v/>
      </c>
      <c r="Q55" s="48">
        <f>IF(A55="","",IF(Exogena_RAW!$C$4="","BLOQUEADO: FALTA AÑO",IF(Exogena_RAW!$K$10&lt;&gt;Reglas!$B$5,"BLOQUEADO: AÑO",IF(IF(K55&lt;&gt;"",K55,J55)="",IF(S55&gt;1,"REQUIERE ASIGNACIÓN MANUAL (VARIAS CASILLAS)","INFORMATIVO (sin casilla — no se declara)"),IF(COUNTIFS(Reglas!$I$5:$I$118,IF(K55&lt;&gt;"",K55,J55),Reglas!$J$5:$J$118,"Sí")=0,"BLOQUEADO: CASILLA NO DIRECTA",IF(O55="","EXCLUIDO (valor borrado por el usuario)",IF(_xlfn.ISFORMULA(O55),IF(W55&lt;&gt;"","BORRADOR — VALOR SUGERIDO DIAN ⚠ VER ALERTA","BORRADOR — VALOR SUGERIDO DIAN"),IF(W55&lt;&gt;"","ACEPTADO ⚠ VER ALERTA","ACEPTADO"))))))))</f>
        <v/>
      </c>
      <c r="R55" s="218" t="n"/>
      <c r="S55" s="58">
        <f>IF(A55="","",IFERROR(--ISNUMBER(SEARCH("R28",G55)),0)+IFERROR(--ISNUMBER(SEARCH("R29",G55)),0)+IFERROR(--ISNUMBER(SEARCH("R30",G55)),0)+IFERROR(--ISNUMBER(SEARCH("R31",G55)),0)+IFERROR(--ISNUMBER(SEARCH("R32",G55)),0)+IFERROR(--ISNUMBER(SEARCH("R33",G55)),0)+IFERROR(--ISNUMBER(SEARCH("R34",G55)),0)+IFERROR(--ISNUMBER(SEARCH("R35",G55)),0)+IFERROR(--ISNUMBER(SEARCH("R36",G55)),0)+IFERROR(--ISNUMBER(SEARCH("R37",G55)),0)+IFERROR(--ISNUMBER(SEARCH("R38",G55)),0)+IFERROR(--ISNUMBER(SEARCH("R39",G55)),0)+IFERROR(--ISNUMBER(SEARCH("R40",G55)),0)+IFERROR(--ISNUMBER(SEARCH("R41",G55)),0)+IFERROR(--ISNUMBER(SEARCH("R42",G55)),0)+IFERROR(--ISNUMBER(SEARCH("R43",G55)),0)+IFERROR(--ISNUMBER(SEARCH("R44",G55)),0)+IFERROR(--ISNUMBER(SEARCH("R45",G55)),0)+IFERROR(--ISNUMBER(SEARCH("R46",G55)),0)+IFERROR(--ISNUMBER(SEARCH("R47",G55)),0)+IFERROR(--ISNUMBER(SEARCH("R48",G55)),0)+IFERROR(--ISNUMBER(SEARCH("R49",G55)),0)+IFERROR(--ISNUMBER(SEARCH("R50",G55)),0)+IFERROR(--ISNUMBER(SEARCH("R51",G55)),0)+IFERROR(--ISNUMBER(SEARCH("R52",G55)),0)+IFERROR(--ISNUMBER(SEARCH("R53",G55)),0)+IFERROR(--ISNUMBER(SEARCH("R54",G55)),0)+IFERROR(--ISNUMBER(SEARCH("R55",G55)),0)+IFERROR(--ISNUMBER(SEARCH("R56",G55)),0)+IFERROR(--ISNUMBER(SEARCH("R57",G55)),0)+IFERROR(--ISNUMBER(SEARCH("R58",G55)),0)+IFERROR(--ISNUMBER(SEARCH("R59",G55)),0)+IFERROR(--ISNUMBER(SEARCH("R60",G55)),0)+IFERROR(--ISNUMBER(SEARCH("R61",G55)),0)+IFERROR(--ISNUMBER(SEARCH("R62",G55)),0)+IFERROR(--ISNUMBER(SEARCH("R63",G55)),0)+IFERROR(--ISNUMBER(SEARCH("R64",G55)),0)+IFERROR(--ISNUMBER(SEARCH("R65",G55)),0)+IFERROR(--ISNUMBER(SEARCH("R66",G55)),0)+IFERROR(--ISNUMBER(SEARCH("R67",G55)),0)+IFERROR(--ISNUMBER(SEARCH("R68",G55)),0)+IFERROR(--ISNUMBER(SEARCH("R69",G55)),0)+IFERROR(--ISNUMBER(SEARCH("R70",G55)),0)+IFERROR(--ISNUMBER(SEARCH("R71",G55)),0)+IFERROR(--ISNUMBER(SEARCH("R72",G55)),0)+IFERROR(--ISNUMBER(SEARCH("R73",G55)),0)+IFERROR(--ISNUMBER(SEARCH("R74",G55)),0)+IFERROR(--ISNUMBER(SEARCH("R75",G55)),0)+IFERROR(--ISNUMBER(SEARCH("R76",G55)),0)+IFERROR(--ISNUMBER(SEARCH("R77",G55)),0)+IFERROR(--ISNUMBER(SEARCH("R78",G55)),0)+IFERROR(--ISNUMBER(SEARCH("R79",G55)),0)+IFERROR(--ISNUMBER(SEARCH("R80",G55)),0)+IFERROR(--ISNUMBER(SEARCH("R81",G55)),0)+IFERROR(--ISNUMBER(SEARCH("R82",G55)),0)+IFERROR(--ISNUMBER(SEARCH("R83",G55)),0)+IFERROR(--ISNUMBER(SEARCH("R84",G55)),0)+IFERROR(--ISNUMBER(SEARCH("R85",G55)),0)+IFERROR(--ISNUMBER(SEARCH("R86",G55)),0)+IFERROR(--ISNUMBER(SEARCH("R87",G55)),0)+IFERROR(--ISNUMBER(SEARCH("R88",G55)),0)+IFERROR(--ISNUMBER(SEARCH("R89",G55)),0)+IFERROR(--ISNUMBER(SEARCH("R90",G55)),0)+IFERROR(--ISNUMBER(SEARCH("R91",G55)),0)+IFERROR(--ISNUMBER(SEARCH("R92",G55)),0)+IFERROR(--ISNUMBER(SEARCH("R93",G55)),0)+IFERROR(--ISNUMBER(SEARCH("R94",G55)),0)+IFERROR(--ISNUMBER(SEARCH("R95",G55)),0)+IFERROR(--ISNUMBER(SEARCH("R96",G55)),0)+IFERROR(--ISNUMBER(SEARCH("R97",G55)),0)+IFERROR(--ISNUMBER(SEARCH("R98",G55)),0)+IFERROR(--ISNUMBER(SEARCH("R99",G55)),0)+IFERROR(--ISNUMBER(SEARCH("R100",G55)),0)+IFERROR(--ISNUMBER(SEARCH("R101",G55)),0)+IFERROR(--ISNUMBER(SEARCH("R102",G55)),0)+IFERROR(--ISNUMBER(SEARCH("R103",G55)),0)+IFERROR(--ISNUMBER(SEARCH("R104",G55)),0)+IFERROR(--ISNUMBER(SEARCH("R105",G55)),0)+IFERROR(--ISNUMBER(SEARCH("R106",G55)),0)+IFERROR(--ISNUMBER(SEARCH("R107",G55)),0)+IFERROR(--ISNUMBER(SEARCH("R108",G55)),0)+IFERROR(--ISNUMBER(SEARCH("R109",G55)),0)+IFERROR(--ISNUMBER(SEARCH("R110",G55)),0)+IFERROR(--ISNUMBER(SEARCH("R111",G55)),0)+IFERROR(--ISNUMBER(SEARCH("R112",G55)),0)+IFERROR(--ISNUMBER(SEARCH("R113",G55)),0)+IFERROR(--ISNUMBER(SEARCH("R114",G55)),0)+IFERROR(--ISNUMBER(SEARCH("R115",G55)),0)+IFERROR(--ISNUMBER(SEARCH("R116",G55)),0)+IFERROR(--ISNUMBER(SEARCH("R117",G55)),0)+IFERROR(--ISNUMBER(SEARCH("R118",G55)),0)+IFERROR(--ISNUMBER(SEARCH("R119",G55)),0)+IFERROR(--ISNUMBER(SEARCH("R120",G55)),0)+IFERROR(--ISNUMBER(SEARCH("R121",G55)),0)+IFERROR(--ISNUMBER(SEARCH("R122",G55)),0)+IFERROR(--ISNUMBER(SEARCH("R123",G55)),0)+IFERROR(--ISNUMBER(SEARCH("R124",G55)),0)+IFERROR(--ISNUMBER(SEARCH("R125",G55)),0)+IFERROR(--ISNUMBER(SEARCH("R126",G55)),0)+IFERROR(--ISNUMBER(SEARCH("R127",G55)),0)+IFERROR(--ISNUMBER(SEARCH("R128",G55)),0)+IFERROR(--ISNUMBER(SEARCH("R129",G55)),0)+IFERROR(--ISNUMBER(SEARCH("R130",G55)),0)+IFERROR(--ISNUMBER(SEARCH("R131",G55)),0)+IFERROR(--ISNUMBER(SEARCH("R132",G55)),0)+IFERROR(--ISNUMBER(SEARCH("R133",G55)),0)+IFERROR(--ISNUMBER(SEARCH("R134",G55)),0)+IFERROR(--ISNUMBER(SEARCH("R135",G55)),0)+IFERROR(--ISNUMBER(SEARCH("R136",G55)),0)+IFERROR(--ISNUMBER(SEARCH("R137",G55)),0)+IFERROR(--ISNUMBER(SEARCH("R138",G55)),0)+IFERROR(--ISNUMBER(SEARCH("R139",G55)),0)+IFERROR(--ISNUMBER(SEARCH("R140",G55)),0)+IFERROR(--ISNUMBER(SEARCH("R141",G55)),0))</f>
        <v/>
      </c>
      <c r="T55" s="58">
        <f>IF(A55="","",IFERROR(--ISNUMBER(SEARCH("R28",G55)),0)+IFERROR(--ISNUMBER(SEARCH("R29",G55)),0)+IFERROR(--ISNUMBER(SEARCH("R30",G55)),0)+IFERROR(--ISNUMBER(SEARCH("R32",G55)),0)+IFERROR(--ISNUMBER(SEARCH("R33",G55)),0)+IFERROR(--ISNUMBER(SEARCH("R35",G55)),0)+IFERROR(--ISNUMBER(SEARCH("R36",G55)),0)+IFERROR(--ISNUMBER(SEARCH("R38",G55)),0)+IFERROR(--ISNUMBER(SEARCH("R39",G55)),0)+IFERROR(--ISNUMBER(SEARCH("R43",G55)),0)+IFERROR(--ISNUMBER(SEARCH("R44",G55)),0)+IFERROR(--ISNUMBER(SEARCH("R45",G55)),0)+IFERROR(--ISNUMBER(SEARCH("R47",G55)),0)+IFERROR(--ISNUMBER(SEARCH("R48",G55)),0)+IFERROR(--ISNUMBER(SEARCH("R50",G55)),0)+IFERROR(--ISNUMBER(SEARCH("R51",G55)),0)+IFERROR(--ISNUMBER(SEARCH("R56",G55)),0)+IFERROR(--ISNUMBER(SEARCH("R58",G55)),0)+IFERROR(--ISNUMBER(SEARCH("R59",G55)),0)+IFERROR(--ISNUMBER(SEARCH("R60",G55)),0)+IFERROR(--ISNUMBER(SEARCH("R62",G55)),0)+IFERROR(--ISNUMBER(SEARCH("R63",G55)),0)+IFERROR(--ISNUMBER(SEARCH("R64",G55)),0)+IFERROR(--ISNUMBER(SEARCH("R66",G55)),0)+IFERROR(--ISNUMBER(SEARCH("R67",G55)),0)+IFERROR(--ISNUMBER(SEARCH("R72",G55)),0)+IFERROR(--ISNUMBER(SEARCH("R74",G55)),0)+IFERROR(--ISNUMBER(SEARCH("R75",G55)),0)+IFERROR(--ISNUMBER(SEARCH("R76",G55)),0)+IFERROR(--ISNUMBER(SEARCH("R77",G55)),0)+IFERROR(--ISNUMBER(SEARCH("R79",G55)),0)+IFERROR(--ISNUMBER(SEARCH("R80",G55)),0)+IFERROR(--ISNUMBER(SEARCH("R81",G55)),0)+IFERROR(--ISNUMBER(SEARCH("R83",G55)),0)+IFERROR(--ISNUMBER(SEARCH("R84",G55)),0)+IFERROR(--ISNUMBER(SEARCH("R89",G55)),0)+IFERROR(--ISNUMBER(SEARCH("R94",G55)),0)+IFERROR(--ISNUMBER(SEARCH("R95",G55)),0)+IFERROR(--ISNUMBER(SEARCH("R96",G55)),0)+IFERROR(--ISNUMBER(SEARCH("R98",G55)),0)+IFERROR(--ISNUMBER(SEARCH("R99",G55)),0)+IFERROR(--ISNUMBER(SEARCH("R100",G55)),0)+IFERROR(--ISNUMBER(SEARCH("R104",G55)),0)+IFERROR(--ISNUMBER(SEARCH("R105",G55)),0)+IFERROR(--ISNUMBER(SEARCH("R107",G55)),0)+IFERROR(--ISNUMBER(SEARCH("R108",G55)),0)+IFERROR(--ISNUMBER(SEARCH("R109",G55)),0)+IFERROR(--ISNUMBER(SEARCH("R110",G55)),0)+IFERROR(--ISNUMBER(SEARCH("R112",G55)),0)+IFERROR(--ISNUMBER(SEARCH("R113",G55)),0)+IFERROR(--ISNUMBER(SEARCH("R114",G55)),0)+IFERROR(--ISNUMBER(SEARCH("R118",G55)),0)+IFERROR(--ISNUMBER(SEARCH("R119",G55)),0)+IFERROR(--ISNUMBER(SEARCH("R120",G55)),0)+IFERROR(--ISNUMBER(SEARCH("R122",G55)),0)+IFERROR(--ISNUMBER(SEARCH("R123",G55)),0)+IFERROR(--ISNUMBER(SEARCH("R124",G55)),0)+IFERROR(--ISNUMBER(SEARCH("R128",G55)),0)+IFERROR(--ISNUMBER(SEARCH("R130",G55)),0)+IFERROR(--ISNUMBER(SEARCH("R131",G55)),0)+IFERROR(--ISNUMBER(SEARCH("R132",G55)),0)+IFERROR(--ISNUMBER(SEARCH("R135",G55)),0)+IFERROR(--ISNUMBER(SEARCH("R138",G55)),0)+IFERROR(--ISNUMBER(SEARCH("R141",G55)),0))</f>
        <v/>
      </c>
      <c r="U55" s="58">
        <f>IF(A55="","",IFERROR(--ISNUMBER(SEARCH("R28",G55))*28,0)+IFERROR(--ISNUMBER(SEARCH("R29",G55))*29,0)+IFERROR(--ISNUMBER(SEARCH("R30",G55))*30,0)+IFERROR(--ISNUMBER(SEARCH("R31",G55))*31,0)+IFERROR(--ISNUMBER(SEARCH("R32",G55))*32,0)+IFERROR(--ISNUMBER(SEARCH("R33",G55))*33,0)+IFERROR(--ISNUMBER(SEARCH("R34",G55))*34,0)+IFERROR(--ISNUMBER(SEARCH("R35",G55))*35,0)+IFERROR(--ISNUMBER(SEARCH("R36",G55))*36,0)+IFERROR(--ISNUMBER(SEARCH("R37",G55))*37,0)+IFERROR(--ISNUMBER(SEARCH("R38",G55))*38,0)+IFERROR(--ISNUMBER(SEARCH("R39",G55))*39,0)+IFERROR(--ISNUMBER(SEARCH("R40",G55))*40,0)+IFERROR(--ISNUMBER(SEARCH("R41",G55))*41,0)+IFERROR(--ISNUMBER(SEARCH("R42",G55))*42,0)+IFERROR(--ISNUMBER(SEARCH("R43",G55))*43,0)+IFERROR(--ISNUMBER(SEARCH("R44",G55))*44,0)+IFERROR(--ISNUMBER(SEARCH("R45",G55))*45,0)+IFERROR(--ISNUMBER(SEARCH("R46",G55))*46,0)+IFERROR(--ISNUMBER(SEARCH("R47",G55))*47,0)+IFERROR(--ISNUMBER(SEARCH("R48",G55))*48,0)+IFERROR(--ISNUMBER(SEARCH("R49",G55))*49,0)+IFERROR(--ISNUMBER(SEARCH("R50",G55))*50,0)+IFERROR(--ISNUMBER(SEARCH("R51",G55))*51,0)+IFERROR(--ISNUMBER(SEARCH("R52",G55))*52,0)+IFERROR(--ISNUMBER(SEARCH("R53",G55))*53,0)+IFERROR(--ISNUMBER(SEARCH("R54",G55))*54,0)+IFERROR(--ISNUMBER(SEARCH("R55",G55))*55,0)+IFERROR(--ISNUMBER(SEARCH("R56",G55))*56,0)+IFERROR(--ISNUMBER(SEARCH("R57",G55))*57,0)+IFERROR(--ISNUMBER(SEARCH("R58",G55))*58,0)+IFERROR(--ISNUMBER(SEARCH("R59",G55))*59,0)+IFERROR(--ISNUMBER(SEARCH("R60",G55))*60,0)+IFERROR(--ISNUMBER(SEARCH("R61",G55))*61,0)+IFERROR(--ISNUMBER(SEARCH("R62",G55))*62,0)+IFERROR(--ISNUMBER(SEARCH("R63",G55))*63,0)+IFERROR(--ISNUMBER(SEARCH("R64",G55))*64,0)+IFERROR(--ISNUMBER(SEARCH("R65",G55))*65,0)+IFERROR(--ISNUMBER(SEARCH("R66",G55))*66,0)+IFERROR(--ISNUMBER(SEARCH("R67",G55))*67,0)+IFERROR(--ISNUMBER(SEARCH("R68",G55))*68,0)+IFERROR(--ISNUMBER(SEARCH("R69",G55))*69,0)+IFERROR(--ISNUMBER(SEARCH("R70",G55))*70,0)+IFERROR(--ISNUMBER(SEARCH("R71",G55))*71,0)+IFERROR(--ISNUMBER(SEARCH("R72",G55))*72,0)+IFERROR(--ISNUMBER(SEARCH("R73",G55))*73,0)+IFERROR(--ISNUMBER(SEARCH("R74",G55))*74,0)+IFERROR(--ISNUMBER(SEARCH("R75",G55))*75,0)+IFERROR(--ISNUMBER(SEARCH("R76",G55))*76,0)+IFERROR(--ISNUMBER(SEARCH("R77",G55))*77,0)+IFERROR(--ISNUMBER(SEARCH("R78",G55))*78,0)+IFERROR(--ISNUMBER(SEARCH("R79",G55))*79,0)+IFERROR(--ISNUMBER(SEARCH("R80",G55))*80,0)+IFERROR(--ISNUMBER(SEARCH("R81",G55))*81,0)+IFERROR(--ISNUMBER(SEARCH("R82",G55))*82,0)+IFERROR(--ISNUMBER(SEARCH("R83",G55))*83,0)+IFERROR(--ISNUMBER(SEARCH("R84",G55))*84,0)+IFERROR(--ISNUMBER(SEARCH("R85",G55))*85,0)+IFERROR(--ISNUMBER(SEARCH("R86",G55))*86,0)+IFERROR(--ISNUMBER(SEARCH("R87",G55))*87,0)+IFERROR(--ISNUMBER(SEARCH("R88",G55))*88,0)+IFERROR(--ISNUMBER(SEARCH("R89",G55))*89,0)+IFERROR(--ISNUMBER(SEARCH("R90",G55))*90,0)+IFERROR(--ISNUMBER(SEARCH("R91",G55))*91,0)+IFERROR(--ISNUMBER(SEARCH("R92",G55))*92,0)+IFERROR(--ISNUMBER(SEARCH("R93",G55))*93,0)+IFERROR(--ISNUMBER(SEARCH("R94",G55))*94,0)+IFERROR(--ISNUMBER(SEARCH("R95",G55))*95,0)+IFERROR(--ISNUMBER(SEARCH("R96",G55))*96,0)+IFERROR(--ISNUMBER(SEARCH("R97",G55))*97,0)+IFERROR(--ISNUMBER(SEARCH("R98",G55))*98,0)+IFERROR(--ISNUMBER(SEARCH("R99",G55))*99,0)+IFERROR(--ISNUMBER(SEARCH("R100",G55))*100,0)+IFERROR(--ISNUMBER(SEARCH("R101",G55))*101,0)+IFERROR(--ISNUMBER(SEARCH("R102",G55))*102,0)+IFERROR(--ISNUMBER(SEARCH("R103",G55))*103,0)+IFERROR(--ISNUMBER(SEARCH("R104",G55))*104,0)+IFERROR(--ISNUMBER(SEARCH("R105",G55))*105,0)+IFERROR(--ISNUMBER(SEARCH("R106",G55))*106,0)+IFERROR(--ISNUMBER(SEARCH("R107",G55))*107,0)+IFERROR(--ISNUMBER(SEARCH("R108",G55))*108,0)+IFERROR(--ISNUMBER(SEARCH("R109",G55))*109,0)+IFERROR(--ISNUMBER(SEARCH("R110",G55))*110,0)+IFERROR(--ISNUMBER(SEARCH("R111",G55))*111,0)+IFERROR(--ISNUMBER(SEARCH("R112",G55))*112,0)+IFERROR(--ISNUMBER(SEARCH("R113",G55))*113,0)+IFERROR(--ISNUMBER(SEARCH("R114",G55))*114,0)+IFERROR(--ISNUMBER(SEARCH("R115",G55))*115,0)+IFERROR(--ISNUMBER(SEARCH("R116",G55))*116,0)+IFERROR(--ISNUMBER(SEARCH("R117",G55))*117,0)+IFERROR(--ISNUMBER(SEARCH("R118",G55))*118,0)+IFERROR(--ISNUMBER(SEARCH("R119",G55))*119,0)+IFERROR(--ISNUMBER(SEARCH("R120",G55))*120,0)+IFERROR(--ISNUMBER(SEARCH("R121",G55))*121,0)+IFERROR(--ISNUMBER(SEARCH("R122",G55))*122,0)+IFERROR(--ISNUMBER(SEARCH("R123",G55))*123,0)+IFERROR(--ISNUMBER(SEARCH("R124",G55))*124,0)+IFERROR(--ISNUMBER(SEARCH("R125",G55))*125,0)+IFERROR(--ISNUMBER(SEARCH("R126",G55))*126,0)+IFERROR(--ISNUMBER(SEARCH("R127",G55))*127,0)+IFERROR(--ISNUMBER(SEARCH("R128",G55))*128,0)+IFERROR(--ISNUMBER(SEARCH("R129",G55))*129,0)+IFERROR(--ISNUMBER(SEARCH("R130",G55))*130,0)+IFERROR(--ISNUMBER(SEARCH("R131",G55))*131,0)+IFERROR(--ISNUMBER(SEARCH("R132",G55))*132,0)+IFERROR(--ISNUMBER(SEARCH("R133",G55))*133,0)+IFERROR(--ISNUMBER(SEARCH("R134",G55))*134,0)+IFERROR(--ISNUMBER(SEARCH("R135",G55))*135,0)+IFERROR(--ISNUMBER(SEARCH("R136",G55))*136,0)+IFERROR(--ISNUMBER(SEARCH("R137",G55))*137,0)+IFERROR(--ISNUMBER(SEARCH("R138",G55))*138,0)+IFERROR(--ISNUMBER(SEARCH("R139",G55))*139,0)+IFERROR(--ISNUMBER(SEARCH("R140",G55))*140,0)+IFERROR(--ISNUMBER(SEARCH("R141",G55))*141,0))</f>
        <v/>
      </c>
      <c r="V55" s="59">
        <f>IF(A55="","",IF(K55&lt;&gt;"",K55,J55))</f>
        <v/>
      </c>
      <c r="W55" s="59">
        <f>IF(A55="","",IF(AND(V55=29,O55&lt;&gt;"",COUNTIFS($V$6:$V$505,29,$F$6:$F$505,F55,$C$6:$C$505,C55,$O$6:$O$505,"&lt;&gt;")&gt;1),IF(COUNTIFS($V$6:V55,29,$F$6:F55,F55,$C$6:C55,C55,$O$6:O55,"&lt;&gt;")=1,"Esta es la fila que se debe CONSERVAR (aparición 1 de "&amp;COUNTIFS($V$6:$V$505,29,$F$6:$F$505,F55,$C$6:$C$505,C55,$O$6:$O$505,"&lt;&gt;")&amp;" con el mismo tercero y valor, casilla 29). Si hay más filas iguales, bórreles el valor a ELLAS, no a esta.","DUPLICADO — ya existe otra fila con el mismo tercero y valor para casilla 29 (aparición "&amp;COUNTIFS($V$6:V55,29,$F$6:F55,F55,$C$6:C55,C55,$O$6:O55,"&lt;&gt;")&amp;" de "&amp;COUNTIFS($V$6:$V$505,29,$F$6:$F$505,F55,$C$6:$C$505,C55,$O$6:$O$505,"&lt;&gt;")&amp;"). Para resolverlo: seleccione la celda O"&amp;ROW()&amp;" (columna Valor a declarar de ESTA fila) y presione Supr."),""))</f>
        <v/>
      </c>
      <c r="X55" s="463">
        <f>IF(A55="","",F55)</f>
        <v/>
      </c>
      <c r="Y55" s="463">
        <f>IF(A55="","",SUMIF(Entrada_Manual!$I$88:$I$187,A55,Entrada_Manual!$F$88:$F$187))</f>
        <v/>
      </c>
      <c r="Z55" s="463">
        <f>IF(A55="","",X55-Y55)</f>
        <v/>
      </c>
      <c r="AA55">
        <f>IF(A55="","",SUMPRODUCT((Entrada_Manual!$I$88:$I$187=A55)*1))</f>
        <v/>
      </c>
      <c r="AB55">
        <f>IF(A55="","",IF(S55&lt;=1,"",IF(AA55=0,"PENDIENTE — SIN ASIGNAR",IF(Z55=0,"RESUELTO","PARCIAL — DIFERENCIA "&amp;TEXT(Z55,"#,##0")))))</f>
        <v/>
      </c>
    </row>
    <row r="56" ht="71.25" customHeight="1" s="235">
      <c r="A56" s="47">
        <f>IF(Exogena_RAW!E65&lt;&gt;"",ROW()-5,"")</f>
        <v/>
      </c>
      <c r="B56" s="48">
        <f>IF(A56="","",65)</f>
        <v/>
      </c>
      <c r="C56" s="48">
        <f>IF(A56="","",IFERROR(Exogena_RAW!A65,""))</f>
        <v/>
      </c>
      <c r="D56" s="48">
        <f>IF(A56="","",IFERROR(Exogena_RAW!B65,""))</f>
        <v/>
      </c>
      <c r="E56" s="48">
        <f>IF(A56="","",Exogena_RAW!E65)</f>
        <v/>
      </c>
      <c r="F56" s="461">
        <f>IF(A56="","",Exogena_RAW!F65)</f>
        <v/>
      </c>
      <c r="G56" s="48">
        <f>IF(A56="","",IFERROR(Exogena_RAW!G65,""))</f>
        <v/>
      </c>
      <c r="H56" s="48">
        <f>IF(A56="","",IFERROR(Exogena_RAW!H65,""))</f>
        <v/>
      </c>
      <c r="I56" s="48">
        <f>IF(A56="","",IFERROR(IF(S56&gt;1,"VARIAS CASILLAS",IF(S56=1,IF(T56=1,"PROPUESTA DE CASILLA","REVISIÓN: CASILLA NO DIRECTA"),IF(OR(ISNUMBER(SEARCH("TOPE",UPPER(E56))),ISNUMBER(SEARCH("TOPE",UPPER(G56)))),"SOLO CONTROL",IF(ISNUMBER(SEARCH("RETEN",UPPER(E56))),"RETENCIÓN","REVISAR")))),"REVISAR"))</f>
        <v/>
      </c>
      <c r="J56" s="48">
        <f>IF(A56="","",IF(ISNUMBER(SEARCH("ingreso laboral promedio de los últimos seis meses",E56)),"",IFERROR(IF(AND(S56=1,T56=1),U56,""),"")))</f>
        <v/>
      </c>
      <c r="K56" s="216" t="n"/>
      <c r="L56" s="48">
        <f>IF(A56="","",IFERROR(IF(K56&lt;&gt;"","Casilla elegida por usuario",IF(S56&gt;1,"Varias casillas — elegir en K",IF(J56&lt;&gt;"","Sugerencia directa",IF(S56=1,"No trasladar directo — revisar",IF(OR(ISNUMBER(SEARCH("TOPE",UPPER(E56))),ISNUMBER(SEARCH("TOPE",UPPER(G56)))),"Solo control","Revisar manualmente"))))),"Revisar manualmente"))</f>
        <v/>
      </c>
      <c r="M56" s="461">
        <f>IF(A56="","",IF(IF(K56&lt;&gt;"",K56,J56)="",0,IF(COUNTIFS(Reglas!$I$5:$I$118,IF(K56&lt;&gt;"",K56,J56),Reglas!$J$5:$J$118,"Sí")=1,F56,0)))</f>
        <v/>
      </c>
      <c r="N56" s="56" t="n"/>
      <c r="O56" s="462">
        <f>IF(A56="","",IF(M56=0,"",M56))</f>
        <v/>
      </c>
      <c r="P56" s="461">
        <f>IF(A56="","",IF(O56="",0,IF(ISNUMBER(O56),O56,0)))</f>
        <v/>
      </c>
      <c r="Q56" s="48">
        <f>IF(A56="","",IF(Exogena_RAW!$C$4="","BLOQUEADO: FALTA AÑO",IF(Exogena_RAW!$K$10&lt;&gt;Reglas!$B$5,"BLOQUEADO: AÑO",IF(IF(K56&lt;&gt;"",K56,J56)="",IF(S56&gt;1,"REQUIERE ASIGNACIÓN MANUAL (VARIAS CASILLAS)","INFORMATIVO (sin casilla — no se declara)"),IF(COUNTIFS(Reglas!$I$5:$I$118,IF(K56&lt;&gt;"",K56,J56),Reglas!$J$5:$J$118,"Sí")=0,"BLOQUEADO: CASILLA NO DIRECTA",IF(O56="","EXCLUIDO (valor borrado por el usuario)",IF(_xlfn.ISFORMULA(O56),IF(W56&lt;&gt;"","BORRADOR — VALOR SUGERIDO DIAN ⚠ VER ALERTA","BORRADOR — VALOR SUGERIDO DIAN"),IF(W56&lt;&gt;"","ACEPTADO ⚠ VER ALERTA","ACEPTADO"))))))))</f>
        <v/>
      </c>
      <c r="R56" s="218" t="n"/>
      <c r="S56" s="58">
        <f>IF(A56="","",IFERROR(--ISNUMBER(SEARCH("R28",G56)),0)+IFERROR(--ISNUMBER(SEARCH("R29",G56)),0)+IFERROR(--ISNUMBER(SEARCH("R30",G56)),0)+IFERROR(--ISNUMBER(SEARCH("R31",G56)),0)+IFERROR(--ISNUMBER(SEARCH("R32",G56)),0)+IFERROR(--ISNUMBER(SEARCH("R33",G56)),0)+IFERROR(--ISNUMBER(SEARCH("R34",G56)),0)+IFERROR(--ISNUMBER(SEARCH("R35",G56)),0)+IFERROR(--ISNUMBER(SEARCH("R36",G56)),0)+IFERROR(--ISNUMBER(SEARCH("R37",G56)),0)+IFERROR(--ISNUMBER(SEARCH("R38",G56)),0)+IFERROR(--ISNUMBER(SEARCH("R39",G56)),0)+IFERROR(--ISNUMBER(SEARCH("R40",G56)),0)+IFERROR(--ISNUMBER(SEARCH("R41",G56)),0)+IFERROR(--ISNUMBER(SEARCH("R42",G56)),0)+IFERROR(--ISNUMBER(SEARCH("R43",G56)),0)+IFERROR(--ISNUMBER(SEARCH("R44",G56)),0)+IFERROR(--ISNUMBER(SEARCH("R45",G56)),0)+IFERROR(--ISNUMBER(SEARCH("R46",G56)),0)+IFERROR(--ISNUMBER(SEARCH("R47",G56)),0)+IFERROR(--ISNUMBER(SEARCH("R48",G56)),0)+IFERROR(--ISNUMBER(SEARCH("R49",G56)),0)+IFERROR(--ISNUMBER(SEARCH("R50",G56)),0)+IFERROR(--ISNUMBER(SEARCH("R51",G56)),0)+IFERROR(--ISNUMBER(SEARCH("R52",G56)),0)+IFERROR(--ISNUMBER(SEARCH("R53",G56)),0)+IFERROR(--ISNUMBER(SEARCH("R54",G56)),0)+IFERROR(--ISNUMBER(SEARCH("R55",G56)),0)+IFERROR(--ISNUMBER(SEARCH("R56",G56)),0)+IFERROR(--ISNUMBER(SEARCH("R57",G56)),0)+IFERROR(--ISNUMBER(SEARCH("R58",G56)),0)+IFERROR(--ISNUMBER(SEARCH("R59",G56)),0)+IFERROR(--ISNUMBER(SEARCH("R60",G56)),0)+IFERROR(--ISNUMBER(SEARCH("R61",G56)),0)+IFERROR(--ISNUMBER(SEARCH("R62",G56)),0)+IFERROR(--ISNUMBER(SEARCH("R63",G56)),0)+IFERROR(--ISNUMBER(SEARCH("R64",G56)),0)+IFERROR(--ISNUMBER(SEARCH("R65",G56)),0)+IFERROR(--ISNUMBER(SEARCH("R66",G56)),0)+IFERROR(--ISNUMBER(SEARCH("R67",G56)),0)+IFERROR(--ISNUMBER(SEARCH("R68",G56)),0)+IFERROR(--ISNUMBER(SEARCH("R69",G56)),0)+IFERROR(--ISNUMBER(SEARCH("R70",G56)),0)+IFERROR(--ISNUMBER(SEARCH("R71",G56)),0)+IFERROR(--ISNUMBER(SEARCH("R72",G56)),0)+IFERROR(--ISNUMBER(SEARCH("R73",G56)),0)+IFERROR(--ISNUMBER(SEARCH("R74",G56)),0)+IFERROR(--ISNUMBER(SEARCH("R75",G56)),0)+IFERROR(--ISNUMBER(SEARCH("R76",G56)),0)+IFERROR(--ISNUMBER(SEARCH("R77",G56)),0)+IFERROR(--ISNUMBER(SEARCH("R78",G56)),0)+IFERROR(--ISNUMBER(SEARCH("R79",G56)),0)+IFERROR(--ISNUMBER(SEARCH("R80",G56)),0)+IFERROR(--ISNUMBER(SEARCH("R81",G56)),0)+IFERROR(--ISNUMBER(SEARCH("R82",G56)),0)+IFERROR(--ISNUMBER(SEARCH("R83",G56)),0)+IFERROR(--ISNUMBER(SEARCH("R84",G56)),0)+IFERROR(--ISNUMBER(SEARCH("R85",G56)),0)+IFERROR(--ISNUMBER(SEARCH("R86",G56)),0)+IFERROR(--ISNUMBER(SEARCH("R87",G56)),0)+IFERROR(--ISNUMBER(SEARCH("R88",G56)),0)+IFERROR(--ISNUMBER(SEARCH("R89",G56)),0)+IFERROR(--ISNUMBER(SEARCH("R90",G56)),0)+IFERROR(--ISNUMBER(SEARCH("R91",G56)),0)+IFERROR(--ISNUMBER(SEARCH("R92",G56)),0)+IFERROR(--ISNUMBER(SEARCH("R93",G56)),0)+IFERROR(--ISNUMBER(SEARCH("R94",G56)),0)+IFERROR(--ISNUMBER(SEARCH("R95",G56)),0)+IFERROR(--ISNUMBER(SEARCH("R96",G56)),0)+IFERROR(--ISNUMBER(SEARCH("R97",G56)),0)+IFERROR(--ISNUMBER(SEARCH("R98",G56)),0)+IFERROR(--ISNUMBER(SEARCH("R99",G56)),0)+IFERROR(--ISNUMBER(SEARCH("R100",G56)),0)+IFERROR(--ISNUMBER(SEARCH("R101",G56)),0)+IFERROR(--ISNUMBER(SEARCH("R102",G56)),0)+IFERROR(--ISNUMBER(SEARCH("R103",G56)),0)+IFERROR(--ISNUMBER(SEARCH("R104",G56)),0)+IFERROR(--ISNUMBER(SEARCH("R105",G56)),0)+IFERROR(--ISNUMBER(SEARCH("R106",G56)),0)+IFERROR(--ISNUMBER(SEARCH("R107",G56)),0)+IFERROR(--ISNUMBER(SEARCH("R108",G56)),0)+IFERROR(--ISNUMBER(SEARCH("R109",G56)),0)+IFERROR(--ISNUMBER(SEARCH("R110",G56)),0)+IFERROR(--ISNUMBER(SEARCH("R111",G56)),0)+IFERROR(--ISNUMBER(SEARCH("R112",G56)),0)+IFERROR(--ISNUMBER(SEARCH("R113",G56)),0)+IFERROR(--ISNUMBER(SEARCH("R114",G56)),0)+IFERROR(--ISNUMBER(SEARCH("R115",G56)),0)+IFERROR(--ISNUMBER(SEARCH("R116",G56)),0)+IFERROR(--ISNUMBER(SEARCH("R117",G56)),0)+IFERROR(--ISNUMBER(SEARCH("R118",G56)),0)+IFERROR(--ISNUMBER(SEARCH("R119",G56)),0)+IFERROR(--ISNUMBER(SEARCH("R120",G56)),0)+IFERROR(--ISNUMBER(SEARCH("R121",G56)),0)+IFERROR(--ISNUMBER(SEARCH("R122",G56)),0)+IFERROR(--ISNUMBER(SEARCH("R123",G56)),0)+IFERROR(--ISNUMBER(SEARCH("R124",G56)),0)+IFERROR(--ISNUMBER(SEARCH("R125",G56)),0)+IFERROR(--ISNUMBER(SEARCH("R126",G56)),0)+IFERROR(--ISNUMBER(SEARCH("R127",G56)),0)+IFERROR(--ISNUMBER(SEARCH("R128",G56)),0)+IFERROR(--ISNUMBER(SEARCH("R129",G56)),0)+IFERROR(--ISNUMBER(SEARCH("R130",G56)),0)+IFERROR(--ISNUMBER(SEARCH("R131",G56)),0)+IFERROR(--ISNUMBER(SEARCH("R132",G56)),0)+IFERROR(--ISNUMBER(SEARCH("R133",G56)),0)+IFERROR(--ISNUMBER(SEARCH("R134",G56)),0)+IFERROR(--ISNUMBER(SEARCH("R135",G56)),0)+IFERROR(--ISNUMBER(SEARCH("R136",G56)),0)+IFERROR(--ISNUMBER(SEARCH("R137",G56)),0)+IFERROR(--ISNUMBER(SEARCH("R138",G56)),0)+IFERROR(--ISNUMBER(SEARCH("R139",G56)),0)+IFERROR(--ISNUMBER(SEARCH("R140",G56)),0)+IFERROR(--ISNUMBER(SEARCH("R141",G56)),0))</f>
        <v/>
      </c>
      <c r="T56" s="58">
        <f>IF(A56="","",IFERROR(--ISNUMBER(SEARCH("R28",G56)),0)+IFERROR(--ISNUMBER(SEARCH("R29",G56)),0)+IFERROR(--ISNUMBER(SEARCH("R30",G56)),0)+IFERROR(--ISNUMBER(SEARCH("R32",G56)),0)+IFERROR(--ISNUMBER(SEARCH("R33",G56)),0)+IFERROR(--ISNUMBER(SEARCH("R35",G56)),0)+IFERROR(--ISNUMBER(SEARCH("R36",G56)),0)+IFERROR(--ISNUMBER(SEARCH("R38",G56)),0)+IFERROR(--ISNUMBER(SEARCH("R39",G56)),0)+IFERROR(--ISNUMBER(SEARCH("R43",G56)),0)+IFERROR(--ISNUMBER(SEARCH("R44",G56)),0)+IFERROR(--ISNUMBER(SEARCH("R45",G56)),0)+IFERROR(--ISNUMBER(SEARCH("R47",G56)),0)+IFERROR(--ISNUMBER(SEARCH("R48",G56)),0)+IFERROR(--ISNUMBER(SEARCH("R50",G56)),0)+IFERROR(--ISNUMBER(SEARCH("R51",G56)),0)+IFERROR(--ISNUMBER(SEARCH("R56",G56)),0)+IFERROR(--ISNUMBER(SEARCH("R58",G56)),0)+IFERROR(--ISNUMBER(SEARCH("R59",G56)),0)+IFERROR(--ISNUMBER(SEARCH("R60",G56)),0)+IFERROR(--ISNUMBER(SEARCH("R62",G56)),0)+IFERROR(--ISNUMBER(SEARCH("R63",G56)),0)+IFERROR(--ISNUMBER(SEARCH("R64",G56)),0)+IFERROR(--ISNUMBER(SEARCH("R66",G56)),0)+IFERROR(--ISNUMBER(SEARCH("R67",G56)),0)+IFERROR(--ISNUMBER(SEARCH("R72",G56)),0)+IFERROR(--ISNUMBER(SEARCH("R74",G56)),0)+IFERROR(--ISNUMBER(SEARCH("R75",G56)),0)+IFERROR(--ISNUMBER(SEARCH("R76",G56)),0)+IFERROR(--ISNUMBER(SEARCH("R77",G56)),0)+IFERROR(--ISNUMBER(SEARCH("R79",G56)),0)+IFERROR(--ISNUMBER(SEARCH("R80",G56)),0)+IFERROR(--ISNUMBER(SEARCH("R81",G56)),0)+IFERROR(--ISNUMBER(SEARCH("R83",G56)),0)+IFERROR(--ISNUMBER(SEARCH("R84",G56)),0)+IFERROR(--ISNUMBER(SEARCH("R89",G56)),0)+IFERROR(--ISNUMBER(SEARCH("R94",G56)),0)+IFERROR(--ISNUMBER(SEARCH("R95",G56)),0)+IFERROR(--ISNUMBER(SEARCH("R96",G56)),0)+IFERROR(--ISNUMBER(SEARCH("R98",G56)),0)+IFERROR(--ISNUMBER(SEARCH("R99",G56)),0)+IFERROR(--ISNUMBER(SEARCH("R100",G56)),0)+IFERROR(--ISNUMBER(SEARCH("R104",G56)),0)+IFERROR(--ISNUMBER(SEARCH("R105",G56)),0)+IFERROR(--ISNUMBER(SEARCH("R107",G56)),0)+IFERROR(--ISNUMBER(SEARCH("R108",G56)),0)+IFERROR(--ISNUMBER(SEARCH("R109",G56)),0)+IFERROR(--ISNUMBER(SEARCH("R110",G56)),0)+IFERROR(--ISNUMBER(SEARCH("R112",G56)),0)+IFERROR(--ISNUMBER(SEARCH("R113",G56)),0)+IFERROR(--ISNUMBER(SEARCH("R114",G56)),0)+IFERROR(--ISNUMBER(SEARCH("R118",G56)),0)+IFERROR(--ISNUMBER(SEARCH("R119",G56)),0)+IFERROR(--ISNUMBER(SEARCH("R120",G56)),0)+IFERROR(--ISNUMBER(SEARCH("R122",G56)),0)+IFERROR(--ISNUMBER(SEARCH("R123",G56)),0)+IFERROR(--ISNUMBER(SEARCH("R124",G56)),0)+IFERROR(--ISNUMBER(SEARCH("R128",G56)),0)+IFERROR(--ISNUMBER(SEARCH("R130",G56)),0)+IFERROR(--ISNUMBER(SEARCH("R131",G56)),0)+IFERROR(--ISNUMBER(SEARCH("R132",G56)),0)+IFERROR(--ISNUMBER(SEARCH("R135",G56)),0)+IFERROR(--ISNUMBER(SEARCH("R138",G56)),0)+IFERROR(--ISNUMBER(SEARCH("R141",G56)),0))</f>
        <v/>
      </c>
      <c r="U56" s="58">
        <f>IF(A56="","",IFERROR(--ISNUMBER(SEARCH("R28",G56))*28,0)+IFERROR(--ISNUMBER(SEARCH("R29",G56))*29,0)+IFERROR(--ISNUMBER(SEARCH("R30",G56))*30,0)+IFERROR(--ISNUMBER(SEARCH("R31",G56))*31,0)+IFERROR(--ISNUMBER(SEARCH("R32",G56))*32,0)+IFERROR(--ISNUMBER(SEARCH("R33",G56))*33,0)+IFERROR(--ISNUMBER(SEARCH("R34",G56))*34,0)+IFERROR(--ISNUMBER(SEARCH("R35",G56))*35,0)+IFERROR(--ISNUMBER(SEARCH("R36",G56))*36,0)+IFERROR(--ISNUMBER(SEARCH("R37",G56))*37,0)+IFERROR(--ISNUMBER(SEARCH("R38",G56))*38,0)+IFERROR(--ISNUMBER(SEARCH("R39",G56))*39,0)+IFERROR(--ISNUMBER(SEARCH("R40",G56))*40,0)+IFERROR(--ISNUMBER(SEARCH("R41",G56))*41,0)+IFERROR(--ISNUMBER(SEARCH("R42",G56))*42,0)+IFERROR(--ISNUMBER(SEARCH("R43",G56))*43,0)+IFERROR(--ISNUMBER(SEARCH("R44",G56))*44,0)+IFERROR(--ISNUMBER(SEARCH("R45",G56))*45,0)+IFERROR(--ISNUMBER(SEARCH("R46",G56))*46,0)+IFERROR(--ISNUMBER(SEARCH("R47",G56))*47,0)+IFERROR(--ISNUMBER(SEARCH("R48",G56))*48,0)+IFERROR(--ISNUMBER(SEARCH("R49",G56))*49,0)+IFERROR(--ISNUMBER(SEARCH("R50",G56))*50,0)+IFERROR(--ISNUMBER(SEARCH("R51",G56))*51,0)+IFERROR(--ISNUMBER(SEARCH("R52",G56))*52,0)+IFERROR(--ISNUMBER(SEARCH("R53",G56))*53,0)+IFERROR(--ISNUMBER(SEARCH("R54",G56))*54,0)+IFERROR(--ISNUMBER(SEARCH("R55",G56))*55,0)+IFERROR(--ISNUMBER(SEARCH("R56",G56))*56,0)+IFERROR(--ISNUMBER(SEARCH("R57",G56))*57,0)+IFERROR(--ISNUMBER(SEARCH("R58",G56))*58,0)+IFERROR(--ISNUMBER(SEARCH("R59",G56))*59,0)+IFERROR(--ISNUMBER(SEARCH("R60",G56))*60,0)+IFERROR(--ISNUMBER(SEARCH("R61",G56))*61,0)+IFERROR(--ISNUMBER(SEARCH("R62",G56))*62,0)+IFERROR(--ISNUMBER(SEARCH("R63",G56))*63,0)+IFERROR(--ISNUMBER(SEARCH("R64",G56))*64,0)+IFERROR(--ISNUMBER(SEARCH("R65",G56))*65,0)+IFERROR(--ISNUMBER(SEARCH("R66",G56))*66,0)+IFERROR(--ISNUMBER(SEARCH("R67",G56))*67,0)+IFERROR(--ISNUMBER(SEARCH("R68",G56))*68,0)+IFERROR(--ISNUMBER(SEARCH("R69",G56))*69,0)+IFERROR(--ISNUMBER(SEARCH("R70",G56))*70,0)+IFERROR(--ISNUMBER(SEARCH("R71",G56))*71,0)+IFERROR(--ISNUMBER(SEARCH("R72",G56))*72,0)+IFERROR(--ISNUMBER(SEARCH("R73",G56))*73,0)+IFERROR(--ISNUMBER(SEARCH("R74",G56))*74,0)+IFERROR(--ISNUMBER(SEARCH("R75",G56))*75,0)+IFERROR(--ISNUMBER(SEARCH("R76",G56))*76,0)+IFERROR(--ISNUMBER(SEARCH("R77",G56))*77,0)+IFERROR(--ISNUMBER(SEARCH("R78",G56))*78,0)+IFERROR(--ISNUMBER(SEARCH("R79",G56))*79,0)+IFERROR(--ISNUMBER(SEARCH("R80",G56))*80,0)+IFERROR(--ISNUMBER(SEARCH("R81",G56))*81,0)+IFERROR(--ISNUMBER(SEARCH("R82",G56))*82,0)+IFERROR(--ISNUMBER(SEARCH("R83",G56))*83,0)+IFERROR(--ISNUMBER(SEARCH("R84",G56))*84,0)+IFERROR(--ISNUMBER(SEARCH("R85",G56))*85,0)+IFERROR(--ISNUMBER(SEARCH("R86",G56))*86,0)+IFERROR(--ISNUMBER(SEARCH("R87",G56))*87,0)+IFERROR(--ISNUMBER(SEARCH("R88",G56))*88,0)+IFERROR(--ISNUMBER(SEARCH("R89",G56))*89,0)+IFERROR(--ISNUMBER(SEARCH("R90",G56))*90,0)+IFERROR(--ISNUMBER(SEARCH("R91",G56))*91,0)+IFERROR(--ISNUMBER(SEARCH("R92",G56))*92,0)+IFERROR(--ISNUMBER(SEARCH("R93",G56))*93,0)+IFERROR(--ISNUMBER(SEARCH("R94",G56))*94,0)+IFERROR(--ISNUMBER(SEARCH("R95",G56))*95,0)+IFERROR(--ISNUMBER(SEARCH("R96",G56))*96,0)+IFERROR(--ISNUMBER(SEARCH("R97",G56))*97,0)+IFERROR(--ISNUMBER(SEARCH("R98",G56))*98,0)+IFERROR(--ISNUMBER(SEARCH("R99",G56))*99,0)+IFERROR(--ISNUMBER(SEARCH("R100",G56))*100,0)+IFERROR(--ISNUMBER(SEARCH("R101",G56))*101,0)+IFERROR(--ISNUMBER(SEARCH("R102",G56))*102,0)+IFERROR(--ISNUMBER(SEARCH("R103",G56))*103,0)+IFERROR(--ISNUMBER(SEARCH("R104",G56))*104,0)+IFERROR(--ISNUMBER(SEARCH("R105",G56))*105,0)+IFERROR(--ISNUMBER(SEARCH("R106",G56))*106,0)+IFERROR(--ISNUMBER(SEARCH("R107",G56))*107,0)+IFERROR(--ISNUMBER(SEARCH("R108",G56))*108,0)+IFERROR(--ISNUMBER(SEARCH("R109",G56))*109,0)+IFERROR(--ISNUMBER(SEARCH("R110",G56))*110,0)+IFERROR(--ISNUMBER(SEARCH("R111",G56))*111,0)+IFERROR(--ISNUMBER(SEARCH("R112",G56))*112,0)+IFERROR(--ISNUMBER(SEARCH("R113",G56))*113,0)+IFERROR(--ISNUMBER(SEARCH("R114",G56))*114,0)+IFERROR(--ISNUMBER(SEARCH("R115",G56))*115,0)+IFERROR(--ISNUMBER(SEARCH("R116",G56))*116,0)+IFERROR(--ISNUMBER(SEARCH("R117",G56))*117,0)+IFERROR(--ISNUMBER(SEARCH("R118",G56))*118,0)+IFERROR(--ISNUMBER(SEARCH("R119",G56))*119,0)+IFERROR(--ISNUMBER(SEARCH("R120",G56))*120,0)+IFERROR(--ISNUMBER(SEARCH("R121",G56))*121,0)+IFERROR(--ISNUMBER(SEARCH("R122",G56))*122,0)+IFERROR(--ISNUMBER(SEARCH("R123",G56))*123,0)+IFERROR(--ISNUMBER(SEARCH("R124",G56))*124,0)+IFERROR(--ISNUMBER(SEARCH("R125",G56))*125,0)+IFERROR(--ISNUMBER(SEARCH("R126",G56))*126,0)+IFERROR(--ISNUMBER(SEARCH("R127",G56))*127,0)+IFERROR(--ISNUMBER(SEARCH("R128",G56))*128,0)+IFERROR(--ISNUMBER(SEARCH("R129",G56))*129,0)+IFERROR(--ISNUMBER(SEARCH("R130",G56))*130,0)+IFERROR(--ISNUMBER(SEARCH("R131",G56))*131,0)+IFERROR(--ISNUMBER(SEARCH("R132",G56))*132,0)+IFERROR(--ISNUMBER(SEARCH("R133",G56))*133,0)+IFERROR(--ISNUMBER(SEARCH("R134",G56))*134,0)+IFERROR(--ISNUMBER(SEARCH("R135",G56))*135,0)+IFERROR(--ISNUMBER(SEARCH("R136",G56))*136,0)+IFERROR(--ISNUMBER(SEARCH("R137",G56))*137,0)+IFERROR(--ISNUMBER(SEARCH("R138",G56))*138,0)+IFERROR(--ISNUMBER(SEARCH("R139",G56))*139,0)+IFERROR(--ISNUMBER(SEARCH("R140",G56))*140,0)+IFERROR(--ISNUMBER(SEARCH("R141",G56))*141,0))</f>
        <v/>
      </c>
      <c r="V56" s="59">
        <f>IF(A56="","",IF(K56&lt;&gt;"",K56,J56))</f>
        <v/>
      </c>
      <c r="W56" s="59">
        <f>IF(A56="","",IF(AND(V56=29,O56&lt;&gt;"",COUNTIFS($V$6:$V$505,29,$F$6:$F$505,F56,$C$6:$C$505,C56,$O$6:$O$505,"&lt;&gt;")&gt;1),IF(COUNTIFS($V$6:V56,29,$F$6:F56,F56,$C$6:C56,C56,$O$6:O56,"&lt;&gt;")=1,"Esta es la fila que se debe CONSERVAR (aparición 1 de "&amp;COUNTIFS($V$6:$V$505,29,$F$6:$F$505,F56,$C$6:$C$505,C56,$O$6:$O$505,"&lt;&gt;")&amp;" con el mismo tercero y valor, casilla 29). Si hay más filas iguales, bórreles el valor a ELLAS, no a esta.","DUPLICADO — ya existe otra fila con el mismo tercero y valor para casilla 29 (aparición "&amp;COUNTIFS($V$6:V56,29,$F$6:F56,F56,$C$6:C56,C56,$O$6:O56,"&lt;&gt;")&amp;" de "&amp;COUNTIFS($V$6:$V$505,29,$F$6:$F$505,F56,$C$6:$C$505,C56,$O$6:$O$505,"&lt;&gt;")&amp;"). Para resolverlo: seleccione la celda O"&amp;ROW()&amp;" (columna Valor a declarar de ESTA fila) y presione Supr."),""))</f>
        <v/>
      </c>
      <c r="X56" s="463">
        <f>IF(A56="","",F56)</f>
        <v/>
      </c>
      <c r="Y56" s="463">
        <f>IF(A56="","",SUMIF(Entrada_Manual!$I$88:$I$187,A56,Entrada_Manual!$F$88:$F$187))</f>
        <v/>
      </c>
      <c r="Z56" s="463">
        <f>IF(A56="","",X56-Y56)</f>
        <v/>
      </c>
      <c r="AA56">
        <f>IF(A56="","",SUMPRODUCT((Entrada_Manual!$I$88:$I$187=A56)*1))</f>
        <v/>
      </c>
      <c r="AB56">
        <f>IF(A56="","",IF(S56&lt;=1,"",IF(AA56=0,"PENDIENTE — SIN ASIGNAR",IF(Z56=0,"RESUELTO","PARCIAL — DIFERENCIA "&amp;TEXT(Z56,"#,##0")))))</f>
        <v/>
      </c>
    </row>
    <row r="57" ht="28.5" customHeight="1" s="235">
      <c r="A57" s="47">
        <f>IF(Exogena_RAW!E66&lt;&gt;"",ROW()-5,"")</f>
        <v/>
      </c>
      <c r="B57" s="48">
        <f>IF(A57="","",66)</f>
        <v/>
      </c>
      <c r="C57" s="48">
        <f>IF(A57="","",IFERROR(Exogena_RAW!A66,""))</f>
        <v/>
      </c>
      <c r="D57" s="48">
        <f>IF(A57="","",IFERROR(Exogena_RAW!B66,""))</f>
        <v/>
      </c>
      <c r="E57" s="48">
        <f>IF(A57="","",Exogena_RAW!E66)</f>
        <v/>
      </c>
      <c r="F57" s="461">
        <f>IF(A57="","",Exogena_RAW!F66)</f>
        <v/>
      </c>
      <c r="G57" s="48">
        <f>IF(A57="","",IFERROR(Exogena_RAW!G66,""))</f>
        <v/>
      </c>
      <c r="H57" s="48">
        <f>IF(A57="","",IFERROR(Exogena_RAW!H66,""))</f>
        <v/>
      </c>
      <c r="I57" s="48">
        <f>IF(A57="","",IFERROR(IF(S57&gt;1,"VARIAS CASILLAS",IF(S57=1,IF(T57=1,"PROPUESTA DE CASILLA","REVISIÓN: CASILLA NO DIRECTA"),IF(OR(ISNUMBER(SEARCH("TOPE",UPPER(E57))),ISNUMBER(SEARCH("TOPE",UPPER(G57)))),"SOLO CONTROL",IF(ISNUMBER(SEARCH("RETEN",UPPER(E57))),"RETENCIÓN","REVISAR")))),"REVISAR"))</f>
        <v/>
      </c>
      <c r="J57" s="61">
        <f>IF(A57="","",IF(ISNUMBER(SEARCH("ingreso laboral promedio de los últimos seis meses",E57)),"",IFERROR(IF(AND(S57=1,T57=1),U57,""),"")))</f>
        <v/>
      </c>
      <c r="K57" s="216" t="n"/>
      <c r="L57" s="48">
        <f>IF(A57="","",IFERROR(IF(K57&lt;&gt;"","Casilla elegida por usuario",IF(S57&gt;1,"Varias casillas — elegir en K",IF(J57&lt;&gt;"","Sugerencia directa",IF(S57=1,"No trasladar directo — revisar",IF(OR(ISNUMBER(SEARCH("TOPE",UPPER(E57))),ISNUMBER(SEARCH("TOPE",UPPER(G57)))),"Solo control","Revisar manualmente"))))),"Revisar manualmente"))</f>
        <v/>
      </c>
      <c r="M57" s="461">
        <f>IF(A57="","",IF(IF(K57&lt;&gt;"",K57,J57)="",0,IF(COUNTIFS(Reglas!$I$5:$I$118,IF(K57&lt;&gt;"",K57,J57),Reglas!$J$5:$J$118,"Sí")=1,F57,0)))</f>
        <v/>
      </c>
      <c r="N57" s="56" t="n"/>
      <c r="O57" s="462">
        <f>IF(A57="","",IF(M57=0,"",M57))</f>
        <v/>
      </c>
      <c r="P57" s="461">
        <f>IF(A57="","",IF(O57="",0,IF(ISNUMBER(O57),O57,0)))</f>
        <v/>
      </c>
      <c r="Q57" s="48">
        <f>IF(A57="","",IF(Exogena_RAW!$C$4="","BLOQUEADO: FALTA AÑO",IF(Exogena_RAW!$K$10&lt;&gt;Reglas!$B$5,"BLOQUEADO: AÑO",IF(IF(K57&lt;&gt;"",K57,J57)="",IF(S57&gt;1,"REQUIERE ASIGNACIÓN MANUAL (VARIAS CASILLAS)","INFORMATIVO (sin casilla — no se declara)"),IF(COUNTIFS(Reglas!$I$5:$I$118,IF(K57&lt;&gt;"",K57,J57),Reglas!$J$5:$J$118,"Sí")=0,"BLOQUEADO: CASILLA NO DIRECTA",IF(O57="","EXCLUIDO (valor borrado por el usuario)",IF(_xlfn.ISFORMULA(O57),IF(W57&lt;&gt;"","BORRADOR — VALOR SUGERIDO DIAN ⚠ VER ALERTA","BORRADOR — VALOR SUGERIDO DIAN"),IF(W57&lt;&gt;"","ACEPTADO ⚠ VER ALERTA","ACEPTADO"))))))))</f>
        <v/>
      </c>
      <c r="R57" s="218" t="n"/>
      <c r="S57" s="58">
        <f>IF(A57="","",IFERROR(--ISNUMBER(SEARCH("R28",G57)),0)+IFERROR(--ISNUMBER(SEARCH("R29",G57)),0)+IFERROR(--ISNUMBER(SEARCH("R30",G57)),0)+IFERROR(--ISNUMBER(SEARCH("R31",G57)),0)+IFERROR(--ISNUMBER(SEARCH("R32",G57)),0)+IFERROR(--ISNUMBER(SEARCH("R33",G57)),0)+IFERROR(--ISNUMBER(SEARCH("R34",G57)),0)+IFERROR(--ISNUMBER(SEARCH("R35",G57)),0)+IFERROR(--ISNUMBER(SEARCH("R36",G57)),0)+IFERROR(--ISNUMBER(SEARCH("R37",G57)),0)+IFERROR(--ISNUMBER(SEARCH("R38",G57)),0)+IFERROR(--ISNUMBER(SEARCH("R39",G57)),0)+IFERROR(--ISNUMBER(SEARCH("R40",G57)),0)+IFERROR(--ISNUMBER(SEARCH("R41",G57)),0)+IFERROR(--ISNUMBER(SEARCH("R42",G57)),0)+IFERROR(--ISNUMBER(SEARCH("R43",G57)),0)+IFERROR(--ISNUMBER(SEARCH("R44",G57)),0)+IFERROR(--ISNUMBER(SEARCH("R45",G57)),0)+IFERROR(--ISNUMBER(SEARCH("R46",G57)),0)+IFERROR(--ISNUMBER(SEARCH("R47",G57)),0)+IFERROR(--ISNUMBER(SEARCH("R48",G57)),0)+IFERROR(--ISNUMBER(SEARCH("R49",G57)),0)+IFERROR(--ISNUMBER(SEARCH("R50",G57)),0)+IFERROR(--ISNUMBER(SEARCH("R51",G57)),0)+IFERROR(--ISNUMBER(SEARCH("R52",G57)),0)+IFERROR(--ISNUMBER(SEARCH("R53",G57)),0)+IFERROR(--ISNUMBER(SEARCH("R54",G57)),0)+IFERROR(--ISNUMBER(SEARCH("R55",G57)),0)+IFERROR(--ISNUMBER(SEARCH("R56",G57)),0)+IFERROR(--ISNUMBER(SEARCH("R57",G57)),0)+IFERROR(--ISNUMBER(SEARCH("R58",G57)),0)+IFERROR(--ISNUMBER(SEARCH("R59",G57)),0)+IFERROR(--ISNUMBER(SEARCH("R60",G57)),0)+IFERROR(--ISNUMBER(SEARCH("R61",G57)),0)+IFERROR(--ISNUMBER(SEARCH("R62",G57)),0)+IFERROR(--ISNUMBER(SEARCH("R63",G57)),0)+IFERROR(--ISNUMBER(SEARCH("R64",G57)),0)+IFERROR(--ISNUMBER(SEARCH("R65",G57)),0)+IFERROR(--ISNUMBER(SEARCH("R66",G57)),0)+IFERROR(--ISNUMBER(SEARCH("R67",G57)),0)+IFERROR(--ISNUMBER(SEARCH("R68",G57)),0)+IFERROR(--ISNUMBER(SEARCH("R69",G57)),0)+IFERROR(--ISNUMBER(SEARCH("R70",G57)),0)+IFERROR(--ISNUMBER(SEARCH("R71",G57)),0)+IFERROR(--ISNUMBER(SEARCH("R72",G57)),0)+IFERROR(--ISNUMBER(SEARCH("R73",G57)),0)+IFERROR(--ISNUMBER(SEARCH("R74",G57)),0)+IFERROR(--ISNUMBER(SEARCH("R75",G57)),0)+IFERROR(--ISNUMBER(SEARCH("R76",G57)),0)+IFERROR(--ISNUMBER(SEARCH("R77",G57)),0)+IFERROR(--ISNUMBER(SEARCH("R78",G57)),0)+IFERROR(--ISNUMBER(SEARCH("R79",G57)),0)+IFERROR(--ISNUMBER(SEARCH("R80",G57)),0)+IFERROR(--ISNUMBER(SEARCH("R81",G57)),0)+IFERROR(--ISNUMBER(SEARCH("R82",G57)),0)+IFERROR(--ISNUMBER(SEARCH("R83",G57)),0)+IFERROR(--ISNUMBER(SEARCH("R84",G57)),0)+IFERROR(--ISNUMBER(SEARCH("R85",G57)),0)+IFERROR(--ISNUMBER(SEARCH("R86",G57)),0)+IFERROR(--ISNUMBER(SEARCH("R87",G57)),0)+IFERROR(--ISNUMBER(SEARCH("R88",G57)),0)+IFERROR(--ISNUMBER(SEARCH("R89",G57)),0)+IFERROR(--ISNUMBER(SEARCH("R90",G57)),0)+IFERROR(--ISNUMBER(SEARCH("R91",G57)),0)+IFERROR(--ISNUMBER(SEARCH("R92",G57)),0)+IFERROR(--ISNUMBER(SEARCH("R93",G57)),0)+IFERROR(--ISNUMBER(SEARCH("R94",G57)),0)+IFERROR(--ISNUMBER(SEARCH("R95",G57)),0)+IFERROR(--ISNUMBER(SEARCH("R96",G57)),0)+IFERROR(--ISNUMBER(SEARCH("R97",G57)),0)+IFERROR(--ISNUMBER(SEARCH("R98",G57)),0)+IFERROR(--ISNUMBER(SEARCH("R99",G57)),0)+IFERROR(--ISNUMBER(SEARCH("R100",G57)),0)+IFERROR(--ISNUMBER(SEARCH("R101",G57)),0)+IFERROR(--ISNUMBER(SEARCH("R102",G57)),0)+IFERROR(--ISNUMBER(SEARCH("R103",G57)),0)+IFERROR(--ISNUMBER(SEARCH("R104",G57)),0)+IFERROR(--ISNUMBER(SEARCH("R105",G57)),0)+IFERROR(--ISNUMBER(SEARCH("R106",G57)),0)+IFERROR(--ISNUMBER(SEARCH("R107",G57)),0)+IFERROR(--ISNUMBER(SEARCH("R108",G57)),0)+IFERROR(--ISNUMBER(SEARCH("R109",G57)),0)+IFERROR(--ISNUMBER(SEARCH("R110",G57)),0)+IFERROR(--ISNUMBER(SEARCH("R111",G57)),0)+IFERROR(--ISNUMBER(SEARCH("R112",G57)),0)+IFERROR(--ISNUMBER(SEARCH("R113",G57)),0)+IFERROR(--ISNUMBER(SEARCH("R114",G57)),0)+IFERROR(--ISNUMBER(SEARCH("R115",G57)),0)+IFERROR(--ISNUMBER(SEARCH("R116",G57)),0)+IFERROR(--ISNUMBER(SEARCH("R117",G57)),0)+IFERROR(--ISNUMBER(SEARCH("R118",G57)),0)+IFERROR(--ISNUMBER(SEARCH("R119",G57)),0)+IFERROR(--ISNUMBER(SEARCH("R120",G57)),0)+IFERROR(--ISNUMBER(SEARCH("R121",G57)),0)+IFERROR(--ISNUMBER(SEARCH("R122",G57)),0)+IFERROR(--ISNUMBER(SEARCH("R123",G57)),0)+IFERROR(--ISNUMBER(SEARCH("R124",G57)),0)+IFERROR(--ISNUMBER(SEARCH("R125",G57)),0)+IFERROR(--ISNUMBER(SEARCH("R126",G57)),0)+IFERROR(--ISNUMBER(SEARCH("R127",G57)),0)+IFERROR(--ISNUMBER(SEARCH("R128",G57)),0)+IFERROR(--ISNUMBER(SEARCH("R129",G57)),0)+IFERROR(--ISNUMBER(SEARCH("R130",G57)),0)+IFERROR(--ISNUMBER(SEARCH("R131",G57)),0)+IFERROR(--ISNUMBER(SEARCH("R132",G57)),0)+IFERROR(--ISNUMBER(SEARCH("R133",G57)),0)+IFERROR(--ISNUMBER(SEARCH("R134",G57)),0)+IFERROR(--ISNUMBER(SEARCH("R135",G57)),0)+IFERROR(--ISNUMBER(SEARCH("R136",G57)),0)+IFERROR(--ISNUMBER(SEARCH("R137",G57)),0)+IFERROR(--ISNUMBER(SEARCH("R138",G57)),0)+IFERROR(--ISNUMBER(SEARCH("R139",G57)),0)+IFERROR(--ISNUMBER(SEARCH("R140",G57)),0)+IFERROR(--ISNUMBER(SEARCH("R141",G57)),0))</f>
        <v/>
      </c>
      <c r="T57" s="58">
        <f>IF(A57="","",IFERROR(--ISNUMBER(SEARCH("R28",G57)),0)+IFERROR(--ISNUMBER(SEARCH("R29",G57)),0)+IFERROR(--ISNUMBER(SEARCH("R30",G57)),0)+IFERROR(--ISNUMBER(SEARCH("R32",G57)),0)+IFERROR(--ISNUMBER(SEARCH("R33",G57)),0)+IFERROR(--ISNUMBER(SEARCH("R35",G57)),0)+IFERROR(--ISNUMBER(SEARCH("R36",G57)),0)+IFERROR(--ISNUMBER(SEARCH("R38",G57)),0)+IFERROR(--ISNUMBER(SEARCH("R39",G57)),0)+IFERROR(--ISNUMBER(SEARCH("R43",G57)),0)+IFERROR(--ISNUMBER(SEARCH("R44",G57)),0)+IFERROR(--ISNUMBER(SEARCH("R45",G57)),0)+IFERROR(--ISNUMBER(SEARCH("R47",G57)),0)+IFERROR(--ISNUMBER(SEARCH("R48",G57)),0)+IFERROR(--ISNUMBER(SEARCH("R50",G57)),0)+IFERROR(--ISNUMBER(SEARCH("R51",G57)),0)+IFERROR(--ISNUMBER(SEARCH("R56",G57)),0)+IFERROR(--ISNUMBER(SEARCH("R58",G57)),0)+IFERROR(--ISNUMBER(SEARCH("R59",G57)),0)+IFERROR(--ISNUMBER(SEARCH("R60",G57)),0)+IFERROR(--ISNUMBER(SEARCH("R62",G57)),0)+IFERROR(--ISNUMBER(SEARCH("R63",G57)),0)+IFERROR(--ISNUMBER(SEARCH("R64",G57)),0)+IFERROR(--ISNUMBER(SEARCH("R66",G57)),0)+IFERROR(--ISNUMBER(SEARCH("R67",G57)),0)+IFERROR(--ISNUMBER(SEARCH("R72",G57)),0)+IFERROR(--ISNUMBER(SEARCH("R74",G57)),0)+IFERROR(--ISNUMBER(SEARCH("R75",G57)),0)+IFERROR(--ISNUMBER(SEARCH("R76",G57)),0)+IFERROR(--ISNUMBER(SEARCH("R77",G57)),0)+IFERROR(--ISNUMBER(SEARCH("R79",G57)),0)+IFERROR(--ISNUMBER(SEARCH("R80",G57)),0)+IFERROR(--ISNUMBER(SEARCH("R81",G57)),0)+IFERROR(--ISNUMBER(SEARCH("R83",G57)),0)+IFERROR(--ISNUMBER(SEARCH("R84",G57)),0)+IFERROR(--ISNUMBER(SEARCH("R89",G57)),0)+IFERROR(--ISNUMBER(SEARCH("R94",G57)),0)+IFERROR(--ISNUMBER(SEARCH("R95",G57)),0)+IFERROR(--ISNUMBER(SEARCH("R96",G57)),0)+IFERROR(--ISNUMBER(SEARCH("R98",G57)),0)+IFERROR(--ISNUMBER(SEARCH("R99",G57)),0)+IFERROR(--ISNUMBER(SEARCH("R100",G57)),0)+IFERROR(--ISNUMBER(SEARCH("R104",G57)),0)+IFERROR(--ISNUMBER(SEARCH("R105",G57)),0)+IFERROR(--ISNUMBER(SEARCH("R107",G57)),0)+IFERROR(--ISNUMBER(SEARCH("R108",G57)),0)+IFERROR(--ISNUMBER(SEARCH("R109",G57)),0)+IFERROR(--ISNUMBER(SEARCH("R110",G57)),0)+IFERROR(--ISNUMBER(SEARCH("R112",G57)),0)+IFERROR(--ISNUMBER(SEARCH("R113",G57)),0)+IFERROR(--ISNUMBER(SEARCH("R114",G57)),0)+IFERROR(--ISNUMBER(SEARCH("R118",G57)),0)+IFERROR(--ISNUMBER(SEARCH("R119",G57)),0)+IFERROR(--ISNUMBER(SEARCH("R120",G57)),0)+IFERROR(--ISNUMBER(SEARCH("R122",G57)),0)+IFERROR(--ISNUMBER(SEARCH("R123",G57)),0)+IFERROR(--ISNUMBER(SEARCH("R124",G57)),0)+IFERROR(--ISNUMBER(SEARCH("R128",G57)),0)+IFERROR(--ISNUMBER(SEARCH("R130",G57)),0)+IFERROR(--ISNUMBER(SEARCH("R131",G57)),0)+IFERROR(--ISNUMBER(SEARCH("R132",G57)),0)+IFERROR(--ISNUMBER(SEARCH("R135",G57)),0)+IFERROR(--ISNUMBER(SEARCH("R138",G57)),0)+IFERROR(--ISNUMBER(SEARCH("R141",G57)),0))</f>
        <v/>
      </c>
      <c r="U57" s="58">
        <f>IF(A57="","",IFERROR(--ISNUMBER(SEARCH("R28",G57))*28,0)+IFERROR(--ISNUMBER(SEARCH("R29",G57))*29,0)+IFERROR(--ISNUMBER(SEARCH("R30",G57))*30,0)+IFERROR(--ISNUMBER(SEARCH("R31",G57))*31,0)+IFERROR(--ISNUMBER(SEARCH("R32",G57))*32,0)+IFERROR(--ISNUMBER(SEARCH("R33",G57))*33,0)+IFERROR(--ISNUMBER(SEARCH("R34",G57))*34,0)+IFERROR(--ISNUMBER(SEARCH("R35",G57))*35,0)+IFERROR(--ISNUMBER(SEARCH("R36",G57))*36,0)+IFERROR(--ISNUMBER(SEARCH("R37",G57))*37,0)+IFERROR(--ISNUMBER(SEARCH("R38",G57))*38,0)+IFERROR(--ISNUMBER(SEARCH("R39",G57))*39,0)+IFERROR(--ISNUMBER(SEARCH("R40",G57))*40,0)+IFERROR(--ISNUMBER(SEARCH("R41",G57))*41,0)+IFERROR(--ISNUMBER(SEARCH("R42",G57))*42,0)+IFERROR(--ISNUMBER(SEARCH("R43",G57))*43,0)+IFERROR(--ISNUMBER(SEARCH("R44",G57))*44,0)+IFERROR(--ISNUMBER(SEARCH("R45",G57))*45,0)+IFERROR(--ISNUMBER(SEARCH("R46",G57))*46,0)+IFERROR(--ISNUMBER(SEARCH("R47",G57))*47,0)+IFERROR(--ISNUMBER(SEARCH("R48",G57))*48,0)+IFERROR(--ISNUMBER(SEARCH("R49",G57))*49,0)+IFERROR(--ISNUMBER(SEARCH("R50",G57))*50,0)+IFERROR(--ISNUMBER(SEARCH("R51",G57))*51,0)+IFERROR(--ISNUMBER(SEARCH("R52",G57))*52,0)+IFERROR(--ISNUMBER(SEARCH("R53",G57))*53,0)+IFERROR(--ISNUMBER(SEARCH("R54",G57))*54,0)+IFERROR(--ISNUMBER(SEARCH("R55",G57))*55,0)+IFERROR(--ISNUMBER(SEARCH("R56",G57))*56,0)+IFERROR(--ISNUMBER(SEARCH("R57",G57))*57,0)+IFERROR(--ISNUMBER(SEARCH("R58",G57))*58,0)+IFERROR(--ISNUMBER(SEARCH("R59",G57))*59,0)+IFERROR(--ISNUMBER(SEARCH("R60",G57))*60,0)+IFERROR(--ISNUMBER(SEARCH("R61",G57))*61,0)+IFERROR(--ISNUMBER(SEARCH("R62",G57))*62,0)+IFERROR(--ISNUMBER(SEARCH("R63",G57))*63,0)+IFERROR(--ISNUMBER(SEARCH("R64",G57))*64,0)+IFERROR(--ISNUMBER(SEARCH("R65",G57))*65,0)+IFERROR(--ISNUMBER(SEARCH("R66",G57))*66,0)+IFERROR(--ISNUMBER(SEARCH("R67",G57))*67,0)+IFERROR(--ISNUMBER(SEARCH("R68",G57))*68,0)+IFERROR(--ISNUMBER(SEARCH("R69",G57))*69,0)+IFERROR(--ISNUMBER(SEARCH("R70",G57))*70,0)+IFERROR(--ISNUMBER(SEARCH("R71",G57))*71,0)+IFERROR(--ISNUMBER(SEARCH("R72",G57))*72,0)+IFERROR(--ISNUMBER(SEARCH("R73",G57))*73,0)+IFERROR(--ISNUMBER(SEARCH("R74",G57))*74,0)+IFERROR(--ISNUMBER(SEARCH("R75",G57))*75,0)+IFERROR(--ISNUMBER(SEARCH("R76",G57))*76,0)+IFERROR(--ISNUMBER(SEARCH("R77",G57))*77,0)+IFERROR(--ISNUMBER(SEARCH("R78",G57))*78,0)+IFERROR(--ISNUMBER(SEARCH("R79",G57))*79,0)+IFERROR(--ISNUMBER(SEARCH("R80",G57))*80,0)+IFERROR(--ISNUMBER(SEARCH("R81",G57))*81,0)+IFERROR(--ISNUMBER(SEARCH("R82",G57))*82,0)+IFERROR(--ISNUMBER(SEARCH("R83",G57))*83,0)+IFERROR(--ISNUMBER(SEARCH("R84",G57))*84,0)+IFERROR(--ISNUMBER(SEARCH("R85",G57))*85,0)+IFERROR(--ISNUMBER(SEARCH("R86",G57))*86,0)+IFERROR(--ISNUMBER(SEARCH("R87",G57))*87,0)+IFERROR(--ISNUMBER(SEARCH("R88",G57))*88,0)+IFERROR(--ISNUMBER(SEARCH("R89",G57))*89,0)+IFERROR(--ISNUMBER(SEARCH("R90",G57))*90,0)+IFERROR(--ISNUMBER(SEARCH("R91",G57))*91,0)+IFERROR(--ISNUMBER(SEARCH("R92",G57))*92,0)+IFERROR(--ISNUMBER(SEARCH("R93",G57))*93,0)+IFERROR(--ISNUMBER(SEARCH("R94",G57))*94,0)+IFERROR(--ISNUMBER(SEARCH("R95",G57))*95,0)+IFERROR(--ISNUMBER(SEARCH("R96",G57))*96,0)+IFERROR(--ISNUMBER(SEARCH("R97",G57))*97,0)+IFERROR(--ISNUMBER(SEARCH("R98",G57))*98,0)+IFERROR(--ISNUMBER(SEARCH("R99",G57))*99,0)+IFERROR(--ISNUMBER(SEARCH("R100",G57))*100,0)+IFERROR(--ISNUMBER(SEARCH("R101",G57))*101,0)+IFERROR(--ISNUMBER(SEARCH("R102",G57))*102,0)+IFERROR(--ISNUMBER(SEARCH("R103",G57))*103,0)+IFERROR(--ISNUMBER(SEARCH("R104",G57))*104,0)+IFERROR(--ISNUMBER(SEARCH("R105",G57))*105,0)+IFERROR(--ISNUMBER(SEARCH("R106",G57))*106,0)+IFERROR(--ISNUMBER(SEARCH("R107",G57))*107,0)+IFERROR(--ISNUMBER(SEARCH("R108",G57))*108,0)+IFERROR(--ISNUMBER(SEARCH("R109",G57))*109,0)+IFERROR(--ISNUMBER(SEARCH("R110",G57))*110,0)+IFERROR(--ISNUMBER(SEARCH("R111",G57))*111,0)+IFERROR(--ISNUMBER(SEARCH("R112",G57))*112,0)+IFERROR(--ISNUMBER(SEARCH("R113",G57))*113,0)+IFERROR(--ISNUMBER(SEARCH("R114",G57))*114,0)+IFERROR(--ISNUMBER(SEARCH("R115",G57))*115,0)+IFERROR(--ISNUMBER(SEARCH("R116",G57))*116,0)+IFERROR(--ISNUMBER(SEARCH("R117",G57))*117,0)+IFERROR(--ISNUMBER(SEARCH("R118",G57))*118,0)+IFERROR(--ISNUMBER(SEARCH("R119",G57))*119,0)+IFERROR(--ISNUMBER(SEARCH("R120",G57))*120,0)+IFERROR(--ISNUMBER(SEARCH("R121",G57))*121,0)+IFERROR(--ISNUMBER(SEARCH("R122",G57))*122,0)+IFERROR(--ISNUMBER(SEARCH("R123",G57))*123,0)+IFERROR(--ISNUMBER(SEARCH("R124",G57))*124,0)+IFERROR(--ISNUMBER(SEARCH("R125",G57))*125,0)+IFERROR(--ISNUMBER(SEARCH("R126",G57))*126,0)+IFERROR(--ISNUMBER(SEARCH("R127",G57))*127,0)+IFERROR(--ISNUMBER(SEARCH("R128",G57))*128,0)+IFERROR(--ISNUMBER(SEARCH("R129",G57))*129,0)+IFERROR(--ISNUMBER(SEARCH("R130",G57))*130,0)+IFERROR(--ISNUMBER(SEARCH("R131",G57))*131,0)+IFERROR(--ISNUMBER(SEARCH("R132",G57))*132,0)+IFERROR(--ISNUMBER(SEARCH("R133",G57))*133,0)+IFERROR(--ISNUMBER(SEARCH("R134",G57))*134,0)+IFERROR(--ISNUMBER(SEARCH("R135",G57))*135,0)+IFERROR(--ISNUMBER(SEARCH("R136",G57))*136,0)+IFERROR(--ISNUMBER(SEARCH("R137",G57))*137,0)+IFERROR(--ISNUMBER(SEARCH("R138",G57))*138,0)+IFERROR(--ISNUMBER(SEARCH("R139",G57))*139,0)+IFERROR(--ISNUMBER(SEARCH("R140",G57))*140,0)+IFERROR(--ISNUMBER(SEARCH("R141",G57))*141,0))</f>
        <v/>
      </c>
      <c r="V57" s="59">
        <f>IF(A57="","",IF(K57&lt;&gt;"",K57,J57))</f>
        <v/>
      </c>
      <c r="W57" s="59">
        <f>IF(A57="","",IF(AND(V57=29,O57&lt;&gt;"",COUNTIFS($V$6:$V$505,29,$F$6:$F$505,F57,$C$6:$C$505,C57,$O$6:$O$505,"&lt;&gt;")&gt;1),IF(COUNTIFS($V$6:V57,29,$F$6:F57,F57,$C$6:C57,C57,$O$6:O57,"&lt;&gt;")=1,"Esta es la fila que se debe CONSERVAR (aparición 1 de "&amp;COUNTIFS($V$6:$V$505,29,$F$6:$F$505,F57,$C$6:$C$505,C57,$O$6:$O$505,"&lt;&gt;")&amp;" con el mismo tercero y valor, casilla 29). Si hay más filas iguales, bórreles el valor a ELLAS, no a esta.","DUPLICADO — ya existe otra fila con el mismo tercero y valor para casilla 29 (aparición "&amp;COUNTIFS($V$6:V57,29,$F$6:F57,F57,$C$6:C57,C57,$O$6:O57,"&lt;&gt;")&amp;" de "&amp;COUNTIFS($V$6:$V$505,29,$F$6:$F$505,F57,$C$6:$C$505,C57,$O$6:$O$505,"&lt;&gt;")&amp;"). Para resolverlo: seleccione la celda O"&amp;ROW()&amp;" (columna Valor a declarar de ESTA fila) y presione Supr."),""))</f>
        <v/>
      </c>
      <c r="X57" s="463">
        <f>IF(A57="","",F57)</f>
        <v/>
      </c>
      <c r="Y57" s="463">
        <f>IF(A57="","",SUMIF(Entrada_Manual!$I$88:$I$187,A57,Entrada_Manual!$F$88:$F$187))</f>
        <v/>
      </c>
      <c r="Z57" s="463">
        <f>IF(A57="","",X57-Y57)</f>
        <v/>
      </c>
      <c r="AA57">
        <f>IF(A57="","",SUMPRODUCT((Entrada_Manual!$I$88:$I$187=A57)*1))</f>
        <v/>
      </c>
      <c r="AB57">
        <f>IF(A57="","",IF(S57&lt;=1,"",IF(AA57=0,"PENDIENTE — SIN ASIGNAR",IF(Z57=0,"RESUELTO","PARCIAL — DIFERENCIA "&amp;TEXT(Z57,"#,##0")))))</f>
        <v/>
      </c>
    </row>
    <row r="58" ht="42.75" customHeight="1" s="235">
      <c r="A58" s="47">
        <f>IF(Exogena_RAW!E67&lt;&gt;"",ROW()-5,"")</f>
        <v/>
      </c>
      <c r="B58" s="48">
        <f>IF(A58="","",67)</f>
        <v/>
      </c>
      <c r="C58" s="48">
        <f>IF(A58="","",IFERROR(Exogena_RAW!A67,""))</f>
        <v/>
      </c>
      <c r="D58" s="48">
        <f>IF(A58="","",IFERROR(Exogena_RAW!B67,""))</f>
        <v/>
      </c>
      <c r="E58" s="48">
        <f>IF(A58="","",Exogena_RAW!E67)</f>
        <v/>
      </c>
      <c r="F58" s="461">
        <f>IF(A58="","",Exogena_RAW!F67)</f>
        <v/>
      </c>
      <c r="G58" s="48">
        <f>IF(A58="","",IFERROR(Exogena_RAW!G67,""))</f>
        <v/>
      </c>
      <c r="H58" s="48">
        <f>IF(A58="","",IFERROR(Exogena_RAW!H67,""))</f>
        <v/>
      </c>
      <c r="I58" s="48">
        <f>IF(A58="","",IFERROR(IF(S58&gt;1,"VARIAS CASILLAS",IF(S58=1,IF(T58=1,"PROPUESTA DE CASILLA","REVISIÓN: CASILLA NO DIRECTA"),IF(OR(ISNUMBER(SEARCH("TOPE",UPPER(E58))),ISNUMBER(SEARCH("TOPE",UPPER(G58)))),"SOLO CONTROL",IF(ISNUMBER(SEARCH("RETEN",UPPER(E58))),"RETENCIÓN","REVISAR")))),"REVISAR"))</f>
        <v/>
      </c>
      <c r="J58" s="48">
        <f>IF(A58="","",IF(ISNUMBER(SEARCH("ingreso laboral promedio de los últimos seis meses",E58)),"",IFERROR(IF(AND(S58=1,T58=1),U58,""),"")))</f>
        <v/>
      </c>
      <c r="K58" s="216" t="n"/>
      <c r="L58" s="48">
        <f>IF(A58="","",IFERROR(IF(K58&lt;&gt;"","Casilla elegida por usuario",IF(S58&gt;1,"Varias casillas — elegir en K",IF(J58&lt;&gt;"","Sugerencia directa",IF(S58=1,"No trasladar directo — revisar",IF(OR(ISNUMBER(SEARCH("TOPE",UPPER(E58))),ISNUMBER(SEARCH("TOPE",UPPER(G58)))),"Solo control","Revisar manualmente"))))),"Revisar manualmente"))</f>
        <v/>
      </c>
      <c r="M58" s="461">
        <f>IF(A58="","",IF(IF(K58&lt;&gt;"",K58,J58)="",0,IF(COUNTIFS(Reglas!$I$5:$I$118,IF(K58&lt;&gt;"",K58,J58),Reglas!$J$5:$J$118,"Sí")=1,F58,0)))</f>
        <v/>
      </c>
      <c r="N58" s="56" t="n"/>
      <c r="O58" s="462">
        <f>IF(A58="","",IF(M58=0,"",M58))</f>
        <v/>
      </c>
      <c r="P58" s="461">
        <f>IF(A58="","",IF(O58="",0,IF(ISNUMBER(O58),O58,0)))</f>
        <v/>
      </c>
      <c r="Q58" s="48">
        <f>IF(A58="","",IF(Exogena_RAW!$C$4="","BLOQUEADO: FALTA AÑO",IF(Exogena_RAW!$K$10&lt;&gt;Reglas!$B$5,"BLOQUEADO: AÑO",IF(IF(K58&lt;&gt;"",K58,J58)="",IF(S58&gt;1,"REQUIERE ASIGNACIÓN MANUAL (VARIAS CASILLAS)","INFORMATIVO (sin casilla — no se declara)"),IF(COUNTIFS(Reglas!$I$5:$I$118,IF(K58&lt;&gt;"",K58,J58),Reglas!$J$5:$J$118,"Sí")=0,"BLOQUEADO: CASILLA NO DIRECTA",IF(O58="","EXCLUIDO (valor borrado por el usuario)",IF(_xlfn.ISFORMULA(O58),IF(W58&lt;&gt;"","BORRADOR — VALOR SUGERIDO DIAN ⚠ VER ALERTA","BORRADOR — VALOR SUGERIDO DIAN"),IF(W58&lt;&gt;"","ACEPTADO ⚠ VER ALERTA","ACEPTADO"))))))))</f>
        <v/>
      </c>
      <c r="R58" s="218" t="n"/>
      <c r="S58" s="58">
        <f>IF(A58="","",IFERROR(--ISNUMBER(SEARCH("R28",G58)),0)+IFERROR(--ISNUMBER(SEARCH("R29",G58)),0)+IFERROR(--ISNUMBER(SEARCH("R30",G58)),0)+IFERROR(--ISNUMBER(SEARCH("R31",G58)),0)+IFERROR(--ISNUMBER(SEARCH("R32",G58)),0)+IFERROR(--ISNUMBER(SEARCH("R33",G58)),0)+IFERROR(--ISNUMBER(SEARCH("R34",G58)),0)+IFERROR(--ISNUMBER(SEARCH("R35",G58)),0)+IFERROR(--ISNUMBER(SEARCH("R36",G58)),0)+IFERROR(--ISNUMBER(SEARCH("R37",G58)),0)+IFERROR(--ISNUMBER(SEARCH("R38",G58)),0)+IFERROR(--ISNUMBER(SEARCH("R39",G58)),0)+IFERROR(--ISNUMBER(SEARCH("R40",G58)),0)+IFERROR(--ISNUMBER(SEARCH("R41",G58)),0)+IFERROR(--ISNUMBER(SEARCH("R42",G58)),0)+IFERROR(--ISNUMBER(SEARCH("R43",G58)),0)+IFERROR(--ISNUMBER(SEARCH("R44",G58)),0)+IFERROR(--ISNUMBER(SEARCH("R45",G58)),0)+IFERROR(--ISNUMBER(SEARCH("R46",G58)),0)+IFERROR(--ISNUMBER(SEARCH("R47",G58)),0)+IFERROR(--ISNUMBER(SEARCH("R48",G58)),0)+IFERROR(--ISNUMBER(SEARCH("R49",G58)),0)+IFERROR(--ISNUMBER(SEARCH("R50",G58)),0)+IFERROR(--ISNUMBER(SEARCH("R51",G58)),0)+IFERROR(--ISNUMBER(SEARCH("R52",G58)),0)+IFERROR(--ISNUMBER(SEARCH("R53",G58)),0)+IFERROR(--ISNUMBER(SEARCH("R54",G58)),0)+IFERROR(--ISNUMBER(SEARCH("R55",G58)),0)+IFERROR(--ISNUMBER(SEARCH("R56",G58)),0)+IFERROR(--ISNUMBER(SEARCH("R57",G58)),0)+IFERROR(--ISNUMBER(SEARCH("R58",G58)),0)+IFERROR(--ISNUMBER(SEARCH("R59",G58)),0)+IFERROR(--ISNUMBER(SEARCH("R60",G58)),0)+IFERROR(--ISNUMBER(SEARCH("R61",G58)),0)+IFERROR(--ISNUMBER(SEARCH("R62",G58)),0)+IFERROR(--ISNUMBER(SEARCH("R63",G58)),0)+IFERROR(--ISNUMBER(SEARCH("R64",G58)),0)+IFERROR(--ISNUMBER(SEARCH("R65",G58)),0)+IFERROR(--ISNUMBER(SEARCH("R66",G58)),0)+IFERROR(--ISNUMBER(SEARCH("R67",G58)),0)+IFERROR(--ISNUMBER(SEARCH("R68",G58)),0)+IFERROR(--ISNUMBER(SEARCH("R69",G58)),0)+IFERROR(--ISNUMBER(SEARCH("R70",G58)),0)+IFERROR(--ISNUMBER(SEARCH("R71",G58)),0)+IFERROR(--ISNUMBER(SEARCH("R72",G58)),0)+IFERROR(--ISNUMBER(SEARCH("R73",G58)),0)+IFERROR(--ISNUMBER(SEARCH("R74",G58)),0)+IFERROR(--ISNUMBER(SEARCH("R75",G58)),0)+IFERROR(--ISNUMBER(SEARCH("R76",G58)),0)+IFERROR(--ISNUMBER(SEARCH("R77",G58)),0)+IFERROR(--ISNUMBER(SEARCH("R78",G58)),0)+IFERROR(--ISNUMBER(SEARCH("R79",G58)),0)+IFERROR(--ISNUMBER(SEARCH("R80",G58)),0)+IFERROR(--ISNUMBER(SEARCH("R81",G58)),0)+IFERROR(--ISNUMBER(SEARCH("R82",G58)),0)+IFERROR(--ISNUMBER(SEARCH("R83",G58)),0)+IFERROR(--ISNUMBER(SEARCH("R84",G58)),0)+IFERROR(--ISNUMBER(SEARCH("R85",G58)),0)+IFERROR(--ISNUMBER(SEARCH("R86",G58)),0)+IFERROR(--ISNUMBER(SEARCH("R87",G58)),0)+IFERROR(--ISNUMBER(SEARCH("R88",G58)),0)+IFERROR(--ISNUMBER(SEARCH("R89",G58)),0)+IFERROR(--ISNUMBER(SEARCH("R90",G58)),0)+IFERROR(--ISNUMBER(SEARCH("R91",G58)),0)+IFERROR(--ISNUMBER(SEARCH("R92",G58)),0)+IFERROR(--ISNUMBER(SEARCH("R93",G58)),0)+IFERROR(--ISNUMBER(SEARCH("R94",G58)),0)+IFERROR(--ISNUMBER(SEARCH("R95",G58)),0)+IFERROR(--ISNUMBER(SEARCH("R96",G58)),0)+IFERROR(--ISNUMBER(SEARCH("R97",G58)),0)+IFERROR(--ISNUMBER(SEARCH("R98",G58)),0)+IFERROR(--ISNUMBER(SEARCH("R99",G58)),0)+IFERROR(--ISNUMBER(SEARCH("R100",G58)),0)+IFERROR(--ISNUMBER(SEARCH("R101",G58)),0)+IFERROR(--ISNUMBER(SEARCH("R102",G58)),0)+IFERROR(--ISNUMBER(SEARCH("R103",G58)),0)+IFERROR(--ISNUMBER(SEARCH("R104",G58)),0)+IFERROR(--ISNUMBER(SEARCH("R105",G58)),0)+IFERROR(--ISNUMBER(SEARCH("R106",G58)),0)+IFERROR(--ISNUMBER(SEARCH("R107",G58)),0)+IFERROR(--ISNUMBER(SEARCH("R108",G58)),0)+IFERROR(--ISNUMBER(SEARCH("R109",G58)),0)+IFERROR(--ISNUMBER(SEARCH("R110",G58)),0)+IFERROR(--ISNUMBER(SEARCH("R111",G58)),0)+IFERROR(--ISNUMBER(SEARCH("R112",G58)),0)+IFERROR(--ISNUMBER(SEARCH("R113",G58)),0)+IFERROR(--ISNUMBER(SEARCH("R114",G58)),0)+IFERROR(--ISNUMBER(SEARCH("R115",G58)),0)+IFERROR(--ISNUMBER(SEARCH("R116",G58)),0)+IFERROR(--ISNUMBER(SEARCH("R117",G58)),0)+IFERROR(--ISNUMBER(SEARCH("R118",G58)),0)+IFERROR(--ISNUMBER(SEARCH("R119",G58)),0)+IFERROR(--ISNUMBER(SEARCH("R120",G58)),0)+IFERROR(--ISNUMBER(SEARCH("R121",G58)),0)+IFERROR(--ISNUMBER(SEARCH("R122",G58)),0)+IFERROR(--ISNUMBER(SEARCH("R123",G58)),0)+IFERROR(--ISNUMBER(SEARCH("R124",G58)),0)+IFERROR(--ISNUMBER(SEARCH("R125",G58)),0)+IFERROR(--ISNUMBER(SEARCH("R126",G58)),0)+IFERROR(--ISNUMBER(SEARCH("R127",G58)),0)+IFERROR(--ISNUMBER(SEARCH("R128",G58)),0)+IFERROR(--ISNUMBER(SEARCH("R129",G58)),0)+IFERROR(--ISNUMBER(SEARCH("R130",G58)),0)+IFERROR(--ISNUMBER(SEARCH("R131",G58)),0)+IFERROR(--ISNUMBER(SEARCH("R132",G58)),0)+IFERROR(--ISNUMBER(SEARCH("R133",G58)),0)+IFERROR(--ISNUMBER(SEARCH("R134",G58)),0)+IFERROR(--ISNUMBER(SEARCH("R135",G58)),0)+IFERROR(--ISNUMBER(SEARCH("R136",G58)),0)+IFERROR(--ISNUMBER(SEARCH("R137",G58)),0)+IFERROR(--ISNUMBER(SEARCH("R138",G58)),0)+IFERROR(--ISNUMBER(SEARCH("R139",G58)),0)+IFERROR(--ISNUMBER(SEARCH("R140",G58)),0)+IFERROR(--ISNUMBER(SEARCH("R141",G58)),0))</f>
        <v/>
      </c>
      <c r="T58" s="58">
        <f>IF(A58="","",IFERROR(--ISNUMBER(SEARCH("R28",G58)),0)+IFERROR(--ISNUMBER(SEARCH("R29",G58)),0)+IFERROR(--ISNUMBER(SEARCH("R30",G58)),0)+IFERROR(--ISNUMBER(SEARCH("R32",G58)),0)+IFERROR(--ISNUMBER(SEARCH("R33",G58)),0)+IFERROR(--ISNUMBER(SEARCH("R35",G58)),0)+IFERROR(--ISNUMBER(SEARCH("R36",G58)),0)+IFERROR(--ISNUMBER(SEARCH("R38",G58)),0)+IFERROR(--ISNUMBER(SEARCH("R39",G58)),0)+IFERROR(--ISNUMBER(SEARCH("R43",G58)),0)+IFERROR(--ISNUMBER(SEARCH("R44",G58)),0)+IFERROR(--ISNUMBER(SEARCH("R45",G58)),0)+IFERROR(--ISNUMBER(SEARCH("R47",G58)),0)+IFERROR(--ISNUMBER(SEARCH("R48",G58)),0)+IFERROR(--ISNUMBER(SEARCH("R50",G58)),0)+IFERROR(--ISNUMBER(SEARCH("R51",G58)),0)+IFERROR(--ISNUMBER(SEARCH("R56",G58)),0)+IFERROR(--ISNUMBER(SEARCH("R58",G58)),0)+IFERROR(--ISNUMBER(SEARCH("R59",G58)),0)+IFERROR(--ISNUMBER(SEARCH("R60",G58)),0)+IFERROR(--ISNUMBER(SEARCH("R62",G58)),0)+IFERROR(--ISNUMBER(SEARCH("R63",G58)),0)+IFERROR(--ISNUMBER(SEARCH("R64",G58)),0)+IFERROR(--ISNUMBER(SEARCH("R66",G58)),0)+IFERROR(--ISNUMBER(SEARCH("R67",G58)),0)+IFERROR(--ISNUMBER(SEARCH("R72",G58)),0)+IFERROR(--ISNUMBER(SEARCH("R74",G58)),0)+IFERROR(--ISNUMBER(SEARCH("R75",G58)),0)+IFERROR(--ISNUMBER(SEARCH("R76",G58)),0)+IFERROR(--ISNUMBER(SEARCH("R77",G58)),0)+IFERROR(--ISNUMBER(SEARCH("R79",G58)),0)+IFERROR(--ISNUMBER(SEARCH("R80",G58)),0)+IFERROR(--ISNUMBER(SEARCH("R81",G58)),0)+IFERROR(--ISNUMBER(SEARCH("R83",G58)),0)+IFERROR(--ISNUMBER(SEARCH("R84",G58)),0)+IFERROR(--ISNUMBER(SEARCH("R89",G58)),0)+IFERROR(--ISNUMBER(SEARCH("R94",G58)),0)+IFERROR(--ISNUMBER(SEARCH("R95",G58)),0)+IFERROR(--ISNUMBER(SEARCH("R96",G58)),0)+IFERROR(--ISNUMBER(SEARCH("R98",G58)),0)+IFERROR(--ISNUMBER(SEARCH("R99",G58)),0)+IFERROR(--ISNUMBER(SEARCH("R100",G58)),0)+IFERROR(--ISNUMBER(SEARCH("R104",G58)),0)+IFERROR(--ISNUMBER(SEARCH("R105",G58)),0)+IFERROR(--ISNUMBER(SEARCH("R107",G58)),0)+IFERROR(--ISNUMBER(SEARCH("R108",G58)),0)+IFERROR(--ISNUMBER(SEARCH("R109",G58)),0)+IFERROR(--ISNUMBER(SEARCH("R110",G58)),0)+IFERROR(--ISNUMBER(SEARCH("R112",G58)),0)+IFERROR(--ISNUMBER(SEARCH("R113",G58)),0)+IFERROR(--ISNUMBER(SEARCH("R114",G58)),0)+IFERROR(--ISNUMBER(SEARCH("R118",G58)),0)+IFERROR(--ISNUMBER(SEARCH("R119",G58)),0)+IFERROR(--ISNUMBER(SEARCH("R120",G58)),0)+IFERROR(--ISNUMBER(SEARCH("R122",G58)),0)+IFERROR(--ISNUMBER(SEARCH("R123",G58)),0)+IFERROR(--ISNUMBER(SEARCH("R124",G58)),0)+IFERROR(--ISNUMBER(SEARCH("R128",G58)),0)+IFERROR(--ISNUMBER(SEARCH("R130",G58)),0)+IFERROR(--ISNUMBER(SEARCH("R131",G58)),0)+IFERROR(--ISNUMBER(SEARCH("R132",G58)),0)+IFERROR(--ISNUMBER(SEARCH("R135",G58)),0)+IFERROR(--ISNUMBER(SEARCH("R138",G58)),0)+IFERROR(--ISNUMBER(SEARCH("R141",G58)),0))</f>
        <v/>
      </c>
      <c r="U58" s="58">
        <f>IF(A58="","",IFERROR(--ISNUMBER(SEARCH("R28",G58))*28,0)+IFERROR(--ISNUMBER(SEARCH("R29",G58))*29,0)+IFERROR(--ISNUMBER(SEARCH("R30",G58))*30,0)+IFERROR(--ISNUMBER(SEARCH("R31",G58))*31,0)+IFERROR(--ISNUMBER(SEARCH("R32",G58))*32,0)+IFERROR(--ISNUMBER(SEARCH("R33",G58))*33,0)+IFERROR(--ISNUMBER(SEARCH("R34",G58))*34,0)+IFERROR(--ISNUMBER(SEARCH("R35",G58))*35,0)+IFERROR(--ISNUMBER(SEARCH("R36",G58))*36,0)+IFERROR(--ISNUMBER(SEARCH("R37",G58))*37,0)+IFERROR(--ISNUMBER(SEARCH("R38",G58))*38,0)+IFERROR(--ISNUMBER(SEARCH("R39",G58))*39,0)+IFERROR(--ISNUMBER(SEARCH("R40",G58))*40,0)+IFERROR(--ISNUMBER(SEARCH("R41",G58))*41,0)+IFERROR(--ISNUMBER(SEARCH("R42",G58))*42,0)+IFERROR(--ISNUMBER(SEARCH("R43",G58))*43,0)+IFERROR(--ISNUMBER(SEARCH("R44",G58))*44,0)+IFERROR(--ISNUMBER(SEARCH("R45",G58))*45,0)+IFERROR(--ISNUMBER(SEARCH("R46",G58))*46,0)+IFERROR(--ISNUMBER(SEARCH("R47",G58))*47,0)+IFERROR(--ISNUMBER(SEARCH("R48",G58))*48,0)+IFERROR(--ISNUMBER(SEARCH("R49",G58))*49,0)+IFERROR(--ISNUMBER(SEARCH("R50",G58))*50,0)+IFERROR(--ISNUMBER(SEARCH("R51",G58))*51,0)+IFERROR(--ISNUMBER(SEARCH("R52",G58))*52,0)+IFERROR(--ISNUMBER(SEARCH("R53",G58))*53,0)+IFERROR(--ISNUMBER(SEARCH("R54",G58))*54,0)+IFERROR(--ISNUMBER(SEARCH("R55",G58))*55,0)+IFERROR(--ISNUMBER(SEARCH("R56",G58))*56,0)+IFERROR(--ISNUMBER(SEARCH("R57",G58))*57,0)+IFERROR(--ISNUMBER(SEARCH("R58",G58))*58,0)+IFERROR(--ISNUMBER(SEARCH("R59",G58))*59,0)+IFERROR(--ISNUMBER(SEARCH("R60",G58))*60,0)+IFERROR(--ISNUMBER(SEARCH("R61",G58))*61,0)+IFERROR(--ISNUMBER(SEARCH("R62",G58))*62,0)+IFERROR(--ISNUMBER(SEARCH("R63",G58))*63,0)+IFERROR(--ISNUMBER(SEARCH("R64",G58))*64,0)+IFERROR(--ISNUMBER(SEARCH("R65",G58))*65,0)+IFERROR(--ISNUMBER(SEARCH("R66",G58))*66,0)+IFERROR(--ISNUMBER(SEARCH("R67",G58))*67,0)+IFERROR(--ISNUMBER(SEARCH("R68",G58))*68,0)+IFERROR(--ISNUMBER(SEARCH("R69",G58))*69,0)+IFERROR(--ISNUMBER(SEARCH("R70",G58))*70,0)+IFERROR(--ISNUMBER(SEARCH("R71",G58))*71,0)+IFERROR(--ISNUMBER(SEARCH("R72",G58))*72,0)+IFERROR(--ISNUMBER(SEARCH("R73",G58))*73,0)+IFERROR(--ISNUMBER(SEARCH("R74",G58))*74,0)+IFERROR(--ISNUMBER(SEARCH("R75",G58))*75,0)+IFERROR(--ISNUMBER(SEARCH("R76",G58))*76,0)+IFERROR(--ISNUMBER(SEARCH("R77",G58))*77,0)+IFERROR(--ISNUMBER(SEARCH("R78",G58))*78,0)+IFERROR(--ISNUMBER(SEARCH("R79",G58))*79,0)+IFERROR(--ISNUMBER(SEARCH("R80",G58))*80,0)+IFERROR(--ISNUMBER(SEARCH("R81",G58))*81,0)+IFERROR(--ISNUMBER(SEARCH("R82",G58))*82,0)+IFERROR(--ISNUMBER(SEARCH("R83",G58))*83,0)+IFERROR(--ISNUMBER(SEARCH("R84",G58))*84,0)+IFERROR(--ISNUMBER(SEARCH("R85",G58))*85,0)+IFERROR(--ISNUMBER(SEARCH("R86",G58))*86,0)+IFERROR(--ISNUMBER(SEARCH("R87",G58))*87,0)+IFERROR(--ISNUMBER(SEARCH("R88",G58))*88,0)+IFERROR(--ISNUMBER(SEARCH("R89",G58))*89,0)+IFERROR(--ISNUMBER(SEARCH("R90",G58))*90,0)+IFERROR(--ISNUMBER(SEARCH("R91",G58))*91,0)+IFERROR(--ISNUMBER(SEARCH("R92",G58))*92,0)+IFERROR(--ISNUMBER(SEARCH("R93",G58))*93,0)+IFERROR(--ISNUMBER(SEARCH("R94",G58))*94,0)+IFERROR(--ISNUMBER(SEARCH("R95",G58))*95,0)+IFERROR(--ISNUMBER(SEARCH("R96",G58))*96,0)+IFERROR(--ISNUMBER(SEARCH("R97",G58))*97,0)+IFERROR(--ISNUMBER(SEARCH("R98",G58))*98,0)+IFERROR(--ISNUMBER(SEARCH("R99",G58))*99,0)+IFERROR(--ISNUMBER(SEARCH("R100",G58))*100,0)+IFERROR(--ISNUMBER(SEARCH("R101",G58))*101,0)+IFERROR(--ISNUMBER(SEARCH("R102",G58))*102,0)+IFERROR(--ISNUMBER(SEARCH("R103",G58))*103,0)+IFERROR(--ISNUMBER(SEARCH("R104",G58))*104,0)+IFERROR(--ISNUMBER(SEARCH("R105",G58))*105,0)+IFERROR(--ISNUMBER(SEARCH("R106",G58))*106,0)+IFERROR(--ISNUMBER(SEARCH("R107",G58))*107,0)+IFERROR(--ISNUMBER(SEARCH("R108",G58))*108,0)+IFERROR(--ISNUMBER(SEARCH("R109",G58))*109,0)+IFERROR(--ISNUMBER(SEARCH("R110",G58))*110,0)+IFERROR(--ISNUMBER(SEARCH("R111",G58))*111,0)+IFERROR(--ISNUMBER(SEARCH("R112",G58))*112,0)+IFERROR(--ISNUMBER(SEARCH("R113",G58))*113,0)+IFERROR(--ISNUMBER(SEARCH("R114",G58))*114,0)+IFERROR(--ISNUMBER(SEARCH("R115",G58))*115,0)+IFERROR(--ISNUMBER(SEARCH("R116",G58))*116,0)+IFERROR(--ISNUMBER(SEARCH("R117",G58))*117,0)+IFERROR(--ISNUMBER(SEARCH("R118",G58))*118,0)+IFERROR(--ISNUMBER(SEARCH("R119",G58))*119,0)+IFERROR(--ISNUMBER(SEARCH("R120",G58))*120,0)+IFERROR(--ISNUMBER(SEARCH("R121",G58))*121,0)+IFERROR(--ISNUMBER(SEARCH("R122",G58))*122,0)+IFERROR(--ISNUMBER(SEARCH("R123",G58))*123,0)+IFERROR(--ISNUMBER(SEARCH("R124",G58))*124,0)+IFERROR(--ISNUMBER(SEARCH("R125",G58))*125,0)+IFERROR(--ISNUMBER(SEARCH("R126",G58))*126,0)+IFERROR(--ISNUMBER(SEARCH("R127",G58))*127,0)+IFERROR(--ISNUMBER(SEARCH("R128",G58))*128,0)+IFERROR(--ISNUMBER(SEARCH("R129",G58))*129,0)+IFERROR(--ISNUMBER(SEARCH("R130",G58))*130,0)+IFERROR(--ISNUMBER(SEARCH("R131",G58))*131,0)+IFERROR(--ISNUMBER(SEARCH("R132",G58))*132,0)+IFERROR(--ISNUMBER(SEARCH("R133",G58))*133,0)+IFERROR(--ISNUMBER(SEARCH("R134",G58))*134,0)+IFERROR(--ISNUMBER(SEARCH("R135",G58))*135,0)+IFERROR(--ISNUMBER(SEARCH("R136",G58))*136,0)+IFERROR(--ISNUMBER(SEARCH("R137",G58))*137,0)+IFERROR(--ISNUMBER(SEARCH("R138",G58))*138,0)+IFERROR(--ISNUMBER(SEARCH("R139",G58))*139,0)+IFERROR(--ISNUMBER(SEARCH("R140",G58))*140,0)+IFERROR(--ISNUMBER(SEARCH("R141",G58))*141,0))</f>
        <v/>
      </c>
      <c r="V58" s="59">
        <f>IF(A58="","",IF(K58&lt;&gt;"",K58,J58))</f>
        <v/>
      </c>
      <c r="W58" s="59">
        <f>IF(A58="","",IF(AND(V58=29,O58&lt;&gt;"",COUNTIFS($V$6:$V$505,29,$F$6:$F$505,F58,$C$6:$C$505,C58,$O$6:$O$505,"&lt;&gt;")&gt;1),IF(COUNTIFS($V$6:V58,29,$F$6:F58,F58,$C$6:C58,C58,$O$6:O58,"&lt;&gt;")=1,"Esta es la fila que se debe CONSERVAR (aparición 1 de "&amp;COUNTIFS($V$6:$V$505,29,$F$6:$F$505,F58,$C$6:$C$505,C58,$O$6:$O$505,"&lt;&gt;")&amp;" con el mismo tercero y valor, casilla 29). Si hay más filas iguales, bórreles el valor a ELLAS, no a esta.","DUPLICADO — ya existe otra fila con el mismo tercero y valor para casilla 29 (aparición "&amp;COUNTIFS($V$6:V58,29,$F$6:F58,F58,$C$6:C58,C58,$O$6:O58,"&lt;&gt;")&amp;" de "&amp;COUNTIFS($V$6:$V$505,29,$F$6:$F$505,F58,$C$6:$C$505,C58,$O$6:$O$505,"&lt;&gt;")&amp;"). Para resolverlo: seleccione la celda O"&amp;ROW()&amp;" (columna Valor a declarar de ESTA fila) y presione Supr."),""))</f>
        <v/>
      </c>
      <c r="X58" s="463">
        <f>IF(A58="","",F58)</f>
        <v/>
      </c>
      <c r="Y58" s="463">
        <f>IF(A58="","",SUMIF(Entrada_Manual!$I$88:$I$187,A58,Entrada_Manual!$F$88:$F$187))</f>
        <v/>
      </c>
      <c r="Z58" s="463">
        <f>IF(A58="","",X58-Y58)</f>
        <v/>
      </c>
      <c r="AA58">
        <f>IF(A58="","",SUMPRODUCT((Entrada_Manual!$I$88:$I$187=A58)*1))</f>
        <v/>
      </c>
      <c r="AB58">
        <f>IF(A58="","",IF(S58&lt;=1,"",IF(AA58=0,"PENDIENTE — SIN ASIGNAR",IF(Z58=0,"RESUELTO","PARCIAL — DIFERENCIA "&amp;TEXT(Z58,"#,##0")))))</f>
        <v/>
      </c>
    </row>
    <row r="59" ht="28.5" customHeight="1" s="235">
      <c r="A59" s="47">
        <f>IF(Exogena_RAW!E68&lt;&gt;"",ROW()-5,"")</f>
        <v/>
      </c>
      <c r="B59" s="48">
        <f>IF(A59="","",68)</f>
        <v/>
      </c>
      <c r="C59" s="48">
        <f>IF(A59="","",IFERROR(Exogena_RAW!A68,""))</f>
        <v/>
      </c>
      <c r="D59" s="48">
        <f>IF(A59="","",IFERROR(Exogena_RAW!B68,""))</f>
        <v/>
      </c>
      <c r="E59" s="48">
        <f>IF(A59="","",Exogena_RAW!E68)</f>
        <v/>
      </c>
      <c r="F59" s="461">
        <f>IF(A59="","",Exogena_RAW!F68)</f>
        <v/>
      </c>
      <c r="G59" s="48">
        <f>IF(A59="","",IFERROR(Exogena_RAW!G68,""))</f>
        <v/>
      </c>
      <c r="H59" s="48">
        <f>IF(A59="","",IFERROR(Exogena_RAW!H68,""))</f>
        <v/>
      </c>
      <c r="I59" s="48">
        <f>IF(A59="","",IFERROR(IF(S59&gt;1,"VARIAS CASILLAS",IF(S59=1,IF(T59=1,"PROPUESTA DE CASILLA","REVISIÓN: CASILLA NO DIRECTA"),IF(OR(ISNUMBER(SEARCH("TOPE",UPPER(E59))),ISNUMBER(SEARCH("TOPE",UPPER(G59)))),"SOLO CONTROL",IF(ISNUMBER(SEARCH("RETEN",UPPER(E59))),"RETENCIÓN","REVISAR")))),"REVISAR"))</f>
        <v/>
      </c>
      <c r="J59" s="48">
        <f>IF(A59="","",IF(ISNUMBER(SEARCH("ingreso laboral promedio de los últimos seis meses",E59)),"",IFERROR(IF(AND(S59=1,T59=1),U59,""),"")))</f>
        <v/>
      </c>
      <c r="K59" s="216" t="n"/>
      <c r="L59" s="48">
        <f>IF(A59="","",IFERROR(IF(K59&lt;&gt;"","Casilla elegida por usuario",IF(S59&gt;1,"Varias casillas — elegir en K",IF(J59&lt;&gt;"","Sugerencia directa",IF(S59=1,"No trasladar directo — revisar",IF(OR(ISNUMBER(SEARCH("TOPE",UPPER(E59))),ISNUMBER(SEARCH("TOPE",UPPER(G59)))),"Solo control","Revisar manualmente"))))),"Revisar manualmente"))</f>
        <v/>
      </c>
      <c r="M59" s="461">
        <f>IF(A59="","",IF(IF(K59&lt;&gt;"",K59,J59)="",0,IF(COUNTIFS(Reglas!$I$5:$I$118,IF(K59&lt;&gt;"",K59,J59),Reglas!$J$5:$J$118,"Sí")=1,F59,0)))</f>
        <v/>
      </c>
      <c r="N59" s="56" t="n"/>
      <c r="O59" s="462">
        <f>IF(A59="","",IF(M59=0,"",M59))</f>
        <v/>
      </c>
      <c r="P59" s="461">
        <f>IF(A59="","",IF(O59="",0,IF(ISNUMBER(O59),O59,0)))</f>
        <v/>
      </c>
      <c r="Q59" s="48">
        <f>IF(A59="","",IF(Exogena_RAW!$C$4="","BLOQUEADO: FALTA AÑO",IF(Exogena_RAW!$K$10&lt;&gt;Reglas!$B$5,"BLOQUEADO: AÑO",IF(IF(K59&lt;&gt;"",K59,J59)="",IF(S59&gt;1,"REQUIERE ASIGNACIÓN MANUAL (VARIAS CASILLAS)","INFORMATIVO (sin casilla — no se declara)"),IF(COUNTIFS(Reglas!$I$5:$I$118,IF(K59&lt;&gt;"",K59,J59),Reglas!$J$5:$J$118,"Sí")=0,"BLOQUEADO: CASILLA NO DIRECTA",IF(O59="","EXCLUIDO (valor borrado por el usuario)",IF(_xlfn.ISFORMULA(O59),IF(W59&lt;&gt;"","BORRADOR — VALOR SUGERIDO DIAN ⚠ VER ALERTA","BORRADOR — VALOR SUGERIDO DIAN"),IF(W59&lt;&gt;"","ACEPTADO ⚠ VER ALERTA","ACEPTADO"))))))))</f>
        <v/>
      </c>
      <c r="R59" s="218" t="n"/>
      <c r="S59" s="58">
        <f>IF(A59="","",IFERROR(--ISNUMBER(SEARCH("R28",G59)),0)+IFERROR(--ISNUMBER(SEARCH("R29",G59)),0)+IFERROR(--ISNUMBER(SEARCH("R30",G59)),0)+IFERROR(--ISNUMBER(SEARCH("R31",G59)),0)+IFERROR(--ISNUMBER(SEARCH("R32",G59)),0)+IFERROR(--ISNUMBER(SEARCH("R33",G59)),0)+IFERROR(--ISNUMBER(SEARCH("R34",G59)),0)+IFERROR(--ISNUMBER(SEARCH("R35",G59)),0)+IFERROR(--ISNUMBER(SEARCH("R36",G59)),0)+IFERROR(--ISNUMBER(SEARCH("R37",G59)),0)+IFERROR(--ISNUMBER(SEARCH("R38",G59)),0)+IFERROR(--ISNUMBER(SEARCH("R39",G59)),0)+IFERROR(--ISNUMBER(SEARCH("R40",G59)),0)+IFERROR(--ISNUMBER(SEARCH("R41",G59)),0)+IFERROR(--ISNUMBER(SEARCH("R42",G59)),0)+IFERROR(--ISNUMBER(SEARCH("R43",G59)),0)+IFERROR(--ISNUMBER(SEARCH("R44",G59)),0)+IFERROR(--ISNUMBER(SEARCH("R45",G59)),0)+IFERROR(--ISNUMBER(SEARCH("R46",G59)),0)+IFERROR(--ISNUMBER(SEARCH("R47",G59)),0)+IFERROR(--ISNUMBER(SEARCH("R48",G59)),0)+IFERROR(--ISNUMBER(SEARCH("R49",G59)),0)+IFERROR(--ISNUMBER(SEARCH("R50",G59)),0)+IFERROR(--ISNUMBER(SEARCH("R51",G59)),0)+IFERROR(--ISNUMBER(SEARCH("R52",G59)),0)+IFERROR(--ISNUMBER(SEARCH("R53",G59)),0)+IFERROR(--ISNUMBER(SEARCH("R54",G59)),0)+IFERROR(--ISNUMBER(SEARCH("R55",G59)),0)+IFERROR(--ISNUMBER(SEARCH("R56",G59)),0)+IFERROR(--ISNUMBER(SEARCH("R57",G59)),0)+IFERROR(--ISNUMBER(SEARCH("R58",G59)),0)+IFERROR(--ISNUMBER(SEARCH("R59",G59)),0)+IFERROR(--ISNUMBER(SEARCH("R60",G59)),0)+IFERROR(--ISNUMBER(SEARCH("R61",G59)),0)+IFERROR(--ISNUMBER(SEARCH("R62",G59)),0)+IFERROR(--ISNUMBER(SEARCH("R63",G59)),0)+IFERROR(--ISNUMBER(SEARCH("R64",G59)),0)+IFERROR(--ISNUMBER(SEARCH("R65",G59)),0)+IFERROR(--ISNUMBER(SEARCH("R66",G59)),0)+IFERROR(--ISNUMBER(SEARCH("R67",G59)),0)+IFERROR(--ISNUMBER(SEARCH("R68",G59)),0)+IFERROR(--ISNUMBER(SEARCH("R69",G59)),0)+IFERROR(--ISNUMBER(SEARCH("R70",G59)),0)+IFERROR(--ISNUMBER(SEARCH("R71",G59)),0)+IFERROR(--ISNUMBER(SEARCH("R72",G59)),0)+IFERROR(--ISNUMBER(SEARCH("R73",G59)),0)+IFERROR(--ISNUMBER(SEARCH("R74",G59)),0)+IFERROR(--ISNUMBER(SEARCH("R75",G59)),0)+IFERROR(--ISNUMBER(SEARCH("R76",G59)),0)+IFERROR(--ISNUMBER(SEARCH("R77",G59)),0)+IFERROR(--ISNUMBER(SEARCH("R78",G59)),0)+IFERROR(--ISNUMBER(SEARCH("R79",G59)),0)+IFERROR(--ISNUMBER(SEARCH("R80",G59)),0)+IFERROR(--ISNUMBER(SEARCH("R81",G59)),0)+IFERROR(--ISNUMBER(SEARCH("R82",G59)),0)+IFERROR(--ISNUMBER(SEARCH("R83",G59)),0)+IFERROR(--ISNUMBER(SEARCH("R84",G59)),0)+IFERROR(--ISNUMBER(SEARCH("R85",G59)),0)+IFERROR(--ISNUMBER(SEARCH("R86",G59)),0)+IFERROR(--ISNUMBER(SEARCH("R87",G59)),0)+IFERROR(--ISNUMBER(SEARCH("R88",G59)),0)+IFERROR(--ISNUMBER(SEARCH("R89",G59)),0)+IFERROR(--ISNUMBER(SEARCH("R90",G59)),0)+IFERROR(--ISNUMBER(SEARCH("R91",G59)),0)+IFERROR(--ISNUMBER(SEARCH("R92",G59)),0)+IFERROR(--ISNUMBER(SEARCH("R93",G59)),0)+IFERROR(--ISNUMBER(SEARCH("R94",G59)),0)+IFERROR(--ISNUMBER(SEARCH("R95",G59)),0)+IFERROR(--ISNUMBER(SEARCH("R96",G59)),0)+IFERROR(--ISNUMBER(SEARCH("R97",G59)),0)+IFERROR(--ISNUMBER(SEARCH("R98",G59)),0)+IFERROR(--ISNUMBER(SEARCH("R99",G59)),0)+IFERROR(--ISNUMBER(SEARCH("R100",G59)),0)+IFERROR(--ISNUMBER(SEARCH("R101",G59)),0)+IFERROR(--ISNUMBER(SEARCH("R102",G59)),0)+IFERROR(--ISNUMBER(SEARCH("R103",G59)),0)+IFERROR(--ISNUMBER(SEARCH("R104",G59)),0)+IFERROR(--ISNUMBER(SEARCH("R105",G59)),0)+IFERROR(--ISNUMBER(SEARCH("R106",G59)),0)+IFERROR(--ISNUMBER(SEARCH("R107",G59)),0)+IFERROR(--ISNUMBER(SEARCH("R108",G59)),0)+IFERROR(--ISNUMBER(SEARCH("R109",G59)),0)+IFERROR(--ISNUMBER(SEARCH("R110",G59)),0)+IFERROR(--ISNUMBER(SEARCH("R111",G59)),0)+IFERROR(--ISNUMBER(SEARCH("R112",G59)),0)+IFERROR(--ISNUMBER(SEARCH("R113",G59)),0)+IFERROR(--ISNUMBER(SEARCH("R114",G59)),0)+IFERROR(--ISNUMBER(SEARCH("R115",G59)),0)+IFERROR(--ISNUMBER(SEARCH("R116",G59)),0)+IFERROR(--ISNUMBER(SEARCH("R117",G59)),0)+IFERROR(--ISNUMBER(SEARCH("R118",G59)),0)+IFERROR(--ISNUMBER(SEARCH("R119",G59)),0)+IFERROR(--ISNUMBER(SEARCH("R120",G59)),0)+IFERROR(--ISNUMBER(SEARCH("R121",G59)),0)+IFERROR(--ISNUMBER(SEARCH("R122",G59)),0)+IFERROR(--ISNUMBER(SEARCH("R123",G59)),0)+IFERROR(--ISNUMBER(SEARCH("R124",G59)),0)+IFERROR(--ISNUMBER(SEARCH("R125",G59)),0)+IFERROR(--ISNUMBER(SEARCH("R126",G59)),0)+IFERROR(--ISNUMBER(SEARCH("R127",G59)),0)+IFERROR(--ISNUMBER(SEARCH("R128",G59)),0)+IFERROR(--ISNUMBER(SEARCH("R129",G59)),0)+IFERROR(--ISNUMBER(SEARCH("R130",G59)),0)+IFERROR(--ISNUMBER(SEARCH("R131",G59)),0)+IFERROR(--ISNUMBER(SEARCH("R132",G59)),0)+IFERROR(--ISNUMBER(SEARCH("R133",G59)),0)+IFERROR(--ISNUMBER(SEARCH("R134",G59)),0)+IFERROR(--ISNUMBER(SEARCH("R135",G59)),0)+IFERROR(--ISNUMBER(SEARCH("R136",G59)),0)+IFERROR(--ISNUMBER(SEARCH("R137",G59)),0)+IFERROR(--ISNUMBER(SEARCH("R138",G59)),0)+IFERROR(--ISNUMBER(SEARCH("R139",G59)),0)+IFERROR(--ISNUMBER(SEARCH("R140",G59)),0)+IFERROR(--ISNUMBER(SEARCH("R141",G59)),0))</f>
        <v/>
      </c>
      <c r="T59" s="58">
        <f>IF(A59="","",IFERROR(--ISNUMBER(SEARCH("R28",G59)),0)+IFERROR(--ISNUMBER(SEARCH("R29",G59)),0)+IFERROR(--ISNUMBER(SEARCH("R30",G59)),0)+IFERROR(--ISNUMBER(SEARCH("R32",G59)),0)+IFERROR(--ISNUMBER(SEARCH("R33",G59)),0)+IFERROR(--ISNUMBER(SEARCH("R35",G59)),0)+IFERROR(--ISNUMBER(SEARCH("R36",G59)),0)+IFERROR(--ISNUMBER(SEARCH("R38",G59)),0)+IFERROR(--ISNUMBER(SEARCH("R39",G59)),0)+IFERROR(--ISNUMBER(SEARCH("R43",G59)),0)+IFERROR(--ISNUMBER(SEARCH("R44",G59)),0)+IFERROR(--ISNUMBER(SEARCH("R45",G59)),0)+IFERROR(--ISNUMBER(SEARCH("R47",G59)),0)+IFERROR(--ISNUMBER(SEARCH("R48",G59)),0)+IFERROR(--ISNUMBER(SEARCH("R50",G59)),0)+IFERROR(--ISNUMBER(SEARCH("R51",G59)),0)+IFERROR(--ISNUMBER(SEARCH("R56",G59)),0)+IFERROR(--ISNUMBER(SEARCH("R58",G59)),0)+IFERROR(--ISNUMBER(SEARCH("R59",G59)),0)+IFERROR(--ISNUMBER(SEARCH("R60",G59)),0)+IFERROR(--ISNUMBER(SEARCH("R62",G59)),0)+IFERROR(--ISNUMBER(SEARCH("R63",G59)),0)+IFERROR(--ISNUMBER(SEARCH("R64",G59)),0)+IFERROR(--ISNUMBER(SEARCH("R66",G59)),0)+IFERROR(--ISNUMBER(SEARCH("R67",G59)),0)+IFERROR(--ISNUMBER(SEARCH("R72",G59)),0)+IFERROR(--ISNUMBER(SEARCH("R74",G59)),0)+IFERROR(--ISNUMBER(SEARCH("R75",G59)),0)+IFERROR(--ISNUMBER(SEARCH("R76",G59)),0)+IFERROR(--ISNUMBER(SEARCH("R77",G59)),0)+IFERROR(--ISNUMBER(SEARCH("R79",G59)),0)+IFERROR(--ISNUMBER(SEARCH("R80",G59)),0)+IFERROR(--ISNUMBER(SEARCH("R81",G59)),0)+IFERROR(--ISNUMBER(SEARCH("R83",G59)),0)+IFERROR(--ISNUMBER(SEARCH("R84",G59)),0)+IFERROR(--ISNUMBER(SEARCH("R89",G59)),0)+IFERROR(--ISNUMBER(SEARCH("R94",G59)),0)+IFERROR(--ISNUMBER(SEARCH("R95",G59)),0)+IFERROR(--ISNUMBER(SEARCH("R96",G59)),0)+IFERROR(--ISNUMBER(SEARCH("R98",G59)),0)+IFERROR(--ISNUMBER(SEARCH("R99",G59)),0)+IFERROR(--ISNUMBER(SEARCH("R100",G59)),0)+IFERROR(--ISNUMBER(SEARCH("R104",G59)),0)+IFERROR(--ISNUMBER(SEARCH("R105",G59)),0)+IFERROR(--ISNUMBER(SEARCH("R107",G59)),0)+IFERROR(--ISNUMBER(SEARCH("R108",G59)),0)+IFERROR(--ISNUMBER(SEARCH("R109",G59)),0)+IFERROR(--ISNUMBER(SEARCH("R110",G59)),0)+IFERROR(--ISNUMBER(SEARCH("R112",G59)),0)+IFERROR(--ISNUMBER(SEARCH("R113",G59)),0)+IFERROR(--ISNUMBER(SEARCH("R114",G59)),0)+IFERROR(--ISNUMBER(SEARCH("R118",G59)),0)+IFERROR(--ISNUMBER(SEARCH("R119",G59)),0)+IFERROR(--ISNUMBER(SEARCH("R120",G59)),0)+IFERROR(--ISNUMBER(SEARCH("R122",G59)),0)+IFERROR(--ISNUMBER(SEARCH("R123",G59)),0)+IFERROR(--ISNUMBER(SEARCH("R124",G59)),0)+IFERROR(--ISNUMBER(SEARCH("R128",G59)),0)+IFERROR(--ISNUMBER(SEARCH("R130",G59)),0)+IFERROR(--ISNUMBER(SEARCH("R131",G59)),0)+IFERROR(--ISNUMBER(SEARCH("R132",G59)),0)+IFERROR(--ISNUMBER(SEARCH("R135",G59)),0)+IFERROR(--ISNUMBER(SEARCH("R138",G59)),0)+IFERROR(--ISNUMBER(SEARCH("R141",G59)),0))</f>
        <v/>
      </c>
      <c r="U59" s="58">
        <f>IF(A59="","",IFERROR(--ISNUMBER(SEARCH("R28",G59))*28,0)+IFERROR(--ISNUMBER(SEARCH("R29",G59))*29,0)+IFERROR(--ISNUMBER(SEARCH("R30",G59))*30,0)+IFERROR(--ISNUMBER(SEARCH("R31",G59))*31,0)+IFERROR(--ISNUMBER(SEARCH("R32",G59))*32,0)+IFERROR(--ISNUMBER(SEARCH("R33",G59))*33,0)+IFERROR(--ISNUMBER(SEARCH("R34",G59))*34,0)+IFERROR(--ISNUMBER(SEARCH("R35",G59))*35,0)+IFERROR(--ISNUMBER(SEARCH("R36",G59))*36,0)+IFERROR(--ISNUMBER(SEARCH("R37",G59))*37,0)+IFERROR(--ISNUMBER(SEARCH("R38",G59))*38,0)+IFERROR(--ISNUMBER(SEARCH("R39",G59))*39,0)+IFERROR(--ISNUMBER(SEARCH("R40",G59))*40,0)+IFERROR(--ISNUMBER(SEARCH("R41",G59))*41,0)+IFERROR(--ISNUMBER(SEARCH("R42",G59))*42,0)+IFERROR(--ISNUMBER(SEARCH("R43",G59))*43,0)+IFERROR(--ISNUMBER(SEARCH("R44",G59))*44,0)+IFERROR(--ISNUMBER(SEARCH("R45",G59))*45,0)+IFERROR(--ISNUMBER(SEARCH("R46",G59))*46,0)+IFERROR(--ISNUMBER(SEARCH("R47",G59))*47,0)+IFERROR(--ISNUMBER(SEARCH("R48",G59))*48,0)+IFERROR(--ISNUMBER(SEARCH("R49",G59))*49,0)+IFERROR(--ISNUMBER(SEARCH("R50",G59))*50,0)+IFERROR(--ISNUMBER(SEARCH("R51",G59))*51,0)+IFERROR(--ISNUMBER(SEARCH("R52",G59))*52,0)+IFERROR(--ISNUMBER(SEARCH("R53",G59))*53,0)+IFERROR(--ISNUMBER(SEARCH("R54",G59))*54,0)+IFERROR(--ISNUMBER(SEARCH("R55",G59))*55,0)+IFERROR(--ISNUMBER(SEARCH("R56",G59))*56,0)+IFERROR(--ISNUMBER(SEARCH("R57",G59))*57,0)+IFERROR(--ISNUMBER(SEARCH("R58",G59))*58,0)+IFERROR(--ISNUMBER(SEARCH("R59",G59))*59,0)+IFERROR(--ISNUMBER(SEARCH("R60",G59))*60,0)+IFERROR(--ISNUMBER(SEARCH("R61",G59))*61,0)+IFERROR(--ISNUMBER(SEARCH("R62",G59))*62,0)+IFERROR(--ISNUMBER(SEARCH("R63",G59))*63,0)+IFERROR(--ISNUMBER(SEARCH("R64",G59))*64,0)+IFERROR(--ISNUMBER(SEARCH("R65",G59))*65,0)+IFERROR(--ISNUMBER(SEARCH("R66",G59))*66,0)+IFERROR(--ISNUMBER(SEARCH("R67",G59))*67,0)+IFERROR(--ISNUMBER(SEARCH("R68",G59))*68,0)+IFERROR(--ISNUMBER(SEARCH("R69",G59))*69,0)+IFERROR(--ISNUMBER(SEARCH("R70",G59))*70,0)+IFERROR(--ISNUMBER(SEARCH("R71",G59))*71,0)+IFERROR(--ISNUMBER(SEARCH("R72",G59))*72,0)+IFERROR(--ISNUMBER(SEARCH("R73",G59))*73,0)+IFERROR(--ISNUMBER(SEARCH("R74",G59))*74,0)+IFERROR(--ISNUMBER(SEARCH("R75",G59))*75,0)+IFERROR(--ISNUMBER(SEARCH("R76",G59))*76,0)+IFERROR(--ISNUMBER(SEARCH("R77",G59))*77,0)+IFERROR(--ISNUMBER(SEARCH("R78",G59))*78,0)+IFERROR(--ISNUMBER(SEARCH("R79",G59))*79,0)+IFERROR(--ISNUMBER(SEARCH("R80",G59))*80,0)+IFERROR(--ISNUMBER(SEARCH("R81",G59))*81,0)+IFERROR(--ISNUMBER(SEARCH("R82",G59))*82,0)+IFERROR(--ISNUMBER(SEARCH("R83",G59))*83,0)+IFERROR(--ISNUMBER(SEARCH("R84",G59))*84,0)+IFERROR(--ISNUMBER(SEARCH("R85",G59))*85,0)+IFERROR(--ISNUMBER(SEARCH("R86",G59))*86,0)+IFERROR(--ISNUMBER(SEARCH("R87",G59))*87,0)+IFERROR(--ISNUMBER(SEARCH("R88",G59))*88,0)+IFERROR(--ISNUMBER(SEARCH("R89",G59))*89,0)+IFERROR(--ISNUMBER(SEARCH("R90",G59))*90,0)+IFERROR(--ISNUMBER(SEARCH("R91",G59))*91,0)+IFERROR(--ISNUMBER(SEARCH("R92",G59))*92,0)+IFERROR(--ISNUMBER(SEARCH("R93",G59))*93,0)+IFERROR(--ISNUMBER(SEARCH("R94",G59))*94,0)+IFERROR(--ISNUMBER(SEARCH("R95",G59))*95,0)+IFERROR(--ISNUMBER(SEARCH("R96",G59))*96,0)+IFERROR(--ISNUMBER(SEARCH("R97",G59))*97,0)+IFERROR(--ISNUMBER(SEARCH("R98",G59))*98,0)+IFERROR(--ISNUMBER(SEARCH("R99",G59))*99,0)+IFERROR(--ISNUMBER(SEARCH("R100",G59))*100,0)+IFERROR(--ISNUMBER(SEARCH("R101",G59))*101,0)+IFERROR(--ISNUMBER(SEARCH("R102",G59))*102,0)+IFERROR(--ISNUMBER(SEARCH("R103",G59))*103,0)+IFERROR(--ISNUMBER(SEARCH("R104",G59))*104,0)+IFERROR(--ISNUMBER(SEARCH("R105",G59))*105,0)+IFERROR(--ISNUMBER(SEARCH("R106",G59))*106,0)+IFERROR(--ISNUMBER(SEARCH("R107",G59))*107,0)+IFERROR(--ISNUMBER(SEARCH("R108",G59))*108,0)+IFERROR(--ISNUMBER(SEARCH("R109",G59))*109,0)+IFERROR(--ISNUMBER(SEARCH("R110",G59))*110,0)+IFERROR(--ISNUMBER(SEARCH("R111",G59))*111,0)+IFERROR(--ISNUMBER(SEARCH("R112",G59))*112,0)+IFERROR(--ISNUMBER(SEARCH("R113",G59))*113,0)+IFERROR(--ISNUMBER(SEARCH("R114",G59))*114,0)+IFERROR(--ISNUMBER(SEARCH("R115",G59))*115,0)+IFERROR(--ISNUMBER(SEARCH("R116",G59))*116,0)+IFERROR(--ISNUMBER(SEARCH("R117",G59))*117,0)+IFERROR(--ISNUMBER(SEARCH("R118",G59))*118,0)+IFERROR(--ISNUMBER(SEARCH("R119",G59))*119,0)+IFERROR(--ISNUMBER(SEARCH("R120",G59))*120,0)+IFERROR(--ISNUMBER(SEARCH("R121",G59))*121,0)+IFERROR(--ISNUMBER(SEARCH("R122",G59))*122,0)+IFERROR(--ISNUMBER(SEARCH("R123",G59))*123,0)+IFERROR(--ISNUMBER(SEARCH("R124",G59))*124,0)+IFERROR(--ISNUMBER(SEARCH("R125",G59))*125,0)+IFERROR(--ISNUMBER(SEARCH("R126",G59))*126,0)+IFERROR(--ISNUMBER(SEARCH("R127",G59))*127,0)+IFERROR(--ISNUMBER(SEARCH("R128",G59))*128,0)+IFERROR(--ISNUMBER(SEARCH("R129",G59))*129,0)+IFERROR(--ISNUMBER(SEARCH("R130",G59))*130,0)+IFERROR(--ISNUMBER(SEARCH("R131",G59))*131,0)+IFERROR(--ISNUMBER(SEARCH("R132",G59))*132,0)+IFERROR(--ISNUMBER(SEARCH("R133",G59))*133,0)+IFERROR(--ISNUMBER(SEARCH("R134",G59))*134,0)+IFERROR(--ISNUMBER(SEARCH("R135",G59))*135,0)+IFERROR(--ISNUMBER(SEARCH("R136",G59))*136,0)+IFERROR(--ISNUMBER(SEARCH("R137",G59))*137,0)+IFERROR(--ISNUMBER(SEARCH("R138",G59))*138,0)+IFERROR(--ISNUMBER(SEARCH("R139",G59))*139,0)+IFERROR(--ISNUMBER(SEARCH("R140",G59))*140,0)+IFERROR(--ISNUMBER(SEARCH("R141",G59))*141,0))</f>
        <v/>
      </c>
      <c r="V59" s="59">
        <f>IF(A59="","",IF(K59&lt;&gt;"",K59,J59))</f>
        <v/>
      </c>
      <c r="W59" s="59">
        <f>IF(A59="","",IF(AND(V59=29,O59&lt;&gt;"",COUNTIFS($V$6:$V$505,29,$F$6:$F$505,F59,$C$6:$C$505,C59,$O$6:$O$505,"&lt;&gt;")&gt;1),IF(COUNTIFS($V$6:V59,29,$F$6:F59,F59,$C$6:C59,C59,$O$6:O59,"&lt;&gt;")=1,"Esta es la fila que se debe CONSERVAR (aparición 1 de "&amp;COUNTIFS($V$6:$V$505,29,$F$6:$F$505,F59,$C$6:$C$505,C59,$O$6:$O$505,"&lt;&gt;")&amp;" con el mismo tercero y valor, casilla 29). Si hay más filas iguales, bórreles el valor a ELLAS, no a esta.","DUPLICADO — ya existe otra fila con el mismo tercero y valor para casilla 29 (aparición "&amp;COUNTIFS($V$6:V59,29,$F$6:F59,F59,$C$6:C59,C59,$O$6:O59,"&lt;&gt;")&amp;" de "&amp;COUNTIFS($V$6:$V$505,29,$F$6:$F$505,F59,$C$6:$C$505,C59,$O$6:$O$505,"&lt;&gt;")&amp;"). Para resolverlo: seleccione la celda O"&amp;ROW()&amp;" (columna Valor a declarar de ESTA fila) y presione Supr."),""))</f>
        <v/>
      </c>
      <c r="X59" s="463">
        <f>IF(A59="","",F59)</f>
        <v/>
      </c>
      <c r="Y59" s="463">
        <f>IF(A59="","",SUMIF(Entrada_Manual!$I$88:$I$187,A59,Entrada_Manual!$F$88:$F$187))</f>
        <v/>
      </c>
      <c r="Z59" s="463">
        <f>IF(A59="","",X59-Y59)</f>
        <v/>
      </c>
      <c r="AA59">
        <f>IF(A59="","",SUMPRODUCT((Entrada_Manual!$I$88:$I$187=A59)*1))</f>
        <v/>
      </c>
      <c r="AB59">
        <f>IF(A59="","",IF(S59&lt;=1,"",IF(AA59=0,"PENDIENTE — SIN ASIGNAR",IF(Z59=0,"RESUELTO","PARCIAL — DIFERENCIA "&amp;TEXT(Z59,"#,##0")))))</f>
        <v/>
      </c>
    </row>
    <row r="60" ht="28.5" customHeight="1" s="235">
      <c r="A60" s="47">
        <f>IF(Exogena_RAW!E69&lt;&gt;"",ROW()-5,"")</f>
        <v/>
      </c>
      <c r="B60" s="48">
        <f>IF(A60="","",69)</f>
        <v/>
      </c>
      <c r="C60" s="48">
        <f>IF(A60="","",IFERROR(Exogena_RAW!A69,""))</f>
        <v/>
      </c>
      <c r="D60" s="48">
        <f>IF(A60="","",IFERROR(Exogena_RAW!B69,""))</f>
        <v/>
      </c>
      <c r="E60" s="48">
        <f>IF(A60="","",Exogena_RAW!E69)</f>
        <v/>
      </c>
      <c r="F60" s="461">
        <f>IF(A60="","",Exogena_RAW!F69)</f>
        <v/>
      </c>
      <c r="G60" s="48">
        <f>IF(A60="","",IFERROR(Exogena_RAW!G69,""))</f>
        <v/>
      </c>
      <c r="H60" s="48">
        <f>IF(A60="","",IFERROR(Exogena_RAW!H69,""))</f>
        <v/>
      </c>
      <c r="I60" s="48">
        <f>IF(A60="","",IFERROR(IF(S60&gt;1,"VARIAS CASILLAS",IF(S60=1,IF(T60=1,"PROPUESTA DE CASILLA","REVISIÓN: CASILLA NO DIRECTA"),IF(OR(ISNUMBER(SEARCH("TOPE",UPPER(E60))),ISNUMBER(SEARCH("TOPE",UPPER(G60)))),"SOLO CONTROL",IF(ISNUMBER(SEARCH("RETEN",UPPER(E60))),"RETENCIÓN","REVISAR")))),"REVISAR"))</f>
        <v/>
      </c>
      <c r="J60" s="61">
        <f>IF(A60="","",IF(ISNUMBER(SEARCH("ingreso laboral promedio de los últimos seis meses",E60)),"",IFERROR(IF(AND(S60=1,T60=1),U60,""),"")))</f>
        <v/>
      </c>
      <c r="K60" s="216" t="n"/>
      <c r="L60" s="48">
        <f>IF(A60="","",IFERROR(IF(K60&lt;&gt;"","Casilla elegida por usuario",IF(S60&gt;1,"Varias casillas — elegir en K",IF(J60&lt;&gt;"","Sugerencia directa",IF(S60=1,"No trasladar directo — revisar",IF(OR(ISNUMBER(SEARCH("TOPE",UPPER(E60))),ISNUMBER(SEARCH("TOPE",UPPER(G60)))),"Solo control","Revisar manualmente"))))),"Revisar manualmente"))</f>
        <v/>
      </c>
      <c r="M60" s="461">
        <f>IF(A60="","",IF(IF(K60&lt;&gt;"",K60,J60)="",0,IF(COUNTIFS(Reglas!$I$5:$I$118,IF(K60&lt;&gt;"",K60,J60),Reglas!$J$5:$J$118,"Sí")=1,F60,0)))</f>
        <v/>
      </c>
      <c r="N60" s="56" t="n"/>
      <c r="O60" s="462">
        <f>IF(A60="","",IF(M60=0,"",M60))</f>
        <v/>
      </c>
      <c r="P60" s="461">
        <f>IF(A60="","",IF(O60="",0,IF(ISNUMBER(O60),O60,0)))</f>
        <v/>
      </c>
      <c r="Q60" s="48">
        <f>IF(A60="","",IF(Exogena_RAW!$C$4="","BLOQUEADO: FALTA AÑO",IF(Exogena_RAW!$K$10&lt;&gt;Reglas!$B$5,"BLOQUEADO: AÑO",IF(IF(K60&lt;&gt;"",K60,J60)="",IF(S60&gt;1,"REQUIERE ASIGNACIÓN MANUAL (VARIAS CASILLAS)","INFORMATIVO (sin casilla — no se declara)"),IF(COUNTIFS(Reglas!$I$5:$I$118,IF(K60&lt;&gt;"",K60,J60),Reglas!$J$5:$J$118,"Sí")=0,"BLOQUEADO: CASILLA NO DIRECTA",IF(O60="","EXCLUIDO (valor borrado por el usuario)",IF(_xlfn.ISFORMULA(O60),IF(W60&lt;&gt;"","BORRADOR — VALOR SUGERIDO DIAN ⚠ VER ALERTA","BORRADOR — VALOR SUGERIDO DIAN"),IF(W60&lt;&gt;"","ACEPTADO ⚠ VER ALERTA","ACEPTADO"))))))))</f>
        <v/>
      </c>
      <c r="R60" s="218" t="n"/>
      <c r="S60" s="58">
        <f>IF(A60="","",IFERROR(--ISNUMBER(SEARCH("R28",G60)),0)+IFERROR(--ISNUMBER(SEARCH("R29",G60)),0)+IFERROR(--ISNUMBER(SEARCH("R30",G60)),0)+IFERROR(--ISNUMBER(SEARCH("R31",G60)),0)+IFERROR(--ISNUMBER(SEARCH("R32",G60)),0)+IFERROR(--ISNUMBER(SEARCH("R33",G60)),0)+IFERROR(--ISNUMBER(SEARCH("R34",G60)),0)+IFERROR(--ISNUMBER(SEARCH("R35",G60)),0)+IFERROR(--ISNUMBER(SEARCH("R36",G60)),0)+IFERROR(--ISNUMBER(SEARCH("R37",G60)),0)+IFERROR(--ISNUMBER(SEARCH("R38",G60)),0)+IFERROR(--ISNUMBER(SEARCH("R39",G60)),0)+IFERROR(--ISNUMBER(SEARCH("R40",G60)),0)+IFERROR(--ISNUMBER(SEARCH("R41",G60)),0)+IFERROR(--ISNUMBER(SEARCH("R42",G60)),0)+IFERROR(--ISNUMBER(SEARCH("R43",G60)),0)+IFERROR(--ISNUMBER(SEARCH("R44",G60)),0)+IFERROR(--ISNUMBER(SEARCH("R45",G60)),0)+IFERROR(--ISNUMBER(SEARCH("R46",G60)),0)+IFERROR(--ISNUMBER(SEARCH("R47",G60)),0)+IFERROR(--ISNUMBER(SEARCH("R48",G60)),0)+IFERROR(--ISNUMBER(SEARCH("R49",G60)),0)+IFERROR(--ISNUMBER(SEARCH("R50",G60)),0)+IFERROR(--ISNUMBER(SEARCH("R51",G60)),0)+IFERROR(--ISNUMBER(SEARCH("R52",G60)),0)+IFERROR(--ISNUMBER(SEARCH("R53",G60)),0)+IFERROR(--ISNUMBER(SEARCH("R54",G60)),0)+IFERROR(--ISNUMBER(SEARCH("R55",G60)),0)+IFERROR(--ISNUMBER(SEARCH("R56",G60)),0)+IFERROR(--ISNUMBER(SEARCH("R57",G60)),0)+IFERROR(--ISNUMBER(SEARCH("R58",G60)),0)+IFERROR(--ISNUMBER(SEARCH("R59",G60)),0)+IFERROR(--ISNUMBER(SEARCH("R60",G60)),0)+IFERROR(--ISNUMBER(SEARCH("R61",G60)),0)+IFERROR(--ISNUMBER(SEARCH("R62",G60)),0)+IFERROR(--ISNUMBER(SEARCH("R63",G60)),0)+IFERROR(--ISNUMBER(SEARCH("R64",G60)),0)+IFERROR(--ISNUMBER(SEARCH("R65",G60)),0)+IFERROR(--ISNUMBER(SEARCH("R66",G60)),0)+IFERROR(--ISNUMBER(SEARCH("R67",G60)),0)+IFERROR(--ISNUMBER(SEARCH("R68",G60)),0)+IFERROR(--ISNUMBER(SEARCH("R69",G60)),0)+IFERROR(--ISNUMBER(SEARCH("R70",G60)),0)+IFERROR(--ISNUMBER(SEARCH("R71",G60)),0)+IFERROR(--ISNUMBER(SEARCH("R72",G60)),0)+IFERROR(--ISNUMBER(SEARCH("R73",G60)),0)+IFERROR(--ISNUMBER(SEARCH("R74",G60)),0)+IFERROR(--ISNUMBER(SEARCH("R75",G60)),0)+IFERROR(--ISNUMBER(SEARCH("R76",G60)),0)+IFERROR(--ISNUMBER(SEARCH("R77",G60)),0)+IFERROR(--ISNUMBER(SEARCH("R78",G60)),0)+IFERROR(--ISNUMBER(SEARCH("R79",G60)),0)+IFERROR(--ISNUMBER(SEARCH("R80",G60)),0)+IFERROR(--ISNUMBER(SEARCH("R81",G60)),0)+IFERROR(--ISNUMBER(SEARCH("R82",G60)),0)+IFERROR(--ISNUMBER(SEARCH("R83",G60)),0)+IFERROR(--ISNUMBER(SEARCH("R84",G60)),0)+IFERROR(--ISNUMBER(SEARCH("R85",G60)),0)+IFERROR(--ISNUMBER(SEARCH("R86",G60)),0)+IFERROR(--ISNUMBER(SEARCH("R87",G60)),0)+IFERROR(--ISNUMBER(SEARCH("R88",G60)),0)+IFERROR(--ISNUMBER(SEARCH("R89",G60)),0)+IFERROR(--ISNUMBER(SEARCH("R90",G60)),0)+IFERROR(--ISNUMBER(SEARCH("R91",G60)),0)+IFERROR(--ISNUMBER(SEARCH("R92",G60)),0)+IFERROR(--ISNUMBER(SEARCH("R93",G60)),0)+IFERROR(--ISNUMBER(SEARCH("R94",G60)),0)+IFERROR(--ISNUMBER(SEARCH("R95",G60)),0)+IFERROR(--ISNUMBER(SEARCH("R96",G60)),0)+IFERROR(--ISNUMBER(SEARCH("R97",G60)),0)+IFERROR(--ISNUMBER(SEARCH("R98",G60)),0)+IFERROR(--ISNUMBER(SEARCH("R99",G60)),0)+IFERROR(--ISNUMBER(SEARCH("R100",G60)),0)+IFERROR(--ISNUMBER(SEARCH("R101",G60)),0)+IFERROR(--ISNUMBER(SEARCH("R102",G60)),0)+IFERROR(--ISNUMBER(SEARCH("R103",G60)),0)+IFERROR(--ISNUMBER(SEARCH("R104",G60)),0)+IFERROR(--ISNUMBER(SEARCH("R105",G60)),0)+IFERROR(--ISNUMBER(SEARCH("R106",G60)),0)+IFERROR(--ISNUMBER(SEARCH("R107",G60)),0)+IFERROR(--ISNUMBER(SEARCH("R108",G60)),0)+IFERROR(--ISNUMBER(SEARCH("R109",G60)),0)+IFERROR(--ISNUMBER(SEARCH("R110",G60)),0)+IFERROR(--ISNUMBER(SEARCH("R111",G60)),0)+IFERROR(--ISNUMBER(SEARCH("R112",G60)),0)+IFERROR(--ISNUMBER(SEARCH("R113",G60)),0)+IFERROR(--ISNUMBER(SEARCH("R114",G60)),0)+IFERROR(--ISNUMBER(SEARCH("R115",G60)),0)+IFERROR(--ISNUMBER(SEARCH("R116",G60)),0)+IFERROR(--ISNUMBER(SEARCH("R117",G60)),0)+IFERROR(--ISNUMBER(SEARCH("R118",G60)),0)+IFERROR(--ISNUMBER(SEARCH("R119",G60)),0)+IFERROR(--ISNUMBER(SEARCH("R120",G60)),0)+IFERROR(--ISNUMBER(SEARCH("R121",G60)),0)+IFERROR(--ISNUMBER(SEARCH("R122",G60)),0)+IFERROR(--ISNUMBER(SEARCH("R123",G60)),0)+IFERROR(--ISNUMBER(SEARCH("R124",G60)),0)+IFERROR(--ISNUMBER(SEARCH("R125",G60)),0)+IFERROR(--ISNUMBER(SEARCH("R126",G60)),0)+IFERROR(--ISNUMBER(SEARCH("R127",G60)),0)+IFERROR(--ISNUMBER(SEARCH("R128",G60)),0)+IFERROR(--ISNUMBER(SEARCH("R129",G60)),0)+IFERROR(--ISNUMBER(SEARCH("R130",G60)),0)+IFERROR(--ISNUMBER(SEARCH("R131",G60)),0)+IFERROR(--ISNUMBER(SEARCH("R132",G60)),0)+IFERROR(--ISNUMBER(SEARCH("R133",G60)),0)+IFERROR(--ISNUMBER(SEARCH("R134",G60)),0)+IFERROR(--ISNUMBER(SEARCH("R135",G60)),0)+IFERROR(--ISNUMBER(SEARCH("R136",G60)),0)+IFERROR(--ISNUMBER(SEARCH("R137",G60)),0)+IFERROR(--ISNUMBER(SEARCH("R138",G60)),0)+IFERROR(--ISNUMBER(SEARCH("R139",G60)),0)+IFERROR(--ISNUMBER(SEARCH("R140",G60)),0)+IFERROR(--ISNUMBER(SEARCH("R141",G60)),0))</f>
        <v/>
      </c>
      <c r="T60" s="58">
        <f>IF(A60="","",IFERROR(--ISNUMBER(SEARCH("R28",G60)),0)+IFERROR(--ISNUMBER(SEARCH("R29",G60)),0)+IFERROR(--ISNUMBER(SEARCH("R30",G60)),0)+IFERROR(--ISNUMBER(SEARCH("R32",G60)),0)+IFERROR(--ISNUMBER(SEARCH("R33",G60)),0)+IFERROR(--ISNUMBER(SEARCH("R35",G60)),0)+IFERROR(--ISNUMBER(SEARCH("R36",G60)),0)+IFERROR(--ISNUMBER(SEARCH("R38",G60)),0)+IFERROR(--ISNUMBER(SEARCH("R39",G60)),0)+IFERROR(--ISNUMBER(SEARCH("R43",G60)),0)+IFERROR(--ISNUMBER(SEARCH("R44",G60)),0)+IFERROR(--ISNUMBER(SEARCH("R45",G60)),0)+IFERROR(--ISNUMBER(SEARCH("R47",G60)),0)+IFERROR(--ISNUMBER(SEARCH("R48",G60)),0)+IFERROR(--ISNUMBER(SEARCH("R50",G60)),0)+IFERROR(--ISNUMBER(SEARCH("R51",G60)),0)+IFERROR(--ISNUMBER(SEARCH("R56",G60)),0)+IFERROR(--ISNUMBER(SEARCH("R58",G60)),0)+IFERROR(--ISNUMBER(SEARCH("R59",G60)),0)+IFERROR(--ISNUMBER(SEARCH("R60",G60)),0)+IFERROR(--ISNUMBER(SEARCH("R62",G60)),0)+IFERROR(--ISNUMBER(SEARCH("R63",G60)),0)+IFERROR(--ISNUMBER(SEARCH("R64",G60)),0)+IFERROR(--ISNUMBER(SEARCH("R66",G60)),0)+IFERROR(--ISNUMBER(SEARCH("R67",G60)),0)+IFERROR(--ISNUMBER(SEARCH("R72",G60)),0)+IFERROR(--ISNUMBER(SEARCH("R74",G60)),0)+IFERROR(--ISNUMBER(SEARCH("R75",G60)),0)+IFERROR(--ISNUMBER(SEARCH("R76",G60)),0)+IFERROR(--ISNUMBER(SEARCH("R77",G60)),0)+IFERROR(--ISNUMBER(SEARCH("R79",G60)),0)+IFERROR(--ISNUMBER(SEARCH("R80",G60)),0)+IFERROR(--ISNUMBER(SEARCH("R81",G60)),0)+IFERROR(--ISNUMBER(SEARCH("R83",G60)),0)+IFERROR(--ISNUMBER(SEARCH("R84",G60)),0)+IFERROR(--ISNUMBER(SEARCH("R89",G60)),0)+IFERROR(--ISNUMBER(SEARCH("R94",G60)),0)+IFERROR(--ISNUMBER(SEARCH("R95",G60)),0)+IFERROR(--ISNUMBER(SEARCH("R96",G60)),0)+IFERROR(--ISNUMBER(SEARCH("R98",G60)),0)+IFERROR(--ISNUMBER(SEARCH("R99",G60)),0)+IFERROR(--ISNUMBER(SEARCH("R100",G60)),0)+IFERROR(--ISNUMBER(SEARCH("R104",G60)),0)+IFERROR(--ISNUMBER(SEARCH("R105",G60)),0)+IFERROR(--ISNUMBER(SEARCH("R107",G60)),0)+IFERROR(--ISNUMBER(SEARCH("R108",G60)),0)+IFERROR(--ISNUMBER(SEARCH("R109",G60)),0)+IFERROR(--ISNUMBER(SEARCH("R110",G60)),0)+IFERROR(--ISNUMBER(SEARCH("R112",G60)),0)+IFERROR(--ISNUMBER(SEARCH("R113",G60)),0)+IFERROR(--ISNUMBER(SEARCH("R114",G60)),0)+IFERROR(--ISNUMBER(SEARCH("R118",G60)),0)+IFERROR(--ISNUMBER(SEARCH("R119",G60)),0)+IFERROR(--ISNUMBER(SEARCH("R120",G60)),0)+IFERROR(--ISNUMBER(SEARCH("R122",G60)),0)+IFERROR(--ISNUMBER(SEARCH("R123",G60)),0)+IFERROR(--ISNUMBER(SEARCH("R124",G60)),0)+IFERROR(--ISNUMBER(SEARCH("R128",G60)),0)+IFERROR(--ISNUMBER(SEARCH("R130",G60)),0)+IFERROR(--ISNUMBER(SEARCH("R131",G60)),0)+IFERROR(--ISNUMBER(SEARCH("R132",G60)),0)+IFERROR(--ISNUMBER(SEARCH("R135",G60)),0)+IFERROR(--ISNUMBER(SEARCH("R138",G60)),0)+IFERROR(--ISNUMBER(SEARCH("R141",G60)),0))</f>
        <v/>
      </c>
      <c r="U60" s="58">
        <f>IF(A60="","",IFERROR(--ISNUMBER(SEARCH("R28",G60))*28,0)+IFERROR(--ISNUMBER(SEARCH("R29",G60))*29,0)+IFERROR(--ISNUMBER(SEARCH("R30",G60))*30,0)+IFERROR(--ISNUMBER(SEARCH("R31",G60))*31,0)+IFERROR(--ISNUMBER(SEARCH("R32",G60))*32,0)+IFERROR(--ISNUMBER(SEARCH("R33",G60))*33,0)+IFERROR(--ISNUMBER(SEARCH("R34",G60))*34,0)+IFERROR(--ISNUMBER(SEARCH("R35",G60))*35,0)+IFERROR(--ISNUMBER(SEARCH("R36",G60))*36,0)+IFERROR(--ISNUMBER(SEARCH("R37",G60))*37,0)+IFERROR(--ISNUMBER(SEARCH("R38",G60))*38,0)+IFERROR(--ISNUMBER(SEARCH("R39",G60))*39,0)+IFERROR(--ISNUMBER(SEARCH("R40",G60))*40,0)+IFERROR(--ISNUMBER(SEARCH("R41",G60))*41,0)+IFERROR(--ISNUMBER(SEARCH("R42",G60))*42,0)+IFERROR(--ISNUMBER(SEARCH("R43",G60))*43,0)+IFERROR(--ISNUMBER(SEARCH("R44",G60))*44,0)+IFERROR(--ISNUMBER(SEARCH("R45",G60))*45,0)+IFERROR(--ISNUMBER(SEARCH("R46",G60))*46,0)+IFERROR(--ISNUMBER(SEARCH("R47",G60))*47,0)+IFERROR(--ISNUMBER(SEARCH("R48",G60))*48,0)+IFERROR(--ISNUMBER(SEARCH("R49",G60))*49,0)+IFERROR(--ISNUMBER(SEARCH("R50",G60))*50,0)+IFERROR(--ISNUMBER(SEARCH("R51",G60))*51,0)+IFERROR(--ISNUMBER(SEARCH("R52",G60))*52,0)+IFERROR(--ISNUMBER(SEARCH("R53",G60))*53,0)+IFERROR(--ISNUMBER(SEARCH("R54",G60))*54,0)+IFERROR(--ISNUMBER(SEARCH("R55",G60))*55,0)+IFERROR(--ISNUMBER(SEARCH("R56",G60))*56,0)+IFERROR(--ISNUMBER(SEARCH("R57",G60))*57,0)+IFERROR(--ISNUMBER(SEARCH("R58",G60))*58,0)+IFERROR(--ISNUMBER(SEARCH("R59",G60))*59,0)+IFERROR(--ISNUMBER(SEARCH("R60",G60))*60,0)+IFERROR(--ISNUMBER(SEARCH("R61",G60))*61,0)+IFERROR(--ISNUMBER(SEARCH("R62",G60))*62,0)+IFERROR(--ISNUMBER(SEARCH("R63",G60))*63,0)+IFERROR(--ISNUMBER(SEARCH("R64",G60))*64,0)+IFERROR(--ISNUMBER(SEARCH("R65",G60))*65,0)+IFERROR(--ISNUMBER(SEARCH("R66",G60))*66,0)+IFERROR(--ISNUMBER(SEARCH("R67",G60))*67,0)+IFERROR(--ISNUMBER(SEARCH("R68",G60))*68,0)+IFERROR(--ISNUMBER(SEARCH("R69",G60))*69,0)+IFERROR(--ISNUMBER(SEARCH("R70",G60))*70,0)+IFERROR(--ISNUMBER(SEARCH("R71",G60))*71,0)+IFERROR(--ISNUMBER(SEARCH("R72",G60))*72,0)+IFERROR(--ISNUMBER(SEARCH("R73",G60))*73,0)+IFERROR(--ISNUMBER(SEARCH("R74",G60))*74,0)+IFERROR(--ISNUMBER(SEARCH("R75",G60))*75,0)+IFERROR(--ISNUMBER(SEARCH("R76",G60))*76,0)+IFERROR(--ISNUMBER(SEARCH("R77",G60))*77,0)+IFERROR(--ISNUMBER(SEARCH("R78",G60))*78,0)+IFERROR(--ISNUMBER(SEARCH("R79",G60))*79,0)+IFERROR(--ISNUMBER(SEARCH("R80",G60))*80,0)+IFERROR(--ISNUMBER(SEARCH("R81",G60))*81,0)+IFERROR(--ISNUMBER(SEARCH("R82",G60))*82,0)+IFERROR(--ISNUMBER(SEARCH("R83",G60))*83,0)+IFERROR(--ISNUMBER(SEARCH("R84",G60))*84,0)+IFERROR(--ISNUMBER(SEARCH("R85",G60))*85,0)+IFERROR(--ISNUMBER(SEARCH("R86",G60))*86,0)+IFERROR(--ISNUMBER(SEARCH("R87",G60))*87,0)+IFERROR(--ISNUMBER(SEARCH("R88",G60))*88,0)+IFERROR(--ISNUMBER(SEARCH("R89",G60))*89,0)+IFERROR(--ISNUMBER(SEARCH("R90",G60))*90,0)+IFERROR(--ISNUMBER(SEARCH("R91",G60))*91,0)+IFERROR(--ISNUMBER(SEARCH("R92",G60))*92,0)+IFERROR(--ISNUMBER(SEARCH("R93",G60))*93,0)+IFERROR(--ISNUMBER(SEARCH("R94",G60))*94,0)+IFERROR(--ISNUMBER(SEARCH("R95",G60))*95,0)+IFERROR(--ISNUMBER(SEARCH("R96",G60))*96,0)+IFERROR(--ISNUMBER(SEARCH("R97",G60))*97,0)+IFERROR(--ISNUMBER(SEARCH("R98",G60))*98,0)+IFERROR(--ISNUMBER(SEARCH("R99",G60))*99,0)+IFERROR(--ISNUMBER(SEARCH("R100",G60))*100,0)+IFERROR(--ISNUMBER(SEARCH("R101",G60))*101,0)+IFERROR(--ISNUMBER(SEARCH("R102",G60))*102,0)+IFERROR(--ISNUMBER(SEARCH("R103",G60))*103,0)+IFERROR(--ISNUMBER(SEARCH("R104",G60))*104,0)+IFERROR(--ISNUMBER(SEARCH("R105",G60))*105,0)+IFERROR(--ISNUMBER(SEARCH("R106",G60))*106,0)+IFERROR(--ISNUMBER(SEARCH("R107",G60))*107,0)+IFERROR(--ISNUMBER(SEARCH("R108",G60))*108,0)+IFERROR(--ISNUMBER(SEARCH("R109",G60))*109,0)+IFERROR(--ISNUMBER(SEARCH("R110",G60))*110,0)+IFERROR(--ISNUMBER(SEARCH("R111",G60))*111,0)+IFERROR(--ISNUMBER(SEARCH("R112",G60))*112,0)+IFERROR(--ISNUMBER(SEARCH("R113",G60))*113,0)+IFERROR(--ISNUMBER(SEARCH("R114",G60))*114,0)+IFERROR(--ISNUMBER(SEARCH("R115",G60))*115,0)+IFERROR(--ISNUMBER(SEARCH("R116",G60))*116,0)+IFERROR(--ISNUMBER(SEARCH("R117",G60))*117,0)+IFERROR(--ISNUMBER(SEARCH("R118",G60))*118,0)+IFERROR(--ISNUMBER(SEARCH("R119",G60))*119,0)+IFERROR(--ISNUMBER(SEARCH("R120",G60))*120,0)+IFERROR(--ISNUMBER(SEARCH("R121",G60))*121,0)+IFERROR(--ISNUMBER(SEARCH("R122",G60))*122,0)+IFERROR(--ISNUMBER(SEARCH("R123",G60))*123,0)+IFERROR(--ISNUMBER(SEARCH("R124",G60))*124,0)+IFERROR(--ISNUMBER(SEARCH("R125",G60))*125,0)+IFERROR(--ISNUMBER(SEARCH("R126",G60))*126,0)+IFERROR(--ISNUMBER(SEARCH("R127",G60))*127,0)+IFERROR(--ISNUMBER(SEARCH("R128",G60))*128,0)+IFERROR(--ISNUMBER(SEARCH("R129",G60))*129,0)+IFERROR(--ISNUMBER(SEARCH("R130",G60))*130,0)+IFERROR(--ISNUMBER(SEARCH("R131",G60))*131,0)+IFERROR(--ISNUMBER(SEARCH("R132",G60))*132,0)+IFERROR(--ISNUMBER(SEARCH("R133",G60))*133,0)+IFERROR(--ISNUMBER(SEARCH("R134",G60))*134,0)+IFERROR(--ISNUMBER(SEARCH("R135",G60))*135,0)+IFERROR(--ISNUMBER(SEARCH("R136",G60))*136,0)+IFERROR(--ISNUMBER(SEARCH("R137",G60))*137,0)+IFERROR(--ISNUMBER(SEARCH("R138",G60))*138,0)+IFERROR(--ISNUMBER(SEARCH("R139",G60))*139,0)+IFERROR(--ISNUMBER(SEARCH("R140",G60))*140,0)+IFERROR(--ISNUMBER(SEARCH("R141",G60))*141,0))</f>
        <v/>
      </c>
      <c r="V60" s="59">
        <f>IF(A60="","",IF(K60&lt;&gt;"",K60,J60))</f>
        <v/>
      </c>
      <c r="W60" s="59">
        <f>IF(A60="","",IF(AND(V60=29,O60&lt;&gt;"",COUNTIFS($V$6:$V$505,29,$F$6:$F$505,F60,$C$6:$C$505,C60,$O$6:$O$505,"&lt;&gt;")&gt;1),IF(COUNTIFS($V$6:V60,29,$F$6:F60,F60,$C$6:C60,C60,$O$6:O60,"&lt;&gt;")=1,"Esta es la fila que se debe CONSERVAR (aparición 1 de "&amp;COUNTIFS($V$6:$V$505,29,$F$6:$F$505,F60,$C$6:$C$505,C60,$O$6:$O$505,"&lt;&gt;")&amp;" con el mismo tercero y valor, casilla 29). Si hay más filas iguales, bórreles el valor a ELLAS, no a esta.","DUPLICADO — ya existe otra fila con el mismo tercero y valor para casilla 29 (aparición "&amp;COUNTIFS($V$6:V60,29,$F$6:F60,F60,$C$6:C60,C60,$O$6:O60,"&lt;&gt;")&amp;" de "&amp;COUNTIFS($V$6:$V$505,29,$F$6:$F$505,F60,$C$6:$C$505,C60,$O$6:$O$505,"&lt;&gt;")&amp;"). Para resolverlo: seleccione la celda O"&amp;ROW()&amp;" (columna Valor a declarar de ESTA fila) y presione Supr."),""))</f>
        <v/>
      </c>
      <c r="X60" s="463">
        <f>IF(A60="","",F60)</f>
        <v/>
      </c>
      <c r="Y60" s="463">
        <f>IF(A60="","",SUMIF(Entrada_Manual!$I$88:$I$187,A60,Entrada_Manual!$F$88:$F$187))</f>
        <v/>
      </c>
      <c r="Z60" s="463">
        <f>IF(A60="","",X60-Y60)</f>
        <v/>
      </c>
      <c r="AA60">
        <f>IF(A60="","",SUMPRODUCT((Entrada_Manual!$I$88:$I$187=A60)*1))</f>
        <v/>
      </c>
      <c r="AB60">
        <f>IF(A60="","",IF(S60&lt;=1,"",IF(AA60=0,"PENDIENTE — SIN ASIGNAR",IF(Z60=0,"RESUELTO","PARCIAL — DIFERENCIA "&amp;TEXT(Z60,"#,##0")))))</f>
        <v/>
      </c>
    </row>
    <row r="61" ht="28.5" customHeight="1" s="235">
      <c r="A61" s="47">
        <f>IF(Exogena_RAW!E70&lt;&gt;"",ROW()-5,"")</f>
        <v/>
      </c>
      <c r="B61" s="48">
        <f>IF(A61="","",70)</f>
        <v/>
      </c>
      <c r="C61" s="48">
        <f>IF(A61="","",IFERROR(Exogena_RAW!A70,""))</f>
        <v/>
      </c>
      <c r="D61" s="48">
        <f>IF(A61="","",IFERROR(Exogena_RAW!B70,""))</f>
        <v/>
      </c>
      <c r="E61" s="48">
        <f>IF(A61="","",Exogena_RAW!E70)</f>
        <v/>
      </c>
      <c r="F61" s="461">
        <f>IF(A61="","",Exogena_RAW!F70)</f>
        <v/>
      </c>
      <c r="G61" s="48">
        <f>IF(A61="","",IFERROR(Exogena_RAW!G70,""))</f>
        <v/>
      </c>
      <c r="H61" s="48">
        <f>IF(A61="","",IFERROR(Exogena_RAW!H70,""))</f>
        <v/>
      </c>
      <c r="I61" s="48">
        <f>IF(A61="","",IFERROR(IF(S61&gt;1,"VARIAS CASILLAS",IF(S61=1,IF(T61=1,"PROPUESTA DE CASILLA","REVISIÓN: CASILLA NO DIRECTA"),IF(OR(ISNUMBER(SEARCH("TOPE",UPPER(E61))),ISNUMBER(SEARCH("TOPE",UPPER(G61)))),"SOLO CONTROL",IF(ISNUMBER(SEARCH("RETEN",UPPER(E61))),"RETENCIÓN","REVISAR")))),"REVISAR"))</f>
        <v/>
      </c>
      <c r="J61" s="48">
        <f>IF(A61="","",IF(ISNUMBER(SEARCH("ingreso laboral promedio de los últimos seis meses",E61)),"",IFERROR(IF(AND(S61=1,T61=1),U61,""),"")))</f>
        <v/>
      </c>
      <c r="K61" s="216" t="n"/>
      <c r="L61" s="48">
        <f>IF(A61="","",IFERROR(IF(K61&lt;&gt;"","Casilla elegida por usuario",IF(S61&gt;1,"Varias casillas — elegir en K",IF(J61&lt;&gt;"","Sugerencia directa",IF(S61=1,"No trasladar directo — revisar",IF(OR(ISNUMBER(SEARCH("TOPE",UPPER(E61))),ISNUMBER(SEARCH("TOPE",UPPER(G61)))),"Solo control","Revisar manualmente"))))),"Revisar manualmente"))</f>
        <v/>
      </c>
      <c r="M61" s="461">
        <f>IF(A61="","",IF(IF(K61&lt;&gt;"",K61,J61)="",0,IF(COUNTIFS(Reglas!$I$5:$I$118,IF(K61&lt;&gt;"",K61,J61),Reglas!$J$5:$J$118,"Sí")=1,F61,0)))</f>
        <v/>
      </c>
      <c r="N61" s="56" t="n"/>
      <c r="O61" s="462">
        <f>IF(A61="","",IF(M61=0,"",M61))</f>
        <v/>
      </c>
      <c r="P61" s="461">
        <f>IF(A61="","",IF(O61="",0,IF(ISNUMBER(O61),O61,0)))</f>
        <v/>
      </c>
      <c r="Q61" s="48">
        <f>IF(A61="","",IF(Exogena_RAW!$C$4="","BLOQUEADO: FALTA AÑO",IF(Exogena_RAW!$K$10&lt;&gt;Reglas!$B$5,"BLOQUEADO: AÑO",IF(IF(K61&lt;&gt;"",K61,J61)="",IF(S61&gt;1,"REQUIERE ASIGNACIÓN MANUAL (VARIAS CASILLAS)","INFORMATIVO (sin casilla — no se declara)"),IF(COUNTIFS(Reglas!$I$5:$I$118,IF(K61&lt;&gt;"",K61,J61),Reglas!$J$5:$J$118,"Sí")=0,"BLOQUEADO: CASILLA NO DIRECTA",IF(O61="","EXCLUIDO (valor borrado por el usuario)",IF(_xlfn.ISFORMULA(O61),IF(W61&lt;&gt;"","BORRADOR — VALOR SUGERIDO DIAN ⚠ VER ALERTA","BORRADOR — VALOR SUGERIDO DIAN"),IF(W61&lt;&gt;"","ACEPTADO ⚠ VER ALERTA","ACEPTADO"))))))))</f>
        <v/>
      </c>
      <c r="R61" s="218" t="n"/>
      <c r="S61" s="58">
        <f>IF(A61="","",IFERROR(--ISNUMBER(SEARCH("R28",G61)),0)+IFERROR(--ISNUMBER(SEARCH("R29",G61)),0)+IFERROR(--ISNUMBER(SEARCH("R30",G61)),0)+IFERROR(--ISNUMBER(SEARCH("R31",G61)),0)+IFERROR(--ISNUMBER(SEARCH("R32",G61)),0)+IFERROR(--ISNUMBER(SEARCH("R33",G61)),0)+IFERROR(--ISNUMBER(SEARCH("R34",G61)),0)+IFERROR(--ISNUMBER(SEARCH("R35",G61)),0)+IFERROR(--ISNUMBER(SEARCH("R36",G61)),0)+IFERROR(--ISNUMBER(SEARCH("R37",G61)),0)+IFERROR(--ISNUMBER(SEARCH("R38",G61)),0)+IFERROR(--ISNUMBER(SEARCH("R39",G61)),0)+IFERROR(--ISNUMBER(SEARCH("R40",G61)),0)+IFERROR(--ISNUMBER(SEARCH("R41",G61)),0)+IFERROR(--ISNUMBER(SEARCH("R42",G61)),0)+IFERROR(--ISNUMBER(SEARCH("R43",G61)),0)+IFERROR(--ISNUMBER(SEARCH("R44",G61)),0)+IFERROR(--ISNUMBER(SEARCH("R45",G61)),0)+IFERROR(--ISNUMBER(SEARCH("R46",G61)),0)+IFERROR(--ISNUMBER(SEARCH("R47",G61)),0)+IFERROR(--ISNUMBER(SEARCH("R48",G61)),0)+IFERROR(--ISNUMBER(SEARCH("R49",G61)),0)+IFERROR(--ISNUMBER(SEARCH("R50",G61)),0)+IFERROR(--ISNUMBER(SEARCH("R51",G61)),0)+IFERROR(--ISNUMBER(SEARCH("R52",G61)),0)+IFERROR(--ISNUMBER(SEARCH("R53",G61)),0)+IFERROR(--ISNUMBER(SEARCH("R54",G61)),0)+IFERROR(--ISNUMBER(SEARCH("R55",G61)),0)+IFERROR(--ISNUMBER(SEARCH("R56",G61)),0)+IFERROR(--ISNUMBER(SEARCH("R57",G61)),0)+IFERROR(--ISNUMBER(SEARCH("R58",G61)),0)+IFERROR(--ISNUMBER(SEARCH("R59",G61)),0)+IFERROR(--ISNUMBER(SEARCH("R60",G61)),0)+IFERROR(--ISNUMBER(SEARCH("R61",G61)),0)+IFERROR(--ISNUMBER(SEARCH("R62",G61)),0)+IFERROR(--ISNUMBER(SEARCH("R63",G61)),0)+IFERROR(--ISNUMBER(SEARCH("R64",G61)),0)+IFERROR(--ISNUMBER(SEARCH("R65",G61)),0)+IFERROR(--ISNUMBER(SEARCH("R66",G61)),0)+IFERROR(--ISNUMBER(SEARCH("R67",G61)),0)+IFERROR(--ISNUMBER(SEARCH("R68",G61)),0)+IFERROR(--ISNUMBER(SEARCH("R69",G61)),0)+IFERROR(--ISNUMBER(SEARCH("R70",G61)),0)+IFERROR(--ISNUMBER(SEARCH("R71",G61)),0)+IFERROR(--ISNUMBER(SEARCH("R72",G61)),0)+IFERROR(--ISNUMBER(SEARCH("R73",G61)),0)+IFERROR(--ISNUMBER(SEARCH("R74",G61)),0)+IFERROR(--ISNUMBER(SEARCH("R75",G61)),0)+IFERROR(--ISNUMBER(SEARCH("R76",G61)),0)+IFERROR(--ISNUMBER(SEARCH("R77",G61)),0)+IFERROR(--ISNUMBER(SEARCH("R78",G61)),0)+IFERROR(--ISNUMBER(SEARCH("R79",G61)),0)+IFERROR(--ISNUMBER(SEARCH("R80",G61)),0)+IFERROR(--ISNUMBER(SEARCH("R81",G61)),0)+IFERROR(--ISNUMBER(SEARCH("R82",G61)),0)+IFERROR(--ISNUMBER(SEARCH("R83",G61)),0)+IFERROR(--ISNUMBER(SEARCH("R84",G61)),0)+IFERROR(--ISNUMBER(SEARCH("R85",G61)),0)+IFERROR(--ISNUMBER(SEARCH("R86",G61)),0)+IFERROR(--ISNUMBER(SEARCH("R87",G61)),0)+IFERROR(--ISNUMBER(SEARCH("R88",G61)),0)+IFERROR(--ISNUMBER(SEARCH("R89",G61)),0)+IFERROR(--ISNUMBER(SEARCH("R90",G61)),0)+IFERROR(--ISNUMBER(SEARCH("R91",G61)),0)+IFERROR(--ISNUMBER(SEARCH("R92",G61)),0)+IFERROR(--ISNUMBER(SEARCH("R93",G61)),0)+IFERROR(--ISNUMBER(SEARCH("R94",G61)),0)+IFERROR(--ISNUMBER(SEARCH("R95",G61)),0)+IFERROR(--ISNUMBER(SEARCH("R96",G61)),0)+IFERROR(--ISNUMBER(SEARCH("R97",G61)),0)+IFERROR(--ISNUMBER(SEARCH("R98",G61)),0)+IFERROR(--ISNUMBER(SEARCH("R99",G61)),0)+IFERROR(--ISNUMBER(SEARCH("R100",G61)),0)+IFERROR(--ISNUMBER(SEARCH("R101",G61)),0)+IFERROR(--ISNUMBER(SEARCH("R102",G61)),0)+IFERROR(--ISNUMBER(SEARCH("R103",G61)),0)+IFERROR(--ISNUMBER(SEARCH("R104",G61)),0)+IFERROR(--ISNUMBER(SEARCH("R105",G61)),0)+IFERROR(--ISNUMBER(SEARCH("R106",G61)),0)+IFERROR(--ISNUMBER(SEARCH("R107",G61)),0)+IFERROR(--ISNUMBER(SEARCH("R108",G61)),0)+IFERROR(--ISNUMBER(SEARCH("R109",G61)),0)+IFERROR(--ISNUMBER(SEARCH("R110",G61)),0)+IFERROR(--ISNUMBER(SEARCH("R111",G61)),0)+IFERROR(--ISNUMBER(SEARCH("R112",G61)),0)+IFERROR(--ISNUMBER(SEARCH("R113",G61)),0)+IFERROR(--ISNUMBER(SEARCH("R114",G61)),0)+IFERROR(--ISNUMBER(SEARCH("R115",G61)),0)+IFERROR(--ISNUMBER(SEARCH("R116",G61)),0)+IFERROR(--ISNUMBER(SEARCH("R117",G61)),0)+IFERROR(--ISNUMBER(SEARCH("R118",G61)),0)+IFERROR(--ISNUMBER(SEARCH("R119",G61)),0)+IFERROR(--ISNUMBER(SEARCH("R120",G61)),0)+IFERROR(--ISNUMBER(SEARCH("R121",G61)),0)+IFERROR(--ISNUMBER(SEARCH("R122",G61)),0)+IFERROR(--ISNUMBER(SEARCH("R123",G61)),0)+IFERROR(--ISNUMBER(SEARCH("R124",G61)),0)+IFERROR(--ISNUMBER(SEARCH("R125",G61)),0)+IFERROR(--ISNUMBER(SEARCH("R126",G61)),0)+IFERROR(--ISNUMBER(SEARCH("R127",G61)),0)+IFERROR(--ISNUMBER(SEARCH("R128",G61)),0)+IFERROR(--ISNUMBER(SEARCH("R129",G61)),0)+IFERROR(--ISNUMBER(SEARCH("R130",G61)),0)+IFERROR(--ISNUMBER(SEARCH("R131",G61)),0)+IFERROR(--ISNUMBER(SEARCH("R132",G61)),0)+IFERROR(--ISNUMBER(SEARCH("R133",G61)),0)+IFERROR(--ISNUMBER(SEARCH("R134",G61)),0)+IFERROR(--ISNUMBER(SEARCH("R135",G61)),0)+IFERROR(--ISNUMBER(SEARCH("R136",G61)),0)+IFERROR(--ISNUMBER(SEARCH("R137",G61)),0)+IFERROR(--ISNUMBER(SEARCH("R138",G61)),0)+IFERROR(--ISNUMBER(SEARCH("R139",G61)),0)+IFERROR(--ISNUMBER(SEARCH("R140",G61)),0)+IFERROR(--ISNUMBER(SEARCH("R141",G61)),0))</f>
        <v/>
      </c>
      <c r="T61" s="58">
        <f>IF(A61="","",IFERROR(--ISNUMBER(SEARCH("R28",G61)),0)+IFERROR(--ISNUMBER(SEARCH("R29",G61)),0)+IFERROR(--ISNUMBER(SEARCH("R30",G61)),0)+IFERROR(--ISNUMBER(SEARCH("R32",G61)),0)+IFERROR(--ISNUMBER(SEARCH("R33",G61)),0)+IFERROR(--ISNUMBER(SEARCH("R35",G61)),0)+IFERROR(--ISNUMBER(SEARCH("R36",G61)),0)+IFERROR(--ISNUMBER(SEARCH("R38",G61)),0)+IFERROR(--ISNUMBER(SEARCH("R39",G61)),0)+IFERROR(--ISNUMBER(SEARCH("R43",G61)),0)+IFERROR(--ISNUMBER(SEARCH("R44",G61)),0)+IFERROR(--ISNUMBER(SEARCH("R45",G61)),0)+IFERROR(--ISNUMBER(SEARCH("R47",G61)),0)+IFERROR(--ISNUMBER(SEARCH("R48",G61)),0)+IFERROR(--ISNUMBER(SEARCH("R50",G61)),0)+IFERROR(--ISNUMBER(SEARCH("R51",G61)),0)+IFERROR(--ISNUMBER(SEARCH("R56",G61)),0)+IFERROR(--ISNUMBER(SEARCH("R58",G61)),0)+IFERROR(--ISNUMBER(SEARCH("R59",G61)),0)+IFERROR(--ISNUMBER(SEARCH("R60",G61)),0)+IFERROR(--ISNUMBER(SEARCH("R62",G61)),0)+IFERROR(--ISNUMBER(SEARCH("R63",G61)),0)+IFERROR(--ISNUMBER(SEARCH("R64",G61)),0)+IFERROR(--ISNUMBER(SEARCH("R66",G61)),0)+IFERROR(--ISNUMBER(SEARCH("R67",G61)),0)+IFERROR(--ISNUMBER(SEARCH("R72",G61)),0)+IFERROR(--ISNUMBER(SEARCH("R74",G61)),0)+IFERROR(--ISNUMBER(SEARCH("R75",G61)),0)+IFERROR(--ISNUMBER(SEARCH("R76",G61)),0)+IFERROR(--ISNUMBER(SEARCH("R77",G61)),0)+IFERROR(--ISNUMBER(SEARCH("R79",G61)),0)+IFERROR(--ISNUMBER(SEARCH("R80",G61)),0)+IFERROR(--ISNUMBER(SEARCH("R81",G61)),0)+IFERROR(--ISNUMBER(SEARCH("R83",G61)),0)+IFERROR(--ISNUMBER(SEARCH("R84",G61)),0)+IFERROR(--ISNUMBER(SEARCH("R89",G61)),0)+IFERROR(--ISNUMBER(SEARCH("R94",G61)),0)+IFERROR(--ISNUMBER(SEARCH("R95",G61)),0)+IFERROR(--ISNUMBER(SEARCH("R96",G61)),0)+IFERROR(--ISNUMBER(SEARCH("R98",G61)),0)+IFERROR(--ISNUMBER(SEARCH("R99",G61)),0)+IFERROR(--ISNUMBER(SEARCH("R100",G61)),0)+IFERROR(--ISNUMBER(SEARCH("R104",G61)),0)+IFERROR(--ISNUMBER(SEARCH("R105",G61)),0)+IFERROR(--ISNUMBER(SEARCH("R107",G61)),0)+IFERROR(--ISNUMBER(SEARCH("R108",G61)),0)+IFERROR(--ISNUMBER(SEARCH("R109",G61)),0)+IFERROR(--ISNUMBER(SEARCH("R110",G61)),0)+IFERROR(--ISNUMBER(SEARCH("R112",G61)),0)+IFERROR(--ISNUMBER(SEARCH("R113",G61)),0)+IFERROR(--ISNUMBER(SEARCH("R114",G61)),0)+IFERROR(--ISNUMBER(SEARCH("R118",G61)),0)+IFERROR(--ISNUMBER(SEARCH("R119",G61)),0)+IFERROR(--ISNUMBER(SEARCH("R120",G61)),0)+IFERROR(--ISNUMBER(SEARCH("R122",G61)),0)+IFERROR(--ISNUMBER(SEARCH("R123",G61)),0)+IFERROR(--ISNUMBER(SEARCH("R124",G61)),0)+IFERROR(--ISNUMBER(SEARCH("R128",G61)),0)+IFERROR(--ISNUMBER(SEARCH("R130",G61)),0)+IFERROR(--ISNUMBER(SEARCH("R131",G61)),0)+IFERROR(--ISNUMBER(SEARCH("R132",G61)),0)+IFERROR(--ISNUMBER(SEARCH("R135",G61)),0)+IFERROR(--ISNUMBER(SEARCH("R138",G61)),0)+IFERROR(--ISNUMBER(SEARCH("R141",G61)),0))</f>
        <v/>
      </c>
      <c r="U61" s="58">
        <f>IF(A61="","",IFERROR(--ISNUMBER(SEARCH("R28",G61))*28,0)+IFERROR(--ISNUMBER(SEARCH("R29",G61))*29,0)+IFERROR(--ISNUMBER(SEARCH("R30",G61))*30,0)+IFERROR(--ISNUMBER(SEARCH("R31",G61))*31,0)+IFERROR(--ISNUMBER(SEARCH("R32",G61))*32,0)+IFERROR(--ISNUMBER(SEARCH("R33",G61))*33,0)+IFERROR(--ISNUMBER(SEARCH("R34",G61))*34,0)+IFERROR(--ISNUMBER(SEARCH("R35",G61))*35,0)+IFERROR(--ISNUMBER(SEARCH("R36",G61))*36,0)+IFERROR(--ISNUMBER(SEARCH("R37",G61))*37,0)+IFERROR(--ISNUMBER(SEARCH("R38",G61))*38,0)+IFERROR(--ISNUMBER(SEARCH("R39",G61))*39,0)+IFERROR(--ISNUMBER(SEARCH("R40",G61))*40,0)+IFERROR(--ISNUMBER(SEARCH("R41",G61))*41,0)+IFERROR(--ISNUMBER(SEARCH("R42",G61))*42,0)+IFERROR(--ISNUMBER(SEARCH("R43",G61))*43,0)+IFERROR(--ISNUMBER(SEARCH("R44",G61))*44,0)+IFERROR(--ISNUMBER(SEARCH("R45",G61))*45,0)+IFERROR(--ISNUMBER(SEARCH("R46",G61))*46,0)+IFERROR(--ISNUMBER(SEARCH("R47",G61))*47,0)+IFERROR(--ISNUMBER(SEARCH("R48",G61))*48,0)+IFERROR(--ISNUMBER(SEARCH("R49",G61))*49,0)+IFERROR(--ISNUMBER(SEARCH("R50",G61))*50,0)+IFERROR(--ISNUMBER(SEARCH("R51",G61))*51,0)+IFERROR(--ISNUMBER(SEARCH("R52",G61))*52,0)+IFERROR(--ISNUMBER(SEARCH("R53",G61))*53,0)+IFERROR(--ISNUMBER(SEARCH("R54",G61))*54,0)+IFERROR(--ISNUMBER(SEARCH("R55",G61))*55,0)+IFERROR(--ISNUMBER(SEARCH("R56",G61))*56,0)+IFERROR(--ISNUMBER(SEARCH("R57",G61))*57,0)+IFERROR(--ISNUMBER(SEARCH("R58",G61))*58,0)+IFERROR(--ISNUMBER(SEARCH("R59",G61))*59,0)+IFERROR(--ISNUMBER(SEARCH("R60",G61))*60,0)+IFERROR(--ISNUMBER(SEARCH("R61",G61))*61,0)+IFERROR(--ISNUMBER(SEARCH("R62",G61))*62,0)+IFERROR(--ISNUMBER(SEARCH("R63",G61))*63,0)+IFERROR(--ISNUMBER(SEARCH("R64",G61))*64,0)+IFERROR(--ISNUMBER(SEARCH("R65",G61))*65,0)+IFERROR(--ISNUMBER(SEARCH("R66",G61))*66,0)+IFERROR(--ISNUMBER(SEARCH("R67",G61))*67,0)+IFERROR(--ISNUMBER(SEARCH("R68",G61))*68,0)+IFERROR(--ISNUMBER(SEARCH("R69",G61))*69,0)+IFERROR(--ISNUMBER(SEARCH("R70",G61))*70,0)+IFERROR(--ISNUMBER(SEARCH("R71",G61))*71,0)+IFERROR(--ISNUMBER(SEARCH("R72",G61))*72,0)+IFERROR(--ISNUMBER(SEARCH("R73",G61))*73,0)+IFERROR(--ISNUMBER(SEARCH("R74",G61))*74,0)+IFERROR(--ISNUMBER(SEARCH("R75",G61))*75,0)+IFERROR(--ISNUMBER(SEARCH("R76",G61))*76,0)+IFERROR(--ISNUMBER(SEARCH("R77",G61))*77,0)+IFERROR(--ISNUMBER(SEARCH("R78",G61))*78,0)+IFERROR(--ISNUMBER(SEARCH("R79",G61))*79,0)+IFERROR(--ISNUMBER(SEARCH("R80",G61))*80,0)+IFERROR(--ISNUMBER(SEARCH("R81",G61))*81,0)+IFERROR(--ISNUMBER(SEARCH("R82",G61))*82,0)+IFERROR(--ISNUMBER(SEARCH("R83",G61))*83,0)+IFERROR(--ISNUMBER(SEARCH("R84",G61))*84,0)+IFERROR(--ISNUMBER(SEARCH("R85",G61))*85,0)+IFERROR(--ISNUMBER(SEARCH("R86",G61))*86,0)+IFERROR(--ISNUMBER(SEARCH("R87",G61))*87,0)+IFERROR(--ISNUMBER(SEARCH("R88",G61))*88,0)+IFERROR(--ISNUMBER(SEARCH("R89",G61))*89,0)+IFERROR(--ISNUMBER(SEARCH("R90",G61))*90,0)+IFERROR(--ISNUMBER(SEARCH("R91",G61))*91,0)+IFERROR(--ISNUMBER(SEARCH("R92",G61))*92,0)+IFERROR(--ISNUMBER(SEARCH("R93",G61))*93,0)+IFERROR(--ISNUMBER(SEARCH("R94",G61))*94,0)+IFERROR(--ISNUMBER(SEARCH("R95",G61))*95,0)+IFERROR(--ISNUMBER(SEARCH("R96",G61))*96,0)+IFERROR(--ISNUMBER(SEARCH("R97",G61))*97,0)+IFERROR(--ISNUMBER(SEARCH("R98",G61))*98,0)+IFERROR(--ISNUMBER(SEARCH("R99",G61))*99,0)+IFERROR(--ISNUMBER(SEARCH("R100",G61))*100,0)+IFERROR(--ISNUMBER(SEARCH("R101",G61))*101,0)+IFERROR(--ISNUMBER(SEARCH("R102",G61))*102,0)+IFERROR(--ISNUMBER(SEARCH("R103",G61))*103,0)+IFERROR(--ISNUMBER(SEARCH("R104",G61))*104,0)+IFERROR(--ISNUMBER(SEARCH("R105",G61))*105,0)+IFERROR(--ISNUMBER(SEARCH("R106",G61))*106,0)+IFERROR(--ISNUMBER(SEARCH("R107",G61))*107,0)+IFERROR(--ISNUMBER(SEARCH("R108",G61))*108,0)+IFERROR(--ISNUMBER(SEARCH("R109",G61))*109,0)+IFERROR(--ISNUMBER(SEARCH("R110",G61))*110,0)+IFERROR(--ISNUMBER(SEARCH("R111",G61))*111,0)+IFERROR(--ISNUMBER(SEARCH("R112",G61))*112,0)+IFERROR(--ISNUMBER(SEARCH("R113",G61))*113,0)+IFERROR(--ISNUMBER(SEARCH("R114",G61))*114,0)+IFERROR(--ISNUMBER(SEARCH("R115",G61))*115,0)+IFERROR(--ISNUMBER(SEARCH("R116",G61))*116,0)+IFERROR(--ISNUMBER(SEARCH("R117",G61))*117,0)+IFERROR(--ISNUMBER(SEARCH("R118",G61))*118,0)+IFERROR(--ISNUMBER(SEARCH("R119",G61))*119,0)+IFERROR(--ISNUMBER(SEARCH("R120",G61))*120,0)+IFERROR(--ISNUMBER(SEARCH("R121",G61))*121,0)+IFERROR(--ISNUMBER(SEARCH("R122",G61))*122,0)+IFERROR(--ISNUMBER(SEARCH("R123",G61))*123,0)+IFERROR(--ISNUMBER(SEARCH("R124",G61))*124,0)+IFERROR(--ISNUMBER(SEARCH("R125",G61))*125,0)+IFERROR(--ISNUMBER(SEARCH("R126",G61))*126,0)+IFERROR(--ISNUMBER(SEARCH("R127",G61))*127,0)+IFERROR(--ISNUMBER(SEARCH("R128",G61))*128,0)+IFERROR(--ISNUMBER(SEARCH("R129",G61))*129,0)+IFERROR(--ISNUMBER(SEARCH("R130",G61))*130,0)+IFERROR(--ISNUMBER(SEARCH("R131",G61))*131,0)+IFERROR(--ISNUMBER(SEARCH("R132",G61))*132,0)+IFERROR(--ISNUMBER(SEARCH("R133",G61))*133,0)+IFERROR(--ISNUMBER(SEARCH("R134",G61))*134,0)+IFERROR(--ISNUMBER(SEARCH("R135",G61))*135,0)+IFERROR(--ISNUMBER(SEARCH("R136",G61))*136,0)+IFERROR(--ISNUMBER(SEARCH("R137",G61))*137,0)+IFERROR(--ISNUMBER(SEARCH("R138",G61))*138,0)+IFERROR(--ISNUMBER(SEARCH("R139",G61))*139,0)+IFERROR(--ISNUMBER(SEARCH("R140",G61))*140,0)+IFERROR(--ISNUMBER(SEARCH("R141",G61))*141,0))</f>
        <v/>
      </c>
      <c r="V61" s="59">
        <f>IF(A61="","",IF(K61&lt;&gt;"",K61,J61))</f>
        <v/>
      </c>
      <c r="W61" s="59">
        <f>IF(A61="","",IF(AND(V61=29,O61&lt;&gt;"",COUNTIFS($V$6:$V$505,29,$F$6:$F$505,F61,$C$6:$C$505,C61,$O$6:$O$505,"&lt;&gt;")&gt;1),IF(COUNTIFS($V$6:V61,29,$F$6:F61,F61,$C$6:C61,C61,$O$6:O61,"&lt;&gt;")=1,"Esta es la fila que se debe CONSERVAR (aparición 1 de "&amp;COUNTIFS($V$6:$V$505,29,$F$6:$F$505,F61,$C$6:$C$505,C61,$O$6:$O$505,"&lt;&gt;")&amp;" con el mismo tercero y valor, casilla 29). Si hay más filas iguales, bórreles el valor a ELLAS, no a esta.","DUPLICADO — ya existe otra fila con el mismo tercero y valor para casilla 29 (aparición "&amp;COUNTIFS($V$6:V61,29,$F$6:F61,F61,$C$6:C61,C61,$O$6:O61,"&lt;&gt;")&amp;" de "&amp;COUNTIFS($V$6:$V$505,29,$F$6:$F$505,F61,$C$6:$C$505,C61,$O$6:$O$505,"&lt;&gt;")&amp;"). Para resolverlo: seleccione la celda O"&amp;ROW()&amp;" (columna Valor a declarar de ESTA fila) y presione Supr."),""))</f>
        <v/>
      </c>
      <c r="X61" s="463">
        <f>IF(A61="","",F61)</f>
        <v/>
      </c>
      <c r="Y61" s="463">
        <f>IF(A61="","",SUMIF(Entrada_Manual!$I$88:$I$187,A61,Entrada_Manual!$F$88:$F$187))</f>
        <v/>
      </c>
      <c r="Z61" s="463">
        <f>IF(A61="","",X61-Y61)</f>
        <v/>
      </c>
      <c r="AA61">
        <f>IF(A61="","",SUMPRODUCT((Entrada_Manual!$I$88:$I$187=A61)*1))</f>
        <v/>
      </c>
      <c r="AB61">
        <f>IF(A61="","",IF(S61&lt;=1,"",IF(AA61=0,"PENDIENTE — SIN ASIGNAR",IF(Z61=0,"RESUELTO","PARCIAL — DIFERENCIA "&amp;TEXT(Z61,"#,##0")))))</f>
        <v/>
      </c>
    </row>
    <row r="62" ht="28.5" customHeight="1" s="235">
      <c r="A62" s="47">
        <f>IF(Exogena_RAW!E71&lt;&gt;"",ROW()-5,"")</f>
        <v/>
      </c>
      <c r="B62" s="48">
        <f>IF(A62="","",71)</f>
        <v/>
      </c>
      <c r="C62" s="48">
        <f>IF(A62="","",IFERROR(Exogena_RAW!A71,""))</f>
        <v/>
      </c>
      <c r="D62" s="48">
        <f>IF(A62="","",IFERROR(Exogena_RAW!B71,""))</f>
        <v/>
      </c>
      <c r="E62" s="48">
        <f>IF(A62="","",Exogena_RAW!E71)</f>
        <v/>
      </c>
      <c r="F62" s="461">
        <f>IF(A62="","",Exogena_RAW!F71)</f>
        <v/>
      </c>
      <c r="G62" s="48">
        <f>IF(A62="","",IFERROR(Exogena_RAW!G71,""))</f>
        <v/>
      </c>
      <c r="H62" s="48">
        <f>IF(A62="","",IFERROR(Exogena_RAW!H71,""))</f>
        <v/>
      </c>
      <c r="I62" s="48">
        <f>IF(A62="","",IFERROR(IF(S62&gt;1,"VARIAS CASILLAS",IF(S62=1,IF(T62=1,"PROPUESTA DE CASILLA","REVISIÓN: CASILLA NO DIRECTA"),IF(OR(ISNUMBER(SEARCH("TOPE",UPPER(E62))),ISNUMBER(SEARCH("TOPE",UPPER(G62)))),"SOLO CONTROL",IF(ISNUMBER(SEARCH("RETEN",UPPER(E62))),"RETENCIÓN","REVISAR")))),"REVISAR"))</f>
        <v/>
      </c>
      <c r="J62" s="61">
        <f>IF(A62="","",IF(ISNUMBER(SEARCH("ingreso laboral promedio de los últimos seis meses",E62)),"",IFERROR(IF(AND(S62=1,T62=1),U62,""),"")))</f>
        <v/>
      </c>
      <c r="K62" s="216" t="n"/>
      <c r="L62" s="48">
        <f>IF(A62="","",IFERROR(IF(K62&lt;&gt;"","Casilla elegida por usuario",IF(S62&gt;1,"Varias casillas — elegir en K",IF(J62&lt;&gt;"","Sugerencia directa",IF(S62=1,"No trasladar directo — revisar",IF(OR(ISNUMBER(SEARCH("TOPE",UPPER(E62))),ISNUMBER(SEARCH("TOPE",UPPER(G62)))),"Solo control","Revisar manualmente"))))),"Revisar manualmente"))</f>
        <v/>
      </c>
      <c r="M62" s="461">
        <f>IF(A62="","",IF(IF(K62&lt;&gt;"",K62,J62)="",0,IF(COUNTIFS(Reglas!$I$5:$I$118,IF(K62&lt;&gt;"",K62,J62),Reglas!$J$5:$J$118,"Sí")=1,F62,0)))</f>
        <v/>
      </c>
      <c r="N62" s="56" t="n"/>
      <c r="O62" s="462">
        <f>IF(A62="","",IF(M62=0,"",M62))</f>
        <v/>
      </c>
      <c r="P62" s="461">
        <f>IF(A62="","",IF(O62="",0,IF(ISNUMBER(O62),O62,0)))</f>
        <v/>
      </c>
      <c r="Q62" s="48">
        <f>IF(A62="","",IF(Exogena_RAW!$C$4="","BLOQUEADO: FALTA AÑO",IF(Exogena_RAW!$K$10&lt;&gt;Reglas!$B$5,"BLOQUEADO: AÑO",IF(IF(K62&lt;&gt;"",K62,J62)="",IF(S62&gt;1,"REQUIERE ASIGNACIÓN MANUAL (VARIAS CASILLAS)","INFORMATIVO (sin casilla — no se declara)"),IF(COUNTIFS(Reglas!$I$5:$I$118,IF(K62&lt;&gt;"",K62,J62),Reglas!$J$5:$J$118,"Sí")=0,"BLOQUEADO: CASILLA NO DIRECTA",IF(O62="","EXCLUIDO (valor borrado por el usuario)",IF(_xlfn.ISFORMULA(O62),IF(W62&lt;&gt;"","BORRADOR — VALOR SUGERIDO DIAN ⚠ VER ALERTA","BORRADOR — VALOR SUGERIDO DIAN"),IF(W62&lt;&gt;"","ACEPTADO ⚠ VER ALERTA","ACEPTADO"))))))))</f>
        <v/>
      </c>
      <c r="R62" s="218" t="n"/>
      <c r="S62" s="58">
        <f>IF(A62="","",IFERROR(--ISNUMBER(SEARCH("R28",G62)),0)+IFERROR(--ISNUMBER(SEARCH("R29",G62)),0)+IFERROR(--ISNUMBER(SEARCH("R30",G62)),0)+IFERROR(--ISNUMBER(SEARCH("R31",G62)),0)+IFERROR(--ISNUMBER(SEARCH("R32",G62)),0)+IFERROR(--ISNUMBER(SEARCH("R33",G62)),0)+IFERROR(--ISNUMBER(SEARCH("R34",G62)),0)+IFERROR(--ISNUMBER(SEARCH("R35",G62)),0)+IFERROR(--ISNUMBER(SEARCH("R36",G62)),0)+IFERROR(--ISNUMBER(SEARCH("R37",G62)),0)+IFERROR(--ISNUMBER(SEARCH("R38",G62)),0)+IFERROR(--ISNUMBER(SEARCH("R39",G62)),0)+IFERROR(--ISNUMBER(SEARCH("R40",G62)),0)+IFERROR(--ISNUMBER(SEARCH("R41",G62)),0)+IFERROR(--ISNUMBER(SEARCH("R42",G62)),0)+IFERROR(--ISNUMBER(SEARCH("R43",G62)),0)+IFERROR(--ISNUMBER(SEARCH("R44",G62)),0)+IFERROR(--ISNUMBER(SEARCH("R45",G62)),0)+IFERROR(--ISNUMBER(SEARCH("R46",G62)),0)+IFERROR(--ISNUMBER(SEARCH("R47",G62)),0)+IFERROR(--ISNUMBER(SEARCH("R48",G62)),0)+IFERROR(--ISNUMBER(SEARCH("R49",G62)),0)+IFERROR(--ISNUMBER(SEARCH("R50",G62)),0)+IFERROR(--ISNUMBER(SEARCH("R51",G62)),0)+IFERROR(--ISNUMBER(SEARCH("R52",G62)),0)+IFERROR(--ISNUMBER(SEARCH("R53",G62)),0)+IFERROR(--ISNUMBER(SEARCH("R54",G62)),0)+IFERROR(--ISNUMBER(SEARCH("R55",G62)),0)+IFERROR(--ISNUMBER(SEARCH("R56",G62)),0)+IFERROR(--ISNUMBER(SEARCH("R57",G62)),0)+IFERROR(--ISNUMBER(SEARCH("R58",G62)),0)+IFERROR(--ISNUMBER(SEARCH("R59",G62)),0)+IFERROR(--ISNUMBER(SEARCH("R60",G62)),0)+IFERROR(--ISNUMBER(SEARCH("R61",G62)),0)+IFERROR(--ISNUMBER(SEARCH("R62",G62)),0)+IFERROR(--ISNUMBER(SEARCH("R63",G62)),0)+IFERROR(--ISNUMBER(SEARCH("R64",G62)),0)+IFERROR(--ISNUMBER(SEARCH("R65",G62)),0)+IFERROR(--ISNUMBER(SEARCH("R66",G62)),0)+IFERROR(--ISNUMBER(SEARCH("R67",G62)),0)+IFERROR(--ISNUMBER(SEARCH("R68",G62)),0)+IFERROR(--ISNUMBER(SEARCH("R69",G62)),0)+IFERROR(--ISNUMBER(SEARCH("R70",G62)),0)+IFERROR(--ISNUMBER(SEARCH("R71",G62)),0)+IFERROR(--ISNUMBER(SEARCH("R72",G62)),0)+IFERROR(--ISNUMBER(SEARCH("R73",G62)),0)+IFERROR(--ISNUMBER(SEARCH("R74",G62)),0)+IFERROR(--ISNUMBER(SEARCH("R75",G62)),0)+IFERROR(--ISNUMBER(SEARCH("R76",G62)),0)+IFERROR(--ISNUMBER(SEARCH("R77",G62)),0)+IFERROR(--ISNUMBER(SEARCH("R78",G62)),0)+IFERROR(--ISNUMBER(SEARCH("R79",G62)),0)+IFERROR(--ISNUMBER(SEARCH("R80",G62)),0)+IFERROR(--ISNUMBER(SEARCH("R81",G62)),0)+IFERROR(--ISNUMBER(SEARCH("R82",G62)),0)+IFERROR(--ISNUMBER(SEARCH("R83",G62)),0)+IFERROR(--ISNUMBER(SEARCH("R84",G62)),0)+IFERROR(--ISNUMBER(SEARCH("R85",G62)),0)+IFERROR(--ISNUMBER(SEARCH("R86",G62)),0)+IFERROR(--ISNUMBER(SEARCH("R87",G62)),0)+IFERROR(--ISNUMBER(SEARCH("R88",G62)),0)+IFERROR(--ISNUMBER(SEARCH("R89",G62)),0)+IFERROR(--ISNUMBER(SEARCH("R90",G62)),0)+IFERROR(--ISNUMBER(SEARCH("R91",G62)),0)+IFERROR(--ISNUMBER(SEARCH("R92",G62)),0)+IFERROR(--ISNUMBER(SEARCH("R93",G62)),0)+IFERROR(--ISNUMBER(SEARCH("R94",G62)),0)+IFERROR(--ISNUMBER(SEARCH("R95",G62)),0)+IFERROR(--ISNUMBER(SEARCH("R96",G62)),0)+IFERROR(--ISNUMBER(SEARCH("R97",G62)),0)+IFERROR(--ISNUMBER(SEARCH("R98",G62)),0)+IFERROR(--ISNUMBER(SEARCH("R99",G62)),0)+IFERROR(--ISNUMBER(SEARCH("R100",G62)),0)+IFERROR(--ISNUMBER(SEARCH("R101",G62)),0)+IFERROR(--ISNUMBER(SEARCH("R102",G62)),0)+IFERROR(--ISNUMBER(SEARCH("R103",G62)),0)+IFERROR(--ISNUMBER(SEARCH("R104",G62)),0)+IFERROR(--ISNUMBER(SEARCH("R105",G62)),0)+IFERROR(--ISNUMBER(SEARCH("R106",G62)),0)+IFERROR(--ISNUMBER(SEARCH("R107",G62)),0)+IFERROR(--ISNUMBER(SEARCH("R108",G62)),0)+IFERROR(--ISNUMBER(SEARCH("R109",G62)),0)+IFERROR(--ISNUMBER(SEARCH("R110",G62)),0)+IFERROR(--ISNUMBER(SEARCH("R111",G62)),0)+IFERROR(--ISNUMBER(SEARCH("R112",G62)),0)+IFERROR(--ISNUMBER(SEARCH("R113",G62)),0)+IFERROR(--ISNUMBER(SEARCH("R114",G62)),0)+IFERROR(--ISNUMBER(SEARCH("R115",G62)),0)+IFERROR(--ISNUMBER(SEARCH("R116",G62)),0)+IFERROR(--ISNUMBER(SEARCH("R117",G62)),0)+IFERROR(--ISNUMBER(SEARCH("R118",G62)),0)+IFERROR(--ISNUMBER(SEARCH("R119",G62)),0)+IFERROR(--ISNUMBER(SEARCH("R120",G62)),0)+IFERROR(--ISNUMBER(SEARCH("R121",G62)),0)+IFERROR(--ISNUMBER(SEARCH("R122",G62)),0)+IFERROR(--ISNUMBER(SEARCH("R123",G62)),0)+IFERROR(--ISNUMBER(SEARCH("R124",G62)),0)+IFERROR(--ISNUMBER(SEARCH("R125",G62)),0)+IFERROR(--ISNUMBER(SEARCH("R126",G62)),0)+IFERROR(--ISNUMBER(SEARCH("R127",G62)),0)+IFERROR(--ISNUMBER(SEARCH("R128",G62)),0)+IFERROR(--ISNUMBER(SEARCH("R129",G62)),0)+IFERROR(--ISNUMBER(SEARCH("R130",G62)),0)+IFERROR(--ISNUMBER(SEARCH("R131",G62)),0)+IFERROR(--ISNUMBER(SEARCH("R132",G62)),0)+IFERROR(--ISNUMBER(SEARCH("R133",G62)),0)+IFERROR(--ISNUMBER(SEARCH("R134",G62)),0)+IFERROR(--ISNUMBER(SEARCH("R135",G62)),0)+IFERROR(--ISNUMBER(SEARCH("R136",G62)),0)+IFERROR(--ISNUMBER(SEARCH("R137",G62)),0)+IFERROR(--ISNUMBER(SEARCH("R138",G62)),0)+IFERROR(--ISNUMBER(SEARCH("R139",G62)),0)+IFERROR(--ISNUMBER(SEARCH("R140",G62)),0)+IFERROR(--ISNUMBER(SEARCH("R141",G62)),0))</f>
        <v/>
      </c>
      <c r="T62" s="58">
        <f>IF(A62="","",IFERROR(--ISNUMBER(SEARCH("R28",G62)),0)+IFERROR(--ISNUMBER(SEARCH("R29",G62)),0)+IFERROR(--ISNUMBER(SEARCH("R30",G62)),0)+IFERROR(--ISNUMBER(SEARCH("R32",G62)),0)+IFERROR(--ISNUMBER(SEARCH("R33",G62)),0)+IFERROR(--ISNUMBER(SEARCH("R35",G62)),0)+IFERROR(--ISNUMBER(SEARCH("R36",G62)),0)+IFERROR(--ISNUMBER(SEARCH("R38",G62)),0)+IFERROR(--ISNUMBER(SEARCH("R39",G62)),0)+IFERROR(--ISNUMBER(SEARCH("R43",G62)),0)+IFERROR(--ISNUMBER(SEARCH("R44",G62)),0)+IFERROR(--ISNUMBER(SEARCH("R45",G62)),0)+IFERROR(--ISNUMBER(SEARCH("R47",G62)),0)+IFERROR(--ISNUMBER(SEARCH("R48",G62)),0)+IFERROR(--ISNUMBER(SEARCH("R50",G62)),0)+IFERROR(--ISNUMBER(SEARCH("R51",G62)),0)+IFERROR(--ISNUMBER(SEARCH("R56",G62)),0)+IFERROR(--ISNUMBER(SEARCH("R58",G62)),0)+IFERROR(--ISNUMBER(SEARCH("R59",G62)),0)+IFERROR(--ISNUMBER(SEARCH("R60",G62)),0)+IFERROR(--ISNUMBER(SEARCH("R62",G62)),0)+IFERROR(--ISNUMBER(SEARCH("R63",G62)),0)+IFERROR(--ISNUMBER(SEARCH("R64",G62)),0)+IFERROR(--ISNUMBER(SEARCH("R66",G62)),0)+IFERROR(--ISNUMBER(SEARCH("R67",G62)),0)+IFERROR(--ISNUMBER(SEARCH("R72",G62)),0)+IFERROR(--ISNUMBER(SEARCH("R74",G62)),0)+IFERROR(--ISNUMBER(SEARCH("R75",G62)),0)+IFERROR(--ISNUMBER(SEARCH("R76",G62)),0)+IFERROR(--ISNUMBER(SEARCH("R77",G62)),0)+IFERROR(--ISNUMBER(SEARCH("R79",G62)),0)+IFERROR(--ISNUMBER(SEARCH("R80",G62)),0)+IFERROR(--ISNUMBER(SEARCH("R81",G62)),0)+IFERROR(--ISNUMBER(SEARCH("R83",G62)),0)+IFERROR(--ISNUMBER(SEARCH("R84",G62)),0)+IFERROR(--ISNUMBER(SEARCH("R89",G62)),0)+IFERROR(--ISNUMBER(SEARCH("R94",G62)),0)+IFERROR(--ISNUMBER(SEARCH("R95",G62)),0)+IFERROR(--ISNUMBER(SEARCH("R96",G62)),0)+IFERROR(--ISNUMBER(SEARCH("R98",G62)),0)+IFERROR(--ISNUMBER(SEARCH("R99",G62)),0)+IFERROR(--ISNUMBER(SEARCH("R100",G62)),0)+IFERROR(--ISNUMBER(SEARCH("R104",G62)),0)+IFERROR(--ISNUMBER(SEARCH("R105",G62)),0)+IFERROR(--ISNUMBER(SEARCH("R107",G62)),0)+IFERROR(--ISNUMBER(SEARCH("R108",G62)),0)+IFERROR(--ISNUMBER(SEARCH("R109",G62)),0)+IFERROR(--ISNUMBER(SEARCH("R110",G62)),0)+IFERROR(--ISNUMBER(SEARCH("R112",G62)),0)+IFERROR(--ISNUMBER(SEARCH("R113",G62)),0)+IFERROR(--ISNUMBER(SEARCH("R114",G62)),0)+IFERROR(--ISNUMBER(SEARCH("R118",G62)),0)+IFERROR(--ISNUMBER(SEARCH("R119",G62)),0)+IFERROR(--ISNUMBER(SEARCH("R120",G62)),0)+IFERROR(--ISNUMBER(SEARCH("R122",G62)),0)+IFERROR(--ISNUMBER(SEARCH("R123",G62)),0)+IFERROR(--ISNUMBER(SEARCH("R124",G62)),0)+IFERROR(--ISNUMBER(SEARCH("R128",G62)),0)+IFERROR(--ISNUMBER(SEARCH("R130",G62)),0)+IFERROR(--ISNUMBER(SEARCH("R131",G62)),0)+IFERROR(--ISNUMBER(SEARCH("R132",G62)),0)+IFERROR(--ISNUMBER(SEARCH("R135",G62)),0)+IFERROR(--ISNUMBER(SEARCH("R138",G62)),0)+IFERROR(--ISNUMBER(SEARCH("R141",G62)),0))</f>
        <v/>
      </c>
      <c r="U62" s="58">
        <f>IF(A62="","",IFERROR(--ISNUMBER(SEARCH("R28",G62))*28,0)+IFERROR(--ISNUMBER(SEARCH("R29",G62))*29,0)+IFERROR(--ISNUMBER(SEARCH("R30",G62))*30,0)+IFERROR(--ISNUMBER(SEARCH("R31",G62))*31,0)+IFERROR(--ISNUMBER(SEARCH("R32",G62))*32,0)+IFERROR(--ISNUMBER(SEARCH("R33",G62))*33,0)+IFERROR(--ISNUMBER(SEARCH("R34",G62))*34,0)+IFERROR(--ISNUMBER(SEARCH("R35",G62))*35,0)+IFERROR(--ISNUMBER(SEARCH("R36",G62))*36,0)+IFERROR(--ISNUMBER(SEARCH("R37",G62))*37,0)+IFERROR(--ISNUMBER(SEARCH("R38",G62))*38,0)+IFERROR(--ISNUMBER(SEARCH("R39",G62))*39,0)+IFERROR(--ISNUMBER(SEARCH("R40",G62))*40,0)+IFERROR(--ISNUMBER(SEARCH("R41",G62))*41,0)+IFERROR(--ISNUMBER(SEARCH("R42",G62))*42,0)+IFERROR(--ISNUMBER(SEARCH("R43",G62))*43,0)+IFERROR(--ISNUMBER(SEARCH("R44",G62))*44,0)+IFERROR(--ISNUMBER(SEARCH("R45",G62))*45,0)+IFERROR(--ISNUMBER(SEARCH("R46",G62))*46,0)+IFERROR(--ISNUMBER(SEARCH("R47",G62))*47,0)+IFERROR(--ISNUMBER(SEARCH("R48",G62))*48,0)+IFERROR(--ISNUMBER(SEARCH("R49",G62))*49,0)+IFERROR(--ISNUMBER(SEARCH("R50",G62))*50,0)+IFERROR(--ISNUMBER(SEARCH("R51",G62))*51,0)+IFERROR(--ISNUMBER(SEARCH("R52",G62))*52,0)+IFERROR(--ISNUMBER(SEARCH("R53",G62))*53,0)+IFERROR(--ISNUMBER(SEARCH("R54",G62))*54,0)+IFERROR(--ISNUMBER(SEARCH("R55",G62))*55,0)+IFERROR(--ISNUMBER(SEARCH("R56",G62))*56,0)+IFERROR(--ISNUMBER(SEARCH("R57",G62))*57,0)+IFERROR(--ISNUMBER(SEARCH("R58",G62))*58,0)+IFERROR(--ISNUMBER(SEARCH("R59",G62))*59,0)+IFERROR(--ISNUMBER(SEARCH("R60",G62))*60,0)+IFERROR(--ISNUMBER(SEARCH("R61",G62))*61,0)+IFERROR(--ISNUMBER(SEARCH("R62",G62))*62,0)+IFERROR(--ISNUMBER(SEARCH("R63",G62))*63,0)+IFERROR(--ISNUMBER(SEARCH("R64",G62))*64,0)+IFERROR(--ISNUMBER(SEARCH("R65",G62))*65,0)+IFERROR(--ISNUMBER(SEARCH("R66",G62))*66,0)+IFERROR(--ISNUMBER(SEARCH("R67",G62))*67,0)+IFERROR(--ISNUMBER(SEARCH("R68",G62))*68,0)+IFERROR(--ISNUMBER(SEARCH("R69",G62))*69,0)+IFERROR(--ISNUMBER(SEARCH("R70",G62))*70,0)+IFERROR(--ISNUMBER(SEARCH("R71",G62))*71,0)+IFERROR(--ISNUMBER(SEARCH("R72",G62))*72,0)+IFERROR(--ISNUMBER(SEARCH("R73",G62))*73,0)+IFERROR(--ISNUMBER(SEARCH("R74",G62))*74,0)+IFERROR(--ISNUMBER(SEARCH("R75",G62))*75,0)+IFERROR(--ISNUMBER(SEARCH("R76",G62))*76,0)+IFERROR(--ISNUMBER(SEARCH("R77",G62))*77,0)+IFERROR(--ISNUMBER(SEARCH("R78",G62))*78,0)+IFERROR(--ISNUMBER(SEARCH("R79",G62))*79,0)+IFERROR(--ISNUMBER(SEARCH("R80",G62))*80,0)+IFERROR(--ISNUMBER(SEARCH("R81",G62))*81,0)+IFERROR(--ISNUMBER(SEARCH("R82",G62))*82,0)+IFERROR(--ISNUMBER(SEARCH("R83",G62))*83,0)+IFERROR(--ISNUMBER(SEARCH("R84",G62))*84,0)+IFERROR(--ISNUMBER(SEARCH("R85",G62))*85,0)+IFERROR(--ISNUMBER(SEARCH("R86",G62))*86,0)+IFERROR(--ISNUMBER(SEARCH("R87",G62))*87,0)+IFERROR(--ISNUMBER(SEARCH("R88",G62))*88,0)+IFERROR(--ISNUMBER(SEARCH("R89",G62))*89,0)+IFERROR(--ISNUMBER(SEARCH("R90",G62))*90,0)+IFERROR(--ISNUMBER(SEARCH("R91",G62))*91,0)+IFERROR(--ISNUMBER(SEARCH("R92",G62))*92,0)+IFERROR(--ISNUMBER(SEARCH("R93",G62))*93,0)+IFERROR(--ISNUMBER(SEARCH("R94",G62))*94,0)+IFERROR(--ISNUMBER(SEARCH("R95",G62))*95,0)+IFERROR(--ISNUMBER(SEARCH("R96",G62))*96,0)+IFERROR(--ISNUMBER(SEARCH("R97",G62))*97,0)+IFERROR(--ISNUMBER(SEARCH("R98",G62))*98,0)+IFERROR(--ISNUMBER(SEARCH("R99",G62))*99,0)+IFERROR(--ISNUMBER(SEARCH("R100",G62))*100,0)+IFERROR(--ISNUMBER(SEARCH("R101",G62))*101,0)+IFERROR(--ISNUMBER(SEARCH("R102",G62))*102,0)+IFERROR(--ISNUMBER(SEARCH("R103",G62))*103,0)+IFERROR(--ISNUMBER(SEARCH("R104",G62))*104,0)+IFERROR(--ISNUMBER(SEARCH("R105",G62))*105,0)+IFERROR(--ISNUMBER(SEARCH("R106",G62))*106,0)+IFERROR(--ISNUMBER(SEARCH("R107",G62))*107,0)+IFERROR(--ISNUMBER(SEARCH("R108",G62))*108,0)+IFERROR(--ISNUMBER(SEARCH("R109",G62))*109,0)+IFERROR(--ISNUMBER(SEARCH("R110",G62))*110,0)+IFERROR(--ISNUMBER(SEARCH("R111",G62))*111,0)+IFERROR(--ISNUMBER(SEARCH("R112",G62))*112,0)+IFERROR(--ISNUMBER(SEARCH("R113",G62))*113,0)+IFERROR(--ISNUMBER(SEARCH("R114",G62))*114,0)+IFERROR(--ISNUMBER(SEARCH("R115",G62))*115,0)+IFERROR(--ISNUMBER(SEARCH("R116",G62))*116,0)+IFERROR(--ISNUMBER(SEARCH("R117",G62))*117,0)+IFERROR(--ISNUMBER(SEARCH("R118",G62))*118,0)+IFERROR(--ISNUMBER(SEARCH("R119",G62))*119,0)+IFERROR(--ISNUMBER(SEARCH("R120",G62))*120,0)+IFERROR(--ISNUMBER(SEARCH("R121",G62))*121,0)+IFERROR(--ISNUMBER(SEARCH("R122",G62))*122,0)+IFERROR(--ISNUMBER(SEARCH("R123",G62))*123,0)+IFERROR(--ISNUMBER(SEARCH("R124",G62))*124,0)+IFERROR(--ISNUMBER(SEARCH("R125",G62))*125,0)+IFERROR(--ISNUMBER(SEARCH("R126",G62))*126,0)+IFERROR(--ISNUMBER(SEARCH("R127",G62))*127,0)+IFERROR(--ISNUMBER(SEARCH("R128",G62))*128,0)+IFERROR(--ISNUMBER(SEARCH("R129",G62))*129,0)+IFERROR(--ISNUMBER(SEARCH("R130",G62))*130,0)+IFERROR(--ISNUMBER(SEARCH("R131",G62))*131,0)+IFERROR(--ISNUMBER(SEARCH("R132",G62))*132,0)+IFERROR(--ISNUMBER(SEARCH("R133",G62))*133,0)+IFERROR(--ISNUMBER(SEARCH("R134",G62))*134,0)+IFERROR(--ISNUMBER(SEARCH("R135",G62))*135,0)+IFERROR(--ISNUMBER(SEARCH("R136",G62))*136,0)+IFERROR(--ISNUMBER(SEARCH("R137",G62))*137,0)+IFERROR(--ISNUMBER(SEARCH("R138",G62))*138,0)+IFERROR(--ISNUMBER(SEARCH("R139",G62))*139,0)+IFERROR(--ISNUMBER(SEARCH("R140",G62))*140,0)+IFERROR(--ISNUMBER(SEARCH("R141",G62))*141,0))</f>
        <v/>
      </c>
      <c r="V62" s="59">
        <f>IF(A62="","",IF(K62&lt;&gt;"",K62,J62))</f>
        <v/>
      </c>
      <c r="W62" s="59">
        <f>IF(A62="","",IF(AND(V62=29,O62&lt;&gt;"",COUNTIFS($V$6:$V$505,29,$F$6:$F$505,F62,$C$6:$C$505,C62,$O$6:$O$505,"&lt;&gt;")&gt;1),IF(COUNTIFS($V$6:V62,29,$F$6:F62,F62,$C$6:C62,C62,$O$6:O62,"&lt;&gt;")=1,"Esta es la fila que se debe CONSERVAR (aparición 1 de "&amp;COUNTIFS($V$6:$V$505,29,$F$6:$F$505,F62,$C$6:$C$505,C62,$O$6:$O$505,"&lt;&gt;")&amp;" con el mismo tercero y valor, casilla 29). Si hay más filas iguales, bórreles el valor a ELLAS, no a esta.","DUPLICADO — ya existe otra fila con el mismo tercero y valor para casilla 29 (aparición "&amp;COUNTIFS($V$6:V62,29,$F$6:F62,F62,$C$6:C62,C62,$O$6:O62,"&lt;&gt;")&amp;" de "&amp;COUNTIFS($V$6:$V$505,29,$F$6:$F$505,F62,$C$6:$C$505,C62,$O$6:$O$505,"&lt;&gt;")&amp;"). Para resolverlo: seleccione la celda O"&amp;ROW()&amp;" (columna Valor a declarar de ESTA fila) y presione Supr."),""))</f>
        <v/>
      </c>
      <c r="X62" s="463">
        <f>IF(A62="","",F62)</f>
        <v/>
      </c>
      <c r="Y62" s="463">
        <f>IF(A62="","",SUMIF(Entrada_Manual!$I$88:$I$187,A62,Entrada_Manual!$F$88:$F$187))</f>
        <v/>
      </c>
      <c r="Z62" s="463">
        <f>IF(A62="","",X62-Y62)</f>
        <v/>
      </c>
      <c r="AA62">
        <f>IF(A62="","",SUMPRODUCT((Entrada_Manual!$I$88:$I$187=A62)*1))</f>
        <v/>
      </c>
      <c r="AB62">
        <f>IF(A62="","",IF(S62&lt;=1,"",IF(AA62=0,"PENDIENTE — SIN ASIGNAR",IF(Z62=0,"RESUELTO","PARCIAL — DIFERENCIA "&amp;TEXT(Z62,"#,##0")))))</f>
        <v/>
      </c>
    </row>
    <row r="63" ht="28.5" customHeight="1" s="235">
      <c r="A63" s="47">
        <f>IF(Exogena_RAW!E72&lt;&gt;"",ROW()-5,"")</f>
        <v/>
      </c>
      <c r="B63" s="48">
        <f>IF(A63="","",72)</f>
        <v/>
      </c>
      <c r="C63" s="48">
        <f>IF(A63="","",IFERROR(Exogena_RAW!A72,""))</f>
        <v/>
      </c>
      <c r="D63" s="48">
        <f>IF(A63="","",IFERROR(Exogena_RAW!B72,""))</f>
        <v/>
      </c>
      <c r="E63" s="48">
        <f>IF(A63="","",Exogena_RAW!E72)</f>
        <v/>
      </c>
      <c r="F63" s="461">
        <f>IF(A63="","",Exogena_RAW!F72)</f>
        <v/>
      </c>
      <c r="G63" s="48">
        <f>IF(A63="","",IFERROR(Exogena_RAW!G72,""))</f>
        <v/>
      </c>
      <c r="H63" s="48">
        <f>IF(A63="","",IFERROR(Exogena_RAW!H72,""))</f>
        <v/>
      </c>
      <c r="I63" s="48">
        <f>IF(A63="","",IFERROR(IF(S63&gt;1,"VARIAS CASILLAS",IF(S63=1,IF(T63=1,"PROPUESTA DE CASILLA","REVISIÓN: CASILLA NO DIRECTA"),IF(OR(ISNUMBER(SEARCH("TOPE",UPPER(E63))),ISNUMBER(SEARCH("TOPE",UPPER(G63)))),"SOLO CONTROL",IF(ISNUMBER(SEARCH("RETEN",UPPER(E63))),"RETENCIÓN","REVISAR")))),"REVISAR"))</f>
        <v/>
      </c>
      <c r="J63" s="48">
        <f>IF(A63="","",IF(ISNUMBER(SEARCH("ingreso laboral promedio de los últimos seis meses",E63)),"",IFERROR(IF(AND(S63=1,T63=1),U63,""),"")))</f>
        <v/>
      </c>
      <c r="K63" s="216" t="n"/>
      <c r="L63" s="48">
        <f>IF(A63="","",IFERROR(IF(K63&lt;&gt;"","Casilla elegida por usuario",IF(S63&gt;1,"Varias casillas — elegir en K",IF(J63&lt;&gt;"","Sugerencia directa",IF(S63=1,"No trasladar directo — revisar",IF(OR(ISNUMBER(SEARCH("TOPE",UPPER(E63))),ISNUMBER(SEARCH("TOPE",UPPER(G63)))),"Solo control","Revisar manualmente"))))),"Revisar manualmente"))</f>
        <v/>
      </c>
      <c r="M63" s="461">
        <f>IF(A63="","",IF(IF(K63&lt;&gt;"",K63,J63)="",0,IF(COUNTIFS(Reglas!$I$5:$I$118,IF(K63&lt;&gt;"",K63,J63),Reglas!$J$5:$J$118,"Sí")=1,F63,0)))</f>
        <v/>
      </c>
      <c r="N63" s="56" t="n"/>
      <c r="O63" s="462">
        <f>IF(A63="","",IF(M63=0,"",M63))</f>
        <v/>
      </c>
      <c r="P63" s="461">
        <f>IF(A63="","",IF(O63="",0,IF(ISNUMBER(O63),O63,0)))</f>
        <v/>
      </c>
      <c r="Q63" s="48">
        <f>IF(A63="","",IF(Exogena_RAW!$C$4="","BLOQUEADO: FALTA AÑO",IF(Exogena_RAW!$K$10&lt;&gt;Reglas!$B$5,"BLOQUEADO: AÑO",IF(IF(K63&lt;&gt;"",K63,J63)="",IF(S63&gt;1,"REQUIERE ASIGNACIÓN MANUAL (VARIAS CASILLAS)","INFORMATIVO (sin casilla — no se declara)"),IF(COUNTIFS(Reglas!$I$5:$I$118,IF(K63&lt;&gt;"",K63,J63),Reglas!$J$5:$J$118,"Sí")=0,"BLOQUEADO: CASILLA NO DIRECTA",IF(O63="","EXCLUIDO (valor borrado por el usuario)",IF(_xlfn.ISFORMULA(O63),IF(W63&lt;&gt;"","BORRADOR — VALOR SUGERIDO DIAN ⚠ VER ALERTA","BORRADOR — VALOR SUGERIDO DIAN"),IF(W63&lt;&gt;"","ACEPTADO ⚠ VER ALERTA","ACEPTADO"))))))))</f>
        <v/>
      </c>
      <c r="R63" s="218" t="n"/>
      <c r="S63" s="58">
        <f>IF(A63="","",IFERROR(--ISNUMBER(SEARCH("R28",G63)),0)+IFERROR(--ISNUMBER(SEARCH("R29",G63)),0)+IFERROR(--ISNUMBER(SEARCH("R30",G63)),0)+IFERROR(--ISNUMBER(SEARCH("R31",G63)),0)+IFERROR(--ISNUMBER(SEARCH("R32",G63)),0)+IFERROR(--ISNUMBER(SEARCH("R33",G63)),0)+IFERROR(--ISNUMBER(SEARCH("R34",G63)),0)+IFERROR(--ISNUMBER(SEARCH("R35",G63)),0)+IFERROR(--ISNUMBER(SEARCH("R36",G63)),0)+IFERROR(--ISNUMBER(SEARCH("R37",G63)),0)+IFERROR(--ISNUMBER(SEARCH("R38",G63)),0)+IFERROR(--ISNUMBER(SEARCH("R39",G63)),0)+IFERROR(--ISNUMBER(SEARCH("R40",G63)),0)+IFERROR(--ISNUMBER(SEARCH("R41",G63)),0)+IFERROR(--ISNUMBER(SEARCH("R42",G63)),0)+IFERROR(--ISNUMBER(SEARCH("R43",G63)),0)+IFERROR(--ISNUMBER(SEARCH("R44",G63)),0)+IFERROR(--ISNUMBER(SEARCH("R45",G63)),0)+IFERROR(--ISNUMBER(SEARCH("R46",G63)),0)+IFERROR(--ISNUMBER(SEARCH("R47",G63)),0)+IFERROR(--ISNUMBER(SEARCH("R48",G63)),0)+IFERROR(--ISNUMBER(SEARCH("R49",G63)),0)+IFERROR(--ISNUMBER(SEARCH("R50",G63)),0)+IFERROR(--ISNUMBER(SEARCH("R51",G63)),0)+IFERROR(--ISNUMBER(SEARCH("R52",G63)),0)+IFERROR(--ISNUMBER(SEARCH("R53",G63)),0)+IFERROR(--ISNUMBER(SEARCH("R54",G63)),0)+IFERROR(--ISNUMBER(SEARCH("R55",G63)),0)+IFERROR(--ISNUMBER(SEARCH("R56",G63)),0)+IFERROR(--ISNUMBER(SEARCH("R57",G63)),0)+IFERROR(--ISNUMBER(SEARCH("R58",G63)),0)+IFERROR(--ISNUMBER(SEARCH("R59",G63)),0)+IFERROR(--ISNUMBER(SEARCH("R60",G63)),0)+IFERROR(--ISNUMBER(SEARCH("R61",G63)),0)+IFERROR(--ISNUMBER(SEARCH("R62",G63)),0)+IFERROR(--ISNUMBER(SEARCH("R63",G63)),0)+IFERROR(--ISNUMBER(SEARCH("R64",G63)),0)+IFERROR(--ISNUMBER(SEARCH("R65",G63)),0)+IFERROR(--ISNUMBER(SEARCH("R66",G63)),0)+IFERROR(--ISNUMBER(SEARCH("R67",G63)),0)+IFERROR(--ISNUMBER(SEARCH("R68",G63)),0)+IFERROR(--ISNUMBER(SEARCH("R69",G63)),0)+IFERROR(--ISNUMBER(SEARCH("R70",G63)),0)+IFERROR(--ISNUMBER(SEARCH("R71",G63)),0)+IFERROR(--ISNUMBER(SEARCH("R72",G63)),0)+IFERROR(--ISNUMBER(SEARCH("R73",G63)),0)+IFERROR(--ISNUMBER(SEARCH("R74",G63)),0)+IFERROR(--ISNUMBER(SEARCH("R75",G63)),0)+IFERROR(--ISNUMBER(SEARCH("R76",G63)),0)+IFERROR(--ISNUMBER(SEARCH("R77",G63)),0)+IFERROR(--ISNUMBER(SEARCH("R78",G63)),0)+IFERROR(--ISNUMBER(SEARCH("R79",G63)),0)+IFERROR(--ISNUMBER(SEARCH("R80",G63)),0)+IFERROR(--ISNUMBER(SEARCH("R81",G63)),0)+IFERROR(--ISNUMBER(SEARCH("R82",G63)),0)+IFERROR(--ISNUMBER(SEARCH("R83",G63)),0)+IFERROR(--ISNUMBER(SEARCH("R84",G63)),0)+IFERROR(--ISNUMBER(SEARCH("R85",G63)),0)+IFERROR(--ISNUMBER(SEARCH("R86",G63)),0)+IFERROR(--ISNUMBER(SEARCH("R87",G63)),0)+IFERROR(--ISNUMBER(SEARCH("R88",G63)),0)+IFERROR(--ISNUMBER(SEARCH("R89",G63)),0)+IFERROR(--ISNUMBER(SEARCH("R90",G63)),0)+IFERROR(--ISNUMBER(SEARCH("R91",G63)),0)+IFERROR(--ISNUMBER(SEARCH("R92",G63)),0)+IFERROR(--ISNUMBER(SEARCH("R93",G63)),0)+IFERROR(--ISNUMBER(SEARCH("R94",G63)),0)+IFERROR(--ISNUMBER(SEARCH("R95",G63)),0)+IFERROR(--ISNUMBER(SEARCH("R96",G63)),0)+IFERROR(--ISNUMBER(SEARCH("R97",G63)),0)+IFERROR(--ISNUMBER(SEARCH("R98",G63)),0)+IFERROR(--ISNUMBER(SEARCH("R99",G63)),0)+IFERROR(--ISNUMBER(SEARCH("R100",G63)),0)+IFERROR(--ISNUMBER(SEARCH("R101",G63)),0)+IFERROR(--ISNUMBER(SEARCH("R102",G63)),0)+IFERROR(--ISNUMBER(SEARCH("R103",G63)),0)+IFERROR(--ISNUMBER(SEARCH("R104",G63)),0)+IFERROR(--ISNUMBER(SEARCH("R105",G63)),0)+IFERROR(--ISNUMBER(SEARCH("R106",G63)),0)+IFERROR(--ISNUMBER(SEARCH("R107",G63)),0)+IFERROR(--ISNUMBER(SEARCH("R108",G63)),0)+IFERROR(--ISNUMBER(SEARCH("R109",G63)),0)+IFERROR(--ISNUMBER(SEARCH("R110",G63)),0)+IFERROR(--ISNUMBER(SEARCH("R111",G63)),0)+IFERROR(--ISNUMBER(SEARCH("R112",G63)),0)+IFERROR(--ISNUMBER(SEARCH("R113",G63)),0)+IFERROR(--ISNUMBER(SEARCH("R114",G63)),0)+IFERROR(--ISNUMBER(SEARCH("R115",G63)),0)+IFERROR(--ISNUMBER(SEARCH("R116",G63)),0)+IFERROR(--ISNUMBER(SEARCH("R117",G63)),0)+IFERROR(--ISNUMBER(SEARCH("R118",G63)),0)+IFERROR(--ISNUMBER(SEARCH("R119",G63)),0)+IFERROR(--ISNUMBER(SEARCH("R120",G63)),0)+IFERROR(--ISNUMBER(SEARCH("R121",G63)),0)+IFERROR(--ISNUMBER(SEARCH("R122",G63)),0)+IFERROR(--ISNUMBER(SEARCH("R123",G63)),0)+IFERROR(--ISNUMBER(SEARCH("R124",G63)),0)+IFERROR(--ISNUMBER(SEARCH("R125",G63)),0)+IFERROR(--ISNUMBER(SEARCH("R126",G63)),0)+IFERROR(--ISNUMBER(SEARCH("R127",G63)),0)+IFERROR(--ISNUMBER(SEARCH("R128",G63)),0)+IFERROR(--ISNUMBER(SEARCH("R129",G63)),0)+IFERROR(--ISNUMBER(SEARCH("R130",G63)),0)+IFERROR(--ISNUMBER(SEARCH("R131",G63)),0)+IFERROR(--ISNUMBER(SEARCH("R132",G63)),0)+IFERROR(--ISNUMBER(SEARCH("R133",G63)),0)+IFERROR(--ISNUMBER(SEARCH("R134",G63)),0)+IFERROR(--ISNUMBER(SEARCH("R135",G63)),0)+IFERROR(--ISNUMBER(SEARCH("R136",G63)),0)+IFERROR(--ISNUMBER(SEARCH("R137",G63)),0)+IFERROR(--ISNUMBER(SEARCH("R138",G63)),0)+IFERROR(--ISNUMBER(SEARCH("R139",G63)),0)+IFERROR(--ISNUMBER(SEARCH("R140",G63)),0)+IFERROR(--ISNUMBER(SEARCH("R141",G63)),0))</f>
        <v/>
      </c>
      <c r="T63" s="58">
        <f>IF(A63="","",IFERROR(--ISNUMBER(SEARCH("R28",G63)),0)+IFERROR(--ISNUMBER(SEARCH("R29",G63)),0)+IFERROR(--ISNUMBER(SEARCH("R30",G63)),0)+IFERROR(--ISNUMBER(SEARCH("R32",G63)),0)+IFERROR(--ISNUMBER(SEARCH("R33",G63)),0)+IFERROR(--ISNUMBER(SEARCH("R35",G63)),0)+IFERROR(--ISNUMBER(SEARCH("R36",G63)),0)+IFERROR(--ISNUMBER(SEARCH("R38",G63)),0)+IFERROR(--ISNUMBER(SEARCH("R39",G63)),0)+IFERROR(--ISNUMBER(SEARCH("R43",G63)),0)+IFERROR(--ISNUMBER(SEARCH("R44",G63)),0)+IFERROR(--ISNUMBER(SEARCH("R45",G63)),0)+IFERROR(--ISNUMBER(SEARCH("R47",G63)),0)+IFERROR(--ISNUMBER(SEARCH("R48",G63)),0)+IFERROR(--ISNUMBER(SEARCH("R50",G63)),0)+IFERROR(--ISNUMBER(SEARCH("R51",G63)),0)+IFERROR(--ISNUMBER(SEARCH("R56",G63)),0)+IFERROR(--ISNUMBER(SEARCH("R58",G63)),0)+IFERROR(--ISNUMBER(SEARCH("R59",G63)),0)+IFERROR(--ISNUMBER(SEARCH("R60",G63)),0)+IFERROR(--ISNUMBER(SEARCH("R62",G63)),0)+IFERROR(--ISNUMBER(SEARCH("R63",G63)),0)+IFERROR(--ISNUMBER(SEARCH("R64",G63)),0)+IFERROR(--ISNUMBER(SEARCH("R66",G63)),0)+IFERROR(--ISNUMBER(SEARCH("R67",G63)),0)+IFERROR(--ISNUMBER(SEARCH("R72",G63)),0)+IFERROR(--ISNUMBER(SEARCH("R74",G63)),0)+IFERROR(--ISNUMBER(SEARCH("R75",G63)),0)+IFERROR(--ISNUMBER(SEARCH("R76",G63)),0)+IFERROR(--ISNUMBER(SEARCH("R77",G63)),0)+IFERROR(--ISNUMBER(SEARCH("R79",G63)),0)+IFERROR(--ISNUMBER(SEARCH("R80",G63)),0)+IFERROR(--ISNUMBER(SEARCH("R81",G63)),0)+IFERROR(--ISNUMBER(SEARCH("R83",G63)),0)+IFERROR(--ISNUMBER(SEARCH("R84",G63)),0)+IFERROR(--ISNUMBER(SEARCH("R89",G63)),0)+IFERROR(--ISNUMBER(SEARCH("R94",G63)),0)+IFERROR(--ISNUMBER(SEARCH("R95",G63)),0)+IFERROR(--ISNUMBER(SEARCH("R96",G63)),0)+IFERROR(--ISNUMBER(SEARCH("R98",G63)),0)+IFERROR(--ISNUMBER(SEARCH("R99",G63)),0)+IFERROR(--ISNUMBER(SEARCH("R100",G63)),0)+IFERROR(--ISNUMBER(SEARCH("R104",G63)),0)+IFERROR(--ISNUMBER(SEARCH("R105",G63)),0)+IFERROR(--ISNUMBER(SEARCH("R107",G63)),0)+IFERROR(--ISNUMBER(SEARCH("R108",G63)),0)+IFERROR(--ISNUMBER(SEARCH("R109",G63)),0)+IFERROR(--ISNUMBER(SEARCH("R110",G63)),0)+IFERROR(--ISNUMBER(SEARCH("R112",G63)),0)+IFERROR(--ISNUMBER(SEARCH("R113",G63)),0)+IFERROR(--ISNUMBER(SEARCH("R114",G63)),0)+IFERROR(--ISNUMBER(SEARCH("R118",G63)),0)+IFERROR(--ISNUMBER(SEARCH("R119",G63)),0)+IFERROR(--ISNUMBER(SEARCH("R120",G63)),0)+IFERROR(--ISNUMBER(SEARCH("R122",G63)),0)+IFERROR(--ISNUMBER(SEARCH("R123",G63)),0)+IFERROR(--ISNUMBER(SEARCH("R124",G63)),0)+IFERROR(--ISNUMBER(SEARCH("R128",G63)),0)+IFERROR(--ISNUMBER(SEARCH("R130",G63)),0)+IFERROR(--ISNUMBER(SEARCH("R131",G63)),0)+IFERROR(--ISNUMBER(SEARCH("R132",G63)),0)+IFERROR(--ISNUMBER(SEARCH("R135",G63)),0)+IFERROR(--ISNUMBER(SEARCH("R138",G63)),0)+IFERROR(--ISNUMBER(SEARCH("R141",G63)),0))</f>
        <v/>
      </c>
      <c r="U63" s="58">
        <f>IF(A63="","",IFERROR(--ISNUMBER(SEARCH("R28",G63))*28,0)+IFERROR(--ISNUMBER(SEARCH("R29",G63))*29,0)+IFERROR(--ISNUMBER(SEARCH("R30",G63))*30,0)+IFERROR(--ISNUMBER(SEARCH("R31",G63))*31,0)+IFERROR(--ISNUMBER(SEARCH("R32",G63))*32,0)+IFERROR(--ISNUMBER(SEARCH("R33",G63))*33,0)+IFERROR(--ISNUMBER(SEARCH("R34",G63))*34,0)+IFERROR(--ISNUMBER(SEARCH("R35",G63))*35,0)+IFERROR(--ISNUMBER(SEARCH("R36",G63))*36,0)+IFERROR(--ISNUMBER(SEARCH("R37",G63))*37,0)+IFERROR(--ISNUMBER(SEARCH("R38",G63))*38,0)+IFERROR(--ISNUMBER(SEARCH("R39",G63))*39,0)+IFERROR(--ISNUMBER(SEARCH("R40",G63))*40,0)+IFERROR(--ISNUMBER(SEARCH("R41",G63))*41,0)+IFERROR(--ISNUMBER(SEARCH("R42",G63))*42,0)+IFERROR(--ISNUMBER(SEARCH("R43",G63))*43,0)+IFERROR(--ISNUMBER(SEARCH("R44",G63))*44,0)+IFERROR(--ISNUMBER(SEARCH("R45",G63))*45,0)+IFERROR(--ISNUMBER(SEARCH("R46",G63))*46,0)+IFERROR(--ISNUMBER(SEARCH("R47",G63))*47,0)+IFERROR(--ISNUMBER(SEARCH("R48",G63))*48,0)+IFERROR(--ISNUMBER(SEARCH("R49",G63))*49,0)+IFERROR(--ISNUMBER(SEARCH("R50",G63))*50,0)+IFERROR(--ISNUMBER(SEARCH("R51",G63))*51,0)+IFERROR(--ISNUMBER(SEARCH("R52",G63))*52,0)+IFERROR(--ISNUMBER(SEARCH("R53",G63))*53,0)+IFERROR(--ISNUMBER(SEARCH("R54",G63))*54,0)+IFERROR(--ISNUMBER(SEARCH("R55",G63))*55,0)+IFERROR(--ISNUMBER(SEARCH("R56",G63))*56,0)+IFERROR(--ISNUMBER(SEARCH("R57",G63))*57,0)+IFERROR(--ISNUMBER(SEARCH("R58",G63))*58,0)+IFERROR(--ISNUMBER(SEARCH("R59",G63))*59,0)+IFERROR(--ISNUMBER(SEARCH("R60",G63))*60,0)+IFERROR(--ISNUMBER(SEARCH("R61",G63))*61,0)+IFERROR(--ISNUMBER(SEARCH("R62",G63))*62,0)+IFERROR(--ISNUMBER(SEARCH("R63",G63))*63,0)+IFERROR(--ISNUMBER(SEARCH("R64",G63))*64,0)+IFERROR(--ISNUMBER(SEARCH("R65",G63))*65,0)+IFERROR(--ISNUMBER(SEARCH("R66",G63))*66,0)+IFERROR(--ISNUMBER(SEARCH("R67",G63))*67,0)+IFERROR(--ISNUMBER(SEARCH("R68",G63))*68,0)+IFERROR(--ISNUMBER(SEARCH("R69",G63))*69,0)+IFERROR(--ISNUMBER(SEARCH("R70",G63))*70,0)+IFERROR(--ISNUMBER(SEARCH("R71",G63))*71,0)+IFERROR(--ISNUMBER(SEARCH("R72",G63))*72,0)+IFERROR(--ISNUMBER(SEARCH("R73",G63))*73,0)+IFERROR(--ISNUMBER(SEARCH("R74",G63))*74,0)+IFERROR(--ISNUMBER(SEARCH("R75",G63))*75,0)+IFERROR(--ISNUMBER(SEARCH("R76",G63))*76,0)+IFERROR(--ISNUMBER(SEARCH("R77",G63))*77,0)+IFERROR(--ISNUMBER(SEARCH("R78",G63))*78,0)+IFERROR(--ISNUMBER(SEARCH("R79",G63))*79,0)+IFERROR(--ISNUMBER(SEARCH("R80",G63))*80,0)+IFERROR(--ISNUMBER(SEARCH("R81",G63))*81,0)+IFERROR(--ISNUMBER(SEARCH("R82",G63))*82,0)+IFERROR(--ISNUMBER(SEARCH("R83",G63))*83,0)+IFERROR(--ISNUMBER(SEARCH("R84",G63))*84,0)+IFERROR(--ISNUMBER(SEARCH("R85",G63))*85,0)+IFERROR(--ISNUMBER(SEARCH("R86",G63))*86,0)+IFERROR(--ISNUMBER(SEARCH("R87",G63))*87,0)+IFERROR(--ISNUMBER(SEARCH("R88",G63))*88,0)+IFERROR(--ISNUMBER(SEARCH("R89",G63))*89,0)+IFERROR(--ISNUMBER(SEARCH("R90",G63))*90,0)+IFERROR(--ISNUMBER(SEARCH("R91",G63))*91,0)+IFERROR(--ISNUMBER(SEARCH("R92",G63))*92,0)+IFERROR(--ISNUMBER(SEARCH("R93",G63))*93,0)+IFERROR(--ISNUMBER(SEARCH("R94",G63))*94,0)+IFERROR(--ISNUMBER(SEARCH("R95",G63))*95,0)+IFERROR(--ISNUMBER(SEARCH("R96",G63))*96,0)+IFERROR(--ISNUMBER(SEARCH("R97",G63))*97,0)+IFERROR(--ISNUMBER(SEARCH("R98",G63))*98,0)+IFERROR(--ISNUMBER(SEARCH("R99",G63))*99,0)+IFERROR(--ISNUMBER(SEARCH("R100",G63))*100,0)+IFERROR(--ISNUMBER(SEARCH("R101",G63))*101,0)+IFERROR(--ISNUMBER(SEARCH("R102",G63))*102,0)+IFERROR(--ISNUMBER(SEARCH("R103",G63))*103,0)+IFERROR(--ISNUMBER(SEARCH("R104",G63))*104,0)+IFERROR(--ISNUMBER(SEARCH("R105",G63))*105,0)+IFERROR(--ISNUMBER(SEARCH("R106",G63))*106,0)+IFERROR(--ISNUMBER(SEARCH("R107",G63))*107,0)+IFERROR(--ISNUMBER(SEARCH("R108",G63))*108,0)+IFERROR(--ISNUMBER(SEARCH("R109",G63))*109,0)+IFERROR(--ISNUMBER(SEARCH("R110",G63))*110,0)+IFERROR(--ISNUMBER(SEARCH("R111",G63))*111,0)+IFERROR(--ISNUMBER(SEARCH("R112",G63))*112,0)+IFERROR(--ISNUMBER(SEARCH("R113",G63))*113,0)+IFERROR(--ISNUMBER(SEARCH("R114",G63))*114,0)+IFERROR(--ISNUMBER(SEARCH("R115",G63))*115,0)+IFERROR(--ISNUMBER(SEARCH("R116",G63))*116,0)+IFERROR(--ISNUMBER(SEARCH("R117",G63))*117,0)+IFERROR(--ISNUMBER(SEARCH("R118",G63))*118,0)+IFERROR(--ISNUMBER(SEARCH("R119",G63))*119,0)+IFERROR(--ISNUMBER(SEARCH("R120",G63))*120,0)+IFERROR(--ISNUMBER(SEARCH("R121",G63))*121,0)+IFERROR(--ISNUMBER(SEARCH("R122",G63))*122,0)+IFERROR(--ISNUMBER(SEARCH("R123",G63))*123,0)+IFERROR(--ISNUMBER(SEARCH("R124",G63))*124,0)+IFERROR(--ISNUMBER(SEARCH("R125",G63))*125,0)+IFERROR(--ISNUMBER(SEARCH("R126",G63))*126,0)+IFERROR(--ISNUMBER(SEARCH("R127",G63))*127,0)+IFERROR(--ISNUMBER(SEARCH("R128",G63))*128,0)+IFERROR(--ISNUMBER(SEARCH("R129",G63))*129,0)+IFERROR(--ISNUMBER(SEARCH("R130",G63))*130,0)+IFERROR(--ISNUMBER(SEARCH("R131",G63))*131,0)+IFERROR(--ISNUMBER(SEARCH("R132",G63))*132,0)+IFERROR(--ISNUMBER(SEARCH("R133",G63))*133,0)+IFERROR(--ISNUMBER(SEARCH("R134",G63))*134,0)+IFERROR(--ISNUMBER(SEARCH("R135",G63))*135,0)+IFERROR(--ISNUMBER(SEARCH("R136",G63))*136,0)+IFERROR(--ISNUMBER(SEARCH("R137",G63))*137,0)+IFERROR(--ISNUMBER(SEARCH("R138",G63))*138,0)+IFERROR(--ISNUMBER(SEARCH("R139",G63))*139,0)+IFERROR(--ISNUMBER(SEARCH("R140",G63))*140,0)+IFERROR(--ISNUMBER(SEARCH("R141",G63))*141,0))</f>
        <v/>
      </c>
      <c r="V63" s="59">
        <f>IF(A63="","",IF(K63&lt;&gt;"",K63,J63))</f>
        <v/>
      </c>
      <c r="W63" s="59">
        <f>IF(A63="","",IF(AND(V63=29,O63&lt;&gt;"",COUNTIFS($V$6:$V$505,29,$F$6:$F$505,F63,$C$6:$C$505,C63,$O$6:$O$505,"&lt;&gt;")&gt;1),IF(COUNTIFS($V$6:V63,29,$F$6:F63,F63,$C$6:C63,C63,$O$6:O63,"&lt;&gt;")=1,"Esta es la fila que se debe CONSERVAR (aparición 1 de "&amp;COUNTIFS($V$6:$V$505,29,$F$6:$F$505,F63,$C$6:$C$505,C63,$O$6:$O$505,"&lt;&gt;")&amp;" con el mismo tercero y valor, casilla 29). Si hay más filas iguales, bórreles el valor a ELLAS, no a esta.","DUPLICADO — ya existe otra fila con el mismo tercero y valor para casilla 29 (aparición "&amp;COUNTIFS($V$6:V63,29,$F$6:F63,F63,$C$6:C63,C63,$O$6:O63,"&lt;&gt;")&amp;" de "&amp;COUNTIFS($V$6:$V$505,29,$F$6:$F$505,F63,$C$6:$C$505,C63,$O$6:$O$505,"&lt;&gt;")&amp;"). Para resolverlo: seleccione la celda O"&amp;ROW()&amp;" (columna Valor a declarar de ESTA fila) y presione Supr."),""))</f>
        <v/>
      </c>
      <c r="X63" s="463">
        <f>IF(A63="","",F63)</f>
        <v/>
      </c>
      <c r="Y63" s="463">
        <f>IF(A63="","",SUMIF(Entrada_Manual!$I$88:$I$187,A63,Entrada_Manual!$F$88:$F$187))</f>
        <v/>
      </c>
      <c r="Z63" s="463">
        <f>IF(A63="","",X63-Y63)</f>
        <v/>
      </c>
      <c r="AA63">
        <f>IF(A63="","",SUMPRODUCT((Entrada_Manual!$I$88:$I$187=A63)*1))</f>
        <v/>
      </c>
      <c r="AB63">
        <f>IF(A63="","",IF(S63&lt;=1,"",IF(AA63=0,"PENDIENTE — SIN ASIGNAR",IF(Z63=0,"RESUELTO","PARCIAL — DIFERENCIA "&amp;TEXT(Z63,"#,##0")))))</f>
        <v/>
      </c>
    </row>
    <row r="64" ht="28.5" customHeight="1" s="235">
      <c r="A64" s="47">
        <f>IF(Exogena_RAW!E73&lt;&gt;"",ROW()-5,"")</f>
        <v/>
      </c>
      <c r="B64" s="48">
        <f>IF(A64="","",73)</f>
        <v/>
      </c>
      <c r="C64" s="48">
        <f>IF(A64="","",IFERROR(Exogena_RAW!A73,""))</f>
        <v/>
      </c>
      <c r="D64" s="48">
        <f>IF(A64="","",IFERROR(Exogena_RAW!B73,""))</f>
        <v/>
      </c>
      <c r="E64" s="48">
        <f>IF(A64="","",Exogena_RAW!E73)</f>
        <v/>
      </c>
      <c r="F64" s="461">
        <f>IF(A64="","",Exogena_RAW!F73)</f>
        <v/>
      </c>
      <c r="G64" s="48">
        <f>IF(A64="","",IFERROR(Exogena_RAW!G73,""))</f>
        <v/>
      </c>
      <c r="H64" s="48">
        <f>IF(A64="","",IFERROR(Exogena_RAW!H73,""))</f>
        <v/>
      </c>
      <c r="I64" s="48">
        <f>IF(A64="","",IFERROR(IF(S64&gt;1,"VARIAS CASILLAS",IF(S64=1,IF(T64=1,"PROPUESTA DE CASILLA","REVISIÓN: CASILLA NO DIRECTA"),IF(OR(ISNUMBER(SEARCH("TOPE",UPPER(E64))),ISNUMBER(SEARCH("TOPE",UPPER(G64)))),"SOLO CONTROL",IF(ISNUMBER(SEARCH("RETEN",UPPER(E64))),"RETENCIÓN","REVISAR")))),"REVISAR"))</f>
        <v/>
      </c>
      <c r="J64" s="61">
        <f>IF(A64="","",IF(ISNUMBER(SEARCH("ingreso laboral promedio de los últimos seis meses",E64)),"",IFERROR(IF(AND(S64=1,T64=1),U64,""),"")))</f>
        <v/>
      </c>
      <c r="K64" s="216" t="n"/>
      <c r="L64" s="48">
        <f>IF(A64="","",IFERROR(IF(K64&lt;&gt;"","Casilla elegida por usuario",IF(S64&gt;1,"Varias casillas — elegir en K",IF(J64&lt;&gt;"","Sugerencia directa",IF(S64=1,"No trasladar directo — revisar",IF(OR(ISNUMBER(SEARCH("TOPE",UPPER(E64))),ISNUMBER(SEARCH("TOPE",UPPER(G64)))),"Solo control","Revisar manualmente"))))),"Revisar manualmente"))</f>
        <v/>
      </c>
      <c r="M64" s="461">
        <f>IF(A64="","",IF(IF(K64&lt;&gt;"",K64,J64)="",0,IF(COUNTIFS(Reglas!$I$5:$I$118,IF(K64&lt;&gt;"",K64,J64),Reglas!$J$5:$J$118,"Sí")=1,F64,0)))</f>
        <v/>
      </c>
      <c r="N64" s="56" t="n"/>
      <c r="O64" s="462">
        <f>IF(A64="","",IF(M64=0,"",M64))</f>
        <v/>
      </c>
      <c r="P64" s="461">
        <f>IF(A64="","",IF(O64="",0,IF(ISNUMBER(O64),O64,0)))</f>
        <v/>
      </c>
      <c r="Q64" s="48">
        <f>IF(A64="","",IF(Exogena_RAW!$C$4="","BLOQUEADO: FALTA AÑO",IF(Exogena_RAW!$K$10&lt;&gt;Reglas!$B$5,"BLOQUEADO: AÑO",IF(IF(K64&lt;&gt;"",K64,J64)="",IF(S64&gt;1,"REQUIERE ASIGNACIÓN MANUAL (VARIAS CASILLAS)","INFORMATIVO (sin casilla — no se declara)"),IF(COUNTIFS(Reglas!$I$5:$I$118,IF(K64&lt;&gt;"",K64,J64),Reglas!$J$5:$J$118,"Sí")=0,"BLOQUEADO: CASILLA NO DIRECTA",IF(O64="","EXCLUIDO (valor borrado por el usuario)",IF(_xlfn.ISFORMULA(O64),IF(W64&lt;&gt;"","BORRADOR — VALOR SUGERIDO DIAN ⚠ VER ALERTA","BORRADOR — VALOR SUGERIDO DIAN"),IF(W64&lt;&gt;"","ACEPTADO ⚠ VER ALERTA","ACEPTADO"))))))))</f>
        <v/>
      </c>
      <c r="R64" s="218" t="n"/>
      <c r="S64" s="58">
        <f>IF(A64="","",IFERROR(--ISNUMBER(SEARCH("R28",G64)),0)+IFERROR(--ISNUMBER(SEARCH("R29",G64)),0)+IFERROR(--ISNUMBER(SEARCH("R30",G64)),0)+IFERROR(--ISNUMBER(SEARCH("R31",G64)),0)+IFERROR(--ISNUMBER(SEARCH("R32",G64)),0)+IFERROR(--ISNUMBER(SEARCH("R33",G64)),0)+IFERROR(--ISNUMBER(SEARCH("R34",G64)),0)+IFERROR(--ISNUMBER(SEARCH("R35",G64)),0)+IFERROR(--ISNUMBER(SEARCH("R36",G64)),0)+IFERROR(--ISNUMBER(SEARCH("R37",G64)),0)+IFERROR(--ISNUMBER(SEARCH("R38",G64)),0)+IFERROR(--ISNUMBER(SEARCH("R39",G64)),0)+IFERROR(--ISNUMBER(SEARCH("R40",G64)),0)+IFERROR(--ISNUMBER(SEARCH("R41",G64)),0)+IFERROR(--ISNUMBER(SEARCH("R42",G64)),0)+IFERROR(--ISNUMBER(SEARCH("R43",G64)),0)+IFERROR(--ISNUMBER(SEARCH("R44",G64)),0)+IFERROR(--ISNUMBER(SEARCH("R45",G64)),0)+IFERROR(--ISNUMBER(SEARCH("R46",G64)),0)+IFERROR(--ISNUMBER(SEARCH("R47",G64)),0)+IFERROR(--ISNUMBER(SEARCH("R48",G64)),0)+IFERROR(--ISNUMBER(SEARCH("R49",G64)),0)+IFERROR(--ISNUMBER(SEARCH("R50",G64)),0)+IFERROR(--ISNUMBER(SEARCH("R51",G64)),0)+IFERROR(--ISNUMBER(SEARCH("R52",G64)),0)+IFERROR(--ISNUMBER(SEARCH("R53",G64)),0)+IFERROR(--ISNUMBER(SEARCH("R54",G64)),0)+IFERROR(--ISNUMBER(SEARCH("R55",G64)),0)+IFERROR(--ISNUMBER(SEARCH("R56",G64)),0)+IFERROR(--ISNUMBER(SEARCH("R57",G64)),0)+IFERROR(--ISNUMBER(SEARCH("R58",G64)),0)+IFERROR(--ISNUMBER(SEARCH("R59",G64)),0)+IFERROR(--ISNUMBER(SEARCH("R60",G64)),0)+IFERROR(--ISNUMBER(SEARCH("R61",G64)),0)+IFERROR(--ISNUMBER(SEARCH("R62",G64)),0)+IFERROR(--ISNUMBER(SEARCH("R63",G64)),0)+IFERROR(--ISNUMBER(SEARCH("R64",G64)),0)+IFERROR(--ISNUMBER(SEARCH("R65",G64)),0)+IFERROR(--ISNUMBER(SEARCH("R66",G64)),0)+IFERROR(--ISNUMBER(SEARCH("R67",G64)),0)+IFERROR(--ISNUMBER(SEARCH("R68",G64)),0)+IFERROR(--ISNUMBER(SEARCH("R69",G64)),0)+IFERROR(--ISNUMBER(SEARCH("R70",G64)),0)+IFERROR(--ISNUMBER(SEARCH("R71",G64)),0)+IFERROR(--ISNUMBER(SEARCH("R72",G64)),0)+IFERROR(--ISNUMBER(SEARCH("R73",G64)),0)+IFERROR(--ISNUMBER(SEARCH("R74",G64)),0)+IFERROR(--ISNUMBER(SEARCH("R75",G64)),0)+IFERROR(--ISNUMBER(SEARCH("R76",G64)),0)+IFERROR(--ISNUMBER(SEARCH("R77",G64)),0)+IFERROR(--ISNUMBER(SEARCH("R78",G64)),0)+IFERROR(--ISNUMBER(SEARCH("R79",G64)),0)+IFERROR(--ISNUMBER(SEARCH("R80",G64)),0)+IFERROR(--ISNUMBER(SEARCH("R81",G64)),0)+IFERROR(--ISNUMBER(SEARCH("R82",G64)),0)+IFERROR(--ISNUMBER(SEARCH("R83",G64)),0)+IFERROR(--ISNUMBER(SEARCH("R84",G64)),0)+IFERROR(--ISNUMBER(SEARCH("R85",G64)),0)+IFERROR(--ISNUMBER(SEARCH("R86",G64)),0)+IFERROR(--ISNUMBER(SEARCH("R87",G64)),0)+IFERROR(--ISNUMBER(SEARCH("R88",G64)),0)+IFERROR(--ISNUMBER(SEARCH("R89",G64)),0)+IFERROR(--ISNUMBER(SEARCH("R90",G64)),0)+IFERROR(--ISNUMBER(SEARCH("R91",G64)),0)+IFERROR(--ISNUMBER(SEARCH("R92",G64)),0)+IFERROR(--ISNUMBER(SEARCH("R93",G64)),0)+IFERROR(--ISNUMBER(SEARCH("R94",G64)),0)+IFERROR(--ISNUMBER(SEARCH("R95",G64)),0)+IFERROR(--ISNUMBER(SEARCH("R96",G64)),0)+IFERROR(--ISNUMBER(SEARCH("R97",G64)),0)+IFERROR(--ISNUMBER(SEARCH("R98",G64)),0)+IFERROR(--ISNUMBER(SEARCH("R99",G64)),0)+IFERROR(--ISNUMBER(SEARCH("R100",G64)),0)+IFERROR(--ISNUMBER(SEARCH("R101",G64)),0)+IFERROR(--ISNUMBER(SEARCH("R102",G64)),0)+IFERROR(--ISNUMBER(SEARCH("R103",G64)),0)+IFERROR(--ISNUMBER(SEARCH("R104",G64)),0)+IFERROR(--ISNUMBER(SEARCH("R105",G64)),0)+IFERROR(--ISNUMBER(SEARCH("R106",G64)),0)+IFERROR(--ISNUMBER(SEARCH("R107",G64)),0)+IFERROR(--ISNUMBER(SEARCH("R108",G64)),0)+IFERROR(--ISNUMBER(SEARCH("R109",G64)),0)+IFERROR(--ISNUMBER(SEARCH("R110",G64)),0)+IFERROR(--ISNUMBER(SEARCH("R111",G64)),0)+IFERROR(--ISNUMBER(SEARCH("R112",G64)),0)+IFERROR(--ISNUMBER(SEARCH("R113",G64)),0)+IFERROR(--ISNUMBER(SEARCH("R114",G64)),0)+IFERROR(--ISNUMBER(SEARCH("R115",G64)),0)+IFERROR(--ISNUMBER(SEARCH("R116",G64)),0)+IFERROR(--ISNUMBER(SEARCH("R117",G64)),0)+IFERROR(--ISNUMBER(SEARCH("R118",G64)),0)+IFERROR(--ISNUMBER(SEARCH("R119",G64)),0)+IFERROR(--ISNUMBER(SEARCH("R120",G64)),0)+IFERROR(--ISNUMBER(SEARCH("R121",G64)),0)+IFERROR(--ISNUMBER(SEARCH("R122",G64)),0)+IFERROR(--ISNUMBER(SEARCH("R123",G64)),0)+IFERROR(--ISNUMBER(SEARCH("R124",G64)),0)+IFERROR(--ISNUMBER(SEARCH("R125",G64)),0)+IFERROR(--ISNUMBER(SEARCH("R126",G64)),0)+IFERROR(--ISNUMBER(SEARCH("R127",G64)),0)+IFERROR(--ISNUMBER(SEARCH("R128",G64)),0)+IFERROR(--ISNUMBER(SEARCH("R129",G64)),0)+IFERROR(--ISNUMBER(SEARCH("R130",G64)),0)+IFERROR(--ISNUMBER(SEARCH("R131",G64)),0)+IFERROR(--ISNUMBER(SEARCH("R132",G64)),0)+IFERROR(--ISNUMBER(SEARCH("R133",G64)),0)+IFERROR(--ISNUMBER(SEARCH("R134",G64)),0)+IFERROR(--ISNUMBER(SEARCH("R135",G64)),0)+IFERROR(--ISNUMBER(SEARCH("R136",G64)),0)+IFERROR(--ISNUMBER(SEARCH("R137",G64)),0)+IFERROR(--ISNUMBER(SEARCH("R138",G64)),0)+IFERROR(--ISNUMBER(SEARCH("R139",G64)),0)+IFERROR(--ISNUMBER(SEARCH("R140",G64)),0)+IFERROR(--ISNUMBER(SEARCH("R141",G64)),0))</f>
        <v/>
      </c>
      <c r="T64" s="58">
        <f>IF(A64="","",IFERROR(--ISNUMBER(SEARCH("R28",G64)),0)+IFERROR(--ISNUMBER(SEARCH("R29",G64)),0)+IFERROR(--ISNUMBER(SEARCH("R30",G64)),0)+IFERROR(--ISNUMBER(SEARCH("R32",G64)),0)+IFERROR(--ISNUMBER(SEARCH("R33",G64)),0)+IFERROR(--ISNUMBER(SEARCH("R35",G64)),0)+IFERROR(--ISNUMBER(SEARCH("R36",G64)),0)+IFERROR(--ISNUMBER(SEARCH("R38",G64)),0)+IFERROR(--ISNUMBER(SEARCH("R39",G64)),0)+IFERROR(--ISNUMBER(SEARCH("R43",G64)),0)+IFERROR(--ISNUMBER(SEARCH("R44",G64)),0)+IFERROR(--ISNUMBER(SEARCH("R45",G64)),0)+IFERROR(--ISNUMBER(SEARCH("R47",G64)),0)+IFERROR(--ISNUMBER(SEARCH("R48",G64)),0)+IFERROR(--ISNUMBER(SEARCH("R50",G64)),0)+IFERROR(--ISNUMBER(SEARCH("R51",G64)),0)+IFERROR(--ISNUMBER(SEARCH("R56",G64)),0)+IFERROR(--ISNUMBER(SEARCH("R58",G64)),0)+IFERROR(--ISNUMBER(SEARCH("R59",G64)),0)+IFERROR(--ISNUMBER(SEARCH("R60",G64)),0)+IFERROR(--ISNUMBER(SEARCH("R62",G64)),0)+IFERROR(--ISNUMBER(SEARCH("R63",G64)),0)+IFERROR(--ISNUMBER(SEARCH("R64",G64)),0)+IFERROR(--ISNUMBER(SEARCH("R66",G64)),0)+IFERROR(--ISNUMBER(SEARCH("R67",G64)),0)+IFERROR(--ISNUMBER(SEARCH("R72",G64)),0)+IFERROR(--ISNUMBER(SEARCH("R74",G64)),0)+IFERROR(--ISNUMBER(SEARCH("R75",G64)),0)+IFERROR(--ISNUMBER(SEARCH("R76",G64)),0)+IFERROR(--ISNUMBER(SEARCH("R77",G64)),0)+IFERROR(--ISNUMBER(SEARCH("R79",G64)),0)+IFERROR(--ISNUMBER(SEARCH("R80",G64)),0)+IFERROR(--ISNUMBER(SEARCH("R81",G64)),0)+IFERROR(--ISNUMBER(SEARCH("R83",G64)),0)+IFERROR(--ISNUMBER(SEARCH("R84",G64)),0)+IFERROR(--ISNUMBER(SEARCH("R89",G64)),0)+IFERROR(--ISNUMBER(SEARCH("R94",G64)),0)+IFERROR(--ISNUMBER(SEARCH("R95",G64)),0)+IFERROR(--ISNUMBER(SEARCH("R96",G64)),0)+IFERROR(--ISNUMBER(SEARCH("R98",G64)),0)+IFERROR(--ISNUMBER(SEARCH("R99",G64)),0)+IFERROR(--ISNUMBER(SEARCH("R100",G64)),0)+IFERROR(--ISNUMBER(SEARCH("R104",G64)),0)+IFERROR(--ISNUMBER(SEARCH("R105",G64)),0)+IFERROR(--ISNUMBER(SEARCH("R107",G64)),0)+IFERROR(--ISNUMBER(SEARCH("R108",G64)),0)+IFERROR(--ISNUMBER(SEARCH("R109",G64)),0)+IFERROR(--ISNUMBER(SEARCH("R110",G64)),0)+IFERROR(--ISNUMBER(SEARCH("R112",G64)),0)+IFERROR(--ISNUMBER(SEARCH("R113",G64)),0)+IFERROR(--ISNUMBER(SEARCH("R114",G64)),0)+IFERROR(--ISNUMBER(SEARCH("R118",G64)),0)+IFERROR(--ISNUMBER(SEARCH("R119",G64)),0)+IFERROR(--ISNUMBER(SEARCH("R120",G64)),0)+IFERROR(--ISNUMBER(SEARCH("R122",G64)),0)+IFERROR(--ISNUMBER(SEARCH("R123",G64)),0)+IFERROR(--ISNUMBER(SEARCH("R124",G64)),0)+IFERROR(--ISNUMBER(SEARCH("R128",G64)),0)+IFERROR(--ISNUMBER(SEARCH("R130",G64)),0)+IFERROR(--ISNUMBER(SEARCH("R131",G64)),0)+IFERROR(--ISNUMBER(SEARCH("R132",G64)),0)+IFERROR(--ISNUMBER(SEARCH("R135",G64)),0)+IFERROR(--ISNUMBER(SEARCH("R138",G64)),0)+IFERROR(--ISNUMBER(SEARCH("R141",G64)),0))</f>
        <v/>
      </c>
      <c r="U64" s="58">
        <f>IF(A64="","",IFERROR(--ISNUMBER(SEARCH("R28",G64))*28,0)+IFERROR(--ISNUMBER(SEARCH("R29",G64))*29,0)+IFERROR(--ISNUMBER(SEARCH("R30",G64))*30,0)+IFERROR(--ISNUMBER(SEARCH("R31",G64))*31,0)+IFERROR(--ISNUMBER(SEARCH("R32",G64))*32,0)+IFERROR(--ISNUMBER(SEARCH("R33",G64))*33,0)+IFERROR(--ISNUMBER(SEARCH("R34",G64))*34,0)+IFERROR(--ISNUMBER(SEARCH("R35",G64))*35,0)+IFERROR(--ISNUMBER(SEARCH("R36",G64))*36,0)+IFERROR(--ISNUMBER(SEARCH("R37",G64))*37,0)+IFERROR(--ISNUMBER(SEARCH("R38",G64))*38,0)+IFERROR(--ISNUMBER(SEARCH("R39",G64))*39,0)+IFERROR(--ISNUMBER(SEARCH("R40",G64))*40,0)+IFERROR(--ISNUMBER(SEARCH("R41",G64))*41,0)+IFERROR(--ISNUMBER(SEARCH("R42",G64))*42,0)+IFERROR(--ISNUMBER(SEARCH("R43",G64))*43,0)+IFERROR(--ISNUMBER(SEARCH("R44",G64))*44,0)+IFERROR(--ISNUMBER(SEARCH("R45",G64))*45,0)+IFERROR(--ISNUMBER(SEARCH("R46",G64))*46,0)+IFERROR(--ISNUMBER(SEARCH("R47",G64))*47,0)+IFERROR(--ISNUMBER(SEARCH("R48",G64))*48,0)+IFERROR(--ISNUMBER(SEARCH("R49",G64))*49,0)+IFERROR(--ISNUMBER(SEARCH("R50",G64))*50,0)+IFERROR(--ISNUMBER(SEARCH("R51",G64))*51,0)+IFERROR(--ISNUMBER(SEARCH("R52",G64))*52,0)+IFERROR(--ISNUMBER(SEARCH("R53",G64))*53,0)+IFERROR(--ISNUMBER(SEARCH("R54",G64))*54,0)+IFERROR(--ISNUMBER(SEARCH("R55",G64))*55,0)+IFERROR(--ISNUMBER(SEARCH("R56",G64))*56,0)+IFERROR(--ISNUMBER(SEARCH("R57",G64))*57,0)+IFERROR(--ISNUMBER(SEARCH("R58",G64))*58,0)+IFERROR(--ISNUMBER(SEARCH("R59",G64))*59,0)+IFERROR(--ISNUMBER(SEARCH("R60",G64))*60,0)+IFERROR(--ISNUMBER(SEARCH("R61",G64))*61,0)+IFERROR(--ISNUMBER(SEARCH("R62",G64))*62,0)+IFERROR(--ISNUMBER(SEARCH("R63",G64))*63,0)+IFERROR(--ISNUMBER(SEARCH("R64",G64))*64,0)+IFERROR(--ISNUMBER(SEARCH("R65",G64))*65,0)+IFERROR(--ISNUMBER(SEARCH("R66",G64))*66,0)+IFERROR(--ISNUMBER(SEARCH("R67",G64))*67,0)+IFERROR(--ISNUMBER(SEARCH("R68",G64))*68,0)+IFERROR(--ISNUMBER(SEARCH("R69",G64))*69,0)+IFERROR(--ISNUMBER(SEARCH("R70",G64))*70,0)+IFERROR(--ISNUMBER(SEARCH("R71",G64))*71,0)+IFERROR(--ISNUMBER(SEARCH("R72",G64))*72,0)+IFERROR(--ISNUMBER(SEARCH("R73",G64))*73,0)+IFERROR(--ISNUMBER(SEARCH("R74",G64))*74,0)+IFERROR(--ISNUMBER(SEARCH("R75",G64))*75,0)+IFERROR(--ISNUMBER(SEARCH("R76",G64))*76,0)+IFERROR(--ISNUMBER(SEARCH("R77",G64))*77,0)+IFERROR(--ISNUMBER(SEARCH("R78",G64))*78,0)+IFERROR(--ISNUMBER(SEARCH("R79",G64))*79,0)+IFERROR(--ISNUMBER(SEARCH("R80",G64))*80,0)+IFERROR(--ISNUMBER(SEARCH("R81",G64))*81,0)+IFERROR(--ISNUMBER(SEARCH("R82",G64))*82,0)+IFERROR(--ISNUMBER(SEARCH("R83",G64))*83,0)+IFERROR(--ISNUMBER(SEARCH("R84",G64))*84,0)+IFERROR(--ISNUMBER(SEARCH("R85",G64))*85,0)+IFERROR(--ISNUMBER(SEARCH("R86",G64))*86,0)+IFERROR(--ISNUMBER(SEARCH("R87",G64))*87,0)+IFERROR(--ISNUMBER(SEARCH("R88",G64))*88,0)+IFERROR(--ISNUMBER(SEARCH("R89",G64))*89,0)+IFERROR(--ISNUMBER(SEARCH("R90",G64))*90,0)+IFERROR(--ISNUMBER(SEARCH("R91",G64))*91,0)+IFERROR(--ISNUMBER(SEARCH("R92",G64))*92,0)+IFERROR(--ISNUMBER(SEARCH("R93",G64))*93,0)+IFERROR(--ISNUMBER(SEARCH("R94",G64))*94,0)+IFERROR(--ISNUMBER(SEARCH("R95",G64))*95,0)+IFERROR(--ISNUMBER(SEARCH("R96",G64))*96,0)+IFERROR(--ISNUMBER(SEARCH("R97",G64))*97,0)+IFERROR(--ISNUMBER(SEARCH("R98",G64))*98,0)+IFERROR(--ISNUMBER(SEARCH("R99",G64))*99,0)+IFERROR(--ISNUMBER(SEARCH("R100",G64))*100,0)+IFERROR(--ISNUMBER(SEARCH("R101",G64))*101,0)+IFERROR(--ISNUMBER(SEARCH("R102",G64))*102,0)+IFERROR(--ISNUMBER(SEARCH("R103",G64))*103,0)+IFERROR(--ISNUMBER(SEARCH("R104",G64))*104,0)+IFERROR(--ISNUMBER(SEARCH("R105",G64))*105,0)+IFERROR(--ISNUMBER(SEARCH("R106",G64))*106,0)+IFERROR(--ISNUMBER(SEARCH("R107",G64))*107,0)+IFERROR(--ISNUMBER(SEARCH("R108",G64))*108,0)+IFERROR(--ISNUMBER(SEARCH("R109",G64))*109,0)+IFERROR(--ISNUMBER(SEARCH("R110",G64))*110,0)+IFERROR(--ISNUMBER(SEARCH("R111",G64))*111,0)+IFERROR(--ISNUMBER(SEARCH("R112",G64))*112,0)+IFERROR(--ISNUMBER(SEARCH("R113",G64))*113,0)+IFERROR(--ISNUMBER(SEARCH("R114",G64))*114,0)+IFERROR(--ISNUMBER(SEARCH("R115",G64))*115,0)+IFERROR(--ISNUMBER(SEARCH("R116",G64))*116,0)+IFERROR(--ISNUMBER(SEARCH("R117",G64))*117,0)+IFERROR(--ISNUMBER(SEARCH("R118",G64))*118,0)+IFERROR(--ISNUMBER(SEARCH("R119",G64))*119,0)+IFERROR(--ISNUMBER(SEARCH("R120",G64))*120,0)+IFERROR(--ISNUMBER(SEARCH("R121",G64))*121,0)+IFERROR(--ISNUMBER(SEARCH("R122",G64))*122,0)+IFERROR(--ISNUMBER(SEARCH("R123",G64))*123,0)+IFERROR(--ISNUMBER(SEARCH("R124",G64))*124,0)+IFERROR(--ISNUMBER(SEARCH("R125",G64))*125,0)+IFERROR(--ISNUMBER(SEARCH("R126",G64))*126,0)+IFERROR(--ISNUMBER(SEARCH("R127",G64))*127,0)+IFERROR(--ISNUMBER(SEARCH("R128",G64))*128,0)+IFERROR(--ISNUMBER(SEARCH("R129",G64))*129,0)+IFERROR(--ISNUMBER(SEARCH("R130",G64))*130,0)+IFERROR(--ISNUMBER(SEARCH("R131",G64))*131,0)+IFERROR(--ISNUMBER(SEARCH("R132",G64))*132,0)+IFERROR(--ISNUMBER(SEARCH("R133",G64))*133,0)+IFERROR(--ISNUMBER(SEARCH("R134",G64))*134,0)+IFERROR(--ISNUMBER(SEARCH("R135",G64))*135,0)+IFERROR(--ISNUMBER(SEARCH("R136",G64))*136,0)+IFERROR(--ISNUMBER(SEARCH("R137",G64))*137,0)+IFERROR(--ISNUMBER(SEARCH("R138",G64))*138,0)+IFERROR(--ISNUMBER(SEARCH("R139",G64))*139,0)+IFERROR(--ISNUMBER(SEARCH("R140",G64))*140,0)+IFERROR(--ISNUMBER(SEARCH("R141",G64))*141,0))</f>
        <v/>
      </c>
      <c r="V64" s="59">
        <f>IF(A64="","",IF(K64&lt;&gt;"",K64,J64))</f>
        <v/>
      </c>
      <c r="W64" s="59">
        <f>IF(A64="","",IF(AND(V64=29,O64&lt;&gt;"",COUNTIFS($V$6:$V$505,29,$F$6:$F$505,F64,$C$6:$C$505,C64,$O$6:$O$505,"&lt;&gt;")&gt;1),IF(COUNTIFS($V$6:V64,29,$F$6:F64,F64,$C$6:C64,C64,$O$6:O64,"&lt;&gt;")=1,"Esta es la fila que se debe CONSERVAR (aparición 1 de "&amp;COUNTIFS($V$6:$V$505,29,$F$6:$F$505,F64,$C$6:$C$505,C64,$O$6:$O$505,"&lt;&gt;")&amp;" con el mismo tercero y valor, casilla 29). Si hay más filas iguales, bórreles el valor a ELLAS, no a esta.","DUPLICADO — ya existe otra fila con el mismo tercero y valor para casilla 29 (aparición "&amp;COUNTIFS($V$6:V64,29,$F$6:F64,F64,$C$6:C64,C64,$O$6:O64,"&lt;&gt;")&amp;" de "&amp;COUNTIFS($V$6:$V$505,29,$F$6:$F$505,F64,$C$6:$C$505,C64,$O$6:$O$505,"&lt;&gt;")&amp;"). Para resolverlo: seleccione la celda O"&amp;ROW()&amp;" (columna Valor a declarar de ESTA fila) y presione Supr."),""))</f>
        <v/>
      </c>
      <c r="X64" s="463">
        <f>IF(A64="","",F64)</f>
        <v/>
      </c>
      <c r="Y64" s="463">
        <f>IF(A64="","",SUMIF(Entrada_Manual!$I$88:$I$187,A64,Entrada_Manual!$F$88:$F$187))</f>
        <v/>
      </c>
      <c r="Z64" s="463">
        <f>IF(A64="","",X64-Y64)</f>
        <v/>
      </c>
      <c r="AA64">
        <f>IF(A64="","",SUMPRODUCT((Entrada_Manual!$I$88:$I$187=A64)*1))</f>
        <v/>
      </c>
      <c r="AB64">
        <f>IF(A64="","",IF(S64&lt;=1,"",IF(AA64=0,"PENDIENTE — SIN ASIGNAR",IF(Z64=0,"RESUELTO","PARCIAL — DIFERENCIA "&amp;TEXT(Z64,"#,##0")))))</f>
        <v/>
      </c>
    </row>
    <row r="65" ht="42.75" customHeight="1" s="235">
      <c r="A65" s="47">
        <f>IF(Exogena_RAW!E74&lt;&gt;"",ROW()-5,"")</f>
        <v/>
      </c>
      <c r="B65" s="48">
        <f>IF(A65="","",74)</f>
        <v/>
      </c>
      <c r="C65" s="48">
        <f>IF(A65="","",IFERROR(Exogena_RAW!A74,""))</f>
        <v/>
      </c>
      <c r="D65" s="48">
        <f>IF(A65="","",IFERROR(Exogena_RAW!B74,""))</f>
        <v/>
      </c>
      <c r="E65" s="48">
        <f>IF(A65="","",Exogena_RAW!E74)</f>
        <v/>
      </c>
      <c r="F65" s="461">
        <f>IF(A65="","",Exogena_RAW!F74)</f>
        <v/>
      </c>
      <c r="G65" s="48">
        <f>IF(A65="","",IFERROR(Exogena_RAW!G74,""))</f>
        <v/>
      </c>
      <c r="H65" s="48">
        <f>IF(A65="","",IFERROR(Exogena_RAW!H74,""))</f>
        <v/>
      </c>
      <c r="I65" s="48">
        <f>IF(A65="","",IFERROR(IF(S65&gt;1,"VARIAS CASILLAS",IF(S65=1,IF(T65=1,"PROPUESTA DE CASILLA","REVISIÓN: CASILLA NO DIRECTA"),IF(OR(ISNUMBER(SEARCH("TOPE",UPPER(E65))),ISNUMBER(SEARCH("TOPE",UPPER(G65)))),"SOLO CONTROL",IF(ISNUMBER(SEARCH("RETEN",UPPER(E65))),"RETENCIÓN","REVISAR")))),"REVISAR"))</f>
        <v/>
      </c>
      <c r="J65" s="48">
        <f>IF(A65="","",IF(ISNUMBER(SEARCH("ingreso laboral promedio de los últimos seis meses",E65)),"",IFERROR(IF(AND(S65=1,T65=1),U65,""),"")))</f>
        <v/>
      </c>
      <c r="K65" s="216" t="n"/>
      <c r="L65" s="48">
        <f>IF(A65="","",IFERROR(IF(K65&lt;&gt;"","Casilla elegida por usuario",IF(S65&gt;1,"Varias casillas — elegir en K",IF(J65&lt;&gt;"","Sugerencia directa",IF(S65=1,"No trasladar directo — revisar",IF(OR(ISNUMBER(SEARCH("TOPE",UPPER(E65))),ISNUMBER(SEARCH("TOPE",UPPER(G65)))),"Solo control","Revisar manualmente"))))),"Revisar manualmente"))</f>
        <v/>
      </c>
      <c r="M65" s="461">
        <f>IF(A65="","",IF(IF(K65&lt;&gt;"",K65,J65)="",0,IF(COUNTIFS(Reglas!$I$5:$I$118,IF(K65&lt;&gt;"",K65,J65),Reglas!$J$5:$J$118,"Sí")=1,F65,0)))</f>
        <v/>
      </c>
      <c r="N65" s="56" t="n"/>
      <c r="O65" s="462">
        <f>IF(A65="","",IF(M65=0,"",M65))</f>
        <v/>
      </c>
      <c r="P65" s="461">
        <f>IF(A65="","",IF(O65="",0,IF(ISNUMBER(O65),O65,0)))</f>
        <v/>
      </c>
      <c r="Q65" s="48">
        <f>IF(A65="","",IF(Exogena_RAW!$C$4="","BLOQUEADO: FALTA AÑO",IF(Exogena_RAW!$K$10&lt;&gt;Reglas!$B$5,"BLOQUEADO: AÑO",IF(IF(K65&lt;&gt;"",K65,J65)="",IF(S65&gt;1,"REQUIERE ASIGNACIÓN MANUAL (VARIAS CASILLAS)","INFORMATIVO (sin casilla — no se declara)"),IF(COUNTIFS(Reglas!$I$5:$I$118,IF(K65&lt;&gt;"",K65,J65),Reglas!$J$5:$J$118,"Sí")=0,"BLOQUEADO: CASILLA NO DIRECTA",IF(O65="","EXCLUIDO (valor borrado por el usuario)",IF(_xlfn.ISFORMULA(O65),IF(W65&lt;&gt;"","BORRADOR — VALOR SUGERIDO DIAN ⚠ VER ALERTA","BORRADOR — VALOR SUGERIDO DIAN"),IF(W65&lt;&gt;"","ACEPTADO ⚠ VER ALERTA","ACEPTADO"))))))))</f>
        <v/>
      </c>
      <c r="R65" s="218" t="n"/>
      <c r="S65" s="58">
        <f>IF(A65="","",IFERROR(--ISNUMBER(SEARCH("R28",G65)),0)+IFERROR(--ISNUMBER(SEARCH("R29",G65)),0)+IFERROR(--ISNUMBER(SEARCH("R30",G65)),0)+IFERROR(--ISNUMBER(SEARCH("R31",G65)),0)+IFERROR(--ISNUMBER(SEARCH("R32",G65)),0)+IFERROR(--ISNUMBER(SEARCH("R33",G65)),0)+IFERROR(--ISNUMBER(SEARCH("R34",G65)),0)+IFERROR(--ISNUMBER(SEARCH("R35",G65)),0)+IFERROR(--ISNUMBER(SEARCH("R36",G65)),0)+IFERROR(--ISNUMBER(SEARCH("R37",G65)),0)+IFERROR(--ISNUMBER(SEARCH("R38",G65)),0)+IFERROR(--ISNUMBER(SEARCH("R39",G65)),0)+IFERROR(--ISNUMBER(SEARCH("R40",G65)),0)+IFERROR(--ISNUMBER(SEARCH("R41",G65)),0)+IFERROR(--ISNUMBER(SEARCH("R42",G65)),0)+IFERROR(--ISNUMBER(SEARCH("R43",G65)),0)+IFERROR(--ISNUMBER(SEARCH("R44",G65)),0)+IFERROR(--ISNUMBER(SEARCH("R45",G65)),0)+IFERROR(--ISNUMBER(SEARCH("R46",G65)),0)+IFERROR(--ISNUMBER(SEARCH("R47",G65)),0)+IFERROR(--ISNUMBER(SEARCH("R48",G65)),0)+IFERROR(--ISNUMBER(SEARCH("R49",G65)),0)+IFERROR(--ISNUMBER(SEARCH("R50",G65)),0)+IFERROR(--ISNUMBER(SEARCH("R51",G65)),0)+IFERROR(--ISNUMBER(SEARCH("R52",G65)),0)+IFERROR(--ISNUMBER(SEARCH("R53",G65)),0)+IFERROR(--ISNUMBER(SEARCH("R54",G65)),0)+IFERROR(--ISNUMBER(SEARCH("R55",G65)),0)+IFERROR(--ISNUMBER(SEARCH("R56",G65)),0)+IFERROR(--ISNUMBER(SEARCH("R57",G65)),0)+IFERROR(--ISNUMBER(SEARCH("R58",G65)),0)+IFERROR(--ISNUMBER(SEARCH("R59",G65)),0)+IFERROR(--ISNUMBER(SEARCH("R60",G65)),0)+IFERROR(--ISNUMBER(SEARCH("R61",G65)),0)+IFERROR(--ISNUMBER(SEARCH("R62",G65)),0)+IFERROR(--ISNUMBER(SEARCH("R63",G65)),0)+IFERROR(--ISNUMBER(SEARCH("R64",G65)),0)+IFERROR(--ISNUMBER(SEARCH("R65",G65)),0)+IFERROR(--ISNUMBER(SEARCH("R66",G65)),0)+IFERROR(--ISNUMBER(SEARCH("R67",G65)),0)+IFERROR(--ISNUMBER(SEARCH("R68",G65)),0)+IFERROR(--ISNUMBER(SEARCH("R69",G65)),0)+IFERROR(--ISNUMBER(SEARCH("R70",G65)),0)+IFERROR(--ISNUMBER(SEARCH("R71",G65)),0)+IFERROR(--ISNUMBER(SEARCH("R72",G65)),0)+IFERROR(--ISNUMBER(SEARCH("R73",G65)),0)+IFERROR(--ISNUMBER(SEARCH("R74",G65)),0)+IFERROR(--ISNUMBER(SEARCH("R75",G65)),0)+IFERROR(--ISNUMBER(SEARCH("R76",G65)),0)+IFERROR(--ISNUMBER(SEARCH("R77",G65)),0)+IFERROR(--ISNUMBER(SEARCH("R78",G65)),0)+IFERROR(--ISNUMBER(SEARCH("R79",G65)),0)+IFERROR(--ISNUMBER(SEARCH("R80",G65)),0)+IFERROR(--ISNUMBER(SEARCH("R81",G65)),0)+IFERROR(--ISNUMBER(SEARCH("R82",G65)),0)+IFERROR(--ISNUMBER(SEARCH("R83",G65)),0)+IFERROR(--ISNUMBER(SEARCH("R84",G65)),0)+IFERROR(--ISNUMBER(SEARCH("R85",G65)),0)+IFERROR(--ISNUMBER(SEARCH("R86",G65)),0)+IFERROR(--ISNUMBER(SEARCH("R87",G65)),0)+IFERROR(--ISNUMBER(SEARCH("R88",G65)),0)+IFERROR(--ISNUMBER(SEARCH("R89",G65)),0)+IFERROR(--ISNUMBER(SEARCH("R90",G65)),0)+IFERROR(--ISNUMBER(SEARCH("R91",G65)),0)+IFERROR(--ISNUMBER(SEARCH("R92",G65)),0)+IFERROR(--ISNUMBER(SEARCH("R93",G65)),0)+IFERROR(--ISNUMBER(SEARCH("R94",G65)),0)+IFERROR(--ISNUMBER(SEARCH("R95",G65)),0)+IFERROR(--ISNUMBER(SEARCH("R96",G65)),0)+IFERROR(--ISNUMBER(SEARCH("R97",G65)),0)+IFERROR(--ISNUMBER(SEARCH("R98",G65)),0)+IFERROR(--ISNUMBER(SEARCH("R99",G65)),0)+IFERROR(--ISNUMBER(SEARCH("R100",G65)),0)+IFERROR(--ISNUMBER(SEARCH("R101",G65)),0)+IFERROR(--ISNUMBER(SEARCH("R102",G65)),0)+IFERROR(--ISNUMBER(SEARCH("R103",G65)),0)+IFERROR(--ISNUMBER(SEARCH("R104",G65)),0)+IFERROR(--ISNUMBER(SEARCH("R105",G65)),0)+IFERROR(--ISNUMBER(SEARCH("R106",G65)),0)+IFERROR(--ISNUMBER(SEARCH("R107",G65)),0)+IFERROR(--ISNUMBER(SEARCH("R108",G65)),0)+IFERROR(--ISNUMBER(SEARCH("R109",G65)),0)+IFERROR(--ISNUMBER(SEARCH("R110",G65)),0)+IFERROR(--ISNUMBER(SEARCH("R111",G65)),0)+IFERROR(--ISNUMBER(SEARCH("R112",G65)),0)+IFERROR(--ISNUMBER(SEARCH("R113",G65)),0)+IFERROR(--ISNUMBER(SEARCH("R114",G65)),0)+IFERROR(--ISNUMBER(SEARCH("R115",G65)),0)+IFERROR(--ISNUMBER(SEARCH("R116",G65)),0)+IFERROR(--ISNUMBER(SEARCH("R117",G65)),0)+IFERROR(--ISNUMBER(SEARCH("R118",G65)),0)+IFERROR(--ISNUMBER(SEARCH("R119",G65)),0)+IFERROR(--ISNUMBER(SEARCH("R120",G65)),0)+IFERROR(--ISNUMBER(SEARCH("R121",G65)),0)+IFERROR(--ISNUMBER(SEARCH("R122",G65)),0)+IFERROR(--ISNUMBER(SEARCH("R123",G65)),0)+IFERROR(--ISNUMBER(SEARCH("R124",G65)),0)+IFERROR(--ISNUMBER(SEARCH("R125",G65)),0)+IFERROR(--ISNUMBER(SEARCH("R126",G65)),0)+IFERROR(--ISNUMBER(SEARCH("R127",G65)),0)+IFERROR(--ISNUMBER(SEARCH("R128",G65)),0)+IFERROR(--ISNUMBER(SEARCH("R129",G65)),0)+IFERROR(--ISNUMBER(SEARCH("R130",G65)),0)+IFERROR(--ISNUMBER(SEARCH("R131",G65)),0)+IFERROR(--ISNUMBER(SEARCH("R132",G65)),0)+IFERROR(--ISNUMBER(SEARCH("R133",G65)),0)+IFERROR(--ISNUMBER(SEARCH("R134",G65)),0)+IFERROR(--ISNUMBER(SEARCH("R135",G65)),0)+IFERROR(--ISNUMBER(SEARCH("R136",G65)),0)+IFERROR(--ISNUMBER(SEARCH("R137",G65)),0)+IFERROR(--ISNUMBER(SEARCH("R138",G65)),0)+IFERROR(--ISNUMBER(SEARCH("R139",G65)),0)+IFERROR(--ISNUMBER(SEARCH("R140",G65)),0)+IFERROR(--ISNUMBER(SEARCH("R141",G65)),0))</f>
        <v/>
      </c>
      <c r="T65" s="58">
        <f>IF(A65="","",IFERROR(--ISNUMBER(SEARCH("R28",G65)),0)+IFERROR(--ISNUMBER(SEARCH("R29",G65)),0)+IFERROR(--ISNUMBER(SEARCH("R30",G65)),0)+IFERROR(--ISNUMBER(SEARCH("R32",G65)),0)+IFERROR(--ISNUMBER(SEARCH("R33",G65)),0)+IFERROR(--ISNUMBER(SEARCH("R35",G65)),0)+IFERROR(--ISNUMBER(SEARCH("R36",G65)),0)+IFERROR(--ISNUMBER(SEARCH("R38",G65)),0)+IFERROR(--ISNUMBER(SEARCH("R39",G65)),0)+IFERROR(--ISNUMBER(SEARCH("R43",G65)),0)+IFERROR(--ISNUMBER(SEARCH("R44",G65)),0)+IFERROR(--ISNUMBER(SEARCH("R45",G65)),0)+IFERROR(--ISNUMBER(SEARCH("R47",G65)),0)+IFERROR(--ISNUMBER(SEARCH("R48",G65)),0)+IFERROR(--ISNUMBER(SEARCH("R50",G65)),0)+IFERROR(--ISNUMBER(SEARCH("R51",G65)),0)+IFERROR(--ISNUMBER(SEARCH("R56",G65)),0)+IFERROR(--ISNUMBER(SEARCH("R58",G65)),0)+IFERROR(--ISNUMBER(SEARCH("R59",G65)),0)+IFERROR(--ISNUMBER(SEARCH("R60",G65)),0)+IFERROR(--ISNUMBER(SEARCH("R62",G65)),0)+IFERROR(--ISNUMBER(SEARCH("R63",G65)),0)+IFERROR(--ISNUMBER(SEARCH("R64",G65)),0)+IFERROR(--ISNUMBER(SEARCH("R66",G65)),0)+IFERROR(--ISNUMBER(SEARCH("R67",G65)),0)+IFERROR(--ISNUMBER(SEARCH("R72",G65)),0)+IFERROR(--ISNUMBER(SEARCH("R74",G65)),0)+IFERROR(--ISNUMBER(SEARCH("R75",G65)),0)+IFERROR(--ISNUMBER(SEARCH("R76",G65)),0)+IFERROR(--ISNUMBER(SEARCH("R77",G65)),0)+IFERROR(--ISNUMBER(SEARCH("R79",G65)),0)+IFERROR(--ISNUMBER(SEARCH("R80",G65)),0)+IFERROR(--ISNUMBER(SEARCH("R81",G65)),0)+IFERROR(--ISNUMBER(SEARCH("R83",G65)),0)+IFERROR(--ISNUMBER(SEARCH("R84",G65)),0)+IFERROR(--ISNUMBER(SEARCH("R89",G65)),0)+IFERROR(--ISNUMBER(SEARCH("R94",G65)),0)+IFERROR(--ISNUMBER(SEARCH("R95",G65)),0)+IFERROR(--ISNUMBER(SEARCH("R96",G65)),0)+IFERROR(--ISNUMBER(SEARCH("R98",G65)),0)+IFERROR(--ISNUMBER(SEARCH("R99",G65)),0)+IFERROR(--ISNUMBER(SEARCH("R100",G65)),0)+IFERROR(--ISNUMBER(SEARCH("R104",G65)),0)+IFERROR(--ISNUMBER(SEARCH("R105",G65)),0)+IFERROR(--ISNUMBER(SEARCH("R107",G65)),0)+IFERROR(--ISNUMBER(SEARCH("R108",G65)),0)+IFERROR(--ISNUMBER(SEARCH("R109",G65)),0)+IFERROR(--ISNUMBER(SEARCH("R110",G65)),0)+IFERROR(--ISNUMBER(SEARCH("R112",G65)),0)+IFERROR(--ISNUMBER(SEARCH("R113",G65)),0)+IFERROR(--ISNUMBER(SEARCH("R114",G65)),0)+IFERROR(--ISNUMBER(SEARCH("R118",G65)),0)+IFERROR(--ISNUMBER(SEARCH("R119",G65)),0)+IFERROR(--ISNUMBER(SEARCH("R120",G65)),0)+IFERROR(--ISNUMBER(SEARCH("R122",G65)),0)+IFERROR(--ISNUMBER(SEARCH("R123",G65)),0)+IFERROR(--ISNUMBER(SEARCH("R124",G65)),0)+IFERROR(--ISNUMBER(SEARCH("R128",G65)),0)+IFERROR(--ISNUMBER(SEARCH("R130",G65)),0)+IFERROR(--ISNUMBER(SEARCH("R131",G65)),0)+IFERROR(--ISNUMBER(SEARCH("R132",G65)),0)+IFERROR(--ISNUMBER(SEARCH("R135",G65)),0)+IFERROR(--ISNUMBER(SEARCH("R138",G65)),0)+IFERROR(--ISNUMBER(SEARCH("R141",G65)),0))</f>
        <v/>
      </c>
      <c r="U65" s="58">
        <f>IF(A65="","",IFERROR(--ISNUMBER(SEARCH("R28",G65))*28,0)+IFERROR(--ISNUMBER(SEARCH("R29",G65))*29,0)+IFERROR(--ISNUMBER(SEARCH("R30",G65))*30,0)+IFERROR(--ISNUMBER(SEARCH("R31",G65))*31,0)+IFERROR(--ISNUMBER(SEARCH("R32",G65))*32,0)+IFERROR(--ISNUMBER(SEARCH("R33",G65))*33,0)+IFERROR(--ISNUMBER(SEARCH("R34",G65))*34,0)+IFERROR(--ISNUMBER(SEARCH("R35",G65))*35,0)+IFERROR(--ISNUMBER(SEARCH("R36",G65))*36,0)+IFERROR(--ISNUMBER(SEARCH("R37",G65))*37,0)+IFERROR(--ISNUMBER(SEARCH("R38",G65))*38,0)+IFERROR(--ISNUMBER(SEARCH("R39",G65))*39,0)+IFERROR(--ISNUMBER(SEARCH("R40",G65))*40,0)+IFERROR(--ISNUMBER(SEARCH("R41",G65))*41,0)+IFERROR(--ISNUMBER(SEARCH("R42",G65))*42,0)+IFERROR(--ISNUMBER(SEARCH("R43",G65))*43,0)+IFERROR(--ISNUMBER(SEARCH("R44",G65))*44,0)+IFERROR(--ISNUMBER(SEARCH("R45",G65))*45,0)+IFERROR(--ISNUMBER(SEARCH("R46",G65))*46,0)+IFERROR(--ISNUMBER(SEARCH("R47",G65))*47,0)+IFERROR(--ISNUMBER(SEARCH("R48",G65))*48,0)+IFERROR(--ISNUMBER(SEARCH("R49",G65))*49,0)+IFERROR(--ISNUMBER(SEARCH("R50",G65))*50,0)+IFERROR(--ISNUMBER(SEARCH("R51",G65))*51,0)+IFERROR(--ISNUMBER(SEARCH("R52",G65))*52,0)+IFERROR(--ISNUMBER(SEARCH("R53",G65))*53,0)+IFERROR(--ISNUMBER(SEARCH("R54",G65))*54,0)+IFERROR(--ISNUMBER(SEARCH("R55",G65))*55,0)+IFERROR(--ISNUMBER(SEARCH("R56",G65))*56,0)+IFERROR(--ISNUMBER(SEARCH("R57",G65))*57,0)+IFERROR(--ISNUMBER(SEARCH("R58",G65))*58,0)+IFERROR(--ISNUMBER(SEARCH("R59",G65))*59,0)+IFERROR(--ISNUMBER(SEARCH("R60",G65))*60,0)+IFERROR(--ISNUMBER(SEARCH("R61",G65))*61,0)+IFERROR(--ISNUMBER(SEARCH("R62",G65))*62,0)+IFERROR(--ISNUMBER(SEARCH("R63",G65))*63,0)+IFERROR(--ISNUMBER(SEARCH("R64",G65))*64,0)+IFERROR(--ISNUMBER(SEARCH("R65",G65))*65,0)+IFERROR(--ISNUMBER(SEARCH("R66",G65))*66,0)+IFERROR(--ISNUMBER(SEARCH("R67",G65))*67,0)+IFERROR(--ISNUMBER(SEARCH("R68",G65))*68,0)+IFERROR(--ISNUMBER(SEARCH("R69",G65))*69,0)+IFERROR(--ISNUMBER(SEARCH("R70",G65))*70,0)+IFERROR(--ISNUMBER(SEARCH("R71",G65))*71,0)+IFERROR(--ISNUMBER(SEARCH("R72",G65))*72,0)+IFERROR(--ISNUMBER(SEARCH("R73",G65))*73,0)+IFERROR(--ISNUMBER(SEARCH("R74",G65))*74,0)+IFERROR(--ISNUMBER(SEARCH("R75",G65))*75,0)+IFERROR(--ISNUMBER(SEARCH("R76",G65))*76,0)+IFERROR(--ISNUMBER(SEARCH("R77",G65))*77,0)+IFERROR(--ISNUMBER(SEARCH("R78",G65))*78,0)+IFERROR(--ISNUMBER(SEARCH("R79",G65))*79,0)+IFERROR(--ISNUMBER(SEARCH("R80",G65))*80,0)+IFERROR(--ISNUMBER(SEARCH("R81",G65))*81,0)+IFERROR(--ISNUMBER(SEARCH("R82",G65))*82,0)+IFERROR(--ISNUMBER(SEARCH("R83",G65))*83,0)+IFERROR(--ISNUMBER(SEARCH("R84",G65))*84,0)+IFERROR(--ISNUMBER(SEARCH("R85",G65))*85,0)+IFERROR(--ISNUMBER(SEARCH("R86",G65))*86,0)+IFERROR(--ISNUMBER(SEARCH("R87",G65))*87,0)+IFERROR(--ISNUMBER(SEARCH("R88",G65))*88,0)+IFERROR(--ISNUMBER(SEARCH("R89",G65))*89,0)+IFERROR(--ISNUMBER(SEARCH("R90",G65))*90,0)+IFERROR(--ISNUMBER(SEARCH("R91",G65))*91,0)+IFERROR(--ISNUMBER(SEARCH("R92",G65))*92,0)+IFERROR(--ISNUMBER(SEARCH("R93",G65))*93,0)+IFERROR(--ISNUMBER(SEARCH("R94",G65))*94,0)+IFERROR(--ISNUMBER(SEARCH("R95",G65))*95,0)+IFERROR(--ISNUMBER(SEARCH("R96",G65))*96,0)+IFERROR(--ISNUMBER(SEARCH("R97",G65))*97,0)+IFERROR(--ISNUMBER(SEARCH("R98",G65))*98,0)+IFERROR(--ISNUMBER(SEARCH("R99",G65))*99,0)+IFERROR(--ISNUMBER(SEARCH("R100",G65))*100,0)+IFERROR(--ISNUMBER(SEARCH("R101",G65))*101,0)+IFERROR(--ISNUMBER(SEARCH("R102",G65))*102,0)+IFERROR(--ISNUMBER(SEARCH("R103",G65))*103,0)+IFERROR(--ISNUMBER(SEARCH("R104",G65))*104,0)+IFERROR(--ISNUMBER(SEARCH("R105",G65))*105,0)+IFERROR(--ISNUMBER(SEARCH("R106",G65))*106,0)+IFERROR(--ISNUMBER(SEARCH("R107",G65))*107,0)+IFERROR(--ISNUMBER(SEARCH("R108",G65))*108,0)+IFERROR(--ISNUMBER(SEARCH("R109",G65))*109,0)+IFERROR(--ISNUMBER(SEARCH("R110",G65))*110,0)+IFERROR(--ISNUMBER(SEARCH("R111",G65))*111,0)+IFERROR(--ISNUMBER(SEARCH("R112",G65))*112,0)+IFERROR(--ISNUMBER(SEARCH("R113",G65))*113,0)+IFERROR(--ISNUMBER(SEARCH("R114",G65))*114,0)+IFERROR(--ISNUMBER(SEARCH("R115",G65))*115,0)+IFERROR(--ISNUMBER(SEARCH("R116",G65))*116,0)+IFERROR(--ISNUMBER(SEARCH("R117",G65))*117,0)+IFERROR(--ISNUMBER(SEARCH("R118",G65))*118,0)+IFERROR(--ISNUMBER(SEARCH("R119",G65))*119,0)+IFERROR(--ISNUMBER(SEARCH("R120",G65))*120,0)+IFERROR(--ISNUMBER(SEARCH("R121",G65))*121,0)+IFERROR(--ISNUMBER(SEARCH("R122",G65))*122,0)+IFERROR(--ISNUMBER(SEARCH("R123",G65))*123,0)+IFERROR(--ISNUMBER(SEARCH("R124",G65))*124,0)+IFERROR(--ISNUMBER(SEARCH("R125",G65))*125,0)+IFERROR(--ISNUMBER(SEARCH("R126",G65))*126,0)+IFERROR(--ISNUMBER(SEARCH("R127",G65))*127,0)+IFERROR(--ISNUMBER(SEARCH("R128",G65))*128,0)+IFERROR(--ISNUMBER(SEARCH("R129",G65))*129,0)+IFERROR(--ISNUMBER(SEARCH("R130",G65))*130,0)+IFERROR(--ISNUMBER(SEARCH("R131",G65))*131,0)+IFERROR(--ISNUMBER(SEARCH("R132",G65))*132,0)+IFERROR(--ISNUMBER(SEARCH("R133",G65))*133,0)+IFERROR(--ISNUMBER(SEARCH("R134",G65))*134,0)+IFERROR(--ISNUMBER(SEARCH("R135",G65))*135,0)+IFERROR(--ISNUMBER(SEARCH("R136",G65))*136,0)+IFERROR(--ISNUMBER(SEARCH("R137",G65))*137,0)+IFERROR(--ISNUMBER(SEARCH("R138",G65))*138,0)+IFERROR(--ISNUMBER(SEARCH("R139",G65))*139,0)+IFERROR(--ISNUMBER(SEARCH("R140",G65))*140,0)+IFERROR(--ISNUMBER(SEARCH("R141",G65))*141,0))</f>
        <v/>
      </c>
      <c r="V65" s="59">
        <f>IF(A65="","",IF(K65&lt;&gt;"",K65,J65))</f>
        <v/>
      </c>
      <c r="W65" s="59">
        <f>IF(A65="","",IF(AND(V65=29,O65&lt;&gt;"",COUNTIFS($V$6:$V$505,29,$F$6:$F$505,F65,$C$6:$C$505,C65,$O$6:$O$505,"&lt;&gt;")&gt;1),IF(COUNTIFS($V$6:V65,29,$F$6:F65,F65,$C$6:C65,C65,$O$6:O65,"&lt;&gt;")=1,"Esta es la fila que se debe CONSERVAR (aparición 1 de "&amp;COUNTIFS($V$6:$V$505,29,$F$6:$F$505,F65,$C$6:$C$505,C65,$O$6:$O$505,"&lt;&gt;")&amp;" con el mismo tercero y valor, casilla 29). Si hay más filas iguales, bórreles el valor a ELLAS, no a esta.","DUPLICADO — ya existe otra fila con el mismo tercero y valor para casilla 29 (aparición "&amp;COUNTIFS($V$6:V65,29,$F$6:F65,F65,$C$6:C65,C65,$O$6:O65,"&lt;&gt;")&amp;" de "&amp;COUNTIFS($V$6:$V$505,29,$F$6:$F$505,F65,$C$6:$C$505,C65,$O$6:$O$505,"&lt;&gt;")&amp;"). Para resolverlo: seleccione la celda O"&amp;ROW()&amp;" (columna Valor a declarar de ESTA fila) y presione Supr."),""))</f>
        <v/>
      </c>
      <c r="X65" s="463">
        <f>IF(A65="","",F65)</f>
        <v/>
      </c>
      <c r="Y65" s="463">
        <f>IF(A65="","",SUMIF(Entrada_Manual!$I$88:$I$187,A65,Entrada_Manual!$F$88:$F$187))</f>
        <v/>
      </c>
      <c r="Z65" s="463">
        <f>IF(A65="","",X65-Y65)</f>
        <v/>
      </c>
      <c r="AA65">
        <f>IF(A65="","",SUMPRODUCT((Entrada_Manual!$I$88:$I$187=A65)*1))</f>
        <v/>
      </c>
      <c r="AB65">
        <f>IF(A65="","",IF(S65&lt;=1,"",IF(AA65=0,"PENDIENTE — SIN ASIGNAR",IF(Z65=0,"RESUELTO","PARCIAL — DIFERENCIA "&amp;TEXT(Z65,"#,##0")))))</f>
        <v/>
      </c>
    </row>
    <row r="66" ht="28.5" customHeight="1" s="235">
      <c r="A66" s="47">
        <f>IF(Exogena_RAW!E75&lt;&gt;"",ROW()-5,"")</f>
        <v/>
      </c>
      <c r="B66" s="48">
        <f>IF(A66="","",75)</f>
        <v/>
      </c>
      <c r="C66" s="48">
        <f>IF(A66="","",IFERROR(Exogena_RAW!A75,""))</f>
        <v/>
      </c>
      <c r="D66" s="48">
        <f>IF(A66="","",IFERROR(Exogena_RAW!B75,""))</f>
        <v/>
      </c>
      <c r="E66" s="48">
        <f>IF(A66="","",Exogena_RAW!E75)</f>
        <v/>
      </c>
      <c r="F66" s="461">
        <f>IF(A66="","",Exogena_RAW!F75)</f>
        <v/>
      </c>
      <c r="G66" s="48">
        <f>IF(A66="","",IFERROR(Exogena_RAW!G75,""))</f>
        <v/>
      </c>
      <c r="H66" s="48">
        <f>IF(A66="","",IFERROR(Exogena_RAW!H75,""))</f>
        <v/>
      </c>
      <c r="I66" s="48">
        <f>IF(A66="","",IFERROR(IF(S66&gt;1,"VARIAS CASILLAS",IF(S66=1,IF(T66=1,"PROPUESTA DE CASILLA","REVISIÓN: CASILLA NO DIRECTA"),IF(OR(ISNUMBER(SEARCH("TOPE",UPPER(E66))),ISNUMBER(SEARCH("TOPE",UPPER(G66)))),"SOLO CONTROL",IF(ISNUMBER(SEARCH("RETEN",UPPER(E66))),"RETENCIÓN","REVISAR")))),"REVISAR"))</f>
        <v/>
      </c>
      <c r="J66" s="61">
        <f>IF(A66="","",IF(ISNUMBER(SEARCH("ingreso laboral promedio de los últimos seis meses",E66)),"",IFERROR(IF(AND(S66=1,T66=1),U66,""),"")))</f>
        <v/>
      </c>
      <c r="K66" s="216" t="n"/>
      <c r="L66" s="48">
        <f>IF(A66="","",IFERROR(IF(K66&lt;&gt;"","Casilla elegida por usuario",IF(S66&gt;1,"Varias casillas — elegir en K",IF(J66&lt;&gt;"","Sugerencia directa",IF(S66=1,"No trasladar directo — revisar",IF(OR(ISNUMBER(SEARCH("TOPE",UPPER(E66))),ISNUMBER(SEARCH("TOPE",UPPER(G66)))),"Solo control","Revisar manualmente"))))),"Revisar manualmente"))</f>
        <v/>
      </c>
      <c r="M66" s="461">
        <f>IF(A66="","",IF(IF(K66&lt;&gt;"",K66,J66)="",0,IF(COUNTIFS(Reglas!$I$5:$I$118,IF(K66&lt;&gt;"",K66,J66),Reglas!$J$5:$J$118,"Sí")=1,F66,0)))</f>
        <v/>
      </c>
      <c r="N66" s="56" t="n"/>
      <c r="O66" s="462">
        <f>IF(A66="","",IF(M66=0,"",M66))</f>
        <v/>
      </c>
      <c r="P66" s="461">
        <f>IF(A66="","",IF(O66="",0,IF(ISNUMBER(O66),O66,0)))</f>
        <v/>
      </c>
      <c r="Q66" s="48">
        <f>IF(A66="","",IF(Exogena_RAW!$C$4="","BLOQUEADO: FALTA AÑO",IF(Exogena_RAW!$K$10&lt;&gt;Reglas!$B$5,"BLOQUEADO: AÑO",IF(IF(K66&lt;&gt;"",K66,J66)="",IF(S66&gt;1,"REQUIERE ASIGNACIÓN MANUAL (VARIAS CASILLAS)","INFORMATIVO (sin casilla — no se declara)"),IF(COUNTIFS(Reglas!$I$5:$I$118,IF(K66&lt;&gt;"",K66,J66),Reglas!$J$5:$J$118,"Sí")=0,"BLOQUEADO: CASILLA NO DIRECTA",IF(O66="","EXCLUIDO (valor borrado por el usuario)",IF(_xlfn.ISFORMULA(O66),IF(W66&lt;&gt;"","BORRADOR — VALOR SUGERIDO DIAN ⚠ VER ALERTA","BORRADOR — VALOR SUGERIDO DIAN"),IF(W66&lt;&gt;"","ACEPTADO ⚠ VER ALERTA","ACEPTADO"))))))))</f>
        <v/>
      </c>
      <c r="R66" s="218" t="n"/>
      <c r="S66" s="58">
        <f>IF(A66="","",IFERROR(--ISNUMBER(SEARCH("R28",G66)),0)+IFERROR(--ISNUMBER(SEARCH("R29",G66)),0)+IFERROR(--ISNUMBER(SEARCH("R30",G66)),0)+IFERROR(--ISNUMBER(SEARCH("R31",G66)),0)+IFERROR(--ISNUMBER(SEARCH("R32",G66)),0)+IFERROR(--ISNUMBER(SEARCH("R33",G66)),0)+IFERROR(--ISNUMBER(SEARCH("R34",G66)),0)+IFERROR(--ISNUMBER(SEARCH("R35",G66)),0)+IFERROR(--ISNUMBER(SEARCH("R36",G66)),0)+IFERROR(--ISNUMBER(SEARCH("R37",G66)),0)+IFERROR(--ISNUMBER(SEARCH("R38",G66)),0)+IFERROR(--ISNUMBER(SEARCH("R39",G66)),0)+IFERROR(--ISNUMBER(SEARCH("R40",G66)),0)+IFERROR(--ISNUMBER(SEARCH("R41",G66)),0)+IFERROR(--ISNUMBER(SEARCH("R42",G66)),0)+IFERROR(--ISNUMBER(SEARCH("R43",G66)),0)+IFERROR(--ISNUMBER(SEARCH("R44",G66)),0)+IFERROR(--ISNUMBER(SEARCH("R45",G66)),0)+IFERROR(--ISNUMBER(SEARCH("R46",G66)),0)+IFERROR(--ISNUMBER(SEARCH("R47",G66)),0)+IFERROR(--ISNUMBER(SEARCH("R48",G66)),0)+IFERROR(--ISNUMBER(SEARCH("R49",G66)),0)+IFERROR(--ISNUMBER(SEARCH("R50",G66)),0)+IFERROR(--ISNUMBER(SEARCH("R51",G66)),0)+IFERROR(--ISNUMBER(SEARCH("R52",G66)),0)+IFERROR(--ISNUMBER(SEARCH("R53",G66)),0)+IFERROR(--ISNUMBER(SEARCH("R54",G66)),0)+IFERROR(--ISNUMBER(SEARCH("R55",G66)),0)+IFERROR(--ISNUMBER(SEARCH("R56",G66)),0)+IFERROR(--ISNUMBER(SEARCH("R57",G66)),0)+IFERROR(--ISNUMBER(SEARCH("R58",G66)),0)+IFERROR(--ISNUMBER(SEARCH("R59",G66)),0)+IFERROR(--ISNUMBER(SEARCH("R60",G66)),0)+IFERROR(--ISNUMBER(SEARCH("R61",G66)),0)+IFERROR(--ISNUMBER(SEARCH("R62",G66)),0)+IFERROR(--ISNUMBER(SEARCH("R63",G66)),0)+IFERROR(--ISNUMBER(SEARCH("R64",G66)),0)+IFERROR(--ISNUMBER(SEARCH("R65",G66)),0)+IFERROR(--ISNUMBER(SEARCH("R66",G66)),0)+IFERROR(--ISNUMBER(SEARCH("R67",G66)),0)+IFERROR(--ISNUMBER(SEARCH("R68",G66)),0)+IFERROR(--ISNUMBER(SEARCH("R69",G66)),0)+IFERROR(--ISNUMBER(SEARCH("R70",G66)),0)+IFERROR(--ISNUMBER(SEARCH("R71",G66)),0)+IFERROR(--ISNUMBER(SEARCH("R72",G66)),0)+IFERROR(--ISNUMBER(SEARCH("R73",G66)),0)+IFERROR(--ISNUMBER(SEARCH("R74",G66)),0)+IFERROR(--ISNUMBER(SEARCH("R75",G66)),0)+IFERROR(--ISNUMBER(SEARCH("R76",G66)),0)+IFERROR(--ISNUMBER(SEARCH("R77",G66)),0)+IFERROR(--ISNUMBER(SEARCH("R78",G66)),0)+IFERROR(--ISNUMBER(SEARCH("R79",G66)),0)+IFERROR(--ISNUMBER(SEARCH("R80",G66)),0)+IFERROR(--ISNUMBER(SEARCH("R81",G66)),0)+IFERROR(--ISNUMBER(SEARCH("R82",G66)),0)+IFERROR(--ISNUMBER(SEARCH("R83",G66)),0)+IFERROR(--ISNUMBER(SEARCH("R84",G66)),0)+IFERROR(--ISNUMBER(SEARCH("R85",G66)),0)+IFERROR(--ISNUMBER(SEARCH("R86",G66)),0)+IFERROR(--ISNUMBER(SEARCH("R87",G66)),0)+IFERROR(--ISNUMBER(SEARCH("R88",G66)),0)+IFERROR(--ISNUMBER(SEARCH("R89",G66)),0)+IFERROR(--ISNUMBER(SEARCH("R90",G66)),0)+IFERROR(--ISNUMBER(SEARCH("R91",G66)),0)+IFERROR(--ISNUMBER(SEARCH("R92",G66)),0)+IFERROR(--ISNUMBER(SEARCH("R93",G66)),0)+IFERROR(--ISNUMBER(SEARCH("R94",G66)),0)+IFERROR(--ISNUMBER(SEARCH("R95",G66)),0)+IFERROR(--ISNUMBER(SEARCH("R96",G66)),0)+IFERROR(--ISNUMBER(SEARCH("R97",G66)),0)+IFERROR(--ISNUMBER(SEARCH("R98",G66)),0)+IFERROR(--ISNUMBER(SEARCH("R99",G66)),0)+IFERROR(--ISNUMBER(SEARCH("R100",G66)),0)+IFERROR(--ISNUMBER(SEARCH("R101",G66)),0)+IFERROR(--ISNUMBER(SEARCH("R102",G66)),0)+IFERROR(--ISNUMBER(SEARCH("R103",G66)),0)+IFERROR(--ISNUMBER(SEARCH("R104",G66)),0)+IFERROR(--ISNUMBER(SEARCH("R105",G66)),0)+IFERROR(--ISNUMBER(SEARCH("R106",G66)),0)+IFERROR(--ISNUMBER(SEARCH("R107",G66)),0)+IFERROR(--ISNUMBER(SEARCH("R108",G66)),0)+IFERROR(--ISNUMBER(SEARCH("R109",G66)),0)+IFERROR(--ISNUMBER(SEARCH("R110",G66)),0)+IFERROR(--ISNUMBER(SEARCH("R111",G66)),0)+IFERROR(--ISNUMBER(SEARCH("R112",G66)),0)+IFERROR(--ISNUMBER(SEARCH("R113",G66)),0)+IFERROR(--ISNUMBER(SEARCH("R114",G66)),0)+IFERROR(--ISNUMBER(SEARCH("R115",G66)),0)+IFERROR(--ISNUMBER(SEARCH("R116",G66)),0)+IFERROR(--ISNUMBER(SEARCH("R117",G66)),0)+IFERROR(--ISNUMBER(SEARCH("R118",G66)),0)+IFERROR(--ISNUMBER(SEARCH("R119",G66)),0)+IFERROR(--ISNUMBER(SEARCH("R120",G66)),0)+IFERROR(--ISNUMBER(SEARCH("R121",G66)),0)+IFERROR(--ISNUMBER(SEARCH("R122",G66)),0)+IFERROR(--ISNUMBER(SEARCH("R123",G66)),0)+IFERROR(--ISNUMBER(SEARCH("R124",G66)),0)+IFERROR(--ISNUMBER(SEARCH("R125",G66)),0)+IFERROR(--ISNUMBER(SEARCH("R126",G66)),0)+IFERROR(--ISNUMBER(SEARCH("R127",G66)),0)+IFERROR(--ISNUMBER(SEARCH("R128",G66)),0)+IFERROR(--ISNUMBER(SEARCH("R129",G66)),0)+IFERROR(--ISNUMBER(SEARCH("R130",G66)),0)+IFERROR(--ISNUMBER(SEARCH("R131",G66)),0)+IFERROR(--ISNUMBER(SEARCH("R132",G66)),0)+IFERROR(--ISNUMBER(SEARCH("R133",G66)),0)+IFERROR(--ISNUMBER(SEARCH("R134",G66)),0)+IFERROR(--ISNUMBER(SEARCH("R135",G66)),0)+IFERROR(--ISNUMBER(SEARCH("R136",G66)),0)+IFERROR(--ISNUMBER(SEARCH("R137",G66)),0)+IFERROR(--ISNUMBER(SEARCH("R138",G66)),0)+IFERROR(--ISNUMBER(SEARCH("R139",G66)),0)+IFERROR(--ISNUMBER(SEARCH("R140",G66)),0)+IFERROR(--ISNUMBER(SEARCH("R141",G66)),0))</f>
        <v/>
      </c>
      <c r="T66" s="58">
        <f>IF(A66="","",IFERROR(--ISNUMBER(SEARCH("R28",G66)),0)+IFERROR(--ISNUMBER(SEARCH("R29",G66)),0)+IFERROR(--ISNUMBER(SEARCH("R30",G66)),0)+IFERROR(--ISNUMBER(SEARCH("R32",G66)),0)+IFERROR(--ISNUMBER(SEARCH("R33",G66)),0)+IFERROR(--ISNUMBER(SEARCH("R35",G66)),0)+IFERROR(--ISNUMBER(SEARCH("R36",G66)),0)+IFERROR(--ISNUMBER(SEARCH("R38",G66)),0)+IFERROR(--ISNUMBER(SEARCH("R39",G66)),0)+IFERROR(--ISNUMBER(SEARCH("R43",G66)),0)+IFERROR(--ISNUMBER(SEARCH("R44",G66)),0)+IFERROR(--ISNUMBER(SEARCH("R45",G66)),0)+IFERROR(--ISNUMBER(SEARCH("R47",G66)),0)+IFERROR(--ISNUMBER(SEARCH("R48",G66)),0)+IFERROR(--ISNUMBER(SEARCH("R50",G66)),0)+IFERROR(--ISNUMBER(SEARCH("R51",G66)),0)+IFERROR(--ISNUMBER(SEARCH("R56",G66)),0)+IFERROR(--ISNUMBER(SEARCH("R58",G66)),0)+IFERROR(--ISNUMBER(SEARCH("R59",G66)),0)+IFERROR(--ISNUMBER(SEARCH("R60",G66)),0)+IFERROR(--ISNUMBER(SEARCH("R62",G66)),0)+IFERROR(--ISNUMBER(SEARCH("R63",G66)),0)+IFERROR(--ISNUMBER(SEARCH("R64",G66)),0)+IFERROR(--ISNUMBER(SEARCH("R66",G66)),0)+IFERROR(--ISNUMBER(SEARCH("R67",G66)),0)+IFERROR(--ISNUMBER(SEARCH("R72",G66)),0)+IFERROR(--ISNUMBER(SEARCH("R74",G66)),0)+IFERROR(--ISNUMBER(SEARCH("R75",G66)),0)+IFERROR(--ISNUMBER(SEARCH("R76",G66)),0)+IFERROR(--ISNUMBER(SEARCH("R77",G66)),0)+IFERROR(--ISNUMBER(SEARCH("R79",G66)),0)+IFERROR(--ISNUMBER(SEARCH("R80",G66)),0)+IFERROR(--ISNUMBER(SEARCH("R81",G66)),0)+IFERROR(--ISNUMBER(SEARCH("R83",G66)),0)+IFERROR(--ISNUMBER(SEARCH("R84",G66)),0)+IFERROR(--ISNUMBER(SEARCH("R89",G66)),0)+IFERROR(--ISNUMBER(SEARCH("R94",G66)),0)+IFERROR(--ISNUMBER(SEARCH("R95",G66)),0)+IFERROR(--ISNUMBER(SEARCH("R96",G66)),0)+IFERROR(--ISNUMBER(SEARCH("R98",G66)),0)+IFERROR(--ISNUMBER(SEARCH("R99",G66)),0)+IFERROR(--ISNUMBER(SEARCH("R100",G66)),0)+IFERROR(--ISNUMBER(SEARCH("R104",G66)),0)+IFERROR(--ISNUMBER(SEARCH("R105",G66)),0)+IFERROR(--ISNUMBER(SEARCH("R107",G66)),0)+IFERROR(--ISNUMBER(SEARCH("R108",G66)),0)+IFERROR(--ISNUMBER(SEARCH("R109",G66)),0)+IFERROR(--ISNUMBER(SEARCH("R110",G66)),0)+IFERROR(--ISNUMBER(SEARCH("R112",G66)),0)+IFERROR(--ISNUMBER(SEARCH("R113",G66)),0)+IFERROR(--ISNUMBER(SEARCH("R114",G66)),0)+IFERROR(--ISNUMBER(SEARCH("R118",G66)),0)+IFERROR(--ISNUMBER(SEARCH("R119",G66)),0)+IFERROR(--ISNUMBER(SEARCH("R120",G66)),0)+IFERROR(--ISNUMBER(SEARCH("R122",G66)),0)+IFERROR(--ISNUMBER(SEARCH("R123",G66)),0)+IFERROR(--ISNUMBER(SEARCH("R124",G66)),0)+IFERROR(--ISNUMBER(SEARCH("R128",G66)),0)+IFERROR(--ISNUMBER(SEARCH("R130",G66)),0)+IFERROR(--ISNUMBER(SEARCH("R131",G66)),0)+IFERROR(--ISNUMBER(SEARCH("R132",G66)),0)+IFERROR(--ISNUMBER(SEARCH("R135",G66)),0)+IFERROR(--ISNUMBER(SEARCH("R138",G66)),0)+IFERROR(--ISNUMBER(SEARCH("R141",G66)),0))</f>
        <v/>
      </c>
      <c r="U66" s="58">
        <f>IF(A66="","",IFERROR(--ISNUMBER(SEARCH("R28",G66))*28,0)+IFERROR(--ISNUMBER(SEARCH("R29",G66))*29,0)+IFERROR(--ISNUMBER(SEARCH("R30",G66))*30,0)+IFERROR(--ISNUMBER(SEARCH("R31",G66))*31,0)+IFERROR(--ISNUMBER(SEARCH("R32",G66))*32,0)+IFERROR(--ISNUMBER(SEARCH("R33",G66))*33,0)+IFERROR(--ISNUMBER(SEARCH("R34",G66))*34,0)+IFERROR(--ISNUMBER(SEARCH("R35",G66))*35,0)+IFERROR(--ISNUMBER(SEARCH("R36",G66))*36,0)+IFERROR(--ISNUMBER(SEARCH("R37",G66))*37,0)+IFERROR(--ISNUMBER(SEARCH("R38",G66))*38,0)+IFERROR(--ISNUMBER(SEARCH("R39",G66))*39,0)+IFERROR(--ISNUMBER(SEARCH("R40",G66))*40,0)+IFERROR(--ISNUMBER(SEARCH("R41",G66))*41,0)+IFERROR(--ISNUMBER(SEARCH("R42",G66))*42,0)+IFERROR(--ISNUMBER(SEARCH("R43",G66))*43,0)+IFERROR(--ISNUMBER(SEARCH("R44",G66))*44,0)+IFERROR(--ISNUMBER(SEARCH("R45",G66))*45,0)+IFERROR(--ISNUMBER(SEARCH("R46",G66))*46,0)+IFERROR(--ISNUMBER(SEARCH("R47",G66))*47,0)+IFERROR(--ISNUMBER(SEARCH("R48",G66))*48,0)+IFERROR(--ISNUMBER(SEARCH("R49",G66))*49,0)+IFERROR(--ISNUMBER(SEARCH("R50",G66))*50,0)+IFERROR(--ISNUMBER(SEARCH("R51",G66))*51,0)+IFERROR(--ISNUMBER(SEARCH("R52",G66))*52,0)+IFERROR(--ISNUMBER(SEARCH("R53",G66))*53,0)+IFERROR(--ISNUMBER(SEARCH("R54",G66))*54,0)+IFERROR(--ISNUMBER(SEARCH("R55",G66))*55,0)+IFERROR(--ISNUMBER(SEARCH("R56",G66))*56,0)+IFERROR(--ISNUMBER(SEARCH("R57",G66))*57,0)+IFERROR(--ISNUMBER(SEARCH("R58",G66))*58,0)+IFERROR(--ISNUMBER(SEARCH("R59",G66))*59,0)+IFERROR(--ISNUMBER(SEARCH("R60",G66))*60,0)+IFERROR(--ISNUMBER(SEARCH("R61",G66))*61,0)+IFERROR(--ISNUMBER(SEARCH("R62",G66))*62,0)+IFERROR(--ISNUMBER(SEARCH("R63",G66))*63,0)+IFERROR(--ISNUMBER(SEARCH("R64",G66))*64,0)+IFERROR(--ISNUMBER(SEARCH("R65",G66))*65,0)+IFERROR(--ISNUMBER(SEARCH("R66",G66))*66,0)+IFERROR(--ISNUMBER(SEARCH("R67",G66))*67,0)+IFERROR(--ISNUMBER(SEARCH("R68",G66))*68,0)+IFERROR(--ISNUMBER(SEARCH("R69",G66))*69,0)+IFERROR(--ISNUMBER(SEARCH("R70",G66))*70,0)+IFERROR(--ISNUMBER(SEARCH("R71",G66))*71,0)+IFERROR(--ISNUMBER(SEARCH("R72",G66))*72,0)+IFERROR(--ISNUMBER(SEARCH("R73",G66))*73,0)+IFERROR(--ISNUMBER(SEARCH("R74",G66))*74,0)+IFERROR(--ISNUMBER(SEARCH("R75",G66))*75,0)+IFERROR(--ISNUMBER(SEARCH("R76",G66))*76,0)+IFERROR(--ISNUMBER(SEARCH("R77",G66))*77,0)+IFERROR(--ISNUMBER(SEARCH("R78",G66))*78,0)+IFERROR(--ISNUMBER(SEARCH("R79",G66))*79,0)+IFERROR(--ISNUMBER(SEARCH("R80",G66))*80,0)+IFERROR(--ISNUMBER(SEARCH("R81",G66))*81,0)+IFERROR(--ISNUMBER(SEARCH("R82",G66))*82,0)+IFERROR(--ISNUMBER(SEARCH("R83",G66))*83,0)+IFERROR(--ISNUMBER(SEARCH("R84",G66))*84,0)+IFERROR(--ISNUMBER(SEARCH("R85",G66))*85,0)+IFERROR(--ISNUMBER(SEARCH("R86",G66))*86,0)+IFERROR(--ISNUMBER(SEARCH("R87",G66))*87,0)+IFERROR(--ISNUMBER(SEARCH("R88",G66))*88,0)+IFERROR(--ISNUMBER(SEARCH("R89",G66))*89,0)+IFERROR(--ISNUMBER(SEARCH("R90",G66))*90,0)+IFERROR(--ISNUMBER(SEARCH("R91",G66))*91,0)+IFERROR(--ISNUMBER(SEARCH("R92",G66))*92,0)+IFERROR(--ISNUMBER(SEARCH("R93",G66))*93,0)+IFERROR(--ISNUMBER(SEARCH("R94",G66))*94,0)+IFERROR(--ISNUMBER(SEARCH("R95",G66))*95,0)+IFERROR(--ISNUMBER(SEARCH("R96",G66))*96,0)+IFERROR(--ISNUMBER(SEARCH("R97",G66))*97,0)+IFERROR(--ISNUMBER(SEARCH("R98",G66))*98,0)+IFERROR(--ISNUMBER(SEARCH("R99",G66))*99,0)+IFERROR(--ISNUMBER(SEARCH("R100",G66))*100,0)+IFERROR(--ISNUMBER(SEARCH("R101",G66))*101,0)+IFERROR(--ISNUMBER(SEARCH("R102",G66))*102,0)+IFERROR(--ISNUMBER(SEARCH("R103",G66))*103,0)+IFERROR(--ISNUMBER(SEARCH("R104",G66))*104,0)+IFERROR(--ISNUMBER(SEARCH("R105",G66))*105,0)+IFERROR(--ISNUMBER(SEARCH("R106",G66))*106,0)+IFERROR(--ISNUMBER(SEARCH("R107",G66))*107,0)+IFERROR(--ISNUMBER(SEARCH("R108",G66))*108,0)+IFERROR(--ISNUMBER(SEARCH("R109",G66))*109,0)+IFERROR(--ISNUMBER(SEARCH("R110",G66))*110,0)+IFERROR(--ISNUMBER(SEARCH("R111",G66))*111,0)+IFERROR(--ISNUMBER(SEARCH("R112",G66))*112,0)+IFERROR(--ISNUMBER(SEARCH("R113",G66))*113,0)+IFERROR(--ISNUMBER(SEARCH("R114",G66))*114,0)+IFERROR(--ISNUMBER(SEARCH("R115",G66))*115,0)+IFERROR(--ISNUMBER(SEARCH("R116",G66))*116,0)+IFERROR(--ISNUMBER(SEARCH("R117",G66))*117,0)+IFERROR(--ISNUMBER(SEARCH("R118",G66))*118,0)+IFERROR(--ISNUMBER(SEARCH("R119",G66))*119,0)+IFERROR(--ISNUMBER(SEARCH("R120",G66))*120,0)+IFERROR(--ISNUMBER(SEARCH("R121",G66))*121,0)+IFERROR(--ISNUMBER(SEARCH("R122",G66))*122,0)+IFERROR(--ISNUMBER(SEARCH("R123",G66))*123,0)+IFERROR(--ISNUMBER(SEARCH("R124",G66))*124,0)+IFERROR(--ISNUMBER(SEARCH("R125",G66))*125,0)+IFERROR(--ISNUMBER(SEARCH("R126",G66))*126,0)+IFERROR(--ISNUMBER(SEARCH("R127",G66))*127,0)+IFERROR(--ISNUMBER(SEARCH("R128",G66))*128,0)+IFERROR(--ISNUMBER(SEARCH("R129",G66))*129,0)+IFERROR(--ISNUMBER(SEARCH("R130",G66))*130,0)+IFERROR(--ISNUMBER(SEARCH("R131",G66))*131,0)+IFERROR(--ISNUMBER(SEARCH("R132",G66))*132,0)+IFERROR(--ISNUMBER(SEARCH("R133",G66))*133,0)+IFERROR(--ISNUMBER(SEARCH("R134",G66))*134,0)+IFERROR(--ISNUMBER(SEARCH("R135",G66))*135,0)+IFERROR(--ISNUMBER(SEARCH("R136",G66))*136,0)+IFERROR(--ISNUMBER(SEARCH("R137",G66))*137,0)+IFERROR(--ISNUMBER(SEARCH("R138",G66))*138,0)+IFERROR(--ISNUMBER(SEARCH("R139",G66))*139,0)+IFERROR(--ISNUMBER(SEARCH("R140",G66))*140,0)+IFERROR(--ISNUMBER(SEARCH("R141",G66))*141,0))</f>
        <v/>
      </c>
      <c r="V66" s="59">
        <f>IF(A66="","",IF(K66&lt;&gt;"",K66,J66))</f>
        <v/>
      </c>
      <c r="W66" s="59">
        <f>IF(A66="","",IF(AND(V66=29,O66&lt;&gt;"",COUNTIFS($V$6:$V$505,29,$F$6:$F$505,F66,$C$6:$C$505,C66,$O$6:$O$505,"&lt;&gt;")&gt;1),IF(COUNTIFS($V$6:V66,29,$F$6:F66,F66,$C$6:C66,C66,$O$6:O66,"&lt;&gt;")=1,"Esta es la fila que se debe CONSERVAR (aparición 1 de "&amp;COUNTIFS($V$6:$V$505,29,$F$6:$F$505,F66,$C$6:$C$505,C66,$O$6:$O$505,"&lt;&gt;")&amp;" con el mismo tercero y valor, casilla 29). Si hay más filas iguales, bórreles el valor a ELLAS, no a esta.","DUPLICADO — ya existe otra fila con el mismo tercero y valor para casilla 29 (aparición "&amp;COUNTIFS($V$6:V66,29,$F$6:F66,F66,$C$6:C66,C66,$O$6:O66,"&lt;&gt;")&amp;" de "&amp;COUNTIFS($V$6:$V$505,29,$F$6:$F$505,F66,$C$6:$C$505,C66,$O$6:$O$505,"&lt;&gt;")&amp;"). Para resolverlo: seleccione la celda O"&amp;ROW()&amp;" (columna Valor a declarar de ESTA fila) y presione Supr."),""))</f>
        <v/>
      </c>
      <c r="X66" s="463">
        <f>IF(A66="","",F66)</f>
        <v/>
      </c>
      <c r="Y66" s="463">
        <f>IF(A66="","",SUMIF(Entrada_Manual!$I$88:$I$187,A66,Entrada_Manual!$F$88:$F$187))</f>
        <v/>
      </c>
      <c r="Z66" s="463">
        <f>IF(A66="","",X66-Y66)</f>
        <v/>
      </c>
      <c r="AA66">
        <f>IF(A66="","",SUMPRODUCT((Entrada_Manual!$I$88:$I$187=A66)*1))</f>
        <v/>
      </c>
      <c r="AB66">
        <f>IF(A66="","",IF(S66&lt;=1,"",IF(AA66=0,"PENDIENTE — SIN ASIGNAR",IF(Z66=0,"RESUELTO","PARCIAL — DIFERENCIA "&amp;TEXT(Z66,"#,##0")))))</f>
        <v/>
      </c>
    </row>
    <row r="67" ht="28.5" customHeight="1" s="235">
      <c r="A67" s="47">
        <f>IF(Exogena_RAW!E76&lt;&gt;"",ROW()-5,"")</f>
        <v/>
      </c>
      <c r="B67" s="48">
        <f>IF(A67="","",76)</f>
        <v/>
      </c>
      <c r="C67" s="48">
        <f>IF(A67="","",IFERROR(Exogena_RAW!A76,""))</f>
        <v/>
      </c>
      <c r="D67" s="48">
        <f>IF(A67="","",IFERROR(Exogena_RAW!B76,""))</f>
        <v/>
      </c>
      <c r="E67" s="48">
        <f>IF(A67="","",Exogena_RAW!E76)</f>
        <v/>
      </c>
      <c r="F67" s="461">
        <f>IF(A67="","",Exogena_RAW!F76)</f>
        <v/>
      </c>
      <c r="G67" s="48">
        <f>IF(A67="","",IFERROR(Exogena_RAW!G76,""))</f>
        <v/>
      </c>
      <c r="H67" s="48">
        <f>IF(A67="","",IFERROR(Exogena_RAW!H76,""))</f>
        <v/>
      </c>
      <c r="I67" s="48">
        <f>IF(A67="","",IFERROR(IF(S67&gt;1,"VARIAS CASILLAS",IF(S67=1,IF(T67=1,"PROPUESTA DE CASILLA","REVISIÓN: CASILLA NO DIRECTA"),IF(OR(ISNUMBER(SEARCH("TOPE",UPPER(E67))),ISNUMBER(SEARCH("TOPE",UPPER(G67)))),"SOLO CONTROL",IF(ISNUMBER(SEARCH("RETEN",UPPER(E67))),"RETENCIÓN","REVISAR")))),"REVISAR"))</f>
        <v/>
      </c>
      <c r="J67" s="61">
        <f>IF(A67="","",IF(ISNUMBER(SEARCH("ingreso laboral promedio de los últimos seis meses",E67)),"",IFERROR(IF(AND(S67=1,T67=1),U67,""),"")))</f>
        <v/>
      </c>
      <c r="K67" s="216" t="n"/>
      <c r="L67" s="48">
        <f>IF(A67="","",IFERROR(IF(K67&lt;&gt;"","Casilla elegida por usuario",IF(S67&gt;1,"Varias casillas — elegir en K",IF(J67&lt;&gt;"","Sugerencia directa",IF(S67=1,"No trasladar directo — revisar",IF(OR(ISNUMBER(SEARCH("TOPE",UPPER(E67))),ISNUMBER(SEARCH("TOPE",UPPER(G67)))),"Solo control","Revisar manualmente"))))),"Revisar manualmente"))</f>
        <v/>
      </c>
      <c r="M67" s="461">
        <f>IF(A67="","",IF(IF(K67&lt;&gt;"",K67,J67)="",0,IF(COUNTIFS(Reglas!$I$5:$I$118,IF(K67&lt;&gt;"",K67,J67),Reglas!$J$5:$J$118,"Sí")=1,F67,0)))</f>
        <v/>
      </c>
      <c r="N67" s="56" t="n"/>
      <c r="O67" s="462">
        <f>IF(A67="","",IF(M67=0,"",M67))</f>
        <v/>
      </c>
      <c r="P67" s="461">
        <f>IF(A67="","",IF(O67="",0,IF(ISNUMBER(O67),O67,0)))</f>
        <v/>
      </c>
      <c r="Q67" s="48">
        <f>IF(A67="","",IF(Exogena_RAW!$C$4="","BLOQUEADO: FALTA AÑO",IF(Exogena_RAW!$K$10&lt;&gt;Reglas!$B$5,"BLOQUEADO: AÑO",IF(IF(K67&lt;&gt;"",K67,J67)="",IF(S67&gt;1,"REQUIERE ASIGNACIÓN MANUAL (VARIAS CASILLAS)","INFORMATIVO (sin casilla — no se declara)"),IF(COUNTIFS(Reglas!$I$5:$I$118,IF(K67&lt;&gt;"",K67,J67),Reglas!$J$5:$J$118,"Sí")=0,"BLOQUEADO: CASILLA NO DIRECTA",IF(O67="","EXCLUIDO (valor borrado por el usuario)",IF(_xlfn.ISFORMULA(O67),IF(W67&lt;&gt;"","BORRADOR — VALOR SUGERIDO DIAN ⚠ VER ALERTA","BORRADOR — VALOR SUGERIDO DIAN"),IF(W67&lt;&gt;"","ACEPTADO ⚠ VER ALERTA","ACEPTADO"))))))))</f>
        <v/>
      </c>
      <c r="R67" s="218" t="n"/>
      <c r="S67" s="58">
        <f>IF(A67="","",IFERROR(--ISNUMBER(SEARCH("R28",G67)),0)+IFERROR(--ISNUMBER(SEARCH("R29",G67)),0)+IFERROR(--ISNUMBER(SEARCH("R30",G67)),0)+IFERROR(--ISNUMBER(SEARCH("R31",G67)),0)+IFERROR(--ISNUMBER(SEARCH("R32",G67)),0)+IFERROR(--ISNUMBER(SEARCH("R33",G67)),0)+IFERROR(--ISNUMBER(SEARCH("R34",G67)),0)+IFERROR(--ISNUMBER(SEARCH("R35",G67)),0)+IFERROR(--ISNUMBER(SEARCH("R36",G67)),0)+IFERROR(--ISNUMBER(SEARCH("R37",G67)),0)+IFERROR(--ISNUMBER(SEARCH("R38",G67)),0)+IFERROR(--ISNUMBER(SEARCH("R39",G67)),0)+IFERROR(--ISNUMBER(SEARCH("R40",G67)),0)+IFERROR(--ISNUMBER(SEARCH("R41",G67)),0)+IFERROR(--ISNUMBER(SEARCH("R42",G67)),0)+IFERROR(--ISNUMBER(SEARCH("R43",G67)),0)+IFERROR(--ISNUMBER(SEARCH("R44",G67)),0)+IFERROR(--ISNUMBER(SEARCH("R45",G67)),0)+IFERROR(--ISNUMBER(SEARCH("R46",G67)),0)+IFERROR(--ISNUMBER(SEARCH("R47",G67)),0)+IFERROR(--ISNUMBER(SEARCH("R48",G67)),0)+IFERROR(--ISNUMBER(SEARCH("R49",G67)),0)+IFERROR(--ISNUMBER(SEARCH("R50",G67)),0)+IFERROR(--ISNUMBER(SEARCH("R51",G67)),0)+IFERROR(--ISNUMBER(SEARCH("R52",G67)),0)+IFERROR(--ISNUMBER(SEARCH("R53",G67)),0)+IFERROR(--ISNUMBER(SEARCH("R54",G67)),0)+IFERROR(--ISNUMBER(SEARCH("R55",G67)),0)+IFERROR(--ISNUMBER(SEARCH("R56",G67)),0)+IFERROR(--ISNUMBER(SEARCH("R57",G67)),0)+IFERROR(--ISNUMBER(SEARCH("R58",G67)),0)+IFERROR(--ISNUMBER(SEARCH("R59",G67)),0)+IFERROR(--ISNUMBER(SEARCH("R60",G67)),0)+IFERROR(--ISNUMBER(SEARCH("R61",G67)),0)+IFERROR(--ISNUMBER(SEARCH("R62",G67)),0)+IFERROR(--ISNUMBER(SEARCH("R63",G67)),0)+IFERROR(--ISNUMBER(SEARCH("R64",G67)),0)+IFERROR(--ISNUMBER(SEARCH("R65",G67)),0)+IFERROR(--ISNUMBER(SEARCH("R66",G67)),0)+IFERROR(--ISNUMBER(SEARCH("R67",G67)),0)+IFERROR(--ISNUMBER(SEARCH("R68",G67)),0)+IFERROR(--ISNUMBER(SEARCH("R69",G67)),0)+IFERROR(--ISNUMBER(SEARCH("R70",G67)),0)+IFERROR(--ISNUMBER(SEARCH("R71",G67)),0)+IFERROR(--ISNUMBER(SEARCH("R72",G67)),0)+IFERROR(--ISNUMBER(SEARCH("R73",G67)),0)+IFERROR(--ISNUMBER(SEARCH("R74",G67)),0)+IFERROR(--ISNUMBER(SEARCH("R75",G67)),0)+IFERROR(--ISNUMBER(SEARCH("R76",G67)),0)+IFERROR(--ISNUMBER(SEARCH("R77",G67)),0)+IFERROR(--ISNUMBER(SEARCH("R78",G67)),0)+IFERROR(--ISNUMBER(SEARCH("R79",G67)),0)+IFERROR(--ISNUMBER(SEARCH("R80",G67)),0)+IFERROR(--ISNUMBER(SEARCH("R81",G67)),0)+IFERROR(--ISNUMBER(SEARCH("R82",G67)),0)+IFERROR(--ISNUMBER(SEARCH("R83",G67)),0)+IFERROR(--ISNUMBER(SEARCH("R84",G67)),0)+IFERROR(--ISNUMBER(SEARCH("R85",G67)),0)+IFERROR(--ISNUMBER(SEARCH("R86",G67)),0)+IFERROR(--ISNUMBER(SEARCH("R87",G67)),0)+IFERROR(--ISNUMBER(SEARCH("R88",G67)),0)+IFERROR(--ISNUMBER(SEARCH("R89",G67)),0)+IFERROR(--ISNUMBER(SEARCH("R90",G67)),0)+IFERROR(--ISNUMBER(SEARCH("R91",G67)),0)+IFERROR(--ISNUMBER(SEARCH("R92",G67)),0)+IFERROR(--ISNUMBER(SEARCH("R93",G67)),0)+IFERROR(--ISNUMBER(SEARCH("R94",G67)),0)+IFERROR(--ISNUMBER(SEARCH("R95",G67)),0)+IFERROR(--ISNUMBER(SEARCH("R96",G67)),0)+IFERROR(--ISNUMBER(SEARCH("R97",G67)),0)+IFERROR(--ISNUMBER(SEARCH("R98",G67)),0)+IFERROR(--ISNUMBER(SEARCH("R99",G67)),0)+IFERROR(--ISNUMBER(SEARCH("R100",G67)),0)+IFERROR(--ISNUMBER(SEARCH("R101",G67)),0)+IFERROR(--ISNUMBER(SEARCH("R102",G67)),0)+IFERROR(--ISNUMBER(SEARCH("R103",G67)),0)+IFERROR(--ISNUMBER(SEARCH("R104",G67)),0)+IFERROR(--ISNUMBER(SEARCH("R105",G67)),0)+IFERROR(--ISNUMBER(SEARCH("R106",G67)),0)+IFERROR(--ISNUMBER(SEARCH("R107",G67)),0)+IFERROR(--ISNUMBER(SEARCH("R108",G67)),0)+IFERROR(--ISNUMBER(SEARCH("R109",G67)),0)+IFERROR(--ISNUMBER(SEARCH("R110",G67)),0)+IFERROR(--ISNUMBER(SEARCH("R111",G67)),0)+IFERROR(--ISNUMBER(SEARCH("R112",G67)),0)+IFERROR(--ISNUMBER(SEARCH("R113",G67)),0)+IFERROR(--ISNUMBER(SEARCH("R114",G67)),0)+IFERROR(--ISNUMBER(SEARCH("R115",G67)),0)+IFERROR(--ISNUMBER(SEARCH("R116",G67)),0)+IFERROR(--ISNUMBER(SEARCH("R117",G67)),0)+IFERROR(--ISNUMBER(SEARCH("R118",G67)),0)+IFERROR(--ISNUMBER(SEARCH("R119",G67)),0)+IFERROR(--ISNUMBER(SEARCH("R120",G67)),0)+IFERROR(--ISNUMBER(SEARCH("R121",G67)),0)+IFERROR(--ISNUMBER(SEARCH("R122",G67)),0)+IFERROR(--ISNUMBER(SEARCH("R123",G67)),0)+IFERROR(--ISNUMBER(SEARCH("R124",G67)),0)+IFERROR(--ISNUMBER(SEARCH("R125",G67)),0)+IFERROR(--ISNUMBER(SEARCH("R126",G67)),0)+IFERROR(--ISNUMBER(SEARCH("R127",G67)),0)+IFERROR(--ISNUMBER(SEARCH("R128",G67)),0)+IFERROR(--ISNUMBER(SEARCH("R129",G67)),0)+IFERROR(--ISNUMBER(SEARCH("R130",G67)),0)+IFERROR(--ISNUMBER(SEARCH("R131",G67)),0)+IFERROR(--ISNUMBER(SEARCH("R132",G67)),0)+IFERROR(--ISNUMBER(SEARCH("R133",G67)),0)+IFERROR(--ISNUMBER(SEARCH("R134",G67)),0)+IFERROR(--ISNUMBER(SEARCH("R135",G67)),0)+IFERROR(--ISNUMBER(SEARCH("R136",G67)),0)+IFERROR(--ISNUMBER(SEARCH("R137",G67)),0)+IFERROR(--ISNUMBER(SEARCH("R138",G67)),0)+IFERROR(--ISNUMBER(SEARCH("R139",G67)),0)+IFERROR(--ISNUMBER(SEARCH("R140",G67)),0)+IFERROR(--ISNUMBER(SEARCH("R141",G67)),0))</f>
        <v/>
      </c>
      <c r="T67" s="58">
        <f>IF(A67="","",IFERROR(--ISNUMBER(SEARCH("R28",G67)),0)+IFERROR(--ISNUMBER(SEARCH("R29",G67)),0)+IFERROR(--ISNUMBER(SEARCH("R30",G67)),0)+IFERROR(--ISNUMBER(SEARCH("R32",G67)),0)+IFERROR(--ISNUMBER(SEARCH("R33",G67)),0)+IFERROR(--ISNUMBER(SEARCH("R35",G67)),0)+IFERROR(--ISNUMBER(SEARCH("R36",G67)),0)+IFERROR(--ISNUMBER(SEARCH("R38",G67)),0)+IFERROR(--ISNUMBER(SEARCH("R39",G67)),0)+IFERROR(--ISNUMBER(SEARCH("R43",G67)),0)+IFERROR(--ISNUMBER(SEARCH("R44",G67)),0)+IFERROR(--ISNUMBER(SEARCH("R45",G67)),0)+IFERROR(--ISNUMBER(SEARCH("R47",G67)),0)+IFERROR(--ISNUMBER(SEARCH("R48",G67)),0)+IFERROR(--ISNUMBER(SEARCH("R50",G67)),0)+IFERROR(--ISNUMBER(SEARCH("R51",G67)),0)+IFERROR(--ISNUMBER(SEARCH("R56",G67)),0)+IFERROR(--ISNUMBER(SEARCH("R58",G67)),0)+IFERROR(--ISNUMBER(SEARCH("R59",G67)),0)+IFERROR(--ISNUMBER(SEARCH("R60",G67)),0)+IFERROR(--ISNUMBER(SEARCH("R62",G67)),0)+IFERROR(--ISNUMBER(SEARCH("R63",G67)),0)+IFERROR(--ISNUMBER(SEARCH("R64",G67)),0)+IFERROR(--ISNUMBER(SEARCH("R66",G67)),0)+IFERROR(--ISNUMBER(SEARCH("R67",G67)),0)+IFERROR(--ISNUMBER(SEARCH("R72",G67)),0)+IFERROR(--ISNUMBER(SEARCH("R74",G67)),0)+IFERROR(--ISNUMBER(SEARCH("R75",G67)),0)+IFERROR(--ISNUMBER(SEARCH("R76",G67)),0)+IFERROR(--ISNUMBER(SEARCH("R77",G67)),0)+IFERROR(--ISNUMBER(SEARCH("R79",G67)),0)+IFERROR(--ISNUMBER(SEARCH("R80",G67)),0)+IFERROR(--ISNUMBER(SEARCH("R81",G67)),0)+IFERROR(--ISNUMBER(SEARCH("R83",G67)),0)+IFERROR(--ISNUMBER(SEARCH("R84",G67)),0)+IFERROR(--ISNUMBER(SEARCH("R89",G67)),0)+IFERROR(--ISNUMBER(SEARCH("R94",G67)),0)+IFERROR(--ISNUMBER(SEARCH("R95",G67)),0)+IFERROR(--ISNUMBER(SEARCH("R96",G67)),0)+IFERROR(--ISNUMBER(SEARCH("R98",G67)),0)+IFERROR(--ISNUMBER(SEARCH("R99",G67)),0)+IFERROR(--ISNUMBER(SEARCH("R100",G67)),0)+IFERROR(--ISNUMBER(SEARCH("R104",G67)),0)+IFERROR(--ISNUMBER(SEARCH("R105",G67)),0)+IFERROR(--ISNUMBER(SEARCH("R107",G67)),0)+IFERROR(--ISNUMBER(SEARCH("R108",G67)),0)+IFERROR(--ISNUMBER(SEARCH("R109",G67)),0)+IFERROR(--ISNUMBER(SEARCH("R110",G67)),0)+IFERROR(--ISNUMBER(SEARCH("R112",G67)),0)+IFERROR(--ISNUMBER(SEARCH("R113",G67)),0)+IFERROR(--ISNUMBER(SEARCH("R114",G67)),0)+IFERROR(--ISNUMBER(SEARCH("R118",G67)),0)+IFERROR(--ISNUMBER(SEARCH("R119",G67)),0)+IFERROR(--ISNUMBER(SEARCH("R120",G67)),0)+IFERROR(--ISNUMBER(SEARCH("R122",G67)),0)+IFERROR(--ISNUMBER(SEARCH("R123",G67)),0)+IFERROR(--ISNUMBER(SEARCH("R124",G67)),0)+IFERROR(--ISNUMBER(SEARCH("R128",G67)),0)+IFERROR(--ISNUMBER(SEARCH("R130",G67)),0)+IFERROR(--ISNUMBER(SEARCH("R131",G67)),0)+IFERROR(--ISNUMBER(SEARCH("R132",G67)),0)+IFERROR(--ISNUMBER(SEARCH("R135",G67)),0)+IFERROR(--ISNUMBER(SEARCH("R138",G67)),0)+IFERROR(--ISNUMBER(SEARCH("R141",G67)),0))</f>
        <v/>
      </c>
      <c r="U67" s="58">
        <f>IF(A67="","",IFERROR(--ISNUMBER(SEARCH("R28",G67))*28,0)+IFERROR(--ISNUMBER(SEARCH("R29",G67))*29,0)+IFERROR(--ISNUMBER(SEARCH("R30",G67))*30,0)+IFERROR(--ISNUMBER(SEARCH("R31",G67))*31,0)+IFERROR(--ISNUMBER(SEARCH("R32",G67))*32,0)+IFERROR(--ISNUMBER(SEARCH("R33",G67))*33,0)+IFERROR(--ISNUMBER(SEARCH("R34",G67))*34,0)+IFERROR(--ISNUMBER(SEARCH("R35",G67))*35,0)+IFERROR(--ISNUMBER(SEARCH("R36",G67))*36,0)+IFERROR(--ISNUMBER(SEARCH("R37",G67))*37,0)+IFERROR(--ISNUMBER(SEARCH("R38",G67))*38,0)+IFERROR(--ISNUMBER(SEARCH("R39",G67))*39,0)+IFERROR(--ISNUMBER(SEARCH("R40",G67))*40,0)+IFERROR(--ISNUMBER(SEARCH("R41",G67))*41,0)+IFERROR(--ISNUMBER(SEARCH("R42",G67))*42,0)+IFERROR(--ISNUMBER(SEARCH("R43",G67))*43,0)+IFERROR(--ISNUMBER(SEARCH("R44",G67))*44,0)+IFERROR(--ISNUMBER(SEARCH("R45",G67))*45,0)+IFERROR(--ISNUMBER(SEARCH("R46",G67))*46,0)+IFERROR(--ISNUMBER(SEARCH("R47",G67))*47,0)+IFERROR(--ISNUMBER(SEARCH("R48",G67))*48,0)+IFERROR(--ISNUMBER(SEARCH("R49",G67))*49,0)+IFERROR(--ISNUMBER(SEARCH("R50",G67))*50,0)+IFERROR(--ISNUMBER(SEARCH("R51",G67))*51,0)+IFERROR(--ISNUMBER(SEARCH("R52",G67))*52,0)+IFERROR(--ISNUMBER(SEARCH("R53",G67))*53,0)+IFERROR(--ISNUMBER(SEARCH("R54",G67))*54,0)+IFERROR(--ISNUMBER(SEARCH("R55",G67))*55,0)+IFERROR(--ISNUMBER(SEARCH("R56",G67))*56,0)+IFERROR(--ISNUMBER(SEARCH("R57",G67))*57,0)+IFERROR(--ISNUMBER(SEARCH("R58",G67))*58,0)+IFERROR(--ISNUMBER(SEARCH("R59",G67))*59,0)+IFERROR(--ISNUMBER(SEARCH("R60",G67))*60,0)+IFERROR(--ISNUMBER(SEARCH("R61",G67))*61,0)+IFERROR(--ISNUMBER(SEARCH("R62",G67))*62,0)+IFERROR(--ISNUMBER(SEARCH("R63",G67))*63,0)+IFERROR(--ISNUMBER(SEARCH("R64",G67))*64,0)+IFERROR(--ISNUMBER(SEARCH("R65",G67))*65,0)+IFERROR(--ISNUMBER(SEARCH("R66",G67))*66,0)+IFERROR(--ISNUMBER(SEARCH("R67",G67))*67,0)+IFERROR(--ISNUMBER(SEARCH("R68",G67))*68,0)+IFERROR(--ISNUMBER(SEARCH("R69",G67))*69,0)+IFERROR(--ISNUMBER(SEARCH("R70",G67))*70,0)+IFERROR(--ISNUMBER(SEARCH("R71",G67))*71,0)+IFERROR(--ISNUMBER(SEARCH("R72",G67))*72,0)+IFERROR(--ISNUMBER(SEARCH("R73",G67))*73,0)+IFERROR(--ISNUMBER(SEARCH("R74",G67))*74,0)+IFERROR(--ISNUMBER(SEARCH("R75",G67))*75,0)+IFERROR(--ISNUMBER(SEARCH("R76",G67))*76,0)+IFERROR(--ISNUMBER(SEARCH("R77",G67))*77,0)+IFERROR(--ISNUMBER(SEARCH("R78",G67))*78,0)+IFERROR(--ISNUMBER(SEARCH("R79",G67))*79,0)+IFERROR(--ISNUMBER(SEARCH("R80",G67))*80,0)+IFERROR(--ISNUMBER(SEARCH("R81",G67))*81,0)+IFERROR(--ISNUMBER(SEARCH("R82",G67))*82,0)+IFERROR(--ISNUMBER(SEARCH("R83",G67))*83,0)+IFERROR(--ISNUMBER(SEARCH("R84",G67))*84,0)+IFERROR(--ISNUMBER(SEARCH("R85",G67))*85,0)+IFERROR(--ISNUMBER(SEARCH("R86",G67))*86,0)+IFERROR(--ISNUMBER(SEARCH("R87",G67))*87,0)+IFERROR(--ISNUMBER(SEARCH("R88",G67))*88,0)+IFERROR(--ISNUMBER(SEARCH("R89",G67))*89,0)+IFERROR(--ISNUMBER(SEARCH("R90",G67))*90,0)+IFERROR(--ISNUMBER(SEARCH("R91",G67))*91,0)+IFERROR(--ISNUMBER(SEARCH("R92",G67))*92,0)+IFERROR(--ISNUMBER(SEARCH("R93",G67))*93,0)+IFERROR(--ISNUMBER(SEARCH("R94",G67))*94,0)+IFERROR(--ISNUMBER(SEARCH("R95",G67))*95,0)+IFERROR(--ISNUMBER(SEARCH("R96",G67))*96,0)+IFERROR(--ISNUMBER(SEARCH("R97",G67))*97,0)+IFERROR(--ISNUMBER(SEARCH("R98",G67))*98,0)+IFERROR(--ISNUMBER(SEARCH("R99",G67))*99,0)+IFERROR(--ISNUMBER(SEARCH("R100",G67))*100,0)+IFERROR(--ISNUMBER(SEARCH("R101",G67))*101,0)+IFERROR(--ISNUMBER(SEARCH("R102",G67))*102,0)+IFERROR(--ISNUMBER(SEARCH("R103",G67))*103,0)+IFERROR(--ISNUMBER(SEARCH("R104",G67))*104,0)+IFERROR(--ISNUMBER(SEARCH("R105",G67))*105,0)+IFERROR(--ISNUMBER(SEARCH("R106",G67))*106,0)+IFERROR(--ISNUMBER(SEARCH("R107",G67))*107,0)+IFERROR(--ISNUMBER(SEARCH("R108",G67))*108,0)+IFERROR(--ISNUMBER(SEARCH("R109",G67))*109,0)+IFERROR(--ISNUMBER(SEARCH("R110",G67))*110,0)+IFERROR(--ISNUMBER(SEARCH("R111",G67))*111,0)+IFERROR(--ISNUMBER(SEARCH("R112",G67))*112,0)+IFERROR(--ISNUMBER(SEARCH("R113",G67))*113,0)+IFERROR(--ISNUMBER(SEARCH("R114",G67))*114,0)+IFERROR(--ISNUMBER(SEARCH("R115",G67))*115,0)+IFERROR(--ISNUMBER(SEARCH("R116",G67))*116,0)+IFERROR(--ISNUMBER(SEARCH("R117",G67))*117,0)+IFERROR(--ISNUMBER(SEARCH("R118",G67))*118,0)+IFERROR(--ISNUMBER(SEARCH("R119",G67))*119,0)+IFERROR(--ISNUMBER(SEARCH("R120",G67))*120,0)+IFERROR(--ISNUMBER(SEARCH("R121",G67))*121,0)+IFERROR(--ISNUMBER(SEARCH("R122",G67))*122,0)+IFERROR(--ISNUMBER(SEARCH("R123",G67))*123,0)+IFERROR(--ISNUMBER(SEARCH("R124",G67))*124,0)+IFERROR(--ISNUMBER(SEARCH("R125",G67))*125,0)+IFERROR(--ISNUMBER(SEARCH("R126",G67))*126,0)+IFERROR(--ISNUMBER(SEARCH("R127",G67))*127,0)+IFERROR(--ISNUMBER(SEARCH("R128",G67))*128,0)+IFERROR(--ISNUMBER(SEARCH("R129",G67))*129,0)+IFERROR(--ISNUMBER(SEARCH("R130",G67))*130,0)+IFERROR(--ISNUMBER(SEARCH("R131",G67))*131,0)+IFERROR(--ISNUMBER(SEARCH("R132",G67))*132,0)+IFERROR(--ISNUMBER(SEARCH("R133",G67))*133,0)+IFERROR(--ISNUMBER(SEARCH("R134",G67))*134,0)+IFERROR(--ISNUMBER(SEARCH("R135",G67))*135,0)+IFERROR(--ISNUMBER(SEARCH("R136",G67))*136,0)+IFERROR(--ISNUMBER(SEARCH("R137",G67))*137,0)+IFERROR(--ISNUMBER(SEARCH("R138",G67))*138,0)+IFERROR(--ISNUMBER(SEARCH("R139",G67))*139,0)+IFERROR(--ISNUMBER(SEARCH("R140",G67))*140,0)+IFERROR(--ISNUMBER(SEARCH("R141",G67))*141,0))</f>
        <v/>
      </c>
      <c r="V67" s="59">
        <f>IF(A67="","",IF(K67&lt;&gt;"",K67,J67))</f>
        <v/>
      </c>
      <c r="W67" s="59">
        <f>IF(A67="","",IF(AND(V67=29,O67&lt;&gt;"",COUNTIFS($V$6:$V$505,29,$F$6:$F$505,F67,$C$6:$C$505,C67,$O$6:$O$505,"&lt;&gt;")&gt;1),IF(COUNTIFS($V$6:V67,29,$F$6:F67,F67,$C$6:C67,C67,$O$6:O67,"&lt;&gt;")=1,"Esta es la fila que se debe CONSERVAR (aparición 1 de "&amp;COUNTIFS($V$6:$V$505,29,$F$6:$F$505,F67,$C$6:$C$505,C67,$O$6:$O$505,"&lt;&gt;")&amp;" con el mismo tercero y valor, casilla 29). Si hay más filas iguales, bórreles el valor a ELLAS, no a esta.","DUPLICADO — ya existe otra fila con el mismo tercero y valor para casilla 29 (aparición "&amp;COUNTIFS($V$6:V67,29,$F$6:F67,F67,$C$6:C67,C67,$O$6:O67,"&lt;&gt;")&amp;" de "&amp;COUNTIFS($V$6:$V$505,29,$F$6:$F$505,F67,$C$6:$C$505,C67,$O$6:$O$505,"&lt;&gt;")&amp;"). Para resolverlo: seleccione la celda O"&amp;ROW()&amp;" (columna Valor a declarar de ESTA fila) y presione Supr."),""))</f>
        <v/>
      </c>
      <c r="X67" s="463">
        <f>IF(A67="","",F67)</f>
        <v/>
      </c>
      <c r="Y67" s="463">
        <f>IF(A67="","",SUMIF(Entrada_Manual!$I$88:$I$187,A67,Entrada_Manual!$F$88:$F$187))</f>
        <v/>
      </c>
      <c r="Z67" s="463">
        <f>IF(A67="","",X67-Y67)</f>
        <v/>
      </c>
      <c r="AA67">
        <f>IF(A67="","",SUMPRODUCT((Entrada_Manual!$I$88:$I$187=A67)*1))</f>
        <v/>
      </c>
      <c r="AB67">
        <f>IF(A67="","",IF(S67&lt;=1,"",IF(AA67=0,"PENDIENTE — SIN ASIGNAR",IF(Z67=0,"RESUELTO","PARCIAL — DIFERENCIA "&amp;TEXT(Z67,"#,##0")))))</f>
        <v/>
      </c>
    </row>
    <row r="68" ht="42.75" customHeight="1" s="235">
      <c r="A68" s="47">
        <f>IF(Exogena_RAW!E77&lt;&gt;"",ROW()-5,"")</f>
        <v/>
      </c>
      <c r="B68" s="48">
        <f>IF(A68="","",77)</f>
        <v/>
      </c>
      <c r="C68" s="48">
        <f>IF(A68="","",IFERROR(Exogena_RAW!A77,""))</f>
        <v/>
      </c>
      <c r="D68" s="48">
        <f>IF(A68="","",IFERROR(Exogena_RAW!B77,""))</f>
        <v/>
      </c>
      <c r="E68" s="48">
        <f>IF(A68="","",Exogena_RAW!E77)</f>
        <v/>
      </c>
      <c r="F68" s="461">
        <f>IF(A68="","",Exogena_RAW!F77)</f>
        <v/>
      </c>
      <c r="G68" s="48">
        <f>IF(A68="","",IFERROR(Exogena_RAW!G77,""))</f>
        <v/>
      </c>
      <c r="H68" s="48">
        <f>IF(A68="","",IFERROR(Exogena_RAW!H77,""))</f>
        <v/>
      </c>
      <c r="I68" s="48">
        <f>IF(A68="","",IFERROR(IF(S68&gt;1,"VARIAS CASILLAS",IF(S68=1,IF(T68=1,"PROPUESTA DE CASILLA","REVISIÓN: CASILLA NO DIRECTA"),IF(OR(ISNUMBER(SEARCH("TOPE",UPPER(E68))),ISNUMBER(SEARCH("TOPE",UPPER(G68)))),"SOLO CONTROL",IF(ISNUMBER(SEARCH("RETEN",UPPER(E68))),"RETENCIÓN","REVISAR")))),"REVISAR"))</f>
        <v/>
      </c>
      <c r="J68" s="48">
        <f>IF(A68="","",IF(ISNUMBER(SEARCH("ingreso laboral promedio de los últimos seis meses",E68)),"",IFERROR(IF(AND(S68=1,T68=1),U68,""),"")))</f>
        <v/>
      </c>
      <c r="K68" s="216" t="n"/>
      <c r="L68" s="48">
        <f>IF(A68="","",IFERROR(IF(K68&lt;&gt;"","Casilla elegida por usuario",IF(S68&gt;1,"Varias casillas — elegir en K",IF(J68&lt;&gt;"","Sugerencia directa",IF(S68=1,"No trasladar directo — revisar",IF(OR(ISNUMBER(SEARCH("TOPE",UPPER(E68))),ISNUMBER(SEARCH("TOPE",UPPER(G68)))),"Solo control","Revisar manualmente"))))),"Revisar manualmente"))</f>
        <v/>
      </c>
      <c r="M68" s="461">
        <f>IF(A68="","",IF(IF(K68&lt;&gt;"",K68,J68)="",0,IF(COUNTIFS(Reglas!$I$5:$I$118,IF(K68&lt;&gt;"",K68,J68),Reglas!$J$5:$J$118,"Sí")=1,F68,0)))</f>
        <v/>
      </c>
      <c r="N68" s="56" t="n"/>
      <c r="O68" s="462">
        <f>IF(A68="","",IF(M68=0,"",M68))</f>
        <v/>
      </c>
      <c r="P68" s="461">
        <f>IF(A68="","",IF(O68="",0,IF(ISNUMBER(O68),O68,0)))</f>
        <v/>
      </c>
      <c r="Q68" s="48">
        <f>IF(A68="","",IF(Exogena_RAW!$C$4="","BLOQUEADO: FALTA AÑO",IF(Exogena_RAW!$K$10&lt;&gt;Reglas!$B$5,"BLOQUEADO: AÑO",IF(IF(K68&lt;&gt;"",K68,J68)="",IF(S68&gt;1,"REQUIERE ASIGNACIÓN MANUAL (VARIAS CASILLAS)","INFORMATIVO (sin casilla — no se declara)"),IF(COUNTIFS(Reglas!$I$5:$I$118,IF(K68&lt;&gt;"",K68,J68),Reglas!$J$5:$J$118,"Sí")=0,"BLOQUEADO: CASILLA NO DIRECTA",IF(O68="","EXCLUIDO (valor borrado por el usuario)",IF(_xlfn.ISFORMULA(O68),IF(W68&lt;&gt;"","BORRADOR — VALOR SUGERIDO DIAN ⚠ VER ALERTA","BORRADOR — VALOR SUGERIDO DIAN"),IF(W68&lt;&gt;"","ACEPTADO ⚠ VER ALERTA","ACEPTADO"))))))))</f>
        <v/>
      </c>
      <c r="R68" s="218" t="n"/>
      <c r="S68" s="58">
        <f>IF(A68="","",IFERROR(--ISNUMBER(SEARCH("R28",G68)),0)+IFERROR(--ISNUMBER(SEARCH("R29",G68)),0)+IFERROR(--ISNUMBER(SEARCH("R30",G68)),0)+IFERROR(--ISNUMBER(SEARCH("R31",G68)),0)+IFERROR(--ISNUMBER(SEARCH("R32",G68)),0)+IFERROR(--ISNUMBER(SEARCH("R33",G68)),0)+IFERROR(--ISNUMBER(SEARCH("R34",G68)),0)+IFERROR(--ISNUMBER(SEARCH("R35",G68)),0)+IFERROR(--ISNUMBER(SEARCH("R36",G68)),0)+IFERROR(--ISNUMBER(SEARCH("R37",G68)),0)+IFERROR(--ISNUMBER(SEARCH("R38",G68)),0)+IFERROR(--ISNUMBER(SEARCH("R39",G68)),0)+IFERROR(--ISNUMBER(SEARCH("R40",G68)),0)+IFERROR(--ISNUMBER(SEARCH("R41",G68)),0)+IFERROR(--ISNUMBER(SEARCH("R42",G68)),0)+IFERROR(--ISNUMBER(SEARCH("R43",G68)),0)+IFERROR(--ISNUMBER(SEARCH("R44",G68)),0)+IFERROR(--ISNUMBER(SEARCH("R45",G68)),0)+IFERROR(--ISNUMBER(SEARCH("R46",G68)),0)+IFERROR(--ISNUMBER(SEARCH("R47",G68)),0)+IFERROR(--ISNUMBER(SEARCH("R48",G68)),0)+IFERROR(--ISNUMBER(SEARCH("R49",G68)),0)+IFERROR(--ISNUMBER(SEARCH("R50",G68)),0)+IFERROR(--ISNUMBER(SEARCH("R51",G68)),0)+IFERROR(--ISNUMBER(SEARCH("R52",G68)),0)+IFERROR(--ISNUMBER(SEARCH("R53",G68)),0)+IFERROR(--ISNUMBER(SEARCH("R54",G68)),0)+IFERROR(--ISNUMBER(SEARCH("R55",G68)),0)+IFERROR(--ISNUMBER(SEARCH("R56",G68)),0)+IFERROR(--ISNUMBER(SEARCH("R57",G68)),0)+IFERROR(--ISNUMBER(SEARCH("R58",G68)),0)+IFERROR(--ISNUMBER(SEARCH("R59",G68)),0)+IFERROR(--ISNUMBER(SEARCH("R60",G68)),0)+IFERROR(--ISNUMBER(SEARCH("R61",G68)),0)+IFERROR(--ISNUMBER(SEARCH("R62",G68)),0)+IFERROR(--ISNUMBER(SEARCH("R63",G68)),0)+IFERROR(--ISNUMBER(SEARCH("R64",G68)),0)+IFERROR(--ISNUMBER(SEARCH("R65",G68)),0)+IFERROR(--ISNUMBER(SEARCH("R66",G68)),0)+IFERROR(--ISNUMBER(SEARCH("R67",G68)),0)+IFERROR(--ISNUMBER(SEARCH("R68",G68)),0)+IFERROR(--ISNUMBER(SEARCH("R69",G68)),0)+IFERROR(--ISNUMBER(SEARCH("R70",G68)),0)+IFERROR(--ISNUMBER(SEARCH("R71",G68)),0)+IFERROR(--ISNUMBER(SEARCH("R72",G68)),0)+IFERROR(--ISNUMBER(SEARCH("R73",G68)),0)+IFERROR(--ISNUMBER(SEARCH("R74",G68)),0)+IFERROR(--ISNUMBER(SEARCH("R75",G68)),0)+IFERROR(--ISNUMBER(SEARCH("R76",G68)),0)+IFERROR(--ISNUMBER(SEARCH("R77",G68)),0)+IFERROR(--ISNUMBER(SEARCH("R78",G68)),0)+IFERROR(--ISNUMBER(SEARCH("R79",G68)),0)+IFERROR(--ISNUMBER(SEARCH("R80",G68)),0)+IFERROR(--ISNUMBER(SEARCH("R81",G68)),0)+IFERROR(--ISNUMBER(SEARCH("R82",G68)),0)+IFERROR(--ISNUMBER(SEARCH("R83",G68)),0)+IFERROR(--ISNUMBER(SEARCH("R84",G68)),0)+IFERROR(--ISNUMBER(SEARCH("R85",G68)),0)+IFERROR(--ISNUMBER(SEARCH("R86",G68)),0)+IFERROR(--ISNUMBER(SEARCH("R87",G68)),0)+IFERROR(--ISNUMBER(SEARCH("R88",G68)),0)+IFERROR(--ISNUMBER(SEARCH("R89",G68)),0)+IFERROR(--ISNUMBER(SEARCH("R90",G68)),0)+IFERROR(--ISNUMBER(SEARCH("R91",G68)),0)+IFERROR(--ISNUMBER(SEARCH("R92",G68)),0)+IFERROR(--ISNUMBER(SEARCH("R93",G68)),0)+IFERROR(--ISNUMBER(SEARCH("R94",G68)),0)+IFERROR(--ISNUMBER(SEARCH("R95",G68)),0)+IFERROR(--ISNUMBER(SEARCH("R96",G68)),0)+IFERROR(--ISNUMBER(SEARCH("R97",G68)),0)+IFERROR(--ISNUMBER(SEARCH("R98",G68)),0)+IFERROR(--ISNUMBER(SEARCH("R99",G68)),0)+IFERROR(--ISNUMBER(SEARCH("R100",G68)),0)+IFERROR(--ISNUMBER(SEARCH("R101",G68)),0)+IFERROR(--ISNUMBER(SEARCH("R102",G68)),0)+IFERROR(--ISNUMBER(SEARCH("R103",G68)),0)+IFERROR(--ISNUMBER(SEARCH("R104",G68)),0)+IFERROR(--ISNUMBER(SEARCH("R105",G68)),0)+IFERROR(--ISNUMBER(SEARCH("R106",G68)),0)+IFERROR(--ISNUMBER(SEARCH("R107",G68)),0)+IFERROR(--ISNUMBER(SEARCH("R108",G68)),0)+IFERROR(--ISNUMBER(SEARCH("R109",G68)),0)+IFERROR(--ISNUMBER(SEARCH("R110",G68)),0)+IFERROR(--ISNUMBER(SEARCH("R111",G68)),0)+IFERROR(--ISNUMBER(SEARCH("R112",G68)),0)+IFERROR(--ISNUMBER(SEARCH("R113",G68)),0)+IFERROR(--ISNUMBER(SEARCH("R114",G68)),0)+IFERROR(--ISNUMBER(SEARCH("R115",G68)),0)+IFERROR(--ISNUMBER(SEARCH("R116",G68)),0)+IFERROR(--ISNUMBER(SEARCH("R117",G68)),0)+IFERROR(--ISNUMBER(SEARCH("R118",G68)),0)+IFERROR(--ISNUMBER(SEARCH("R119",G68)),0)+IFERROR(--ISNUMBER(SEARCH("R120",G68)),0)+IFERROR(--ISNUMBER(SEARCH("R121",G68)),0)+IFERROR(--ISNUMBER(SEARCH("R122",G68)),0)+IFERROR(--ISNUMBER(SEARCH("R123",G68)),0)+IFERROR(--ISNUMBER(SEARCH("R124",G68)),0)+IFERROR(--ISNUMBER(SEARCH("R125",G68)),0)+IFERROR(--ISNUMBER(SEARCH("R126",G68)),0)+IFERROR(--ISNUMBER(SEARCH("R127",G68)),0)+IFERROR(--ISNUMBER(SEARCH("R128",G68)),0)+IFERROR(--ISNUMBER(SEARCH("R129",G68)),0)+IFERROR(--ISNUMBER(SEARCH("R130",G68)),0)+IFERROR(--ISNUMBER(SEARCH("R131",G68)),0)+IFERROR(--ISNUMBER(SEARCH("R132",G68)),0)+IFERROR(--ISNUMBER(SEARCH("R133",G68)),0)+IFERROR(--ISNUMBER(SEARCH("R134",G68)),0)+IFERROR(--ISNUMBER(SEARCH("R135",G68)),0)+IFERROR(--ISNUMBER(SEARCH("R136",G68)),0)+IFERROR(--ISNUMBER(SEARCH("R137",G68)),0)+IFERROR(--ISNUMBER(SEARCH("R138",G68)),0)+IFERROR(--ISNUMBER(SEARCH("R139",G68)),0)+IFERROR(--ISNUMBER(SEARCH("R140",G68)),0)+IFERROR(--ISNUMBER(SEARCH("R141",G68)),0))</f>
        <v/>
      </c>
      <c r="T68" s="58">
        <f>IF(A68="","",IFERROR(--ISNUMBER(SEARCH("R28",G68)),0)+IFERROR(--ISNUMBER(SEARCH("R29",G68)),0)+IFERROR(--ISNUMBER(SEARCH("R30",G68)),0)+IFERROR(--ISNUMBER(SEARCH("R32",G68)),0)+IFERROR(--ISNUMBER(SEARCH("R33",G68)),0)+IFERROR(--ISNUMBER(SEARCH("R35",G68)),0)+IFERROR(--ISNUMBER(SEARCH("R36",G68)),0)+IFERROR(--ISNUMBER(SEARCH("R38",G68)),0)+IFERROR(--ISNUMBER(SEARCH("R39",G68)),0)+IFERROR(--ISNUMBER(SEARCH("R43",G68)),0)+IFERROR(--ISNUMBER(SEARCH("R44",G68)),0)+IFERROR(--ISNUMBER(SEARCH("R45",G68)),0)+IFERROR(--ISNUMBER(SEARCH("R47",G68)),0)+IFERROR(--ISNUMBER(SEARCH("R48",G68)),0)+IFERROR(--ISNUMBER(SEARCH("R50",G68)),0)+IFERROR(--ISNUMBER(SEARCH("R51",G68)),0)+IFERROR(--ISNUMBER(SEARCH("R56",G68)),0)+IFERROR(--ISNUMBER(SEARCH("R58",G68)),0)+IFERROR(--ISNUMBER(SEARCH("R59",G68)),0)+IFERROR(--ISNUMBER(SEARCH("R60",G68)),0)+IFERROR(--ISNUMBER(SEARCH("R62",G68)),0)+IFERROR(--ISNUMBER(SEARCH("R63",G68)),0)+IFERROR(--ISNUMBER(SEARCH("R64",G68)),0)+IFERROR(--ISNUMBER(SEARCH("R66",G68)),0)+IFERROR(--ISNUMBER(SEARCH("R67",G68)),0)+IFERROR(--ISNUMBER(SEARCH("R72",G68)),0)+IFERROR(--ISNUMBER(SEARCH("R74",G68)),0)+IFERROR(--ISNUMBER(SEARCH("R75",G68)),0)+IFERROR(--ISNUMBER(SEARCH("R76",G68)),0)+IFERROR(--ISNUMBER(SEARCH("R77",G68)),0)+IFERROR(--ISNUMBER(SEARCH("R79",G68)),0)+IFERROR(--ISNUMBER(SEARCH("R80",G68)),0)+IFERROR(--ISNUMBER(SEARCH("R81",G68)),0)+IFERROR(--ISNUMBER(SEARCH("R83",G68)),0)+IFERROR(--ISNUMBER(SEARCH("R84",G68)),0)+IFERROR(--ISNUMBER(SEARCH("R89",G68)),0)+IFERROR(--ISNUMBER(SEARCH("R94",G68)),0)+IFERROR(--ISNUMBER(SEARCH("R95",G68)),0)+IFERROR(--ISNUMBER(SEARCH("R96",G68)),0)+IFERROR(--ISNUMBER(SEARCH("R98",G68)),0)+IFERROR(--ISNUMBER(SEARCH("R99",G68)),0)+IFERROR(--ISNUMBER(SEARCH("R100",G68)),0)+IFERROR(--ISNUMBER(SEARCH("R104",G68)),0)+IFERROR(--ISNUMBER(SEARCH("R105",G68)),0)+IFERROR(--ISNUMBER(SEARCH("R107",G68)),0)+IFERROR(--ISNUMBER(SEARCH("R108",G68)),0)+IFERROR(--ISNUMBER(SEARCH("R109",G68)),0)+IFERROR(--ISNUMBER(SEARCH("R110",G68)),0)+IFERROR(--ISNUMBER(SEARCH("R112",G68)),0)+IFERROR(--ISNUMBER(SEARCH("R113",G68)),0)+IFERROR(--ISNUMBER(SEARCH("R114",G68)),0)+IFERROR(--ISNUMBER(SEARCH("R118",G68)),0)+IFERROR(--ISNUMBER(SEARCH("R119",G68)),0)+IFERROR(--ISNUMBER(SEARCH("R120",G68)),0)+IFERROR(--ISNUMBER(SEARCH("R122",G68)),0)+IFERROR(--ISNUMBER(SEARCH("R123",G68)),0)+IFERROR(--ISNUMBER(SEARCH("R124",G68)),0)+IFERROR(--ISNUMBER(SEARCH("R128",G68)),0)+IFERROR(--ISNUMBER(SEARCH("R130",G68)),0)+IFERROR(--ISNUMBER(SEARCH("R131",G68)),0)+IFERROR(--ISNUMBER(SEARCH("R132",G68)),0)+IFERROR(--ISNUMBER(SEARCH("R135",G68)),0)+IFERROR(--ISNUMBER(SEARCH("R138",G68)),0)+IFERROR(--ISNUMBER(SEARCH("R141",G68)),0))</f>
        <v/>
      </c>
      <c r="U68" s="58">
        <f>IF(A68="","",IFERROR(--ISNUMBER(SEARCH("R28",G68))*28,0)+IFERROR(--ISNUMBER(SEARCH("R29",G68))*29,0)+IFERROR(--ISNUMBER(SEARCH("R30",G68))*30,0)+IFERROR(--ISNUMBER(SEARCH("R31",G68))*31,0)+IFERROR(--ISNUMBER(SEARCH("R32",G68))*32,0)+IFERROR(--ISNUMBER(SEARCH("R33",G68))*33,0)+IFERROR(--ISNUMBER(SEARCH("R34",G68))*34,0)+IFERROR(--ISNUMBER(SEARCH("R35",G68))*35,0)+IFERROR(--ISNUMBER(SEARCH("R36",G68))*36,0)+IFERROR(--ISNUMBER(SEARCH("R37",G68))*37,0)+IFERROR(--ISNUMBER(SEARCH("R38",G68))*38,0)+IFERROR(--ISNUMBER(SEARCH("R39",G68))*39,0)+IFERROR(--ISNUMBER(SEARCH("R40",G68))*40,0)+IFERROR(--ISNUMBER(SEARCH("R41",G68))*41,0)+IFERROR(--ISNUMBER(SEARCH("R42",G68))*42,0)+IFERROR(--ISNUMBER(SEARCH("R43",G68))*43,0)+IFERROR(--ISNUMBER(SEARCH("R44",G68))*44,0)+IFERROR(--ISNUMBER(SEARCH("R45",G68))*45,0)+IFERROR(--ISNUMBER(SEARCH("R46",G68))*46,0)+IFERROR(--ISNUMBER(SEARCH("R47",G68))*47,0)+IFERROR(--ISNUMBER(SEARCH("R48",G68))*48,0)+IFERROR(--ISNUMBER(SEARCH("R49",G68))*49,0)+IFERROR(--ISNUMBER(SEARCH("R50",G68))*50,0)+IFERROR(--ISNUMBER(SEARCH("R51",G68))*51,0)+IFERROR(--ISNUMBER(SEARCH("R52",G68))*52,0)+IFERROR(--ISNUMBER(SEARCH("R53",G68))*53,0)+IFERROR(--ISNUMBER(SEARCH("R54",G68))*54,0)+IFERROR(--ISNUMBER(SEARCH("R55",G68))*55,0)+IFERROR(--ISNUMBER(SEARCH("R56",G68))*56,0)+IFERROR(--ISNUMBER(SEARCH("R57",G68))*57,0)+IFERROR(--ISNUMBER(SEARCH("R58",G68))*58,0)+IFERROR(--ISNUMBER(SEARCH("R59",G68))*59,0)+IFERROR(--ISNUMBER(SEARCH("R60",G68))*60,0)+IFERROR(--ISNUMBER(SEARCH("R61",G68))*61,0)+IFERROR(--ISNUMBER(SEARCH("R62",G68))*62,0)+IFERROR(--ISNUMBER(SEARCH("R63",G68))*63,0)+IFERROR(--ISNUMBER(SEARCH("R64",G68))*64,0)+IFERROR(--ISNUMBER(SEARCH("R65",G68))*65,0)+IFERROR(--ISNUMBER(SEARCH("R66",G68))*66,0)+IFERROR(--ISNUMBER(SEARCH("R67",G68))*67,0)+IFERROR(--ISNUMBER(SEARCH("R68",G68))*68,0)+IFERROR(--ISNUMBER(SEARCH("R69",G68))*69,0)+IFERROR(--ISNUMBER(SEARCH("R70",G68))*70,0)+IFERROR(--ISNUMBER(SEARCH("R71",G68))*71,0)+IFERROR(--ISNUMBER(SEARCH("R72",G68))*72,0)+IFERROR(--ISNUMBER(SEARCH("R73",G68))*73,0)+IFERROR(--ISNUMBER(SEARCH("R74",G68))*74,0)+IFERROR(--ISNUMBER(SEARCH("R75",G68))*75,0)+IFERROR(--ISNUMBER(SEARCH("R76",G68))*76,0)+IFERROR(--ISNUMBER(SEARCH("R77",G68))*77,0)+IFERROR(--ISNUMBER(SEARCH("R78",G68))*78,0)+IFERROR(--ISNUMBER(SEARCH("R79",G68))*79,0)+IFERROR(--ISNUMBER(SEARCH("R80",G68))*80,0)+IFERROR(--ISNUMBER(SEARCH("R81",G68))*81,0)+IFERROR(--ISNUMBER(SEARCH("R82",G68))*82,0)+IFERROR(--ISNUMBER(SEARCH("R83",G68))*83,0)+IFERROR(--ISNUMBER(SEARCH("R84",G68))*84,0)+IFERROR(--ISNUMBER(SEARCH("R85",G68))*85,0)+IFERROR(--ISNUMBER(SEARCH("R86",G68))*86,0)+IFERROR(--ISNUMBER(SEARCH("R87",G68))*87,0)+IFERROR(--ISNUMBER(SEARCH("R88",G68))*88,0)+IFERROR(--ISNUMBER(SEARCH("R89",G68))*89,0)+IFERROR(--ISNUMBER(SEARCH("R90",G68))*90,0)+IFERROR(--ISNUMBER(SEARCH("R91",G68))*91,0)+IFERROR(--ISNUMBER(SEARCH("R92",G68))*92,0)+IFERROR(--ISNUMBER(SEARCH("R93",G68))*93,0)+IFERROR(--ISNUMBER(SEARCH("R94",G68))*94,0)+IFERROR(--ISNUMBER(SEARCH("R95",G68))*95,0)+IFERROR(--ISNUMBER(SEARCH("R96",G68))*96,0)+IFERROR(--ISNUMBER(SEARCH("R97",G68))*97,0)+IFERROR(--ISNUMBER(SEARCH("R98",G68))*98,0)+IFERROR(--ISNUMBER(SEARCH("R99",G68))*99,0)+IFERROR(--ISNUMBER(SEARCH("R100",G68))*100,0)+IFERROR(--ISNUMBER(SEARCH("R101",G68))*101,0)+IFERROR(--ISNUMBER(SEARCH("R102",G68))*102,0)+IFERROR(--ISNUMBER(SEARCH("R103",G68))*103,0)+IFERROR(--ISNUMBER(SEARCH("R104",G68))*104,0)+IFERROR(--ISNUMBER(SEARCH("R105",G68))*105,0)+IFERROR(--ISNUMBER(SEARCH("R106",G68))*106,0)+IFERROR(--ISNUMBER(SEARCH("R107",G68))*107,0)+IFERROR(--ISNUMBER(SEARCH("R108",G68))*108,0)+IFERROR(--ISNUMBER(SEARCH("R109",G68))*109,0)+IFERROR(--ISNUMBER(SEARCH("R110",G68))*110,0)+IFERROR(--ISNUMBER(SEARCH("R111",G68))*111,0)+IFERROR(--ISNUMBER(SEARCH("R112",G68))*112,0)+IFERROR(--ISNUMBER(SEARCH("R113",G68))*113,0)+IFERROR(--ISNUMBER(SEARCH("R114",G68))*114,0)+IFERROR(--ISNUMBER(SEARCH("R115",G68))*115,0)+IFERROR(--ISNUMBER(SEARCH("R116",G68))*116,0)+IFERROR(--ISNUMBER(SEARCH("R117",G68))*117,0)+IFERROR(--ISNUMBER(SEARCH("R118",G68))*118,0)+IFERROR(--ISNUMBER(SEARCH("R119",G68))*119,0)+IFERROR(--ISNUMBER(SEARCH("R120",G68))*120,0)+IFERROR(--ISNUMBER(SEARCH("R121",G68))*121,0)+IFERROR(--ISNUMBER(SEARCH("R122",G68))*122,0)+IFERROR(--ISNUMBER(SEARCH("R123",G68))*123,0)+IFERROR(--ISNUMBER(SEARCH("R124",G68))*124,0)+IFERROR(--ISNUMBER(SEARCH("R125",G68))*125,0)+IFERROR(--ISNUMBER(SEARCH("R126",G68))*126,0)+IFERROR(--ISNUMBER(SEARCH("R127",G68))*127,0)+IFERROR(--ISNUMBER(SEARCH("R128",G68))*128,0)+IFERROR(--ISNUMBER(SEARCH("R129",G68))*129,0)+IFERROR(--ISNUMBER(SEARCH("R130",G68))*130,0)+IFERROR(--ISNUMBER(SEARCH("R131",G68))*131,0)+IFERROR(--ISNUMBER(SEARCH("R132",G68))*132,0)+IFERROR(--ISNUMBER(SEARCH("R133",G68))*133,0)+IFERROR(--ISNUMBER(SEARCH("R134",G68))*134,0)+IFERROR(--ISNUMBER(SEARCH("R135",G68))*135,0)+IFERROR(--ISNUMBER(SEARCH("R136",G68))*136,0)+IFERROR(--ISNUMBER(SEARCH("R137",G68))*137,0)+IFERROR(--ISNUMBER(SEARCH("R138",G68))*138,0)+IFERROR(--ISNUMBER(SEARCH("R139",G68))*139,0)+IFERROR(--ISNUMBER(SEARCH("R140",G68))*140,0)+IFERROR(--ISNUMBER(SEARCH("R141",G68))*141,0))</f>
        <v/>
      </c>
      <c r="V68" s="59">
        <f>IF(A68="","",IF(K68&lt;&gt;"",K68,J68))</f>
        <v/>
      </c>
      <c r="W68" s="59">
        <f>IF(A68="","",IF(AND(V68=29,O68&lt;&gt;"",COUNTIFS($V$6:$V$505,29,$F$6:$F$505,F68,$C$6:$C$505,C68,$O$6:$O$505,"&lt;&gt;")&gt;1),IF(COUNTIFS($V$6:V68,29,$F$6:F68,F68,$C$6:C68,C68,$O$6:O68,"&lt;&gt;")=1,"Esta es la fila que se debe CONSERVAR (aparición 1 de "&amp;COUNTIFS($V$6:$V$505,29,$F$6:$F$505,F68,$C$6:$C$505,C68,$O$6:$O$505,"&lt;&gt;")&amp;" con el mismo tercero y valor, casilla 29). Si hay más filas iguales, bórreles el valor a ELLAS, no a esta.","DUPLICADO — ya existe otra fila con el mismo tercero y valor para casilla 29 (aparición "&amp;COUNTIFS($V$6:V68,29,$F$6:F68,F68,$C$6:C68,C68,$O$6:O68,"&lt;&gt;")&amp;" de "&amp;COUNTIFS($V$6:$V$505,29,$F$6:$F$505,F68,$C$6:$C$505,C68,$O$6:$O$505,"&lt;&gt;")&amp;"). Para resolverlo: seleccione la celda O"&amp;ROW()&amp;" (columna Valor a declarar de ESTA fila) y presione Supr."),""))</f>
        <v/>
      </c>
      <c r="X68" s="463">
        <f>IF(A68="","",F68)</f>
        <v/>
      </c>
      <c r="Y68" s="463">
        <f>IF(A68="","",SUMIF(Entrada_Manual!$I$88:$I$187,A68,Entrada_Manual!$F$88:$F$187))</f>
        <v/>
      </c>
      <c r="Z68" s="463">
        <f>IF(A68="","",X68-Y68)</f>
        <v/>
      </c>
      <c r="AA68">
        <f>IF(A68="","",SUMPRODUCT((Entrada_Manual!$I$88:$I$187=A68)*1))</f>
        <v/>
      </c>
      <c r="AB68">
        <f>IF(A68="","",IF(S68&lt;=1,"",IF(AA68=0,"PENDIENTE — SIN ASIGNAR",IF(Z68=0,"RESUELTO","PARCIAL — DIFERENCIA "&amp;TEXT(Z68,"#,##0")))))</f>
        <v/>
      </c>
    </row>
    <row r="69" ht="42.75" customHeight="1" s="235">
      <c r="A69" s="47">
        <f>IF(Exogena_RAW!E78&lt;&gt;"",ROW()-5,"")</f>
        <v/>
      </c>
      <c r="B69" s="48">
        <f>IF(A69="","",78)</f>
        <v/>
      </c>
      <c r="C69" s="48">
        <f>IF(A69="","",IFERROR(Exogena_RAW!A78,""))</f>
        <v/>
      </c>
      <c r="D69" s="48">
        <f>IF(A69="","",IFERROR(Exogena_RAW!B78,""))</f>
        <v/>
      </c>
      <c r="E69" s="48">
        <f>IF(A69="","",Exogena_RAW!E78)</f>
        <v/>
      </c>
      <c r="F69" s="461">
        <f>IF(A69="","",Exogena_RAW!F78)</f>
        <v/>
      </c>
      <c r="G69" s="48">
        <f>IF(A69="","",IFERROR(Exogena_RAW!G78,""))</f>
        <v/>
      </c>
      <c r="H69" s="48">
        <f>IF(A69="","",IFERROR(Exogena_RAW!H78,""))</f>
        <v/>
      </c>
      <c r="I69" s="48">
        <f>IF(A69="","",IFERROR(IF(S69&gt;1,"VARIAS CASILLAS",IF(S69=1,IF(T69=1,"PROPUESTA DE CASILLA","REVISIÓN: CASILLA NO DIRECTA"),IF(OR(ISNUMBER(SEARCH("TOPE",UPPER(E69))),ISNUMBER(SEARCH("TOPE",UPPER(G69)))),"SOLO CONTROL",IF(ISNUMBER(SEARCH("RETEN",UPPER(E69))),"RETENCIÓN","REVISAR")))),"REVISAR"))</f>
        <v/>
      </c>
      <c r="J69" s="48">
        <f>IF(A69="","",IF(ISNUMBER(SEARCH("ingreso laboral promedio de los últimos seis meses",E69)),"",IFERROR(IF(AND(S69=1,T69=1),U69,""),"")))</f>
        <v/>
      </c>
      <c r="K69" s="216" t="n"/>
      <c r="L69" s="48">
        <f>IF(A69="","",IFERROR(IF(K69&lt;&gt;"","Casilla elegida por usuario",IF(S69&gt;1,"Varias casillas — elegir en K",IF(J69&lt;&gt;"","Sugerencia directa",IF(S69=1,"No trasladar directo — revisar",IF(OR(ISNUMBER(SEARCH("TOPE",UPPER(E69))),ISNUMBER(SEARCH("TOPE",UPPER(G69)))),"Solo control","Revisar manualmente"))))),"Revisar manualmente"))</f>
        <v/>
      </c>
      <c r="M69" s="461">
        <f>IF(A69="","",IF(IF(K69&lt;&gt;"",K69,J69)="",0,IF(COUNTIFS(Reglas!$I$5:$I$118,IF(K69&lt;&gt;"",K69,J69),Reglas!$J$5:$J$118,"Sí")=1,F69,0)))</f>
        <v/>
      </c>
      <c r="N69" s="56" t="n"/>
      <c r="O69" s="462">
        <f>IF(A69="","",IF(M69=0,"",M69))</f>
        <v/>
      </c>
      <c r="P69" s="461">
        <f>IF(A69="","",IF(O69="",0,IF(ISNUMBER(O69),O69,0)))</f>
        <v/>
      </c>
      <c r="Q69" s="48">
        <f>IF(A69="","",IF(Exogena_RAW!$C$4="","BLOQUEADO: FALTA AÑO",IF(Exogena_RAW!$K$10&lt;&gt;Reglas!$B$5,"BLOQUEADO: AÑO",IF(IF(K69&lt;&gt;"",K69,J69)="",IF(S69&gt;1,"REQUIERE ASIGNACIÓN MANUAL (VARIAS CASILLAS)","INFORMATIVO (sin casilla — no se declara)"),IF(COUNTIFS(Reglas!$I$5:$I$118,IF(K69&lt;&gt;"",K69,J69),Reglas!$J$5:$J$118,"Sí")=0,"BLOQUEADO: CASILLA NO DIRECTA",IF(O69="","EXCLUIDO (valor borrado por el usuario)",IF(_xlfn.ISFORMULA(O69),IF(W69&lt;&gt;"","BORRADOR — VALOR SUGERIDO DIAN ⚠ VER ALERTA","BORRADOR — VALOR SUGERIDO DIAN"),IF(W69&lt;&gt;"","ACEPTADO ⚠ VER ALERTA","ACEPTADO"))))))))</f>
        <v/>
      </c>
      <c r="R69" s="218" t="n"/>
      <c r="S69" s="58">
        <f>IF(A69="","",IFERROR(--ISNUMBER(SEARCH("R28",G69)),0)+IFERROR(--ISNUMBER(SEARCH("R29",G69)),0)+IFERROR(--ISNUMBER(SEARCH("R30",G69)),0)+IFERROR(--ISNUMBER(SEARCH("R31",G69)),0)+IFERROR(--ISNUMBER(SEARCH("R32",G69)),0)+IFERROR(--ISNUMBER(SEARCH("R33",G69)),0)+IFERROR(--ISNUMBER(SEARCH("R34",G69)),0)+IFERROR(--ISNUMBER(SEARCH("R35",G69)),0)+IFERROR(--ISNUMBER(SEARCH("R36",G69)),0)+IFERROR(--ISNUMBER(SEARCH("R37",G69)),0)+IFERROR(--ISNUMBER(SEARCH("R38",G69)),0)+IFERROR(--ISNUMBER(SEARCH("R39",G69)),0)+IFERROR(--ISNUMBER(SEARCH("R40",G69)),0)+IFERROR(--ISNUMBER(SEARCH("R41",G69)),0)+IFERROR(--ISNUMBER(SEARCH("R42",G69)),0)+IFERROR(--ISNUMBER(SEARCH("R43",G69)),0)+IFERROR(--ISNUMBER(SEARCH("R44",G69)),0)+IFERROR(--ISNUMBER(SEARCH("R45",G69)),0)+IFERROR(--ISNUMBER(SEARCH("R46",G69)),0)+IFERROR(--ISNUMBER(SEARCH("R47",G69)),0)+IFERROR(--ISNUMBER(SEARCH("R48",G69)),0)+IFERROR(--ISNUMBER(SEARCH("R49",G69)),0)+IFERROR(--ISNUMBER(SEARCH("R50",G69)),0)+IFERROR(--ISNUMBER(SEARCH("R51",G69)),0)+IFERROR(--ISNUMBER(SEARCH("R52",G69)),0)+IFERROR(--ISNUMBER(SEARCH("R53",G69)),0)+IFERROR(--ISNUMBER(SEARCH("R54",G69)),0)+IFERROR(--ISNUMBER(SEARCH("R55",G69)),0)+IFERROR(--ISNUMBER(SEARCH("R56",G69)),0)+IFERROR(--ISNUMBER(SEARCH("R57",G69)),0)+IFERROR(--ISNUMBER(SEARCH("R58",G69)),0)+IFERROR(--ISNUMBER(SEARCH("R59",G69)),0)+IFERROR(--ISNUMBER(SEARCH("R60",G69)),0)+IFERROR(--ISNUMBER(SEARCH("R61",G69)),0)+IFERROR(--ISNUMBER(SEARCH("R62",G69)),0)+IFERROR(--ISNUMBER(SEARCH("R63",G69)),0)+IFERROR(--ISNUMBER(SEARCH("R64",G69)),0)+IFERROR(--ISNUMBER(SEARCH("R65",G69)),0)+IFERROR(--ISNUMBER(SEARCH("R66",G69)),0)+IFERROR(--ISNUMBER(SEARCH("R67",G69)),0)+IFERROR(--ISNUMBER(SEARCH("R68",G69)),0)+IFERROR(--ISNUMBER(SEARCH("R69",G69)),0)+IFERROR(--ISNUMBER(SEARCH("R70",G69)),0)+IFERROR(--ISNUMBER(SEARCH("R71",G69)),0)+IFERROR(--ISNUMBER(SEARCH("R72",G69)),0)+IFERROR(--ISNUMBER(SEARCH("R73",G69)),0)+IFERROR(--ISNUMBER(SEARCH("R74",G69)),0)+IFERROR(--ISNUMBER(SEARCH("R75",G69)),0)+IFERROR(--ISNUMBER(SEARCH("R76",G69)),0)+IFERROR(--ISNUMBER(SEARCH("R77",G69)),0)+IFERROR(--ISNUMBER(SEARCH("R78",G69)),0)+IFERROR(--ISNUMBER(SEARCH("R79",G69)),0)+IFERROR(--ISNUMBER(SEARCH("R80",G69)),0)+IFERROR(--ISNUMBER(SEARCH("R81",G69)),0)+IFERROR(--ISNUMBER(SEARCH("R82",G69)),0)+IFERROR(--ISNUMBER(SEARCH("R83",G69)),0)+IFERROR(--ISNUMBER(SEARCH("R84",G69)),0)+IFERROR(--ISNUMBER(SEARCH("R85",G69)),0)+IFERROR(--ISNUMBER(SEARCH("R86",G69)),0)+IFERROR(--ISNUMBER(SEARCH("R87",G69)),0)+IFERROR(--ISNUMBER(SEARCH("R88",G69)),0)+IFERROR(--ISNUMBER(SEARCH("R89",G69)),0)+IFERROR(--ISNUMBER(SEARCH("R90",G69)),0)+IFERROR(--ISNUMBER(SEARCH("R91",G69)),0)+IFERROR(--ISNUMBER(SEARCH("R92",G69)),0)+IFERROR(--ISNUMBER(SEARCH("R93",G69)),0)+IFERROR(--ISNUMBER(SEARCH("R94",G69)),0)+IFERROR(--ISNUMBER(SEARCH("R95",G69)),0)+IFERROR(--ISNUMBER(SEARCH("R96",G69)),0)+IFERROR(--ISNUMBER(SEARCH("R97",G69)),0)+IFERROR(--ISNUMBER(SEARCH("R98",G69)),0)+IFERROR(--ISNUMBER(SEARCH("R99",G69)),0)+IFERROR(--ISNUMBER(SEARCH("R100",G69)),0)+IFERROR(--ISNUMBER(SEARCH("R101",G69)),0)+IFERROR(--ISNUMBER(SEARCH("R102",G69)),0)+IFERROR(--ISNUMBER(SEARCH("R103",G69)),0)+IFERROR(--ISNUMBER(SEARCH("R104",G69)),0)+IFERROR(--ISNUMBER(SEARCH("R105",G69)),0)+IFERROR(--ISNUMBER(SEARCH("R106",G69)),0)+IFERROR(--ISNUMBER(SEARCH("R107",G69)),0)+IFERROR(--ISNUMBER(SEARCH("R108",G69)),0)+IFERROR(--ISNUMBER(SEARCH("R109",G69)),0)+IFERROR(--ISNUMBER(SEARCH("R110",G69)),0)+IFERROR(--ISNUMBER(SEARCH("R111",G69)),0)+IFERROR(--ISNUMBER(SEARCH("R112",G69)),0)+IFERROR(--ISNUMBER(SEARCH("R113",G69)),0)+IFERROR(--ISNUMBER(SEARCH("R114",G69)),0)+IFERROR(--ISNUMBER(SEARCH("R115",G69)),0)+IFERROR(--ISNUMBER(SEARCH("R116",G69)),0)+IFERROR(--ISNUMBER(SEARCH("R117",G69)),0)+IFERROR(--ISNUMBER(SEARCH("R118",G69)),0)+IFERROR(--ISNUMBER(SEARCH("R119",G69)),0)+IFERROR(--ISNUMBER(SEARCH("R120",G69)),0)+IFERROR(--ISNUMBER(SEARCH("R121",G69)),0)+IFERROR(--ISNUMBER(SEARCH("R122",G69)),0)+IFERROR(--ISNUMBER(SEARCH("R123",G69)),0)+IFERROR(--ISNUMBER(SEARCH("R124",G69)),0)+IFERROR(--ISNUMBER(SEARCH("R125",G69)),0)+IFERROR(--ISNUMBER(SEARCH("R126",G69)),0)+IFERROR(--ISNUMBER(SEARCH("R127",G69)),0)+IFERROR(--ISNUMBER(SEARCH("R128",G69)),0)+IFERROR(--ISNUMBER(SEARCH("R129",G69)),0)+IFERROR(--ISNUMBER(SEARCH("R130",G69)),0)+IFERROR(--ISNUMBER(SEARCH("R131",G69)),0)+IFERROR(--ISNUMBER(SEARCH("R132",G69)),0)+IFERROR(--ISNUMBER(SEARCH("R133",G69)),0)+IFERROR(--ISNUMBER(SEARCH("R134",G69)),0)+IFERROR(--ISNUMBER(SEARCH("R135",G69)),0)+IFERROR(--ISNUMBER(SEARCH("R136",G69)),0)+IFERROR(--ISNUMBER(SEARCH("R137",G69)),0)+IFERROR(--ISNUMBER(SEARCH("R138",G69)),0)+IFERROR(--ISNUMBER(SEARCH("R139",G69)),0)+IFERROR(--ISNUMBER(SEARCH("R140",G69)),0)+IFERROR(--ISNUMBER(SEARCH("R141",G69)),0))</f>
        <v/>
      </c>
      <c r="T69" s="58">
        <f>IF(A69="","",IFERROR(--ISNUMBER(SEARCH("R28",G69)),0)+IFERROR(--ISNUMBER(SEARCH("R29",G69)),0)+IFERROR(--ISNUMBER(SEARCH("R30",G69)),0)+IFERROR(--ISNUMBER(SEARCH("R32",G69)),0)+IFERROR(--ISNUMBER(SEARCH("R33",G69)),0)+IFERROR(--ISNUMBER(SEARCH("R35",G69)),0)+IFERROR(--ISNUMBER(SEARCH("R36",G69)),0)+IFERROR(--ISNUMBER(SEARCH("R38",G69)),0)+IFERROR(--ISNUMBER(SEARCH("R39",G69)),0)+IFERROR(--ISNUMBER(SEARCH("R43",G69)),0)+IFERROR(--ISNUMBER(SEARCH("R44",G69)),0)+IFERROR(--ISNUMBER(SEARCH("R45",G69)),0)+IFERROR(--ISNUMBER(SEARCH("R47",G69)),0)+IFERROR(--ISNUMBER(SEARCH("R48",G69)),0)+IFERROR(--ISNUMBER(SEARCH("R50",G69)),0)+IFERROR(--ISNUMBER(SEARCH("R51",G69)),0)+IFERROR(--ISNUMBER(SEARCH("R56",G69)),0)+IFERROR(--ISNUMBER(SEARCH("R58",G69)),0)+IFERROR(--ISNUMBER(SEARCH("R59",G69)),0)+IFERROR(--ISNUMBER(SEARCH("R60",G69)),0)+IFERROR(--ISNUMBER(SEARCH("R62",G69)),0)+IFERROR(--ISNUMBER(SEARCH("R63",G69)),0)+IFERROR(--ISNUMBER(SEARCH("R64",G69)),0)+IFERROR(--ISNUMBER(SEARCH("R66",G69)),0)+IFERROR(--ISNUMBER(SEARCH("R67",G69)),0)+IFERROR(--ISNUMBER(SEARCH("R72",G69)),0)+IFERROR(--ISNUMBER(SEARCH("R74",G69)),0)+IFERROR(--ISNUMBER(SEARCH("R75",G69)),0)+IFERROR(--ISNUMBER(SEARCH("R76",G69)),0)+IFERROR(--ISNUMBER(SEARCH("R77",G69)),0)+IFERROR(--ISNUMBER(SEARCH("R79",G69)),0)+IFERROR(--ISNUMBER(SEARCH("R80",G69)),0)+IFERROR(--ISNUMBER(SEARCH("R81",G69)),0)+IFERROR(--ISNUMBER(SEARCH("R83",G69)),0)+IFERROR(--ISNUMBER(SEARCH("R84",G69)),0)+IFERROR(--ISNUMBER(SEARCH("R89",G69)),0)+IFERROR(--ISNUMBER(SEARCH("R94",G69)),0)+IFERROR(--ISNUMBER(SEARCH("R95",G69)),0)+IFERROR(--ISNUMBER(SEARCH("R96",G69)),0)+IFERROR(--ISNUMBER(SEARCH("R98",G69)),0)+IFERROR(--ISNUMBER(SEARCH("R99",G69)),0)+IFERROR(--ISNUMBER(SEARCH("R100",G69)),0)+IFERROR(--ISNUMBER(SEARCH("R104",G69)),0)+IFERROR(--ISNUMBER(SEARCH("R105",G69)),0)+IFERROR(--ISNUMBER(SEARCH("R107",G69)),0)+IFERROR(--ISNUMBER(SEARCH("R108",G69)),0)+IFERROR(--ISNUMBER(SEARCH("R109",G69)),0)+IFERROR(--ISNUMBER(SEARCH("R110",G69)),0)+IFERROR(--ISNUMBER(SEARCH("R112",G69)),0)+IFERROR(--ISNUMBER(SEARCH("R113",G69)),0)+IFERROR(--ISNUMBER(SEARCH("R114",G69)),0)+IFERROR(--ISNUMBER(SEARCH("R118",G69)),0)+IFERROR(--ISNUMBER(SEARCH("R119",G69)),0)+IFERROR(--ISNUMBER(SEARCH("R120",G69)),0)+IFERROR(--ISNUMBER(SEARCH("R122",G69)),0)+IFERROR(--ISNUMBER(SEARCH("R123",G69)),0)+IFERROR(--ISNUMBER(SEARCH("R124",G69)),0)+IFERROR(--ISNUMBER(SEARCH("R128",G69)),0)+IFERROR(--ISNUMBER(SEARCH("R130",G69)),0)+IFERROR(--ISNUMBER(SEARCH("R131",G69)),0)+IFERROR(--ISNUMBER(SEARCH("R132",G69)),0)+IFERROR(--ISNUMBER(SEARCH("R135",G69)),0)+IFERROR(--ISNUMBER(SEARCH("R138",G69)),0)+IFERROR(--ISNUMBER(SEARCH("R141",G69)),0))</f>
        <v/>
      </c>
      <c r="U69" s="58">
        <f>IF(A69="","",IFERROR(--ISNUMBER(SEARCH("R28",G69))*28,0)+IFERROR(--ISNUMBER(SEARCH("R29",G69))*29,0)+IFERROR(--ISNUMBER(SEARCH("R30",G69))*30,0)+IFERROR(--ISNUMBER(SEARCH("R31",G69))*31,0)+IFERROR(--ISNUMBER(SEARCH("R32",G69))*32,0)+IFERROR(--ISNUMBER(SEARCH("R33",G69))*33,0)+IFERROR(--ISNUMBER(SEARCH("R34",G69))*34,0)+IFERROR(--ISNUMBER(SEARCH("R35",G69))*35,0)+IFERROR(--ISNUMBER(SEARCH("R36",G69))*36,0)+IFERROR(--ISNUMBER(SEARCH("R37",G69))*37,0)+IFERROR(--ISNUMBER(SEARCH("R38",G69))*38,0)+IFERROR(--ISNUMBER(SEARCH("R39",G69))*39,0)+IFERROR(--ISNUMBER(SEARCH("R40",G69))*40,0)+IFERROR(--ISNUMBER(SEARCH("R41",G69))*41,0)+IFERROR(--ISNUMBER(SEARCH("R42",G69))*42,0)+IFERROR(--ISNUMBER(SEARCH("R43",G69))*43,0)+IFERROR(--ISNUMBER(SEARCH("R44",G69))*44,0)+IFERROR(--ISNUMBER(SEARCH("R45",G69))*45,0)+IFERROR(--ISNUMBER(SEARCH("R46",G69))*46,0)+IFERROR(--ISNUMBER(SEARCH("R47",G69))*47,0)+IFERROR(--ISNUMBER(SEARCH("R48",G69))*48,0)+IFERROR(--ISNUMBER(SEARCH("R49",G69))*49,0)+IFERROR(--ISNUMBER(SEARCH("R50",G69))*50,0)+IFERROR(--ISNUMBER(SEARCH("R51",G69))*51,0)+IFERROR(--ISNUMBER(SEARCH("R52",G69))*52,0)+IFERROR(--ISNUMBER(SEARCH("R53",G69))*53,0)+IFERROR(--ISNUMBER(SEARCH("R54",G69))*54,0)+IFERROR(--ISNUMBER(SEARCH("R55",G69))*55,0)+IFERROR(--ISNUMBER(SEARCH("R56",G69))*56,0)+IFERROR(--ISNUMBER(SEARCH("R57",G69))*57,0)+IFERROR(--ISNUMBER(SEARCH("R58",G69))*58,0)+IFERROR(--ISNUMBER(SEARCH("R59",G69))*59,0)+IFERROR(--ISNUMBER(SEARCH("R60",G69))*60,0)+IFERROR(--ISNUMBER(SEARCH("R61",G69))*61,0)+IFERROR(--ISNUMBER(SEARCH("R62",G69))*62,0)+IFERROR(--ISNUMBER(SEARCH("R63",G69))*63,0)+IFERROR(--ISNUMBER(SEARCH("R64",G69))*64,0)+IFERROR(--ISNUMBER(SEARCH("R65",G69))*65,0)+IFERROR(--ISNUMBER(SEARCH("R66",G69))*66,0)+IFERROR(--ISNUMBER(SEARCH("R67",G69))*67,0)+IFERROR(--ISNUMBER(SEARCH("R68",G69))*68,0)+IFERROR(--ISNUMBER(SEARCH("R69",G69))*69,0)+IFERROR(--ISNUMBER(SEARCH("R70",G69))*70,0)+IFERROR(--ISNUMBER(SEARCH("R71",G69))*71,0)+IFERROR(--ISNUMBER(SEARCH("R72",G69))*72,0)+IFERROR(--ISNUMBER(SEARCH("R73",G69))*73,0)+IFERROR(--ISNUMBER(SEARCH("R74",G69))*74,0)+IFERROR(--ISNUMBER(SEARCH("R75",G69))*75,0)+IFERROR(--ISNUMBER(SEARCH("R76",G69))*76,0)+IFERROR(--ISNUMBER(SEARCH("R77",G69))*77,0)+IFERROR(--ISNUMBER(SEARCH("R78",G69))*78,0)+IFERROR(--ISNUMBER(SEARCH("R79",G69))*79,0)+IFERROR(--ISNUMBER(SEARCH("R80",G69))*80,0)+IFERROR(--ISNUMBER(SEARCH("R81",G69))*81,0)+IFERROR(--ISNUMBER(SEARCH("R82",G69))*82,0)+IFERROR(--ISNUMBER(SEARCH("R83",G69))*83,0)+IFERROR(--ISNUMBER(SEARCH("R84",G69))*84,0)+IFERROR(--ISNUMBER(SEARCH("R85",G69))*85,0)+IFERROR(--ISNUMBER(SEARCH("R86",G69))*86,0)+IFERROR(--ISNUMBER(SEARCH("R87",G69))*87,0)+IFERROR(--ISNUMBER(SEARCH("R88",G69))*88,0)+IFERROR(--ISNUMBER(SEARCH("R89",G69))*89,0)+IFERROR(--ISNUMBER(SEARCH("R90",G69))*90,0)+IFERROR(--ISNUMBER(SEARCH("R91",G69))*91,0)+IFERROR(--ISNUMBER(SEARCH("R92",G69))*92,0)+IFERROR(--ISNUMBER(SEARCH("R93",G69))*93,0)+IFERROR(--ISNUMBER(SEARCH("R94",G69))*94,0)+IFERROR(--ISNUMBER(SEARCH("R95",G69))*95,0)+IFERROR(--ISNUMBER(SEARCH("R96",G69))*96,0)+IFERROR(--ISNUMBER(SEARCH("R97",G69))*97,0)+IFERROR(--ISNUMBER(SEARCH("R98",G69))*98,0)+IFERROR(--ISNUMBER(SEARCH("R99",G69))*99,0)+IFERROR(--ISNUMBER(SEARCH("R100",G69))*100,0)+IFERROR(--ISNUMBER(SEARCH("R101",G69))*101,0)+IFERROR(--ISNUMBER(SEARCH("R102",G69))*102,0)+IFERROR(--ISNUMBER(SEARCH("R103",G69))*103,0)+IFERROR(--ISNUMBER(SEARCH("R104",G69))*104,0)+IFERROR(--ISNUMBER(SEARCH("R105",G69))*105,0)+IFERROR(--ISNUMBER(SEARCH("R106",G69))*106,0)+IFERROR(--ISNUMBER(SEARCH("R107",G69))*107,0)+IFERROR(--ISNUMBER(SEARCH("R108",G69))*108,0)+IFERROR(--ISNUMBER(SEARCH("R109",G69))*109,0)+IFERROR(--ISNUMBER(SEARCH("R110",G69))*110,0)+IFERROR(--ISNUMBER(SEARCH("R111",G69))*111,0)+IFERROR(--ISNUMBER(SEARCH("R112",G69))*112,0)+IFERROR(--ISNUMBER(SEARCH("R113",G69))*113,0)+IFERROR(--ISNUMBER(SEARCH("R114",G69))*114,0)+IFERROR(--ISNUMBER(SEARCH("R115",G69))*115,0)+IFERROR(--ISNUMBER(SEARCH("R116",G69))*116,0)+IFERROR(--ISNUMBER(SEARCH("R117",G69))*117,0)+IFERROR(--ISNUMBER(SEARCH("R118",G69))*118,0)+IFERROR(--ISNUMBER(SEARCH("R119",G69))*119,0)+IFERROR(--ISNUMBER(SEARCH("R120",G69))*120,0)+IFERROR(--ISNUMBER(SEARCH("R121",G69))*121,0)+IFERROR(--ISNUMBER(SEARCH("R122",G69))*122,0)+IFERROR(--ISNUMBER(SEARCH("R123",G69))*123,0)+IFERROR(--ISNUMBER(SEARCH("R124",G69))*124,0)+IFERROR(--ISNUMBER(SEARCH("R125",G69))*125,0)+IFERROR(--ISNUMBER(SEARCH("R126",G69))*126,0)+IFERROR(--ISNUMBER(SEARCH("R127",G69))*127,0)+IFERROR(--ISNUMBER(SEARCH("R128",G69))*128,0)+IFERROR(--ISNUMBER(SEARCH("R129",G69))*129,0)+IFERROR(--ISNUMBER(SEARCH("R130",G69))*130,0)+IFERROR(--ISNUMBER(SEARCH("R131",G69))*131,0)+IFERROR(--ISNUMBER(SEARCH("R132",G69))*132,0)+IFERROR(--ISNUMBER(SEARCH("R133",G69))*133,0)+IFERROR(--ISNUMBER(SEARCH("R134",G69))*134,0)+IFERROR(--ISNUMBER(SEARCH("R135",G69))*135,0)+IFERROR(--ISNUMBER(SEARCH("R136",G69))*136,0)+IFERROR(--ISNUMBER(SEARCH("R137",G69))*137,0)+IFERROR(--ISNUMBER(SEARCH("R138",G69))*138,0)+IFERROR(--ISNUMBER(SEARCH("R139",G69))*139,0)+IFERROR(--ISNUMBER(SEARCH("R140",G69))*140,0)+IFERROR(--ISNUMBER(SEARCH("R141",G69))*141,0))</f>
        <v/>
      </c>
      <c r="V69" s="59">
        <f>IF(A69="","",IF(K69&lt;&gt;"",K69,J69))</f>
        <v/>
      </c>
      <c r="W69" s="59">
        <f>IF(A69="","",IF(AND(V69=29,O69&lt;&gt;"",COUNTIFS($V$6:$V$505,29,$F$6:$F$505,F69,$C$6:$C$505,C69,$O$6:$O$505,"&lt;&gt;")&gt;1),IF(COUNTIFS($V$6:V69,29,$F$6:F69,F69,$C$6:C69,C69,$O$6:O69,"&lt;&gt;")=1,"Esta es la fila que se debe CONSERVAR (aparición 1 de "&amp;COUNTIFS($V$6:$V$505,29,$F$6:$F$505,F69,$C$6:$C$505,C69,$O$6:$O$505,"&lt;&gt;")&amp;" con el mismo tercero y valor, casilla 29). Si hay más filas iguales, bórreles el valor a ELLAS, no a esta.","DUPLICADO — ya existe otra fila con el mismo tercero y valor para casilla 29 (aparición "&amp;COUNTIFS($V$6:V69,29,$F$6:F69,F69,$C$6:C69,C69,$O$6:O69,"&lt;&gt;")&amp;" de "&amp;COUNTIFS($V$6:$V$505,29,$F$6:$F$505,F69,$C$6:$C$505,C69,$O$6:$O$505,"&lt;&gt;")&amp;"). Para resolverlo: seleccione la celda O"&amp;ROW()&amp;" (columna Valor a declarar de ESTA fila) y presione Supr."),""))</f>
        <v/>
      </c>
      <c r="X69" s="463">
        <f>IF(A69="","",F69)</f>
        <v/>
      </c>
      <c r="Y69" s="463">
        <f>IF(A69="","",SUMIF(Entrada_Manual!$I$88:$I$187,A69,Entrada_Manual!$F$88:$F$187))</f>
        <v/>
      </c>
      <c r="Z69" s="463">
        <f>IF(A69="","",X69-Y69)</f>
        <v/>
      </c>
      <c r="AA69">
        <f>IF(A69="","",SUMPRODUCT((Entrada_Manual!$I$88:$I$187=A69)*1))</f>
        <v/>
      </c>
      <c r="AB69">
        <f>IF(A69="","",IF(S69&lt;=1,"",IF(AA69=0,"PENDIENTE — SIN ASIGNAR",IF(Z69=0,"RESUELTO","PARCIAL — DIFERENCIA "&amp;TEXT(Z69,"#,##0")))))</f>
        <v/>
      </c>
    </row>
    <row r="70" ht="28.5" customHeight="1" s="235">
      <c r="A70" s="47">
        <f>IF(Exogena_RAW!E79&lt;&gt;"",ROW()-5,"")</f>
        <v/>
      </c>
      <c r="B70" s="48">
        <f>IF(A70="","",79)</f>
        <v/>
      </c>
      <c r="C70" s="48">
        <f>IF(A70="","",IFERROR(Exogena_RAW!A79,""))</f>
        <v/>
      </c>
      <c r="D70" s="48">
        <f>IF(A70="","",IFERROR(Exogena_RAW!B79,""))</f>
        <v/>
      </c>
      <c r="E70" s="48">
        <f>IF(A70="","",Exogena_RAW!E79)</f>
        <v/>
      </c>
      <c r="F70" s="461">
        <f>IF(A70="","",Exogena_RAW!F79)</f>
        <v/>
      </c>
      <c r="G70" s="48">
        <f>IF(A70="","",IFERROR(Exogena_RAW!G79,""))</f>
        <v/>
      </c>
      <c r="H70" s="48">
        <f>IF(A70="","",IFERROR(Exogena_RAW!H79,""))</f>
        <v/>
      </c>
      <c r="I70" s="48">
        <f>IF(A70="","",IFERROR(IF(S70&gt;1,"VARIAS CASILLAS",IF(S70=1,IF(T70=1,"PROPUESTA DE CASILLA","REVISIÓN: CASILLA NO DIRECTA"),IF(OR(ISNUMBER(SEARCH("TOPE",UPPER(E70))),ISNUMBER(SEARCH("TOPE",UPPER(G70)))),"SOLO CONTROL",IF(ISNUMBER(SEARCH("RETEN",UPPER(E70))),"RETENCIÓN","REVISAR")))),"REVISAR"))</f>
        <v/>
      </c>
      <c r="J70" s="61">
        <f>IF(A70="","",IF(ISNUMBER(SEARCH("ingreso laboral promedio de los últimos seis meses",E70)),"",IFERROR(IF(AND(S70=1,T70=1),U70,""),"")))</f>
        <v/>
      </c>
      <c r="K70" s="216" t="n"/>
      <c r="L70" s="48">
        <f>IF(A70="","",IFERROR(IF(K70&lt;&gt;"","Casilla elegida por usuario",IF(S70&gt;1,"Varias casillas — elegir en K",IF(J70&lt;&gt;"","Sugerencia directa",IF(S70=1,"No trasladar directo — revisar",IF(OR(ISNUMBER(SEARCH("TOPE",UPPER(E70))),ISNUMBER(SEARCH("TOPE",UPPER(G70)))),"Solo control","Revisar manualmente"))))),"Revisar manualmente"))</f>
        <v/>
      </c>
      <c r="M70" s="461">
        <f>IF(A70="","",IF(IF(K70&lt;&gt;"",K70,J70)="",0,IF(COUNTIFS(Reglas!$I$5:$I$118,IF(K70&lt;&gt;"",K70,J70),Reglas!$J$5:$J$118,"Sí")=1,F70,0)))</f>
        <v/>
      </c>
      <c r="N70" s="56" t="n"/>
      <c r="O70" s="462">
        <f>IF(A70="","",IF(M70=0,"",M70))</f>
        <v/>
      </c>
      <c r="P70" s="461">
        <f>IF(A70="","",IF(O70="",0,IF(ISNUMBER(O70),O70,0)))</f>
        <v/>
      </c>
      <c r="Q70" s="48">
        <f>IF(A70="","",IF(Exogena_RAW!$C$4="","BLOQUEADO: FALTA AÑO",IF(Exogena_RAW!$K$10&lt;&gt;Reglas!$B$5,"BLOQUEADO: AÑO",IF(IF(K70&lt;&gt;"",K70,J70)="",IF(S70&gt;1,"REQUIERE ASIGNACIÓN MANUAL (VARIAS CASILLAS)","INFORMATIVO (sin casilla — no se declara)"),IF(COUNTIFS(Reglas!$I$5:$I$118,IF(K70&lt;&gt;"",K70,J70),Reglas!$J$5:$J$118,"Sí")=0,"BLOQUEADO: CASILLA NO DIRECTA",IF(O70="","EXCLUIDO (valor borrado por el usuario)",IF(_xlfn.ISFORMULA(O70),IF(W70&lt;&gt;"","BORRADOR — VALOR SUGERIDO DIAN ⚠ VER ALERTA","BORRADOR — VALOR SUGERIDO DIAN"),IF(W70&lt;&gt;"","ACEPTADO ⚠ VER ALERTA","ACEPTADO"))))))))</f>
        <v/>
      </c>
      <c r="R70" s="218" t="n"/>
      <c r="S70" s="58">
        <f>IF(A70="","",IFERROR(--ISNUMBER(SEARCH("R28",G70)),0)+IFERROR(--ISNUMBER(SEARCH("R29",G70)),0)+IFERROR(--ISNUMBER(SEARCH("R30",G70)),0)+IFERROR(--ISNUMBER(SEARCH("R31",G70)),0)+IFERROR(--ISNUMBER(SEARCH("R32",G70)),0)+IFERROR(--ISNUMBER(SEARCH("R33",G70)),0)+IFERROR(--ISNUMBER(SEARCH("R34",G70)),0)+IFERROR(--ISNUMBER(SEARCH("R35",G70)),0)+IFERROR(--ISNUMBER(SEARCH("R36",G70)),0)+IFERROR(--ISNUMBER(SEARCH("R37",G70)),0)+IFERROR(--ISNUMBER(SEARCH("R38",G70)),0)+IFERROR(--ISNUMBER(SEARCH("R39",G70)),0)+IFERROR(--ISNUMBER(SEARCH("R40",G70)),0)+IFERROR(--ISNUMBER(SEARCH("R41",G70)),0)+IFERROR(--ISNUMBER(SEARCH("R42",G70)),0)+IFERROR(--ISNUMBER(SEARCH("R43",G70)),0)+IFERROR(--ISNUMBER(SEARCH("R44",G70)),0)+IFERROR(--ISNUMBER(SEARCH("R45",G70)),0)+IFERROR(--ISNUMBER(SEARCH("R46",G70)),0)+IFERROR(--ISNUMBER(SEARCH("R47",G70)),0)+IFERROR(--ISNUMBER(SEARCH("R48",G70)),0)+IFERROR(--ISNUMBER(SEARCH("R49",G70)),0)+IFERROR(--ISNUMBER(SEARCH("R50",G70)),0)+IFERROR(--ISNUMBER(SEARCH("R51",G70)),0)+IFERROR(--ISNUMBER(SEARCH("R52",G70)),0)+IFERROR(--ISNUMBER(SEARCH("R53",G70)),0)+IFERROR(--ISNUMBER(SEARCH("R54",G70)),0)+IFERROR(--ISNUMBER(SEARCH("R55",G70)),0)+IFERROR(--ISNUMBER(SEARCH("R56",G70)),0)+IFERROR(--ISNUMBER(SEARCH("R57",G70)),0)+IFERROR(--ISNUMBER(SEARCH("R58",G70)),0)+IFERROR(--ISNUMBER(SEARCH("R59",G70)),0)+IFERROR(--ISNUMBER(SEARCH("R60",G70)),0)+IFERROR(--ISNUMBER(SEARCH("R61",G70)),0)+IFERROR(--ISNUMBER(SEARCH("R62",G70)),0)+IFERROR(--ISNUMBER(SEARCH("R63",G70)),0)+IFERROR(--ISNUMBER(SEARCH("R64",G70)),0)+IFERROR(--ISNUMBER(SEARCH("R65",G70)),0)+IFERROR(--ISNUMBER(SEARCH("R66",G70)),0)+IFERROR(--ISNUMBER(SEARCH("R67",G70)),0)+IFERROR(--ISNUMBER(SEARCH("R68",G70)),0)+IFERROR(--ISNUMBER(SEARCH("R69",G70)),0)+IFERROR(--ISNUMBER(SEARCH("R70",G70)),0)+IFERROR(--ISNUMBER(SEARCH("R71",G70)),0)+IFERROR(--ISNUMBER(SEARCH("R72",G70)),0)+IFERROR(--ISNUMBER(SEARCH("R73",G70)),0)+IFERROR(--ISNUMBER(SEARCH("R74",G70)),0)+IFERROR(--ISNUMBER(SEARCH("R75",G70)),0)+IFERROR(--ISNUMBER(SEARCH("R76",G70)),0)+IFERROR(--ISNUMBER(SEARCH("R77",G70)),0)+IFERROR(--ISNUMBER(SEARCH("R78",G70)),0)+IFERROR(--ISNUMBER(SEARCH("R79",G70)),0)+IFERROR(--ISNUMBER(SEARCH("R80",G70)),0)+IFERROR(--ISNUMBER(SEARCH("R81",G70)),0)+IFERROR(--ISNUMBER(SEARCH("R82",G70)),0)+IFERROR(--ISNUMBER(SEARCH("R83",G70)),0)+IFERROR(--ISNUMBER(SEARCH("R84",G70)),0)+IFERROR(--ISNUMBER(SEARCH("R85",G70)),0)+IFERROR(--ISNUMBER(SEARCH("R86",G70)),0)+IFERROR(--ISNUMBER(SEARCH("R87",G70)),0)+IFERROR(--ISNUMBER(SEARCH("R88",G70)),0)+IFERROR(--ISNUMBER(SEARCH("R89",G70)),0)+IFERROR(--ISNUMBER(SEARCH("R90",G70)),0)+IFERROR(--ISNUMBER(SEARCH("R91",G70)),0)+IFERROR(--ISNUMBER(SEARCH("R92",G70)),0)+IFERROR(--ISNUMBER(SEARCH("R93",G70)),0)+IFERROR(--ISNUMBER(SEARCH("R94",G70)),0)+IFERROR(--ISNUMBER(SEARCH("R95",G70)),0)+IFERROR(--ISNUMBER(SEARCH("R96",G70)),0)+IFERROR(--ISNUMBER(SEARCH("R97",G70)),0)+IFERROR(--ISNUMBER(SEARCH("R98",G70)),0)+IFERROR(--ISNUMBER(SEARCH("R99",G70)),0)+IFERROR(--ISNUMBER(SEARCH("R100",G70)),0)+IFERROR(--ISNUMBER(SEARCH("R101",G70)),0)+IFERROR(--ISNUMBER(SEARCH("R102",G70)),0)+IFERROR(--ISNUMBER(SEARCH("R103",G70)),0)+IFERROR(--ISNUMBER(SEARCH("R104",G70)),0)+IFERROR(--ISNUMBER(SEARCH("R105",G70)),0)+IFERROR(--ISNUMBER(SEARCH("R106",G70)),0)+IFERROR(--ISNUMBER(SEARCH("R107",G70)),0)+IFERROR(--ISNUMBER(SEARCH("R108",G70)),0)+IFERROR(--ISNUMBER(SEARCH("R109",G70)),0)+IFERROR(--ISNUMBER(SEARCH("R110",G70)),0)+IFERROR(--ISNUMBER(SEARCH("R111",G70)),0)+IFERROR(--ISNUMBER(SEARCH("R112",G70)),0)+IFERROR(--ISNUMBER(SEARCH("R113",G70)),0)+IFERROR(--ISNUMBER(SEARCH("R114",G70)),0)+IFERROR(--ISNUMBER(SEARCH("R115",G70)),0)+IFERROR(--ISNUMBER(SEARCH("R116",G70)),0)+IFERROR(--ISNUMBER(SEARCH("R117",G70)),0)+IFERROR(--ISNUMBER(SEARCH("R118",G70)),0)+IFERROR(--ISNUMBER(SEARCH("R119",G70)),0)+IFERROR(--ISNUMBER(SEARCH("R120",G70)),0)+IFERROR(--ISNUMBER(SEARCH("R121",G70)),0)+IFERROR(--ISNUMBER(SEARCH("R122",G70)),0)+IFERROR(--ISNUMBER(SEARCH("R123",G70)),0)+IFERROR(--ISNUMBER(SEARCH("R124",G70)),0)+IFERROR(--ISNUMBER(SEARCH("R125",G70)),0)+IFERROR(--ISNUMBER(SEARCH("R126",G70)),0)+IFERROR(--ISNUMBER(SEARCH("R127",G70)),0)+IFERROR(--ISNUMBER(SEARCH("R128",G70)),0)+IFERROR(--ISNUMBER(SEARCH("R129",G70)),0)+IFERROR(--ISNUMBER(SEARCH("R130",G70)),0)+IFERROR(--ISNUMBER(SEARCH("R131",G70)),0)+IFERROR(--ISNUMBER(SEARCH("R132",G70)),0)+IFERROR(--ISNUMBER(SEARCH("R133",G70)),0)+IFERROR(--ISNUMBER(SEARCH("R134",G70)),0)+IFERROR(--ISNUMBER(SEARCH("R135",G70)),0)+IFERROR(--ISNUMBER(SEARCH("R136",G70)),0)+IFERROR(--ISNUMBER(SEARCH("R137",G70)),0)+IFERROR(--ISNUMBER(SEARCH("R138",G70)),0)+IFERROR(--ISNUMBER(SEARCH("R139",G70)),0)+IFERROR(--ISNUMBER(SEARCH("R140",G70)),0)+IFERROR(--ISNUMBER(SEARCH("R141",G70)),0))</f>
        <v/>
      </c>
      <c r="T70" s="58">
        <f>IF(A70="","",IFERROR(--ISNUMBER(SEARCH("R28",G70)),0)+IFERROR(--ISNUMBER(SEARCH("R29",G70)),0)+IFERROR(--ISNUMBER(SEARCH("R30",G70)),0)+IFERROR(--ISNUMBER(SEARCH("R32",G70)),0)+IFERROR(--ISNUMBER(SEARCH("R33",G70)),0)+IFERROR(--ISNUMBER(SEARCH("R35",G70)),0)+IFERROR(--ISNUMBER(SEARCH("R36",G70)),0)+IFERROR(--ISNUMBER(SEARCH("R38",G70)),0)+IFERROR(--ISNUMBER(SEARCH("R39",G70)),0)+IFERROR(--ISNUMBER(SEARCH("R43",G70)),0)+IFERROR(--ISNUMBER(SEARCH("R44",G70)),0)+IFERROR(--ISNUMBER(SEARCH("R45",G70)),0)+IFERROR(--ISNUMBER(SEARCH("R47",G70)),0)+IFERROR(--ISNUMBER(SEARCH("R48",G70)),0)+IFERROR(--ISNUMBER(SEARCH("R50",G70)),0)+IFERROR(--ISNUMBER(SEARCH("R51",G70)),0)+IFERROR(--ISNUMBER(SEARCH("R56",G70)),0)+IFERROR(--ISNUMBER(SEARCH("R58",G70)),0)+IFERROR(--ISNUMBER(SEARCH("R59",G70)),0)+IFERROR(--ISNUMBER(SEARCH("R60",G70)),0)+IFERROR(--ISNUMBER(SEARCH("R62",G70)),0)+IFERROR(--ISNUMBER(SEARCH("R63",G70)),0)+IFERROR(--ISNUMBER(SEARCH("R64",G70)),0)+IFERROR(--ISNUMBER(SEARCH("R66",G70)),0)+IFERROR(--ISNUMBER(SEARCH("R67",G70)),0)+IFERROR(--ISNUMBER(SEARCH("R72",G70)),0)+IFERROR(--ISNUMBER(SEARCH("R74",G70)),0)+IFERROR(--ISNUMBER(SEARCH("R75",G70)),0)+IFERROR(--ISNUMBER(SEARCH("R76",G70)),0)+IFERROR(--ISNUMBER(SEARCH("R77",G70)),0)+IFERROR(--ISNUMBER(SEARCH("R79",G70)),0)+IFERROR(--ISNUMBER(SEARCH("R80",G70)),0)+IFERROR(--ISNUMBER(SEARCH("R81",G70)),0)+IFERROR(--ISNUMBER(SEARCH("R83",G70)),0)+IFERROR(--ISNUMBER(SEARCH("R84",G70)),0)+IFERROR(--ISNUMBER(SEARCH("R89",G70)),0)+IFERROR(--ISNUMBER(SEARCH("R94",G70)),0)+IFERROR(--ISNUMBER(SEARCH("R95",G70)),0)+IFERROR(--ISNUMBER(SEARCH("R96",G70)),0)+IFERROR(--ISNUMBER(SEARCH("R98",G70)),0)+IFERROR(--ISNUMBER(SEARCH("R99",G70)),0)+IFERROR(--ISNUMBER(SEARCH("R100",G70)),0)+IFERROR(--ISNUMBER(SEARCH("R104",G70)),0)+IFERROR(--ISNUMBER(SEARCH("R105",G70)),0)+IFERROR(--ISNUMBER(SEARCH("R107",G70)),0)+IFERROR(--ISNUMBER(SEARCH("R108",G70)),0)+IFERROR(--ISNUMBER(SEARCH("R109",G70)),0)+IFERROR(--ISNUMBER(SEARCH("R110",G70)),0)+IFERROR(--ISNUMBER(SEARCH("R112",G70)),0)+IFERROR(--ISNUMBER(SEARCH("R113",G70)),0)+IFERROR(--ISNUMBER(SEARCH("R114",G70)),0)+IFERROR(--ISNUMBER(SEARCH("R118",G70)),0)+IFERROR(--ISNUMBER(SEARCH("R119",G70)),0)+IFERROR(--ISNUMBER(SEARCH("R120",G70)),0)+IFERROR(--ISNUMBER(SEARCH("R122",G70)),0)+IFERROR(--ISNUMBER(SEARCH("R123",G70)),0)+IFERROR(--ISNUMBER(SEARCH("R124",G70)),0)+IFERROR(--ISNUMBER(SEARCH("R128",G70)),0)+IFERROR(--ISNUMBER(SEARCH("R130",G70)),0)+IFERROR(--ISNUMBER(SEARCH("R131",G70)),0)+IFERROR(--ISNUMBER(SEARCH("R132",G70)),0)+IFERROR(--ISNUMBER(SEARCH("R135",G70)),0)+IFERROR(--ISNUMBER(SEARCH("R138",G70)),0)+IFERROR(--ISNUMBER(SEARCH("R141",G70)),0))</f>
        <v/>
      </c>
      <c r="U70" s="58">
        <f>IF(A70="","",IFERROR(--ISNUMBER(SEARCH("R28",G70))*28,0)+IFERROR(--ISNUMBER(SEARCH("R29",G70))*29,0)+IFERROR(--ISNUMBER(SEARCH("R30",G70))*30,0)+IFERROR(--ISNUMBER(SEARCH("R31",G70))*31,0)+IFERROR(--ISNUMBER(SEARCH("R32",G70))*32,0)+IFERROR(--ISNUMBER(SEARCH("R33",G70))*33,0)+IFERROR(--ISNUMBER(SEARCH("R34",G70))*34,0)+IFERROR(--ISNUMBER(SEARCH("R35",G70))*35,0)+IFERROR(--ISNUMBER(SEARCH("R36",G70))*36,0)+IFERROR(--ISNUMBER(SEARCH("R37",G70))*37,0)+IFERROR(--ISNUMBER(SEARCH("R38",G70))*38,0)+IFERROR(--ISNUMBER(SEARCH("R39",G70))*39,0)+IFERROR(--ISNUMBER(SEARCH("R40",G70))*40,0)+IFERROR(--ISNUMBER(SEARCH("R41",G70))*41,0)+IFERROR(--ISNUMBER(SEARCH("R42",G70))*42,0)+IFERROR(--ISNUMBER(SEARCH("R43",G70))*43,0)+IFERROR(--ISNUMBER(SEARCH("R44",G70))*44,0)+IFERROR(--ISNUMBER(SEARCH("R45",G70))*45,0)+IFERROR(--ISNUMBER(SEARCH("R46",G70))*46,0)+IFERROR(--ISNUMBER(SEARCH("R47",G70))*47,0)+IFERROR(--ISNUMBER(SEARCH("R48",G70))*48,0)+IFERROR(--ISNUMBER(SEARCH("R49",G70))*49,0)+IFERROR(--ISNUMBER(SEARCH("R50",G70))*50,0)+IFERROR(--ISNUMBER(SEARCH("R51",G70))*51,0)+IFERROR(--ISNUMBER(SEARCH("R52",G70))*52,0)+IFERROR(--ISNUMBER(SEARCH("R53",G70))*53,0)+IFERROR(--ISNUMBER(SEARCH("R54",G70))*54,0)+IFERROR(--ISNUMBER(SEARCH("R55",G70))*55,0)+IFERROR(--ISNUMBER(SEARCH("R56",G70))*56,0)+IFERROR(--ISNUMBER(SEARCH("R57",G70))*57,0)+IFERROR(--ISNUMBER(SEARCH("R58",G70))*58,0)+IFERROR(--ISNUMBER(SEARCH("R59",G70))*59,0)+IFERROR(--ISNUMBER(SEARCH("R60",G70))*60,0)+IFERROR(--ISNUMBER(SEARCH("R61",G70))*61,0)+IFERROR(--ISNUMBER(SEARCH("R62",G70))*62,0)+IFERROR(--ISNUMBER(SEARCH("R63",G70))*63,0)+IFERROR(--ISNUMBER(SEARCH("R64",G70))*64,0)+IFERROR(--ISNUMBER(SEARCH("R65",G70))*65,0)+IFERROR(--ISNUMBER(SEARCH("R66",G70))*66,0)+IFERROR(--ISNUMBER(SEARCH("R67",G70))*67,0)+IFERROR(--ISNUMBER(SEARCH("R68",G70))*68,0)+IFERROR(--ISNUMBER(SEARCH("R69",G70))*69,0)+IFERROR(--ISNUMBER(SEARCH("R70",G70))*70,0)+IFERROR(--ISNUMBER(SEARCH("R71",G70))*71,0)+IFERROR(--ISNUMBER(SEARCH("R72",G70))*72,0)+IFERROR(--ISNUMBER(SEARCH("R73",G70))*73,0)+IFERROR(--ISNUMBER(SEARCH("R74",G70))*74,0)+IFERROR(--ISNUMBER(SEARCH("R75",G70))*75,0)+IFERROR(--ISNUMBER(SEARCH("R76",G70))*76,0)+IFERROR(--ISNUMBER(SEARCH("R77",G70))*77,0)+IFERROR(--ISNUMBER(SEARCH("R78",G70))*78,0)+IFERROR(--ISNUMBER(SEARCH("R79",G70))*79,0)+IFERROR(--ISNUMBER(SEARCH("R80",G70))*80,0)+IFERROR(--ISNUMBER(SEARCH("R81",G70))*81,0)+IFERROR(--ISNUMBER(SEARCH("R82",G70))*82,0)+IFERROR(--ISNUMBER(SEARCH("R83",G70))*83,0)+IFERROR(--ISNUMBER(SEARCH("R84",G70))*84,0)+IFERROR(--ISNUMBER(SEARCH("R85",G70))*85,0)+IFERROR(--ISNUMBER(SEARCH("R86",G70))*86,0)+IFERROR(--ISNUMBER(SEARCH("R87",G70))*87,0)+IFERROR(--ISNUMBER(SEARCH("R88",G70))*88,0)+IFERROR(--ISNUMBER(SEARCH("R89",G70))*89,0)+IFERROR(--ISNUMBER(SEARCH("R90",G70))*90,0)+IFERROR(--ISNUMBER(SEARCH("R91",G70))*91,0)+IFERROR(--ISNUMBER(SEARCH("R92",G70))*92,0)+IFERROR(--ISNUMBER(SEARCH("R93",G70))*93,0)+IFERROR(--ISNUMBER(SEARCH("R94",G70))*94,0)+IFERROR(--ISNUMBER(SEARCH("R95",G70))*95,0)+IFERROR(--ISNUMBER(SEARCH("R96",G70))*96,0)+IFERROR(--ISNUMBER(SEARCH("R97",G70))*97,0)+IFERROR(--ISNUMBER(SEARCH("R98",G70))*98,0)+IFERROR(--ISNUMBER(SEARCH("R99",G70))*99,0)+IFERROR(--ISNUMBER(SEARCH("R100",G70))*100,0)+IFERROR(--ISNUMBER(SEARCH("R101",G70))*101,0)+IFERROR(--ISNUMBER(SEARCH("R102",G70))*102,0)+IFERROR(--ISNUMBER(SEARCH("R103",G70))*103,0)+IFERROR(--ISNUMBER(SEARCH("R104",G70))*104,0)+IFERROR(--ISNUMBER(SEARCH("R105",G70))*105,0)+IFERROR(--ISNUMBER(SEARCH("R106",G70))*106,0)+IFERROR(--ISNUMBER(SEARCH("R107",G70))*107,0)+IFERROR(--ISNUMBER(SEARCH("R108",G70))*108,0)+IFERROR(--ISNUMBER(SEARCH("R109",G70))*109,0)+IFERROR(--ISNUMBER(SEARCH("R110",G70))*110,0)+IFERROR(--ISNUMBER(SEARCH("R111",G70))*111,0)+IFERROR(--ISNUMBER(SEARCH("R112",G70))*112,0)+IFERROR(--ISNUMBER(SEARCH("R113",G70))*113,0)+IFERROR(--ISNUMBER(SEARCH("R114",G70))*114,0)+IFERROR(--ISNUMBER(SEARCH("R115",G70))*115,0)+IFERROR(--ISNUMBER(SEARCH("R116",G70))*116,0)+IFERROR(--ISNUMBER(SEARCH("R117",G70))*117,0)+IFERROR(--ISNUMBER(SEARCH("R118",G70))*118,0)+IFERROR(--ISNUMBER(SEARCH("R119",G70))*119,0)+IFERROR(--ISNUMBER(SEARCH("R120",G70))*120,0)+IFERROR(--ISNUMBER(SEARCH("R121",G70))*121,0)+IFERROR(--ISNUMBER(SEARCH("R122",G70))*122,0)+IFERROR(--ISNUMBER(SEARCH("R123",G70))*123,0)+IFERROR(--ISNUMBER(SEARCH("R124",G70))*124,0)+IFERROR(--ISNUMBER(SEARCH("R125",G70))*125,0)+IFERROR(--ISNUMBER(SEARCH("R126",G70))*126,0)+IFERROR(--ISNUMBER(SEARCH("R127",G70))*127,0)+IFERROR(--ISNUMBER(SEARCH("R128",G70))*128,0)+IFERROR(--ISNUMBER(SEARCH("R129",G70))*129,0)+IFERROR(--ISNUMBER(SEARCH("R130",G70))*130,0)+IFERROR(--ISNUMBER(SEARCH("R131",G70))*131,0)+IFERROR(--ISNUMBER(SEARCH("R132",G70))*132,0)+IFERROR(--ISNUMBER(SEARCH("R133",G70))*133,0)+IFERROR(--ISNUMBER(SEARCH("R134",G70))*134,0)+IFERROR(--ISNUMBER(SEARCH("R135",G70))*135,0)+IFERROR(--ISNUMBER(SEARCH("R136",G70))*136,0)+IFERROR(--ISNUMBER(SEARCH("R137",G70))*137,0)+IFERROR(--ISNUMBER(SEARCH("R138",G70))*138,0)+IFERROR(--ISNUMBER(SEARCH("R139",G70))*139,0)+IFERROR(--ISNUMBER(SEARCH("R140",G70))*140,0)+IFERROR(--ISNUMBER(SEARCH("R141",G70))*141,0))</f>
        <v/>
      </c>
      <c r="V70" s="59">
        <f>IF(A70="","",IF(K70&lt;&gt;"",K70,J70))</f>
        <v/>
      </c>
      <c r="W70" s="59">
        <f>IF(A70="","",IF(AND(V70=29,O70&lt;&gt;"",COUNTIFS($V$6:$V$505,29,$F$6:$F$505,F70,$C$6:$C$505,C70,$O$6:$O$505,"&lt;&gt;")&gt;1),IF(COUNTIFS($V$6:V70,29,$F$6:F70,F70,$C$6:C70,C70,$O$6:O70,"&lt;&gt;")=1,"Esta es la fila que se debe CONSERVAR (aparición 1 de "&amp;COUNTIFS($V$6:$V$505,29,$F$6:$F$505,F70,$C$6:$C$505,C70,$O$6:$O$505,"&lt;&gt;")&amp;" con el mismo tercero y valor, casilla 29). Si hay más filas iguales, bórreles el valor a ELLAS, no a esta.","DUPLICADO — ya existe otra fila con el mismo tercero y valor para casilla 29 (aparición "&amp;COUNTIFS($V$6:V70,29,$F$6:F70,F70,$C$6:C70,C70,$O$6:O70,"&lt;&gt;")&amp;" de "&amp;COUNTIFS($V$6:$V$505,29,$F$6:$F$505,F70,$C$6:$C$505,C70,$O$6:$O$505,"&lt;&gt;")&amp;"). Para resolverlo: seleccione la celda O"&amp;ROW()&amp;" (columna Valor a declarar de ESTA fila) y presione Supr."),""))</f>
        <v/>
      </c>
      <c r="X70" s="463">
        <f>IF(A70="","",F70)</f>
        <v/>
      </c>
      <c r="Y70" s="463">
        <f>IF(A70="","",SUMIF(Entrada_Manual!$I$88:$I$187,A70,Entrada_Manual!$F$88:$F$187))</f>
        <v/>
      </c>
      <c r="Z70" s="463">
        <f>IF(A70="","",X70-Y70)</f>
        <v/>
      </c>
      <c r="AA70">
        <f>IF(A70="","",SUMPRODUCT((Entrada_Manual!$I$88:$I$187=A70)*1))</f>
        <v/>
      </c>
      <c r="AB70">
        <f>IF(A70="","",IF(S70&lt;=1,"",IF(AA70=0,"PENDIENTE — SIN ASIGNAR",IF(Z70=0,"RESUELTO","PARCIAL — DIFERENCIA "&amp;TEXT(Z70,"#,##0")))))</f>
        <v/>
      </c>
    </row>
    <row r="71" ht="42.75" customHeight="1" s="235">
      <c r="A71" s="47">
        <f>IF(Exogena_RAW!E80&lt;&gt;"",ROW()-5,"")</f>
        <v/>
      </c>
      <c r="B71" s="48">
        <f>IF(A71="","",80)</f>
        <v/>
      </c>
      <c r="C71" s="48">
        <f>IF(A71="","",IFERROR(Exogena_RAW!A80,""))</f>
        <v/>
      </c>
      <c r="D71" s="48">
        <f>IF(A71="","",IFERROR(Exogena_RAW!B80,""))</f>
        <v/>
      </c>
      <c r="E71" s="48">
        <f>IF(A71="","",Exogena_RAW!E80)</f>
        <v/>
      </c>
      <c r="F71" s="461">
        <f>IF(A71="","",Exogena_RAW!F80)</f>
        <v/>
      </c>
      <c r="G71" s="48">
        <f>IF(A71="","",IFERROR(Exogena_RAW!G80,""))</f>
        <v/>
      </c>
      <c r="H71" s="48">
        <f>IF(A71="","",IFERROR(Exogena_RAW!H80,""))</f>
        <v/>
      </c>
      <c r="I71" s="48">
        <f>IF(A71="","",IFERROR(IF(S71&gt;1,"VARIAS CASILLAS",IF(S71=1,IF(T71=1,"PROPUESTA DE CASILLA","REVISIÓN: CASILLA NO DIRECTA"),IF(OR(ISNUMBER(SEARCH("TOPE",UPPER(E71))),ISNUMBER(SEARCH("TOPE",UPPER(G71)))),"SOLO CONTROL",IF(ISNUMBER(SEARCH("RETEN",UPPER(E71))),"RETENCIÓN","REVISAR")))),"REVISAR"))</f>
        <v/>
      </c>
      <c r="J71" s="48">
        <f>IF(A71="","",IF(ISNUMBER(SEARCH("ingreso laboral promedio de los últimos seis meses",E71)),"",IFERROR(IF(AND(S71=1,T71=1),U71,""),"")))</f>
        <v/>
      </c>
      <c r="K71" s="216" t="n"/>
      <c r="L71" s="48">
        <f>IF(A71="","",IFERROR(IF(K71&lt;&gt;"","Casilla elegida por usuario",IF(S71&gt;1,"Varias casillas — elegir en K",IF(J71&lt;&gt;"","Sugerencia directa",IF(S71=1,"No trasladar directo — revisar",IF(OR(ISNUMBER(SEARCH("TOPE",UPPER(E71))),ISNUMBER(SEARCH("TOPE",UPPER(G71)))),"Solo control","Revisar manualmente"))))),"Revisar manualmente"))</f>
        <v/>
      </c>
      <c r="M71" s="461">
        <f>IF(A71="","",IF(IF(K71&lt;&gt;"",K71,J71)="",0,IF(COUNTIFS(Reglas!$I$5:$I$118,IF(K71&lt;&gt;"",K71,J71),Reglas!$J$5:$J$118,"Sí")=1,F71,0)))</f>
        <v/>
      </c>
      <c r="N71" s="56" t="n"/>
      <c r="O71" s="462">
        <f>IF(A71="","",IF(M71=0,"",M71))</f>
        <v/>
      </c>
      <c r="P71" s="461">
        <f>IF(A71="","",IF(O71="",0,IF(ISNUMBER(O71),O71,0)))</f>
        <v/>
      </c>
      <c r="Q71" s="48">
        <f>IF(A71="","",IF(Exogena_RAW!$C$4="","BLOQUEADO: FALTA AÑO",IF(Exogena_RAW!$K$10&lt;&gt;Reglas!$B$5,"BLOQUEADO: AÑO",IF(IF(K71&lt;&gt;"",K71,J71)="",IF(S71&gt;1,"REQUIERE ASIGNACIÓN MANUAL (VARIAS CASILLAS)","INFORMATIVO (sin casilla — no se declara)"),IF(COUNTIFS(Reglas!$I$5:$I$118,IF(K71&lt;&gt;"",K71,J71),Reglas!$J$5:$J$118,"Sí")=0,"BLOQUEADO: CASILLA NO DIRECTA",IF(O71="","EXCLUIDO (valor borrado por el usuario)",IF(_xlfn.ISFORMULA(O71),IF(W71&lt;&gt;"","BORRADOR — VALOR SUGERIDO DIAN ⚠ VER ALERTA","BORRADOR — VALOR SUGERIDO DIAN"),IF(W71&lt;&gt;"","ACEPTADO ⚠ VER ALERTA","ACEPTADO"))))))))</f>
        <v/>
      </c>
      <c r="R71" s="218" t="n"/>
      <c r="S71" s="58">
        <f>IF(A71="","",IFERROR(--ISNUMBER(SEARCH("R28",G71)),0)+IFERROR(--ISNUMBER(SEARCH("R29",G71)),0)+IFERROR(--ISNUMBER(SEARCH("R30",G71)),0)+IFERROR(--ISNUMBER(SEARCH("R31",G71)),0)+IFERROR(--ISNUMBER(SEARCH("R32",G71)),0)+IFERROR(--ISNUMBER(SEARCH("R33",G71)),0)+IFERROR(--ISNUMBER(SEARCH("R34",G71)),0)+IFERROR(--ISNUMBER(SEARCH("R35",G71)),0)+IFERROR(--ISNUMBER(SEARCH("R36",G71)),0)+IFERROR(--ISNUMBER(SEARCH("R37",G71)),0)+IFERROR(--ISNUMBER(SEARCH("R38",G71)),0)+IFERROR(--ISNUMBER(SEARCH("R39",G71)),0)+IFERROR(--ISNUMBER(SEARCH("R40",G71)),0)+IFERROR(--ISNUMBER(SEARCH("R41",G71)),0)+IFERROR(--ISNUMBER(SEARCH("R42",G71)),0)+IFERROR(--ISNUMBER(SEARCH("R43",G71)),0)+IFERROR(--ISNUMBER(SEARCH("R44",G71)),0)+IFERROR(--ISNUMBER(SEARCH("R45",G71)),0)+IFERROR(--ISNUMBER(SEARCH("R46",G71)),0)+IFERROR(--ISNUMBER(SEARCH("R47",G71)),0)+IFERROR(--ISNUMBER(SEARCH("R48",G71)),0)+IFERROR(--ISNUMBER(SEARCH("R49",G71)),0)+IFERROR(--ISNUMBER(SEARCH("R50",G71)),0)+IFERROR(--ISNUMBER(SEARCH("R51",G71)),0)+IFERROR(--ISNUMBER(SEARCH("R52",G71)),0)+IFERROR(--ISNUMBER(SEARCH("R53",G71)),0)+IFERROR(--ISNUMBER(SEARCH("R54",G71)),0)+IFERROR(--ISNUMBER(SEARCH("R55",G71)),0)+IFERROR(--ISNUMBER(SEARCH("R56",G71)),0)+IFERROR(--ISNUMBER(SEARCH("R57",G71)),0)+IFERROR(--ISNUMBER(SEARCH("R58",G71)),0)+IFERROR(--ISNUMBER(SEARCH("R59",G71)),0)+IFERROR(--ISNUMBER(SEARCH("R60",G71)),0)+IFERROR(--ISNUMBER(SEARCH("R61",G71)),0)+IFERROR(--ISNUMBER(SEARCH("R62",G71)),0)+IFERROR(--ISNUMBER(SEARCH("R63",G71)),0)+IFERROR(--ISNUMBER(SEARCH("R64",G71)),0)+IFERROR(--ISNUMBER(SEARCH("R65",G71)),0)+IFERROR(--ISNUMBER(SEARCH("R66",G71)),0)+IFERROR(--ISNUMBER(SEARCH("R67",G71)),0)+IFERROR(--ISNUMBER(SEARCH("R68",G71)),0)+IFERROR(--ISNUMBER(SEARCH("R69",G71)),0)+IFERROR(--ISNUMBER(SEARCH("R70",G71)),0)+IFERROR(--ISNUMBER(SEARCH("R71",G71)),0)+IFERROR(--ISNUMBER(SEARCH("R72",G71)),0)+IFERROR(--ISNUMBER(SEARCH("R73",G71)),0)+IFERROR(--ISNUMBER(SEARCH("R74",G71)),0)+IFERROR(--ISNUMBER(SEARCH("R75",G71)),0)+IFERROR(--ISNUMBER(SEARCH("R76",G71)),0)+IFERROR(--ISNUMBER(SEARCH("R77",G71)),0)+IFERROR(--ISNUMBER(SEARCH("R78",G71)),0)+IFERROR(--ISNUMBER(SEARCH("R79",G71)),0)+IFERROR(--ISNUMBER(SEARCH("R80",G71)),0)+IFERROR(--ISNUMBER(SEARCH("R81",G71)),0)+IFERROR(--ISNUMBER(SEARCH("R82",G71)),0)+IFERROR(--ISNUMBER(SEARCH("R83",G71)),0)+IFERROR(--ISNUMBER(SEARCH("R84",G71)),0)+IFERROR(--ISNUMBER(SEARCH("R85",G71)),0)+IFERROR(--ISNUMBER(SEARCH("R86",G71)),0)+IFERROR(--ISNUMBER(SEARCH("R87",G71)),0)+IFERROR(--ISNUMBER(SEARCH("R88",G71)),0)+IFERROR(--ISNUMBER(SEARCH("R89",G71)),0)+IFERROR(--ISNUMBER(SEARCH("R90",G71)),0)+IFERROR(--ISNUMBER(SEARCH("R91",G71)),0)+IFERROR(--ISNUMBER(SEARCH("R92",G71)),0)+IFERROR(--ISNUMBER(SEARCH("R93",G71)),0)+IFERROR(--ISNUMBER(SEARCH("R94",G71)),0)+IFERROR(--ISNUMBER(SEARCH("R95",G71)),0)+IFERROR(--ISNUMBER(SEARCH("R96",G71)),0)+IFERROR(--ISNUMBER(SEARCH("R97",G71)),0)+IFERROR(--ISNUMBER(SEARCH("R98",G71)),0)+IFERROR(--ISNUMBER(SEARCH("R99",G71)),0)+IFERROR(--ISNUMBER(SEARCH("R100",G71)),0)+IFERROR(--ISNUMBER(SEARCH("R101",G71)),0)+IFERROR(--ISNUMBER(SEARCH("R102",G71)),0)+IFERROR(--ISNUMBER(SEARCH("R103",G71)),0)+IFERROR(--ISNUMBER(SEARCH("R104",G71)),0)+IFERROR(--ISNUMBER(SEARCH("R105",G71)),0)+IFERROR(--ISNUMBER(SEARCH("R106",G71)),0)+IFERROR(--ISNUMBER(SEARCH("R107",G71)),0)+IFERROR(--ISNUMBER(SEARCH("R108",G71)),0)+IFERROR(--ISNUMBER(SEARCH("R109",G71)),0)+IFERROR(--ISNUMBER(SEARCH("R110",G71)),0)+IFERROR(--ISNUMBER(SEARCH("R111",G71)),0)+IFERROR(--ISNUMBER(SEARCH("R112",G71)),0)+IFERROR(--ISNUMBER(SEARCH("R113",G71)),0)+IFERROR(--ISNUMBER(SEARCH("R114",G71)),0)+IFERROR(--ISNUMBER(SEARCH("R115",G71)),0)+IFERROR(--ISNUMBER(SEARCH("R116",G71)),0)+IFERROR(--ISNUMBER(SEARCH("R117",G71)),0)+IFERROR(--ISNUMBER(SEARCH("R118",G71)),0)+IFERROR(--ISNUMBER(SEARCH("R119",G71)),0)+IFERROR(--ISNUMBER(SEARCH("R120",G71)),0)+IFERROR(--ISNUMBER(SEARCH("R121",G71)),0)+IFERROR(--ISNUMBER(SEARCH("R122",G71)),0)+IFERROR(--ISNUMBER(SEARCH("R123",G71)),0)+IFERROR(--ISNUMBER(SEARCH("R124",G71)),0)+IFERROR(--ISNUMBER(SEARCH("R125",G71)),0)+IFERROR(--ISNUMBER(SEARCH("R126",G71)),0)+IFERROR(--ISNUMBER(SEARCH("R127",G71)),0)+IFERROR(--ISNUMBER(SEARCH("R128",G71)),0)+IFERROR(--ISNUMBER(SEARCH("R129",G71)),0)+IFERROR(--ISNUMBER(SEARCH("R130",G71)),0)+IFERROR(--ISNUMBER(SEARCH("R131",G71)),0)+IFERROR(--ISNUMBER(SEARCH("R132",G71)),0)+IFERROR(--ISNUMBER(SEARCH("R133",G71)),0)+IFERROR(--ISNUMBER(SEARCH("R134",G71)),0)+IFERROR(--ISNUMBER(SEARCH("R135",G71)),0)+IFERROR(--ISNUMBER(SEARCH("R136",G71)),0)+IFERROR(--ISNUMBER(SEARCH("R137",G71)),0)+IFERROR(--ISNUMBER(SEARCH("R138",G71)),0)+IFERROR(--ISNUMBER(SEARCH("R139",G71)),0)+IFERROR(--ISNUMBER(SEARCH("R140",G71)),0)+IFERROR(--ISNUMBER(SEARCH("R141",G71)),0))</f>
        <v/>
      </c>
      <c r="T71" s="58">
        <f>IF(A71="","",IFERROR(--ISNUMBER(SEARCH("R28",G71)),0)+IFERROR(--ISNUMBER(SEARCH("R29",G71)),0)+IFERROR(--ISNUMBER(SEARCH("R30",G71)),0)+IFERROR(--ISNUMBER(SEARCH("R32",G71)),0)+IFERROR(--ISNUMBER(SEARCH("R33",G71)),0)+IFERROR(--ISNUMBER(SEARCH("R35",G71)),0)+IFERROR(--ISNUMBER(SEARCH("R36",G71)),0)+IFERROR(--ISNUMBER(SEARCH("R38",G71)),0)+IFERROR(--ISNUMBER(SEARCH("R39",G71)),0)+IFERROR(--ISNUMBER(SEARCH("R43",G71)),0)+IFERROR(--ISNUMBER(SEARCH("R44",G71)),0)+IFERROR(--ISNUMBER(SEARCH("R45",G71)),0)+IFERROR(--ISNUMBER(SEARCH("R47",G71)),0)+IFERROR(--ISNUMBER(SEARCH("R48",G71)),0)+IFERROR(--ISNUMBER(SEARCH("R50",G71)),0)+IFERROR(--ISNUMBER(SEARCH("R51",G71)),0)+IFERROR(--ISNUMBER(SEARCH("R56",G71)),0)+IFERROR(--ISNUMBER(SEARCH("R58",G71)),0)+IFERROR(--ISNUMBER(SEARCH("R59",G71)),0)+IFERROR(--ISNUMBER(SEARCH("R60",G71)),0)+IFERROR(--ISNUMBER(SEARCH("R62",G71)),0)+IFERROR(--ISNUMBER(SEARCH("R63",G71)),0)+IFERROR(--ISNUMBER(SEARCH("R64",G71)),0)+IFERROR(--ISNUMBER(SEARCH("R66",G71)),0)+IFERROR(--ISNUMBER(SEARCH("R67",G71)),0)+IFERROR(--ISNUMBER(SEARCH("R72",G71)),0)+IFERROR(--ISNUMBER(SEARCH("R74",G71)),0)+IFERROR(--ISNUMBER(SEARCH("R75",G71)),0)+IFERROR(--ISNUMBER(SEARCH("R76",G71)),0)+IFERROR(--ISNUMBER(SEARCH("R77",G71)),0)+IFERROR(--ISNUMBER(SEARCH("R79",G71)),0)+IFERROR(--ISNUMBER(SEARCH("R80",G71)),0)+IFERROR(--ISNUMBER(SEARCH("R81",G71)),0)+IFERROR(--ISNUMBER(SEARCH("R83",G71)),0)+IFERROR(--ISNUMBER(SEARCH("R84",G71)),0)+IFERROR(--ISNUMBER(SEARCH("R89",G71)),0)+IFERROR(--ISNUMBER(SEARCH("R94",G71)),0)+IFERROR(--ISNUMBER(SEARCH("R95",G71)),0)+IFERROR(--ISNUMBER(SEARCH("R96",G71)),0)+IFERROR(--ISNUMBER(SEARCH("R98",G71)),0)+IFERROR(--ISNUMBER(SEARCH("R99",G71)),0)+IFERROR(--ISNUMBER(SEARCH("R100",G71)),0)+IFERROR(--ISNUMBER(SEARCH("R104",G71)),0)+IFERROR(--ISNUMBER(SEARCH("R105",G71)),0)+IFERROR(--ISNUMBER(SEARCH("R107",G71)),0)+IFERROR(--ISNUMBER(SEARCH("R108",G71)),0)+IFERROR(--ISNUMBER(SEARCH("R109",G71)),0)+IFERROR(--ISNUMBER(SEARCH("R110",G71)),0)+IFERROR(--ISNUMBER(SEARCH("R112",G71)),0)+IFERROR(--ISNUMBER(SEARCH("R113",G71)),0)+IFERROR(--ISNUMBER(SEARCH("R114",G71)),0)+IFERROR(--ISNUMBER(SEARCH("R118",G71)),0)+IFERROR(--ISNUMBER(SEARCH("R119",G71)),0)+IFERROR(--ISNUMBER(SEARCH("R120",G71)),0)+IFERROR(--ISNUMBER(SEARCH("R122",G71)),0)+IFERROR(--ISNUMBER(SEARCH("R123",G71)),0)+IFERROR(--ISNUMBER(SEARCH("R124",G71)),0)+IFERROR(--ISNUMBER(SEARCH("R128",G71)),0)+IFERROR(--ISNUMBER(SEARCH("R130",G71)),0)+IFERROR(--ISNUMBER(SEARCH("R131",G71)),0)+IFERROR(--ISNUMBER(SEARCH("R132",G71)),0)+IFERROR(--ISNUMBER(SEARCH("R135",G71)),0)+IFERROR(--ISNUMBER(SEARCH("R138",G71)),0)+IFERROR(--ISNUMBER(SEARCH("R141",G71)),0))</f>
        <v/>
      </c>
      <c r="U71" s="58">
        <f>IF(A71="","",IFERROR(--ISNUMBER(SEARCH("R28",G71))*28,0)+IFERROR(--ISNUMBER(SEARCH("R29",G71))*29,0)+IFERROR(--ISNUMBER(SEARCH("R30",G71))*30,0)+IFERROR(--ISNUMBER(SEARCH("R31",G71))*31,0)+IFERROR(--ISNUMBER(SEARCH("R32",G71))*32,0)+IFERROR(--ISNUMBER(SEARCH("R33",G71))*33,0)+IFERROR(--ISNUMBER(SEARCH("R34",G71))*34,0)+IFERROR(--ISNUMBER(SEARCH("R35",G71))*35,0)+IFERROR(--ISNUMBER(SEARCH("R36",G71))*36,0)+IFERROR(--ISNUMBER(SEARCH("R37",G71))*37,0)+IFERROR(--ISNUMBER(SEARCH("R38",G71))*38,0)+IFERROR(--ISNUMBER(SEARCH("R39",G71))*39,0)+IFERROR(--ISNUMBER(SEARCH("R40",G71))*40,0)+IFERROR(--ISNUMBER(SEARCH("R41",G71))*41,0)+IFERROR(--ISNUMBER(SEARCH("R42",G71))*42,0)+IFERROR(--ISNUMBER(SEARCH("R43",G71))*43,0)+IFERROR(--ISNUMBER(SEARCH("R44",G71))*44,0)+IFERROR(--ISNUMBER(SEARCH("R45",G71))*45,0)+IFERROR(--ISNUMBER(SEARCH("R46",G71))*46,0)+IFERROR(--ISNUMBER(SEARCH("R47",G71))*47,0)+IFERROR(--ISNUMBER(SEARCH("R48",G71))*48,0)+IFERROR(--ISNUMBER(SEARCH("R49",G71))*49,0)+IFERROR(--ISNUMBER(SEARCH("R50",G71))*50,0)+IFERROR(--ISNUMBER(SEARCH("R51",G71))*51,0)+IFERROR(--ISNUMBER(SEARCH("R52",G71))*52,0)+IFERROR(--ISNUMBER(SEARCH("R53",G71))*53,0)+IFERROR(--ISNUMBER(SEARCH("R54",G71))*54,0)+IFERROR(--ISNUMBER(SEARCH("R55",G71))*55,0)+IFERROR(--ISNUMBER(SEARCH("R56",G71))*56,0)+IFERROR(--ISNUMBER(SEARCH("R57",G71))*57,0)+IFERROR(--ISNUMBER(SEARCH("R58",G71))*58,0)+IFERROR(--ISNUMBER(SEARCH("R59",G71))*59,0)+IFERROR(--ISNUMBER(SEARCH("R60",G71))*60,0)+IFERROR(--ISNUMBER(SEARCH("R61",G71))*61,0)+IFERROR(--ISNUMBER(SEARCH("R62",G71))*62,0)+IFERROR(--ISNUMBER(SEARCH("R63",G71))*63,0)+IFERROR(--ISNUMBER(SEARCH("R64",G71))*64,0)+IFERROR(--ISNUMBER(SEARCH("R65",G71))*65,0)+IFERROR(--ISNUMBER(SEARCH("R66",G71))*66,0)+IFERROR(--ISNUMBER(SEARCH("R67",G71))*67,0)+IFERROR(--ISNUMBER(SEARCH("R68",G71))*68,0)+IFERROR(--ISNUMBER(SEARCH("R69",G71))*69,0)+IFERROR(--ISNUMBER(SEARCH("R70",G71))*70,0)+IFERROR(--ISNUMBER(SEARCH("R71",G71))*71,0)+IFERROR(--ISNUMBER(SEARCH("R72",G71))*72,0)+IFERROR(--ISNUMBER(SEARCH("R73",G71))*73,0)+IFERROR(--ISNUMBER(SEARCH("R74",G71))*74,0)+IFERROR(--ISNUMBER(SEARCH("R75",G71))*75,0)+IFERROR(--ISNUMBER(SEARCH("R76",G71))*76,0)+IFERROR(--ISNUMBER(SEARCH("R77",G71))*77,0)+IFERROR(--ISNUMBER(SEARCH("R78",G71))*78,0)+IFERROR(--ISNUMBER(SEARCH("R79",G71))*79,0)+IFERROR(--ISNUMBER(SEARCH("R80",G71))*80,0)+IFERROR(--ISNUMBER(SEARCH("R81",G71))*81,0)+IFERROR(--ISNUMBER(SEARCH("R82",G71))*82,0)+IFERROR(--ISNUMBER(SEARCH("R83",G71))*83,0)+IFERROR(--ISNUMBER(SEARCH("R84",G71))*84,0)+IFERROR(--ISNUMBER(SEARCH("R85",G71))*85,0)+IFERROR(--ISNUMBER(SEARCH("R86",G71))*86,0)+IFERROR(--ISNUMBER(SEARCH("R87",G71))*87,0)+IFERROR(--ISNUMBER(SEARCH("R88",G71))*88,0)+IFERROR(--ISNUMBER(SEARCH("R89",G71))*89,0)+IFERROR(--ISNUMBER(SEARCH("R90",G71))*90,0)+IFERROR(--ISNUMBER(SEARCH("R91",G71))*91,0)+IFERROR(--ISNUMBER(SEARCH("R92",G71))*92,0)+IFERROR(--ISNUMBER(SEARCH("R93",G71))*93,0)+IFERROR(--ISNUMBER(SEARCH("R94",G71))*94,0)+IFERROR(--ISNUMBER(SEARCH("R95",G71))*95,0)+IFERROR(--ISNUMBER(SEARCH("R96",G71))*96,0)+IFERROR(--ISNUMBER(SEARCH("R97",G71))*97,0)+IFERROR(--ISNUMBER(SEARCH("R98",G71))*98,0)+IFERROR(--ISNUMBER(SEARCH("R99",G71))*99,0)+IFERROR(--ISNUMBER(SEARCH("R100",G71))*100,0)+IFERROR(--ISNUMBER(SEARCH("R101",G71))*101,0)+IFERROR(--ISNUMBER(SEARCH("R102",G71))*102,0)+IFERROR(--ISNUMBER(SEARCH("R103",G71))*103,0)+IFERROR(--ISNUMBER(SEARCH("R104",G71))*104,0)+IFERROR(--ISNUMBER(SEARCH("R105",G71))*105,0)+IFERROR(--ISNUMBER(SEARCH("R106",G71))*106,0)+IFERROR(--ISNUMBER(SEARCH("R107",G71))*107,0)+IFERROR(--ISNUMBER(SEARCH("R108",G71))*108,0)+IFERROR(--ISNUMBER(SEARCH("R109",G71))*109,0)+IFERROR(--ISNUMBER(SEARCH("R110",G71))*110,0)+IFERROR(--ISNUMBER(SEARCH("R111",G71))*111,0)+IFERROR(--ISNUMBER(SEARCH("R112",G71))*112,0)+IFERROR(--ISNUMBER(SEARCH("R113",G71))*113,0)+IFERROR(--ISNUMBER(SEARCH("R114",G71))*114,0)+IFERROR(--ISNUMBER(SEARCH("R115",G71))*115,0)+IFERROR(--ISNUMBER(SEARCH("R116",G71))*116,0)+IFERROR(--ISNUMBER(SEARCH("R117",G71))*117,0)+IFERROR(--ISNUMBER(SEARCH("R118",G71))*118,0)+IFERROR(--ISNUMBER(SEARCH("R119",G71))*119,0)+IFERROR(--ISNUMBER(SEARCH("R120",G71))*120,0)+IFERROR(--ISNUMBER(SEARCH("R121",G71))*121,0)+IFERROR(--ISNUMBER(SEARCH("R122",G71))*122,0)+IFERROR(--ISNUMBER(SEARCH("R123",G71))*123,0)+IFERROR(--ISNUMBER(SEARCH("R124",G71))*124,0)+IFERROR(--ISNUMBER(SEARCH("R125",G71))*125,0)+IFERROR(--ISNUMBER(SEARCH("R126",G71))*126,0)+IFERROR(--ISNUMBER(SEARCH("R127",G71))*127,0)+IFERROR(--ISNUMBER(SEARCH("R128",G71))*128,0)+IFERROR(--ISNUMBER(SEARCH("R129",G71))*129,0)+IFERROR(--ISNUMBER(SEARCH("R130",G71))*130,0)+IFERROR(--ISNUMBER(SEARCH("R131",G71))*131,0)+IFERROR(--ISNUMBER(SEARCH("R132",G71))*132,0)+IFERROR(--ISNUMBER(SEARCH("R133",G71))*133,0)+IFERROR(--ISNUMBER(SEARCH("R134",G71))*134,0)+IFERROR(--ISNUMBER(SEARCH("R135",G71))*135,0)+IFERROR(--ISNUMBER(SEARCH("R136",G71))*136,0)+IFERROR(--ISNUMBER(SEARCH("R137",G71))*137,0)+IFERROR(--ISNUMBER(SEARCH("R138",G71))*138,0)+IFERROR(--ISNUMBER(SEARCH("R139",G71))*139,0)+IFERROR(--ISNUMBER(SEARCH("R140",G71))*140,0)+IFERROR(--ISNUMBER(SEARCH("R141",G71))*141,0))</f>
        <v/>
      </c>
      <c r="V71" s="59">
        <f>IF(A71="","",IF(K71&lt;&gt;"",K71,J71))</f>
        <v/>
      </c>
      <c r="W71" s="59">
        <f>IF(A71="","",IF(AND(V71=29,O71&lt;&gt;"",COUNTIFS($V$6:$V$505,29,$F$6:$F$505,F71,$C$6:$C$505,C71,$O$6:$O$505,"&lt;&gt;")&gt;1),IF(COUNTIFS($V$6:V71,29,$F$6:F71,F71,$C$6:C71,C71,$O$6:O71,"&lt;&gt;")=1,"Esta es la fila que se debe CONSERVAR (aparición 1 de "&amp;COUNTIFS($V$6:$V$505,29,$F$6:$F$505,F71,$C$6:$C$505,C71,$O$6:$O$505,"&lt;&gt;")&amp;" con el mismo tercero y valor, casilla 29). Si hay más filas iguales, bórreles el valor a ELLAS, no a esta.","DUPLICADO — ya existe otra fila con el mismo tercero y valor para casilla 29 (aparición "&amp;COUNTIFS($V$6:V71,29,$F$6:F71,F71,$C$6:C71,C71,$O$6:O71,"&lt;&gt;")&amp;" de "&amp;COUNTIFS($V$6:$V$505,29,$F$6:$F$505,F71,$C$6:$C$505,C71,$O$6:$O$505,"&lt;&gt;")&amp;"). Para resolverlo: seleccione la celda O"&amp;ROW()&amp;" (columna Valor a declarar de ESTA fila) y presione Supr."),""))</f>
        <v/>
      </c>
      <c r="X71" s="463">
        <f>IF(A71="","",F71)</f>
        <v/>
      </c>
      <c r="Y71" s="463">
        <f>IF(A71="","",SUMIF(Entrada_Manual!$I$88:$I$187,A71,Entrada_Manual!$F$88:$F$187))</f>
        <v/>
      </c>
      <c r="Z71" s="463">
        <f>IF(A71="","",X71-Y71)</f>
        <v/>
      </c>
      <c r="AA71">
        <f>IF(A71="","",SUMPRODUCT((Entrada_Manual!$I$88:$I$187=A71)*1))</f>
        <v/>
      </c>
      <c r="AB71">
        <f>IF(A71="","",IF(S71&lt;=1,"",IF(AA71=0,"PENDIENTE — SIN ASIGNAR",IF(Z71=0,"RESUELTO","PARCIAL — DIFERENCIA "&amp;TEXT(Z71,"#,##0")))))</f>
        <v/>
      </c>
    </row>
    <row r="72" ht="42.75" customHeight="1" s="235">
      <c r="A72" s="47">
        <f>IF(Exogena_RAW!E81&lt;&gt;"",ROW()-5,"")</f>
        <v/>
      </c>
      <c r="B72" s="48">
        <f>IF(A72="","",81)</f>
        <v/>
      </c>
      <c r="C72" s="48">
        <f>IF(A72="","",IFERROR(Exogena_RAW!A81,""))</f>
        <v/>
      </c>
      <c r="D72" s="48">
        <f>IF(A72="","",IFERROR(Exogena_RAW!B81,""))</f>
        <v/>
      </c>
      <c r="E72" s="48">
        <f>IF(A72="","",Exogena_RAW!E81)</f>
        <v/>
      </c>
      <c r="F72" s="461">
        <f>IF(A72="","",Exogena_RAW!F81)</f>
        <v/>
      </c>
      <c r="G72" s="48">
        <f>IF(A72="","",IFERROR(Exogena_RAW!G81,""))</f>
        <v/>
      </c>
      <c r="H72" s="48">
        <f>IF(A72="","",IFERROR(Exogena_RAW!H81,""))</f>
        <v/>
      </c>
      <c r="I72" s="48">
        <f>IF(A72="","",IFERROR(IF(S72&gt;1,"VARIAS CASILLAS",IF(S72=1,IF(T72=1,"PROPUESTA DE CASILLA","REVISIÓN: CASILLA NO DIRECTA"),IF(OR(ISNUMBER(SEARCH("TOPE",UPPER(E72))),ISNUMBER(SEARCH("TOPE",UPPER(G72)))),"SOLO CONTROL",IF(ISNUMBER(SEARCH("RETEN",UPPER(E72))),"RETENCIÓN","REVISAR")))),"REVISAR"))</f>
        <v/>
      </c>
      <c r="J72" s="48">
        <f>IF(A72="","",IF(ISNUMBER(SEARCH("ingreso laboral promedio de los últimos seis meses",E72)),"",IFERROR(IF(AND(S72=1,T72=1),U72,""),"")))</f>
        <v/>
      </c>
      <c r="K72" s="216" t="n"/>
      <c r="L72" s="48">
        <f>IF(A72="","",IFERROR(IF(K72&lt;&gt;"","Casilla elegida por usuario",IF(S72&gt;1,"Varias casillas — elegir en K",IF(J72&lt;&gt;"","Sugerencia directa",IF(S72=1,"No trasladar directo — revisar",IF(OR(ISNUMBER(SEARCH("TOPE",UPPER(E72))),ISNUMBER(SEARCH("TOPE",UPPER(G72)))),"Solo control","Revisar manualmente"))))),"Revisar manualmente"))</f>
        <v/>
      </c>
      <c r="M72" s="461">
        <f>IF(A72="","",IF(IF(K72&lt;&gt;"",K72,J72)="",0,IF(COUNTIFS(Reglas!$I$5:$I$118,IF(K72&lt;&gt;"",K72,J72),Reglas!$J$5:$J$118,"Sí")=1,F72,0)))</f>
        <v/>
      </c>
      <c r="N72" s="56" t="n"/>
      <c r="O72" s="462">
        <f>IF(A72="","",IF(M72=0,"",M72))</f>
        <v/>
      </c>
      <c r="P72" s="461">
        <f>IF(A72="","",IF(O72="",0,IF(ISNUMBER(O72),O72,0)))</f>
        <v/>
      </c>
      <c r="Q72" s="48">
        <f>IF(A72="","",IF(Exogena_RAW!$C$4="","BLOQUEADO: FALTA AÑO",IF(Exogena_RAW!$K$10&lt;&gt;Reglas!$B$5,"BLOQUEADO: AÑO",IF(IF(K72&lt;&gt;"",K72,J72)="",IF(S72&gt;1,"REQUIERE ASIGNACIÓN MANUAL (VARIAS CASILLAS)","INFORMATIVO (sin casilla — no se declara)"),IF(COUNTIFS(Reglas!$I$5:$I$118,IF(K72&lt;&gt;"",K72,J72),Reglas!$J$5:$J$118,"Sí")=0,"BLOQUEADO: CASILLA NO DIRECTA",IF(O72="","EXCLUIDO (valor borrado por el usuario)",IF(_xlfn.ISFORMULA(O72),IF(W72&lt;&gt;"","BORRADOR — VALOR SUGERIDO DIAN ⚠ VER ALERTA","BORRADOR — VALOR SUGERIDO DIAN"),IF(W72&lt;&gt;"","ACEPTADO ⚠ VER ALERTA","ACEPTADO"))))))))</f>
        <v/>
      </c>
      <c r="R72" s="218" t="n"/>
      <c r="S72" s="58">
        <f>IF(A72="","",IFERROR(--ISNUMBER(SEARCH("R28",G72)),0)+IFERROR(--ISNUMBER(SEARCH("R29",G72)),0)+IFERROR(--ISNUMBER(SEARCH("R30",G72)),0)+IFERROR(--ISNUMBER(SEARCH("R31",G72)),0)+IFERROR(--ISNUMBER(SEARCH("R32",G72)),0)+IFERROR(--ISNUMBER(SEARCH("R33",G72)),0)+IFERROR(--ISNUMBER(SEARCH("R34",G72)),0)+IFERROR(--ISNUMBER(SEARCH("R35",G72)),0)+IFERROR(--ISNUMBER(SEARCH("R36",G72)),0)+IFERROR(--ISNUMBER(SEARCH("R37",G72)),0)+IFERROR(--ISNUMBER(SEARCH("R38",G72)),0)+IFERROR(--ISNUMBER(SEARCH("R39",G72)),0)+IFERROR(--ISNUMBER(SEARCH("R40",G72)),0)+IFERROR(--ISNUMBER(SEARCH("R41",G72)),0)+IFERROR(--ISNUMBER(SEARCH("R42",G72)),0)+IFERROR(--ISNUMBER(SEARCH("R43",G72)),0)+IFERROR(--ISNUMBER(SEARCH("R44",G72)),0)+IFERROR(--ISNUMBER(SEARCH("R45",G72)),0)+IFERROR(--ISNUMBER(SEARCH("R46",G72)),0)+IFERROR(--ISNUMBER(SEARCH("R47",G72)),0)+IFERROR(--ISNUMBER(SEARCH("R48",G72)),0)+IFERROR(--ISNUMBER(SEARCH("R49",G72)),0)+IFERROR(--ISNUMBER(SEARCH("R50",G72)),0)+IFERROR(--ISNUMBER(SEARCH("R51",G72)),0)+IFERROR(--ISNUMBER(SEARCH("R52",G72)),0)+IFERROR(--ISNUMBER(SEARCH("R53",G72)),0)+IFERROR(--ISNUMBER(SEARCH("R54",G72)),0)+IFERROR(--ISNUMBER(SEARCH("R55",G72)),0)+IFERROR(--ISNUMBER(SEARCH("R56",G72)),0)+IFERROR(--ISNUMBER(SEARCH("R57",G72)),0)+IFERROR(--ISNUMBER(SEARCH("R58",G72)),0)+IFERROR(--ISNUMBER(SEARCH("R59",G72)),0)+IFERROR(--ISNUMBER(SEARCH("R60",G72)),0)+IFERROR(--ISNUMBER(SEARCH("R61",G72)),0)+IFERROR(--ISNUMBER(SEARCH("R62",G72)),0)+IFERROR(--ISNUMBER(SEARCH("R63",G72)),0)+IFERROR(--ISNUMBER(SEARCH("R64",G72)),0)+IFERROR(--ISNUMBER(SEARCH("R65",G72)),0)+IFERROR(--ISNUMBER(SEARCH("R66",G72)),0)+IFERROR(--ISNUMBER(SEARCH("R67",G72)),0)+IFERROR(--ISNUMBER(SEARCH("R68",G72)),0)+IFERROR(--ISNUMBER(SEARCH("R69",G72)),0)+IFERROR(--ISNUMBER(SEARCH("R70",G72)),0)+IFERROR(--ISNUMBER(SEARCH("R71",G72)),0)+IFERROR(--ISNUMBER(SEARCH("R72",G72)),0)+IFERROR(--ISNUMBER(SEARCH("R73",G72)),0)+IFERROR(--ISNUMBER(SEARCH("R74",G72)),0)+IFERROR(--ISNUMBER(SEARCH("R75",G72)),0)+IFERROR(--ISNUMBER(SEARCH("R76",G72)),0)+IFERROR(--ISNUMBER(SEARCH("R77",G72)),0)+IFERROR(--ISNUMBER(SEARCH("R78",G72)),0)+IFERROR(--ISNUMBER(SEARCH("R79",G72)),0)+IFERROR(--ISNUMBER(SEARCH("R80",G72)),0)+IFERROR(--ISNUMBER(SEARCH("R81",G72)),0)+IFERROR(--ISNUMBER(SEARCH("R82",G72)),0)+IFERROR(--ISNUMBER(SEARCH("R83",G72)),0)+IFERROR(--ISNUMBER(SEARCH("R84",G72)),0)+IFERROR(--ISNUMBER(SEARCH("R85",G72)),0)+IFERROR(--ISNUMBER(SEARCH("R86",G72)),0)+IFERROR(--ISNUMBER(SEARCH("R87",G72)),0)+IFERROR(--ISNUMBER(SEARCH("R88",G72)),0)+IFERROR(--ISNUMBER(SEARCH("R89",G72)),0)+IFERROR(--ISNUMBER(SEARCH("R90",G72)),0)+IFERROR(--ISNUMBER(SEARCH("R91",G72)),0)+IFERROR(--ISNUMBER(SEARCH("R92",G72)),0)+IFERROR(--ISNUMBER(SEARCH("R93",G72)),0)+IFERROR(--ISNUMBER(SEARCH("R94",G72)),0)+IFERROR(--ISNUMBER(SEARCH("R95",G72)),0)+IFERROR(--ISNUMBER(SEARCH("R96",G72)),0)+IFERROR(--ISNUMBER(SEARCH("R97",G72)),0)+IFERROR(--ISNUMBER(SEARCH("R98",G72)),0)+IFERROR(--ISNUMBER(SEARCH("R99",G72)),0)+IFERROR(--ISNUMBER(SEARCH("R100",G72)),0)+IFERROR(--ISNUMBER(SEARCH("R101",G72)),0)+IFERROR(--ISNUMBER(SEARCH("R102",G72)),0)+IFERROR(--ISNUMBER(SEARCH("R103",G72)),0)+IFERROR(--ISNUMBER(SEARCH("R104",G72)),0)+IFERROR(--ISNUMBER(SEARCH("R105",G72)),0)+IFERROR(--ISNUMBER(SEARCH("R106",G72)),0)+IFERROR(--ISNUMBER(SEARCH("R107",G72)),0)+IFERROR(--ISNUMBER(SEARCH("R108",G72)),0)+IFERROR(--ISNUMBER(SEARCH("R109",G72)),0)+IFERROR(--ISNUMBER(SEARCH("R110",G72)),0)+IFERROR(--ISNUMBER(SEARCH("R111",G72)),0)+IFERROR(--ISNUMBER(SEARCH("R112",G72)),0)+IFERROR(--ISNUMBER(SEARCH("R113",G72)),0)+IFERROR(--ISNUMBER(SEARCH("R114",G72)),0)+IFERROR(--ISNUMBER(SEARCH("R115",G72)),0)+IFERROR(--ISNUMBER(SEARCH("R116",G72)),0)+IFERROR(--ISNUMBER(SEARCH("R117",G72)),0)+IFERROR(--ISNUMBER(SEARCH("R118",G72)),0)+IFERROR(--ISNUMBER(SEARCH("R119",G72)),0)+IFERROR(--ISNUMBER(SEARCH("R120",G72)),0)+IFERROR(--ISNUMBER(SEARCH("R121",G72)),0)+IFERROR(--ISNUMBER(SEARCH("R122",G72)),0)+IFERROR(--ISNUMBER(SEARCH("R123",G72)),0)+IFERROR(--ISNUMBER(SEARCH("R124",G72)),0)+IFERROR(--ISNUMBER(SEARCH("R125",G72)),0)+IFERROR(--ISNUMBER(SEARCH("R126",G72)),0)+IFERROR(--ISNUMBER(SEARCH("R127",G72)),0)+IFERROR(--ISNUMBER(SEARCH("R128",G72)),0)+IFERROR(--ISNUMBER(SEARCH("R129",G72)),0)+IFERROR(--ISNUMBER(SEARCH("R130",G72)),0)+IFERROR(--ISNUMBER(SEARCH("R131",G72)),0)+IFERROR(--ISNUMBER(SEARCH("R132",G72)),0)+IFERROR(--ISNUMBER(SEARCH("R133",G72)),0)+IFERROR(--ISNUMBER(SEARCH("R134",G72)),0)+IFERROR(--ISNUMBER(SEARCH("R135",G72)),0)+IFERROR(--ISNUMBER(SEARCH("R136",G72)),0)+IFERROR(--ISNUMBER(SEARCH("R137",G72)),0)+IFERROR(--ISNUMBER(SEARCH("R138",G72)),0)+IFERROR(--ISNUMBER(SEARCH("R139",G72)),0)+IFERROR(--ISNUMBER(SEARCH("R140",G72)),0)+IFERROR(--ISNUMBER(SEARCH("R141",G72)),0))</f>
        <v/>
      </c>
      <c r="T72" s="58">
        <f>IF(A72="","",IFERROR(--ISNUMBER(SEARCH("R28",G72)),0)+IFERROR(--ISNUMBER(SEARCH("R29",G72)),0)+IFERROR(--ISNUMBER(SEARCH("R30",G72)),0)+IFERROR(--ISNUMBER(SEARCH("R32",G72)),0)+IFERROR(--ISNUMBER(SEARCH("R33",G72)),0)+IFERROR(--ISNUMBER(SEARCH("R35",G72)),0)+IFERROR(--ISNUMBER(SEARCH("R36",G72)),0)+IFERROR(--ISNUMBER(SEARCH("R38",G72)),0)+IFERROR(--ISNUMBER(SEARCH("R39",G72)),0)+IFERROR(--ISNUMBER(SEARCH("R43",G72)),0)+IFERROR(--ISNUMBER(SEARCH("R44",G72)),0)+IFERROR(--ISNUMBER(SEARCH("R45",G72)),0)+IFERROR(--ISNUMBER(SEARCH("R47",G72)),0)+IFERROR(--ISNUMBER(SEARCH("R48",G72)),0)+IFERROR(--ISNUMBER(SEARCH("R50",G72)),0)+IFERROR(--ISNUMBER(SEARCH("R51",G72)),0)+IFERROR(--ISNUMBER(SEARCH("R56",G72)),0)+IFERROR(--ISNUMBER(SEARCH("R58",G72)),0)+IFERROR(--ISNUMBER(SEARCH("R59",G72)),0)+IFERROR(--ISNUMBER(SEARCH("R60",G72)),0)+IFERROR(--ISNUMBER(SEARCH("R62",G72)),0)+IFERROR(--ISNUMBER(SEARCH("R63",G72)),0)+IFERROR(--ISNUMBER(SEARCH("R64",G72)),0)+IFERROR(--ISNUMBER(SEARCH("R66",G72)),0)+IFERROR(--ISNUMBER(SEARCH("R67",G72)),0)+IFERROR(--ISNUMBER(SEARCH("R72",G72)),0)+IFERROR(--ISNUMBER(SEARCH("R74",G72)),0)+IFERROR(--ISNUMBER(SEARCH("R75",G72)),0)+IFERROR(--ISNUMBER(SEARCH("R76",G72)),0)+IFERROR(--ISNUMBER(SEARCH("R77",G72)),0)+IFERROR(--ISNUMBER(SEARCH("R79",G72)),0)+IFERROR(--ISNUMBER(SEARCH("R80",G72)),0)+IFERROR(--ISNUMBER(SEARCH("R81",G72)),0)+IFERROR(--ISNUMBER(SEARCH("R83",G72)),0)+IFERROR(--ISNUMBER(SEARCH("R84",G72)),0)+IFERROR(--ISNUMBER(SEARCH("R89",G72)),0)+IFERROR(--ISNUMBER(SEARCH("R94",G72)),0)+IFERROR(--ISNUMBER(SEARCH("R95",G72)),0)+IFERROR(--ISNUMBER(SEARCH("R96",G72)),0)+IFERROR(--ISNUMBER(SEARCH("R98",G72)),0)+IFERROR(--ISNUMBER(SEARCH("R99",G72)),0)+IFERROR(--ISNUMBER(SEARCH("R100",G72)),0)+IFERROR(--ISNUMBER(SEARCH("R104",G72)),0)+IFERROR(--ISNUMBER(SEARCH("R105",G72)),0)+IFERROR(--ISNUMBER(SEARCH("R107",G72)),0)+IFERROR(--ISNUMBER(SEARCH("R108",G72)),0)+IFERROR(--ISNUMBER(SEARCH("R109",G72)),0)+IFERROR(--ISNUMBER(SEARCH("R110",G72)),0)+IFERROR(--ISNUMBER(SEARCH("R112",G72)),0)+IFERROR(--ISNUMBER(SEARCH("R113",G72)),0)+IFERROR(--ISNUMBER(SEARCH("R114",G72)),0)+IFERROR(--ISNUMBER(SEARCH("R118",G72)),0)+IFERROR(--ISNUMBER(SEARCH("R119",G72)),0)+IFERROR(--ISNUMBER(SEARCH("R120",G72)),0)+IFERROR(--ISNUMBER(SEARCH("R122",G72)),0)+IFERROR(--ISNUMBER(SEARCH("R123",G72)),0)+IFERROR(--ISNUMBER(SEARCH("R124",G72)),0)+IFERROR(--ISNUMBER(SEARCH("R128",G72)),0)+IFERROR(--ISNUMBER(SEARCH("R130",G72)),0)+IFERROR(--ISNUMBER(SEARCH("R131",G72)),0)+IFERROR(--ISNUMBER(SEARCH("R132",G72)),0)+IFERROR(--ISNUMBER(SEARCH("R135",G72)),0)+IFERROR(--ISNUMBER(SEARCH("R138",G72)),0)+IFERROR(--ISNUMBER(SEARCH("R141",G72)),0))</f>
        <v/>
      </c>
      <c r="U72" s="58">
        <f>IF(A72="","",IFERROR(--ISNUMBER(SEARCH("R28",G72))*28,0)+IFERROR(--ISNUMBER(SEARCH("R29",G72))*29,0)+IFERROR(--ISNUMBER(SEARCH("R30",G72))*30,0)+IFERROR(--ISNUMBER(SEARCH("R31",G72))*31,0)+IFERROR(--ISNUMBER(SEARCH("R32",G72))*32,0)+IFERROR(--ISNUMBER(SEARCH("R33",G72))*33,0)+IFERROR(--ISNUMBER(SEARCH("R34",G72))*34,0)+IFERROR(--ISNUMBER(SEARCH("R35",G72))*35,0)+IFERROR(--ISNUMBER(SEARCH("R36",G72))*36,0)+IFERROR(--ISNUMBER(SEARCH("R37",G72))*37,0)+IFERROR(--ISNUMBER(SEARCH("R38",G72))*38,0)+IFERROR(--ISNUMBER(SEARCH("R39",G72))*39,0)+IFERROR(--ISNUMBER(SEARCH("R40",G72))*40,0)+IFERROR(--ISNUMBER(SEARCH("R41",G72))*41,0)+IFERROR(--ISNUMBER(SEARCH("R42",G72))*42,0)+IFERROR(--ISNUMBER(SEARCH("R43",G72))*43,0)+IFERROR(--ISNUMBER(SEARCH("R44",G72))*44,0)+IFERROR(--ISNUMBER(SEARCH("R45",G72))*45,0)+IFERROR(--ISNUMBER(SEARCH("R46",G72))*46,0)+IFERROR(--ISNUMBER(SEARCH("R47",G72))*47,0)+IFERROR(--ISNUMBER(SEARCH("R48",G72))*48,0)+IFERROR(--ISNUMBER(SEARCH("R49",G72))*49,0)+IFERROR(--ISNUMBER(SEARCH("R50",G72))*50,0)+IFERROR(--ISNUMBER(SEARCH("R51",G72))*51,0)+IFERROR(--ISNUMBER(SEARCH("R52",G72))*52,0)+IFERROR(--ISNUMBER(SEARCH("R53",G72))*53,0)+IFERROR(--ISNUMBER(SEARCH("R54",G72))*54,0)+IFERROR(--ISNUMBER(SEARCH("R55",G72))*55,0)+IFERROR(--ISNUMBER(SEARCH("R56",G72))*56,0)+IFERROR(--ISNUMBER(SEARCH("R57",G72))*57,0)+IFERROR(--ISNUMBER(SEARCH("R58",G72))*58,0)+IFERROR(--ISNUMBER(SEARCH("R59",G72))*59,0)+IFERROR(--ISNUMBER(SEARCH("R60",G72))*60,0)+IFERROR(--ISNUMBER(SEARCH("R61",G72))*61,0)+IFERROR(--ISNUMBER(SEARCH("R62",G72))*62,0)+IFERROR(--ISNUMBER(SEARCH("R63",G72))*63,0)+IFERROR(--ISNUMBER(SEARCH("R64",G72))*64,0)+IFERROR(--ISNUMBER(SEARCH("R65",G72))*65,0)+IFERROR(--ISNUMBER(SEARCH("R66",G72))*66,0)+IFERROR(--ISNUMBER(SEARCH("R67",G72))*67,0)+IFERROR(--ISNUMBER(SEARCH("R68",G72))*68,0)+IFERROR(--ISNUMBER(SEARCH("R69",G72))*69,0)+IFERROR(--ISNUMBER(SEARCH("R70",G72))*70,0)+IFERROR(--ISNUMBER(SEARCH("R71",G72))*71,0)+IFERROR(--ISNUMBER(SEARCH("R72",G72))*72,0)+IFERROR(--ISNUMBER(SEARCH("R73",G72))*73,0)+IFERROR(--ISNUMBER(SEARCH("R74",G72))*74,0)+IFERROR(--ISNUMBER(SEARCH("R75",G72))*75,0)+IFERROR(--ISNUMBER(SEARCH("R76",G72))*76,0)+IFERROR(--ISNUMBER(SEARCH("R77",G72))*77,0)+IFERROR(--ISNUMBER(SEARCH("R78",G72))*78,0)+IFERROR(--ISNUMBER(SEARCH("R79",G72))*79,0)+IFERROR(--ISNUMBER(SEARCH("R80",G72))*80,0)+IFERROR(--ISNUMBER(SEARCH("R81",G72))*81,0)+IFERROR(--ISNUMBER(SEARCH("R82",G72))*82,0)+IFERROR(--ISNUMBER(SEARCH("R83",G72))*83,0)+IFERROR(--ISNUMBER(SEARCH("R84",G72))*84,0)+IFERROR(--ISNUMBER(SEARCH("R85",G72))*85,0)+IFERROR(--ISNUMBER(SEARCH("R86",G72))*86,0)+IFERROR(--ISNUMBER(SEARCH("R87",G72))*87,0)+IFERROR(--ISNUMBER(SEARCH("R88",G72))*88,0)+IFERROR(--ISNUMBER(SEARCH("R89",G72))*89,0)+IFERROR(--ISNUMBER(SEARCH("R90",G72))*90,0)+IFERROR(--ISNUMBER(SEARCH("R91",G72))*91,0)+IFERROR(--ISNUMBER(SEARCH("R92",G72))*92,0)+IFERROR(--ISNUMBER(SEARCH("R93",G72))*93,0)+IFERROR(--ISNUMBER(SEARCH("R94",G72))*94,0)+IFERROR(--ISNUMBER(SEARCH("R95",G72))*95,0)+IFERROR(--ISNUMBER(SEARCH("R96",G72))*96,0)+IFERROR(--ISNUMBER(SEARCH("R97",G72))*97,0)+IFERROR(--ISNUMBER(SEARCH("R98",G72))*98,0)+IFERROR(--ISNUMBER(SEARCH("R99",G72))*99,0)+IFERROR(--ISNUMBER(SEARCH("R100",G72))*100,0)+IFERROR(--ISNUMBER(SEARCH("R101",G72))*101,0)+IFERROR(--ISNUMBER(SEARCH("R102",G72))*102,0)+IFERROR(--ISNUMBER(SEARCH("R103",G72))*103,0)+IFERROR(--ISNUMBER(SEARCH("R104",G72))*104,0)+IFERROR(--ISNUMBER(SEARCH("R105",G72))*105,0)+IFERROR(--ISNUMBER(SEARCH("R106",G72))*106,0)+IFERROR(--ISNUMBER(SEARCH("R107",G72))*107,0)+IFERROR(--ISNUMBER(SEARCH("R108",G72))*108,0)+IFERROR(--ISNUMBER(SEARCH("R109",G72))*109,0)+IFERROR(--ISNUMBER(SEARCH("R110",G72))*110,0)+IFERROR(--ISNUMBER(SEARCH("R111",G72))*111,0)+IFERROR(--ISNUMBER(SEARCH("R112",G72))*112,0)+IFERROR(--ISNUMBER(SEARCH("R113",G72))*113,0)+IFERROR(--ISNUMBER(SEARCH("R114",G72))*114,0)+IFERROR(--ISNUMBER(SEARCH("R115",G72))*115,0)+IFERROR(--ISNUMBER(SEARCH("R116",G72))*116,0)+IFERROR(--ISNUMBER(SEARCH("R117",G72))*117,0)+IFERROR(--ISNUMBER(SEARCH("R118",G72))*118,0)+IFERROR(--ISNUMBER(SEARCH("R119",G72))*119,0)+IFERROR(--ISNUMBER(SEARCH("R120",G72))*120,0)+IFERROR(--ISNUMBER(SEARCH("R121",G72))*121,0)+IFERROR(--ISNUMBER(SEARCH("R122",G72))*122,0)+IFERROR(--ISNUMBER(SEARCH("R123",G72))*123,0)+IFERROR(--ISNUMBER(SEARCH("R124",G72))*124,0)+IFERROR(--ISNUMBER(SEARCH("R125",G72))*125,0)+IFERROR(--ISNUMBER(SEARCH("R126",G72))*126,0)+IFERROR(--ISNUMBER(SEARCH("R127",G72))*127,0)+IFERROR(--ISNUMBER(SEARCH("R128",G72))*128,0)+IFERROR(--ISNUMBER(SEARCH("R129",G72))*129,0)+IFERROR(--ISNUMBER(SEARCH("R130",G72))*130,0)+IFERROR(--ISNUMBER(SEARCH("R131",G72))*131,0)+IFERROR(--ISNUMBER(SEARCH("R132",G72))*132,0)+IFERROR(--ISNUMBER(SEARCH("R133",G72))*133,0)+IFERROR(--ISNUMBER(SEARCH("R134",G72))*134,0)+IFERROR(--ISNUMBER(SEARCH("R135",G72))*135,0)+IFERROR(--ISNUMBER(SEARCH("R136",G72))*136,0)+IFERROR(--ISNUMBER(SEARCH("R137",G72))*137,0)+IFERROR(--ISNUMBER(SEARCH("R138",G72))*138,0)+IFERROR(--ISNUMBER(SEARCH("R139",G72))*139,0)+IFERROR(--ISNUMBER(SEARCH("R140",G72))*140,0)+IFERROR(--ISNUMBER(SEARCH("R141",G72))*141,0))</f>
        <v/>
      </c>
      <c r="V72" s="59">
        <f>IF(A72="","",IF(K72&lt;&gt;"",K72,J72))</f>
        <v/>
      </c>
      <c r="W72" s="59">
        <f>IF(A72="","",IF(AND(V72=29,O72&lt;&gt;"",COUNTIFS($V$6:$V$505,29,$F$6:$F$505,F72,$C$6:$C$505,C72,$O$6:$O$505,"&lt;&gt;")&gt;1),IF(COUNTIFS($V$6:V72,29,$F$6:F72,F72,$C$6:C72,C72,$O$6:O72,"&lt;&gt;")=1,"Esta es la fila que se debe CONSERVAR (aparición 1 de "&amp;COUNTIFS($V$6:$V$505,29,$F$6:$F$505,F72,$C$6:$C$505,C72,$O$6:$O$505,"&lt;&gt;")&amp;" con el mismo tercero y valor, casilla 29). Si hay más filas iguales, bórreles el valor a ELLAS, no a esta.","DUPLICADO — ya existe otra fila con el mismo tercero y valor para casilla 29 (aparición "&amp;COUNTIFS($V$6:V72,29,$F$6:F72,F72,$C$6:C72,C72,$O$6:O72,"&lt;&gt;")&amp;" de "&amp;COUNTIFS($V$6:$V$505,29,$F$6:$F$505,F72,$C$6:$C$505,C72,$O$6:$O$505,"&lt;&gt;")&amp;"). Para resolverlo: seleccione la celda O"&amp;ROW()&amp;" (columna Valor a declarar de ESTA fila) y presione Supr."),""))</f>
        <v/>
      </c>
      <c r="X72" s="463">
        <f>IF(A72="","",F72)</f>
        <v/>
      </c>
      <c r="Y72" s="463">
        <f>IF(A72="","",SUMIF(Entrada_Manual!$I$88:$I$187,A72,Entrada_Manual!$F$88:$F$187))</f>
        <v/>
      </c>
      <c r="Z72" s="463">
        <f>IF(A72="","",X72-Y72)</f>
        <v/>
      </c>
      <c r="AA72">
        <f>IF(A72="","",SUMPRODUCT((Entrada_Manual!$I$88:$I$187=A72)*1))</f>
        <v/>
      </c>
      <c r="AB72">
        <f>IF(A72="","",IF(S72&lt;=1,"",IF(AA72=0,"PENDIENTE — SIN ASIGNAR",IF(Z72=0,"RESUELTO","PARCIAL — DIFERENCIA "&amp;TEXT(Z72,"#,##0")))))</f>
        <v/>
      </c>
    </row>
    <row r="73" ht="28.5" customHeight="1" s="235">
      <c r="A73" s="47">
        <f>IF(Exogena_RAW!E82&lt;&gt;"",ROW()-5,"")</f>
        <v/>
      </c>
      <c r="B73" s="48">
        <f>IF(A73="","",82)</f>
        <v/>
      </c>
      <c r="C73" s="48">
        <f>IF(A73="","",IFERROR(Exogena_RAW!A82,""))</f>
        <v/>
      </c>
      <c r="D73" s="48">
        <f>IF(A73="","",IFERROR(Exogena_RAW!B82,""))</f>
        <v/>
      </c>
      <c r="E73" s="48">
        <f>IF(A73="","",Exogena_RAW!E82)</f>
        <v/>
      </c>
      <c r="F73" s="461">
        <f>IF(A73="","",Exogena_RAW!F82)</f>
        <v/>
      </c>
      <c r="G73" s="48">
        <f>IF(A73="","",IFERROR(Exogena_RAW!G82,""))</f>
        <v/>
      </c>
      <c r="H73" s="48">
        <f>IF(A73="","",IFERROR(Exogena_RAW!H82,""))</f>
        <v/>
      </c>
      <c r="I73" s="48">
        <f>IF(A73="","",IFERROR(IF(S73&gt;1,"VARIAS CASILLAS",IF(S73=1,IF(T73=1,"PROPUESTA DE CASILLA","REVISIÓN: CASILLA NO DIRECTA"),IF(OR(ISNUMBER(SEARCH("TOPE",UPPER(E73))),ISNUMBER(SEARCH("TOPE",UPPER(G73)))),"SOLO CONTROL",IF(ISNUMBER(SEARCH("RETEN",UPPER(E73))),"RETENCIÓN","REVISAR")))),"REVISAR"))</f>
        <v/>
      </c>
      <c r="J73" s="61">
        <f>IF(A73="","",IF(ISNUMBER(SEARCH("ingreso laboral promedio de los últimos seis meses",E73)),"",IFERROR(IF(AND(S73=1,T73=1),U73,""),"")))</f>
        <v/>
      </c>
      <c r="K73" s="216" t="n"/>
      <c r="L73" s="48">
        <f>IF(A73="","",IFERROR(IF(K73&lt;&gt;"","Casilla elegida por usuario",IF(S73&gt;1,"Varias casillas — elegir en K",IF(J73&lt;&gt;"","Sugerencia directa",IF(S73=1,"No trasladar directo — revisar",IF(OR(ISNUMBER(SEARCH("TOPE",UPPER(E73))),ISNUMBER(SEARCH("TOPE",UPPER(G73)))),"Solo control","Revisar manualmente"))))),"Revisar manualmente"))</f>
        <v/>
      </c>
      <c r="M73" s="461">
        <f>IF(A73="","",IF(IF(K73&lt;&gt;"",K73,J73)="",0,IF(COUNTIFS(Reglas!$I$5:$I$118,IF(K73&lt;&gt;"",K73,J73),Reglas!$J$5:$J$118,"Sí")=1,F73,0)))</f>
        <v/>
      </c>
      <c r="N73" s="56" t="n"/>
      <c r="O73" s="462">
        <f>IF(A73="","",IF(M73=0,"",M73))</f>
        <v/>
      </c>
      <c r="P73" s="461">
        <f>IF(A73="","",IF(O73="",0,IF(ISNUMBER(O73),O73,0)))</f>
        <v/>
      </c>
      <c r="Q73" s="48">
        <f>IF(A73="","",IF(Exogena_RAW!$C$4="","BLOQUEADO: FALTA AÑO",IF(Exogena_RAW!$K$10&lt;&gt;Reglas!$B$5,"BLOQUEADO: AÑO",IF(IF(K73&lt;&gt;"",K73,J73)="",IF(S73&gt;1,"REQUIERE ASIGNACIÓN MANUAL (VARIAS CASILLAS)","INFORMATIVO (sin casilla — no se declara)"),IF(COUNTIFS(Reglas!$I$5:$I$118,IF(K73&lt;&gt;"",K73,J73),Reglas!$J$5:$J$118,"Sí")=0,"BLOQUEADO: CASILLA NO DIRECTA",IF(O73="","EXCLUIDO (valor borrado por el usuario)",IF(_xlfn.ISFORMULA(O73),IF(W73&lt;&gt;"","BORRADOR — VALOR SUGERIDO DIAN ⚠ VER ALERTA","BORRADOR — VALOR SUGERIDO DIAN"),IF(W73&lt;&gt;"","ACEPTADO ⚠ VER ALERTA","ACEPTADO"))))))))</f>
        <v/>
      </c>
      <c r="R73" s="218" t="n"/>
      <c r="S73" s="58">
        <f>IF(A73="","",IFERROR(--ISNUMBER(SEARCH("R28",G73)),0)+IFERROR(--ISNUMBER(SEARCH("R29",G73)),0)+IFERROR(--ISNUMBER(SEARCH("R30",G73)),0)+IFERROR(--ISNUMBER(SEARCH("R31",G73)),0)+IFERROR(--ISNUMBER(SEARCH("R32",G73)),0)+IFERROR(--ISNUMBER(SEARCH("R33",G73)),0)+IFERROR(--ISNUMBER(SEARCH("R34",G73)),0)+IFERROR(--ISNUMBER(SEARCH("R35",G73)),0)+IFERROR(--ISNUMBER(SEARCH("R36",G73)),0)+IFERROR(--ISNUMBER(SEARCH("R37",G73)),0)+IFERROR(--ISNUMBER(SEARCH("R38",G73)),0)+IFERROR(--ISNUMBER(SEARCH("R39",G73)),0)+IFERROR(--ISNUMBER(SEARCH("R40",G73)),0)+IFERROR(--ISNUMBER(SEARCH("R41",G73)),0)+IFERROR(--ISNUMBER(SEARCH("R42",G73)),0)+IFERROR(--ISNUMBER(SEARCH("R43",G73)),0)+IFERROR(--ISNUMBER(SEARCH("R44",G73)),0)+IFERROR(--ISNUMBER(SEARCH("R45",G73)),0)+IFERROR(--ISNUMBER(SEARCH("R46",G73)),0)+IFERROR(--ISNUMBER(SEARCH("R47",G73)),0)+IFERROR(--ISNUMBER(SEARCH("R48",G73)),0)+IFERROR(--ISNUMBER(SEARCH("R49",G73)),0)+IFERROR(--ISNUMBER(SEARCH("R50",G73)),0)+IFERROR(--ISNUMBER(SEARCH("R51",G73)),0)+IFERROR(--ISNUMBER(SEARCH("R52",G73)),0)+IFERROR(--ISNUMBER(SEARCH("R53",G73)),0)+IFERROR(--ISNUMBER(SEARCH("R54",G73)),0)+IFERROR(--ISNUMBER(SEARCH("R55",G73)),0)+IFERROR(--ISNUMBER(SEARCH("R56",G73)),0)+IFERROR(--ISNUMBER(SEARCH("R57",G73)),0)+IFERROR(--ISNUMBER(SEARCH("R58",G73)),0)+IFERROR(--ISNUMBER(SEARCH("R59",G73)),0)+IFERROR(--ISNUMBER(SEARCH("R60",G73)),0)+IFERROR(--ISNUMBER(SEARCH("R61",G73)),0)+IFERROR(--ISNUMBER(SEARCH("R62",G73)),0)+IFERROR(--ISNUMBER(SEARCH("R63",G73)),0)+IFERROR(--ISNUMBER(SEARCH("R64",G73)),0)+IFERROR(--ISNUMBER(SEARCH("R65",G73)),0)+IFERROR(--ISNUMBER(SEARCH("R66",G73)),0)+IFERROR(--ISNUMBER(SEARCH("R67",G73)),0)+IFERROR(--ISNUMBER(SEARCH("R68",G73)),0)+IFERROR(--ISNUMBER(SEARCH("R69",G73)),0)+IFERROR(--ISNUMBER(SEARCH("R70",G73)),0)+IFERROR(--ISNUMBER(SEARCH("R71",G73)),0)+IFERROR(--ISNUMBER(SEARCH("R72",G73)),0)+IFERROR(--ISNUMBER(SEARCH("R73",G73)),0)+IFERROR(--ISNUMBER(SEARCH("R74",G73)),0)+IFERROR(--ISNUMBER(SEARCH("R75",G73)),0)+IFERROR(--ISNUMBER(SEARCH("R76",G73)),0)+IFERROR(--ISNUMBER(SEARCH("R77",G73)),0)+IFERROR(--ISNUMBER(SEARCH("R78",G73)),0)+IFERROR(--ISNUMBER(SEARCH("R79",G73)),0)+IFERROR(--ISNUMBER(SEARCH("R80",G73)),0)+IFERROR(--ISNUMBER(SEARCH("R81",G73)),0)+IFERROR(--ISNUMBER(SEARCH("R82",G73)),0)+IFERROR(--ISNUMBER(SEARCH("R83",G73)),0)+IFERROR(--ISNUMBER(SEARCH("R84",G73)),0)+IFERROR(--ISNUMBER(SEARCH("R85",G73)),0)+IFERROR(--ISNUMBER(SEARCH("R86",G73)),0)+IFERROR(--ISNUMBER(SEARCH("R87",G73)),0)+IFERROR(--ISNUMBER(SEARCH("R88",G73)),0)+IFERROR(--ISNUMBER(SEARCH("R89",G73)),0)+IFERROR(--ISNUMBER(SEARCH("R90",G73)),0)+IFERROR(--ISNUMBER(SEARCH("R91",G73)),0)+IFERROR(--ISNUMBER(SEARCH("R92",G73)),0)+IFERROR(--ISNUMBER(SEARCH("R93",G73)),0)+IFERROR(--ISNUMBER(SEARCH("R94",G73)),0)+IFERROR(--ISNUMBER(SEARCH("R95",G73)),0)+IFERROR(--ISNUMBER(SEARCH("R96",G73)),0)+IFERROR(--ISNUMBER(SEARCH("R97",G73)),0)+IFERROR(--ISNUMBER(SEARCH("R98",G73)),0)+IFERROR(--ISNUMBER(SEARCH("R99",G73)),0)+IFERROR(--ISNUMBER(SEARCH("R100",G73)),0)+IFERROR(--ISNUMBER(SEARCH("R101",G73)),0)+IFERROR(--ISNUMBER(SEARCH("R102",G73)),0)+IFERROR(--ISNUMBER(SEARCH("R103",G73)),0)+IFERROR(--ISNUMBER(SEARCH("R104",G73)),0)+IFERROR(--ISNUMBER(SEARCH("R105",G73)),0)+IFERROR(--ISNUMBER(SEARCH("R106",G73)),0)+IFERROR(--ISNUMBER(SEARCH("R107",G73)),0)+IFERROR(--ISNUMBER(SEARCH("R108",G73)),0)+IFERROR(--ISNUMBER(SEARCH("R109",G73)),0)+IFERROR(--ISNUMBER(SEARCH("R110",G73)),0)+IFERROR(--ISNUMBER(SEARCH("R111",G73)),0)+IFERROR(--ISNUMBER(SEARCH("R112",G73)),0)+IFERROR(--ISNUMBER(SEARCH("R113",G73)),0)+IFERROR(--ISNUMBER(SEARCH("R114",G73)),0)+IFERROR(--ISNUMBER(SEARCH("R115",G73)),0)+IFERROR(--ISNUMBER(SEARCH("R116",G73)),0)+IFERROR(--ISNUMBER(SEARCH("R117",G73)),0)+IFERROR(--ISNUMBER(SEARCH("R118",G73)),0)+IFERROR(--ISNUMBER(SEARCH("R119",G73)),0)+IFERROR(--ISNUMBER(SEARCH("R120",G73)),0)+IFERROR(--ISNUMBER(SEARCH("R121",G73)),0)+IFERROR(--ISNUMBER(SEARCH("R122",G73)),0)+IFERROR(--ISNUMBER(SEARCH("R123",G73)),0)+IFERROR(--ISNUMBER(SEARCH("R124",G73)),0)+IFERROR(--ISNUMBER(SEARCH("R125",G73)),0)+IFERROR(--ISNUMBER(SEARCH("R126",G73)),0)+IFERROR(--ISNUMBER(SEARCH("R127",G73)),0)+IFERROR(--ISNUMBER(SEARCH("R128",G73)),0)+IFERROR(--ISNUMBER(SEARCH("R129",G73)),0)+IFERROR(--ISNUMBER(SEARCH("R130",G73)),0)+IFERROR(--ISNUMBER(SEARCH("R131",G73)),0)+IFERROR(--ISNUMBER(SEARCH("R132",G73)),0)+IFERROR(--ISNUMBER(SEARCH("R133",G73)),0)+IFERROR(--ISNUMBER(SEARCH("R134",G73)),0)+IFERROR(--ISNUMBER(SEARCH("R135",G73)),0)+IFERROR(--ISNUMBER(SEARCH("R136",G73)),0)+IFERROR(--ISNUMBER(SEARCH("R137",G73)),0)+IFERROR(--ISNUMBER(SEARCH("R138",G73)),0)+IFERROR(--ISNUMBER(SEARCH("R139",G73)),0)+IFERROR(--ISNUMBER(SEARCH("R140",G73)),0)+IFERROR(--ISNUMBER(SEARCH("R141",G73)),0))</f>
        <v/>
      </c>
      <c r="T73" s="58">
        <f>IF(A73="","",IFERROR(--ISNUMBER(SEARCH("R28",G73)),0)+IFERROR(--ISNUMBER(SEARCH("R29",G73)),0)+IFERROR(--ISNUMBER(SEARCH("R30",G73)),0)+IFERROR(--ISNUMBER(SEARCH("R32",G73)),0)+IFERROR(--ISNUMBER(SEARCH("R33",G73)),0)+IFERROR(--ISNUMBER(SEARCH("R35",G73)),0)+IFERROR(--ISNUMBER(SEARCH("R36",G73)),0)+IFERROR(--ISNUMBER(SEARCH("R38",G73)),0)+IFERROR(--ISNUMBER(SEARCH("R39",G73)),0)+IFERROR(--ISNUMBER(SEARCH("R43",G73)),0)+IFERROR(--ISNUMBER(SEARCH("R44",G73)),0)+IFERROR(--ISNUMBER(SEARCH("R45",G73)),0)+IFERROR(--ISNUMBER(SEARCH("R47",G73)),0)+IFERROR(--ISNUMBER(SEARCH("R48",G73)),0)+IFERROR(--ISNUMBER(SEARCH("R50",G73)),0)+IFERROR(--ISNUMBER(SEARCH("R51",G73)),0)+IFERROR(--ISNUMBER(SEARCH("R56",G73)),0)+IFERROR(--ISNUMBER(SEARCH("R58",G73)),0)+IFERROR(--ISNUMBER(SEARCH("R59",G73)),0)+IFERROR(--ISNUMBER(SEARCH("R60",G73)),0)+IFERROR(--ISNUMBER(SEARCH("R62",G73)),0)+IFERROR(--ISNUMBER(SEARCH("R63",G73)),0)+IFERROR(--ISNUMBER(SEARCH("R64",G73)),0)+IFERROR(--ISNUMBER(SEARCH("R66",G73)),0)+IFERROR(--ISNUMBER(SEARCH("R67",G73)),0)+IFERROR(--ISNUMBER(SEARCH("R72",G73)),0)+IFERROR(--ISNUMBER(SEARCH("R74",G73)),0)+IFERROR(--ISNUMBER(SEARCH("R75",G73)),0)+IFERROR(--ISNUMBER(SEARCH("R76",G73)),0)+IFERROR(--ISNUMBER(SEARCH("R77",G73)),0)+IFERROR(--ISNUMBER(SEARCH("R79",G73)),0)+IFERROR(--ISNUMBER(SEARCH("R80",G73)),0)+IFERROR(--ISNUMBER(SEARCH("R81",G73)),0)+IFERROR(--ISNUMBER(SEARCH("R83",G73)),0)+IFERROR(--ISNUMBER(SEARCH("R84",G73)),0)+IFERROR(--ISNUMBER(SEARCH("R89",G73)),0)+IFERROR(--ISNUMBER(SEARCH("R94",G73)),0)+IFERROR(--ISNUMBER(SEARCH("R95",G73)),0)+IFERROR(--ISNUMBER(SEARCH("R96",G73)),0)+IFERROR(--ISNUMBER(SEARCH("R98",G73)),0)+IFERROR(--ISNUMBER(SEARCH("R99",G73)),0)+IFERROR(--ISNUMBER(SEARCH("R100",G73)),0)+IFERROR(--ISNUMBER(SEARCH("R104",G73)),0)+IFERROR(--ISNUMBER(SEARCH("R105",G73)),0)+IFERROR(--ISNUMBER(SEARCH("R107",G73)),0)+IFERROR(--ISNUMBER(SEARCH("R108",G73)),0)+IFERROR(--ISNUMBER(SEARCH("R109",G73)),0)+IFERROR(--ISNUMBER(SEARCH("R110",G73)),0)+IFERROR(--ISNUMBER(SEARCH("R112",G73)),0)+IFERROR(--ISNUMBER(SEARCH("R113",G73)),0)+IFERROR(--ISNUMBER(SEARCH("R114",G73)),0)+IFERROR(--ISNUMBER(SEARCH("R118",G73)),0)+IFERROR(--ISNUMBER(SEARCH("R119",G73)),0)+IFERROR(--ISNUMBER(SEARCH("R120",G73)),0)+IFERROR(--ISNUMBER(SEARCH("R122",G73)),0)+IFERROR(--ISNUMBER(SEARCH("R123",G73)),0)+IFERROR(--ISNUMBER(SEARCH("R124",G73)),0)+IFERROR(--ISNUMBER(SEARCH("R128",G73)),0)+IFERROR(--ISNUMBER(SEARCH("R130",G73)),0)+IFERROR(--ISNUMBER(SEARCH("R131",G73)),0)+IFERROR(--ISNUMBER(SEARCH("R132",G73)),0)+IFERROR(--ISNUMBER(SEARCH("R135",G73)),0)+IFERROR(--ISNUMBER(SEARCH("R138",G73)),0)+IFERROR(--ISNUMBER(SEARCH("R141",G73)),0))</f>
        <v/>
      </c>
      <c r="U73" s="58">
        <f>IF(A73="","",IFERROR(--ISNUMBER(SEARCH("R28",G73))*28,0)+IFERROR(--ISNUMBER(SEARCH("R29",G73))*29,0)+IFERROR(--ISNUMBER(SEARCH("R30",G73))*30,0)+IFERROR(--ISNUMBER(SEARCH("R31",G73))*31,0)+IFERROR(--ISNUMBER(SEARCH("R32",G73))*32,0)+IFERROR(--ISNUMBER(SEARCH("R33",G73))*33,0)+IFERROR(--ISNUMBER(SEARCH("R34",G73))*34,0)+IFERROR(--ISNUMBER(SEARCH("R35",G73))*35,0)+IFERROR(--ISNUMBER(SEARCH("R36",G73))*36,0)+IFERROR(--ISNUMBER(SEARCH("R37",G73))*37,0)+IFERROR(--ISNUMBER(SEARCH("R38",G73))*38,0)+IFERROR(--ISNUMBER(SEARCH("R39",G73))*39,0)+IFERROR(--ISNUMBER(SEARCH("R40",G73))*40,0)+IFERROR(--ISNUMBER(SEARCH("R41",G73))*41,0)+IFERROR(--ISNUMBER(SEARCH("R42",G73))*42,0)+IFERROR(--ISNUMBER(SEARCH("R43",G73))*43,0)+IFERROR(--ISNUMBER(SEARCH("R44",G73))*44,0)+IFERROR(--ISNUMBER(SEARCH("R45",G73))*45,0)+IFERROR(--ISNUMBER(SEARCH("R46",G73))*46,0)+IFERROR(--ISNUMBER(SEARCH("R47",G73))*47,0)+IFERROR(--ISNUMBER(SEARCH("R48",G73))*48,0)+IFERROR(--ISNUMBER(SEARCH("R49",G73))*49,0)+IFERROR(--ISNUMBER(SEARCH("R50",G73))*50,0)+IFERROR(--ISNUMBER(SEARCH("R51",G73))*51,0)+IFERROR(--ISNUMBER(SEARCH("R52",G73))*52,0)+IFERROR(--ISNUMBER(SEARCH("R53",G73))*53,0)+IFERROR(--ISNUMBER(SEARCH("R54",G73))*54,0)+IFERROR(--ISNUMBER(SEARCH("R55",G73))*55,0)+IFERROR(--ISNUMBER(SEARCH("R56",G73))*56,0)+IFERROR(--ISNUMBER(SEARCH("R57",G73))*57,0)+IFERROR(--ISNUMBER(SEARCH("R58",G73))*58,0)+IFERROR(--ISNUMBER(SEARCH("R59",G73))*59,0)+IFERROR(--ISNUMBER(SEARCH("R60",G73))*60,0)+IFERROR(--ISNUMBER(SEARCH("R61",G73))*61,0)+IFERROR(--ISNUMBER(SEARCH("R62",G73))*62,0)+IFERROR(--ISNUMBER(SEARCH("R63",G73))*63,0)+IFERROR(--ISNUMBER(SEARCH("R64",G73))*64,0)+IFERROR(--ISNUMBER(SEARCH("R65",G73))*65,0)+IFERROR(--ISNUMBER(SEARCH("R66",G73))*66,0)+IFERROR(--ISNUMBER(SEARCH("R67",G73))*67,0)+IFERROR(--ISNUMBER(SEARCH("R68",G73))*68,0)+IFERROR(--ISNUMBER(SEARCH("R69",G73))*69,0)+IFERROR(--ISNUMBER(SEARCH("R70",G73))*70,0)+IFERROR(--ISNUMBER(SEARCH("R71",G73))*71,0)+IFERROR(--ISNUMBER(SEARCH("R72",G73))*72,0)+IFERROR(--ISNUMBER(SEARCH("R73",G73))*73,0)+IFERROR(--ISNUMBER(SEARCH("R74",G73))*74,0)+IFERROR(--ISNUMBER(SEARCH("R75",G73))*75,0)+IFERROR(--ISNUMBER(SEARCH("R76",G73))*76,0)+IFERROR(--ISNUMBER(SEARCH("R77",G73))*77,0)+IFERROR(--ISNUMBER(SEARCH("R78",G73))*78,0)+IFERROR(--ISNUMBER(SEARCH("R79",G73))*79,0)+IFERROR(--ISNUMBER(SEARCH("R80",G73))*80,0)+IFERROR(--ISNUMBER(SEARCH("R81",G73))*81,0)+IFERROR(--ISNUMBER(SEARCH("R82",G73))*82,0)+IFERROR(--ISNUMBER(SEARCH("R83",G73))*83,0)+IFERROR(--ISNUMBER(SEARCH("R84",G73))*84,0)+IFERROR(--ISNUMBER(SEARCH("R85",G73))*85,0)+IFERROR(--ISNUMBER(SEARCH("R86",G73))*86,0)+IFERROR(--ISNUMBER(SEARCH("R87",G73))*87,0)+IFERROR(--ISNUMBER(SEARCH("R88",G73))*88,0)+IFERROR(--ISNUMBER(SEARCH("R89",G73))*89,0)+IFERROR(--ISNUMBER(SEARCH("R90",G73))*90,0)+IFERROR(--ISNUMBER(SEARCH("R91",G73))*91,0)+IFERROR(--ISNUMBER(SEARCH("R92",G73))*92,0)+IFERROR(--ISNUMBER(SEARCH("R93",G73))*93,0)+IFERROR(--ISNUMBER(SEARCH("R94",G73))*94,0)+IFERROR(--ISNUMBER(SEARCH("R95",G73))*95,0)+IFERROR(--ISNUMBER(SEARCH("R96",G73))*96,0)+IFERROR(--ISNUMBER(SEARCH("R97",G73))*97,0)+IFERROR(--ISNUMBER(SEARCH("R98",G73))*98,0)+IFERROR(--ISNUMBER(SEARCH("R99",G73))*99,0)+IFERROR(--ISNUMBER(SEARCH("R100",G73))*100,0)+IFERROR(--ISNUMBER(SEARCH("R101",G73))*101,0)+IFERROR(--ISNUMBER(SEARCH("R102",G73))*102,0)+IFERROR(--ISNUMBER(SEARCH("R103",G73))*103,0)+IFERROR(--ISNUMBER(SEARCH("R104",G73))*104,0)+IFERROR(--ISNUMBER(SEARCH("R105",G73))*105,0)+IFERROR(--ISNUMBER(SEARCH("R106",G73))*106,0)+IFERROR(--ISNUMBER(SEARCH("R107",G73))*107,0)+IFERROR(--ISNUMBER(SEARCH("R108",G73))*108,0)+IFERROR(--ISNUMBER(SEARCH("R109",G73))*109,0)+IFERROR(--ISNUMBER(SEARCH("R110",G73))*110,0)+IFERROR(--ISNUMBER(SEARCH("R111",G73))*111,0)+IFERROR(--ISNUMBER(SEARCH("R112",G73))*112,0)+IFERROR(--ISNUMBER(SEARCH("R113",G73))*113,0)+IFERROR(--ISNUMBER(SEARCH("R114",G73))*114,0)+IFERROR(--ISNUMBER(SEARCH("R115",G73))*115,0)+IFERROR(--ISNUMBER(SEARCH("R116",G73))*116,0)+IFERROR(--ISNUMBER(SEARCH("R117",G73))*117,0)+IFERROR(--ISNUMBER(SEARCH("R118",G73))*118,0)+IFERROR(--ISNUMBER(SEARCH("R119",G73))*119,0)+IFERROR(--ISNUMBER(SEARCH("R120",G73))*120,0)+IFERROR(--ISNUMBER(SEARCH("R121",G73))*121,0)+IFERROR(--ISNUMBER(SEARCH("R122",G73))*122,0)+IFERROR(--ISNUMBER(SEARCH("R123",G73))*123,0)+IFERROR(--ISNUMBER(SEARCH("R124",G73))*124,0)+IFERROR(--ISNUMBER(SEARCH("R125",G73))*125,0)+IFERROR(--ISNUMBER(SEARCH("R126",G73))*126,0)+IFERROR(--ISNUMBER(SEARCH("R127",G73))*127,0)+IFERROR(--ISNUMBER(SEARCH("R128",G73))*128,0)+IFERROR(--ISNUMBER(SEARCH("R129",G73))*129,0)+IFERROR(--ISNUMBER(SEARCH("R130",G73))*130,0)+IFERROR(--ISNUMBER(SEARCH("R131",G73))*131,0)+IFERROR(--ISNUMBER(SEARCH("R132",G73))*132,0)+IFERROR(--ISNUMBER(SEARCH("R133",G73))*133,0)+IFERROR(--ISNUMBER(SEARCH("R134",G73))*134,0)+IFERROR(--ISNUMBER(SEARCH("R135",G73))*135,0)+IFERROR(--ISNUMBER(SEARCH("R136",G73))*136,0)+IFERROR(--ISNUMBER(SEARCH("R137",G73))*137,0)+IFERROR(--ISNUMBER(SEARCH("R138",G73))*138,0)+IFERROR(--ISNUMBER(SEARCH("R139",G73))*139,0)+IFERROR(--ISNUMBER(SEARCH("R140",G73))*140,0)+IFERROR(--ISNUMBER(SEARCH("R141",G73))*141,0))</f>
        <v/>
      </c>
      <c r="V73" s="59">
        <f>IF(A73="","",IF(K73&lt;&gt;"",K73,J73))</f>
        <v/>
      </c>
      <c r="W73" s="59">
        <f>IF(A73="","",IF(AND(V73=29,O73&lt;&gt;"",COUNTIFS($V$6:$V$505,29,$F$6:$F$505,F73,$C$6:$C$505,C73,$O$6:$O$505,"&lt;&gt;")&gt;1),IF(COUNTIFS($V$6:V73,29,$F$6:F73,F73,$C$6:C73,C73,$O$6:O73,"&lt;&gt;")=1,"Esta es la fila que se debe CONSERVAR (aparición 1 de "&amp;COUNTIFS($V$6:$V$505,29,$F$6:$F$505,F73,$C$6:$C$505,C73,$O$6:$O$505,"&lt;&gt;")&amp;" con el mismo tercero y valor, casilla 29). Si hay más filas iguales, bórreles el valor a ELLAS, no a esta.","DUPLICADO — ya existe otra fila con el mismo tercero y valor para casilla 29 (aparición "&amp;COUNTIFS($V$6:V73,29,$F$6:F73,F73,$C$6:C73,C73,$O$6:O73,"&lt;&gt;")&amp;" de "&amp;COUNTIFS($V$6:$V$505,29,$F$6:$F$505,F73,$C$6:$C$505,C73,$O$6:$O$505,"&lt;&gt;")&amp;"). Para resolverlo: seleccione la celda O"&amp;ROW()&amp;" (columna Valor a declarar de ESTA fila) y presione Supr."),""))</f>
        <v/>
      </c>
      <c r="X73" s="463">
        <f>IF(A73="","",F73)</f>
        <v/>
      </c>
      <c r="Y73" s="463">
        <f>IF(A73="","",SUMIF(Entrada_Manual!$I$88:$I$187,A73,Entrada_Manual!$F$88:$F$187))</f>
        <v/>
      </c>
      <c r="Z73" s="463">
        <f>IF(A73="","",X73-Y73)</f>
        <v/>
      </c>
      <c r="AA73">
        <f>IF(A73="","",SUMPRODUCT((Entrada_Manual!$I$88:$I$187=A73)*1))</f>
        <v/>
      </c>
      <c r="AB73">
        <f>IF(A73="","",IF(S73&lt;=1,"",IF(AA73=0,"PENDIENTE — SIN ASIGNAR",IF(Z73=0,"RESUELTO","PARCIAL — DIFERENCIA "&amp;TEXT(Z73,"#,##0")))))</f>
        <v/>
      </c>
    </row>
    <row r="74" ht="42.75" customHeight="1" s="235">
      <c r="A74" s="47">
        <f>IF(Exogena_RAW!E83&lt;&gt;"",ROW()-5,"")</f>
        <v/>
      </c>
      <c r="B74" s="48">
        <f>IF(A74="","",83)</f>
        <v/>
      </c>
      <c r="C74" s="48">
        <f>IF(A74="","",IFERROR(Exogena_RAW!A83,""))</f>
        <v/>
      </c>
      <c r="D74" s="48">
        <f>IF(A74="","",IFERROR(Exogena_RAW!B83,""))</f>
        <v/>
      </c>
      <c r="E74" s="48">
        <f>IF(A74="","",Exogena_RAW!E83)</f>
        <v/>
      </c>
      <c r="F74" s="461">
        <f>IF(A74="","",Exogena_RAW!F83)</f>
        <v/>
      </c>
      <c r="G74" s="48">
        <f>IF(A74="","",IFERROR(Exogena_RAW!G83,""))</f>
        <v/>
      </c>
      <c r="H74" s="48">
        <f>IF(A74="","",IFERROR(Exogena_RAW!H83,""))</f>
        <v/>
      </c>
      <c r="I74" s="48">
        <f>IF(A74="","",IFERROR(IF(S74&gt;1,"VARIAS CASILLAS",IF(S74=1,IF(T74=1,"PROPUESTA DE CASILLA","REVISIÓN: CASILLA NO DIRECTA"),IF(OR(ISNUMBER(SEARCH("TOPE",UPPER(E74))),ISNUMBER(SEARCH("TOPE",UPPER(G74)))),"SOLO CONTROL",IF(ISNUMBER(SEARCH("RETEN",UPPER(E74))),"RETENCIÓN","REVISAR")))),"REVISAR"))</f>
        <v/>
      </c>
      <c r="J74" s="48">
        <f>IF(A74="","",IF(ISNUMBER(SEARCH("ingreso laboral promedio de los últimos seis meses",E74)),"",IFERROR(IF(AND(S74=1,T74=1),U74,""),"")))</f>
        <v/>
      </c>
      <c r="K74" s="216" t="n"/>
      <c r="L74" s="48">
        <f>IF(A74="","",IFERROR(IF(K74&lt;&gt;"","Casilla elegida por usuario",IF(S74&gt;1,"Varias casillas — elegir en K",IF(J74&lt;&gt;"","Sugerencia directa",IF(S74=1,"No trasladar directo — revisar",IF(OR(ISNUMBER(SEARCH("TOPE",UPPER(E74))),ISNUMBER(SEARCH("TOPE",UPPER(G74)))),"Solo control","Revisar manualmente"))))),"Revisar manualmente"))</f>
        <v/>
      </c>
      <c r="M74" s="461">
        <f>IF(A74="","",IF(IF(K74&lt;&gt;"",K74,J74)="",0,IF(COUNTIFS(Reglas!$I$5:$I$118,IF(K74&lt;&gt;"",K74,J74),Reglas!$J$5:$J$118,"Sí")=1,F74,0)))</f>
        <v/>
      </c>
      <c r="N74" s="56" t="n"/>
      <c r="O74" s="462">
        <f>IF(A74="","",IF(M74=0,"",M74))</f>
        <v/>
      </c>
      <c r="P74" s="461">
        <f>IF(A74="","",IF(O74="",0,IF(ISNUMBER(O74),O74,0)))</f>
        <v/>
      </c>
      <c r="Q74" s="48">
        <f>IF(A74="","",IF(Exogena_RAW!$C$4="","BLOQUEADO: FALTA AÑO",IF(Exogena_RAW!$K$10&lt;&gt;Reglas!$B$5,"BLOQUEADO: AÑO",IF(IF(K74&lt;&gt;"",K74,J74)="",IF(S74&gt;1,"REQUIERE ASIGNACIÓN MANUAL (VARIAS CASILLAS)","INFORMATIVO (sin casilla — no se declara)"),IF(COUNTIFS(Reglas!$I$5:$I$118,IF(K74&lt;&gt;"",K74,J74),Reglas!$J$5:$J$118,"Sí")=0,"BLOQUEADO: CASILLA NO DIRECTA",IF(O74="","EXCLUIDO (valor borrado por el usuario)",IF(_xlfn.ISFORMULA(O74),IF(W74&lt;&gt;"","BORRADOR — VALOR SUGERIDO DIAN ⚠ VER ALERTA","BORRADOR — VALOR SUGERIDO DIAN"),IF(W74&lt;&gt;"","ACEPTADO ⚠ VER ALERTA","ACEPTADO"))))))))</f>
        <v/>
      </c>
      <c r="R74" s="218" t="n"/>
      <c r="S74" s="58">
        <f>IF(A74="","",IFERROR(--ISNUMBER(SEARCH("R28",G74)),0)+IFERROR(--ISNUMBER(SEARCH("R29",G74)),0)+IFERROR(--ISNUMBER(SEARCH("R30",G74)),0)+IFERROR(--ISNUMBER(SEARCH("R31",G74)),0)+IFERROR(--ISNUMBER(SEARCH("R32",G74)),0)+IFERROR(--ISNUMBER(SEARCH("R33",G74)),0)+IFERROR(--ISNUMBER(SEARCH("R34",G74)),0)+IFERROR(--ISNUMBER(SEARCH("R35",G74)),0)+IFERROR(--ISNUMBER(SEARCH("R36",G74)),0)+IFERROR(--ISNUMBER(SEARCH("R37",G74)),0)+IFERROR(--ISNUMBER(SEARCH("R38",G74)),0)+IFERROR(--ISNUMBER(SEARCH("R39",G74)),0)+IFERROR(--ISNUMBER(SEARCH("R40",G74)),0)+IFERROR(--ISNUMBER(SEARCH("R41",G74)),0)+IFERROR(--ISNUMBER(SEARCH("R42",G74)),0)+IFERROR(--ISNUMBER(SEARCH("R43",G74)),0)+IFERROR(--ISNUMBER(SEARCH("R44",G74)),0)+IFERROR(--ISNUMBER(SEARCH("R45",G74)),0)+IFERROR(--ISNUMBER(SEARCH("R46",G74)),0)+IFERROR(--ISNUMBER(SEARCH("R47",G74)),0)+IFERROR(--ISNUMBER(SEARCH("R48",G74)),0)+IFERROR(--ISNUMBER(SEARCH("R49",G74)),0)+IFERROR(--ISNUMBER(SEARCH("R50",G74)),0)+IFERROR(--ISNUMBER(SEARCH("R51",G74)),0)+IFERROR(--ISNUMBER(SEARCH("R52",G74)),0)+IFERROR(--ISNUMBER(SEARCH("R53",G74)),0)+IFERROR(--ISNUMBER(SEARCH("R54",G74)),0)+IFERROR(--ISNUMBER(SEARCH("R55",G74)),0)+IFERROR(--ISNUMBER(SEARCH("R56",G74)),0)+IFERROR(--ISNUMBER(SEARCH("R57",G74)),0)+IFERROR(--ISNUMBER(SEARCH("R58",G74)),0)+IFERROR(--ISNUMBER(SEARCH("R59",G74)),0)+IFERROR(--ISNUMBER(SEARCH("R60",G74)),0)+IFERROR(--ISNUMBER(SEARCH("R61",G74)),0)+IFERROR(--ISNUMBER(SEARCH("R62",G74)),0)+IFERROR(--ISNUMBER(SEARCH("R63",G74)),0)+IFERROR(--ISNUMBER(SEARCH("R64",G74)),0)+IFERROR(--ISNUMBER(SEARCH("R65",G74)),0)+IFERROR(--ISNUMBER(SEARCH("R66",G74)),0)+IFERROR(--ISNUMBER(SEARCH("R67",G74)),0)+IFERROR(--ISNUMBER(SEARCH("R68",G74)),0)+IFERROR(--ISNUMBER(SEARCH("R69",G74)),0)+IFERROR(--ISNUMBER(SEARCH("R70",G74)),0)+IFERROR(--ISNUMBER(SEARCH("R71",G74)),0)+IFERROR(--ISNUMBER(SEARCH("R72",G74)),0)+IFERROR(--ISNUMBER(SEARCH("R73",G74)),0)+IFERROR(--ISNUMBER(SEARCH("R74",G74)),0)+IFERROR(--ISNUMBER(SEARCH("R75",G74)),0)+IFERROR(--ISNUMBER(SEARCH("R76",G74)),0)+IFERROR(--ISNUMBER(SEARCH("R77",G74)),0)+IFERROR(--ISNUMBER(SEARCH("R78",G74)),0)+IFERROR(--ISNUMBER(SEARCH("R79",G74)),0)+IFERROR(--ISNUMBER(SEARCH("R80",G74)),0)+IFERROR(--ISNUMBER(SEARCH("R81",G74)),0)+IFERROR(--ISNUMBER(SEARCH("R82",G74)),0)+IFERROR(--ISNUMBER(SEARCH("R83",G74)),0)+IFERROR(--ISNUMBER(SEARCH("R84",G74)),0)+IFERROR(--ISNUMBER(SEARCH("R85",G74)),0)+IFERROR(--ISNUMBER(SEARCH("R86",G74)),0)+IFERROR(--ISNUMBER(SEARCH("R87",G74)),0)+IFERROR(--ISNUMBER(SEARCH("R88",G74)),0)+IFERROR(--ISNUMBER(SEARCH("R89",G74)),0)+IFERROR(--ISNUMBER(SEARCH("R90",G74)),0)+IFERROR(--ISNUMBER(SEARCH("R91",G74)),0)+IFERROR(--ISNUMBER(SEARCH("R92",G74)),0)+IFERROR(--ISNUMBER(SEARCH("R93",G74)),0)+IFERROR(--ISNUMBER(SEARCH("R94",G74)),0)+IFERROR(--ISNUMBER(SEARCH("R95",G74)),0)+IFERROR(--ISNUMBER(SEARCH("R96",G74)),0)+IFERROR(--ISNUMBER(SEARCH("R97",G74)),0)+IFERROR(--ISNUMBER(SEARCH("R98",G74)),0)+IFERROR(--ISNUMBER(SEARCH("R99",G74)),0)+IFERROR(--ISNUMBER(SEARCH("R100",G74)),0)+IFERROR(--ISNUMBER(SEARCH("R101",G74)),0)+IFERROR(--ISNUMBER(SEARCH("R102",G74)),0)+IFERROR(--ISNUMBER(SEARCH("R103",G74)),0)+IFERROR(--ISNUMBER(SEARCH("R104",G74)),0)+IFERROR(--ISNUMBER(SEARCH("R105",G74)),0)+IFERROR(--ISNUMBER(SEARCH("R106",G74)),0)+IFERROR(--ISNUMBER(SEARCH("R107",G74)),0)+IFERROR(--ISNUMBER(SEARCH("R108",G74)),0)+IFERROR(--ISNUMBER(SEARCH("R109",G74)),0)+IFERROR(--ISNUMBER(SEARCH("R110",G74)),0)+IFERROR(--ISNUMBER(SEARCH("R111",G74)),0)+IFERROR(--ISNUMBER(SEARCH("R112",G74)),0)+IFERROR(--ISNUMBER(SEARCH("R113",G74)),0)+IFERROR(--ISNUMBER(SEARCH("R114",G74)),0)+IFERROR(--ISNUMBER(SEARCH("R115",G74)),0)+IFERROR(--ISNUMBER(SEARCH("R116",G74)),0)+IFERROR(--ISNUMBER(SEARCH("R117",G74)),0)+IFERROR(--ISNUMBER(SEARCH("R118",G74)),0)+IFERROR(--ISNUMBER(SEARCH("R119",G74)),0)+IFERROR(--ISNUMBER(SEARCH("R120",G74)),0)+IFERROR(--ISNUMBER(SEARCH("R121",G74)),0)+IFERROR(--ISNUMBER(SEARCH("R122",G74)),0)+IFERROR(--ISNUMBER(SEARCH("R123",G74)),0)+IFERROR(--ISNUMBER(SEARCH("R124",G74)),0)+IFERROR(--ISNUMBER(SEARCH("R125",G74)),0)+IFERROR(--ISNUMBER(SEARCH("R126",G74)),0)+IFERROR(--ISNUMBER(SEARCH("R127",G74)),0)+IFERROR(--ISNUMBER(SEARCH("R128",G74)),0)+IFERROR(--ISNUMBER(SEARCH("R129",G74)),0)+IFERROR(--ISNUMBER(SEARCH("R130",G74)),0)+IFERROR(--ISNUMBER(SEARCH("R131",G74)),0)+IFERROR(--ISNUMBER(SEARCH("R132",G74)),0)+IFERROR(--ISNUMBER(SEARCH("R133",G74)),0)+IFERROR(--ISNUMBER(SEARCH("R134",G74)),0)+IFERROR(--ISNUMBER(SEARCH("R135",G74)),0)+IFERROR(--ISNUMBER(SEARCH("R136",G74)),0)+IFERROR(--ISNUMBER(SEARCH("R137",G74)),0)+IFERROR(--ISNUMBER(SEARCH("R138",G74)),0)+IFERROR(--ISNUMBER(SEARCH("R139",G74)),0)+IFERROR(--ISNUMBER(SEARCH("R140",G74)),0)+IFERROR(--ISNUMBER(SEARCH("R141",G74)),0))</f>
        <v/>
      </c>
      <c r="T74" s="58">
        <f>IF(A74="","",IFERROR(--ISNUMBER(SEARCH("R28",G74)),0)+IFERROR(--ISNUMBER(SEARCH("R29",G74)),0)+IFERROR(--ISNUMBER(SEARCH("R30",G74)),0)+IFERROR(--ISNUMBER(SEARCH("R32",G74)),0)+IFERROR(--ISNUMBER(SEARCH("R33",G74)),0)+IFERROR(--ISNUMBER(SEARCH("R35",G74)),0)+IFERROR(--ISNUMBER(SEARCH("R36",G74)),0)+IFERROR(--ISNUMBER(SEARCH("R38",G74)),0)+IFERROR(--ISNUMBER(SEARCH("R39",G74)),0)+IFERROR(--ISNUMBER(SEARCH("R43",G74)),0)+IFERROR(--ISNUMBER(SEARCH("R44",G74)),0)+IFERROR(--ISNUMBER(SEARCH("R45",G74)),0)+IFERROR(--ISNUMBER(SEARCH("R47",G74)),0)+IFERROR(--ISNUMBER(SEARCH("R48",G74)),0)+IFERROR(--ISNUMBER(SEARCH("R50",G74)),0)+IFERROR(--ISNUMBER(SEARCH("R51",G74)),0)+IFERROR(--ISNUMBER(SEARCH("R56",G74)),0)+IFERROR(--ISNUMBER(SEARCH("R58",G74)),0)+IFERROR(--ISNUMBER(SEARCH("R59",G74)),0)+IFERROR(--ISNUMBER(SEARCH("R60",G74)),0)+IFERROR(--ISNUMBER(SEARCH("R62",G74)),0)+IFERROR(--ISNUMBER(SEARCH("R63",G74)),0)+IFERROR(--ISNUMBER(SEARCH("R64",G74)),0)+IFERROR(--ISNUMBER(SEARCH("R66",G74)),0)+IFERROR(--ISNUMBER(SEARCH("R67",G74)),0)+IFERROR(--ISNUMBER(SEARCH("R72",G74)),0)+IFERROR(--ISNUMBER(SEARCH("R74",G74)),0)+IFERROR(--ISNUMBER(SEARCH("R75",G74)),0)+IFERROR(--ISNUMBER(SEARCH("R76",G74)),0)+IFERROR(--ISNUMBER(SEARCH("R77",G74)),0)+IFERROR(--ISNUMBER(SEARCH("R79",G74)),0)+IFERROR(--ISNUMBER(SEARCH("R80",G74)),0)+IFERROR(--ISNUMBER(SEARCH("R81",G74)),0)+IFERROR(--ISNUMBER(SEARCH("R83",G74)),0)+IFERROR(--ISNUMBER(SEARCH("R84",G74)),0)+IFERROR(--ISNUMBER(SEARCH("R89",G74)),0)+IFERROR(--ISNUMBER(SEARCH("R94",G74)),0)+IFERROR(--ISNUMBER(SEARCH("R95",G74)),0)+IFERROR(--ISNUMBER(SEARCH("R96",G74)),0)+IFERROR(--ISNUMBER(SEARCH("R98",G74)),0)+IFERROR(--ISNUMBER(SEARCH("R99",G74)),0)+IFERROR(--ISNUMBER(SEARCH("R100",G74)),0)+IFERROR(--ISNUMBER(SEARCH("R104",G74)),0)+IFERROR(--ISNUMBER(SEARCH("R105",G74)),0)+IFERROR(--ISNUMBER(SEARCH("R107",G74)),0)+IFERROR(--ISNUMBER(SEARCH("R108",G74)),0)+IFERROR(--ISNUMBER(SEARCH("R109",G74)),0)+IFERROR(--ISNUMBER(SEARCH("R110",G74)),0)+IFERROR(--ISNUMBER(SEARCH("R112",G74)),0)+IFERROR(--ISNUMBER(SEARCH("R113",G74)),0)+IFERROR(--ISNUMBER(SEARCH("R114",G74)),0)+IFERROR(--ISNUMBER(SEARCH("R118",G74)),0)+IFERROR(--ISNUMBER(SEARCH("R119",G74)),0)+IFERROR(--ISNUMBER(SEARCH("R120",G74)),0)+IFERROR(--ISNUMBER(SEARCH("R122",G74)),0)+IFERROR(--ISNUMBER(SEARCH("R123",G74)),0)+IFERROR(--ISNUMBER(SEARCH("R124",G74)),0)+IFERROR(--ISNUMBER(SEARCH("R128",G74)),0)+IFERROR(--ISNUMBER(SEARCH("R130",G74)),0)+IFERROR(--ISNUMBER(SEARCH("R131",G74)),0)+IFERROR(--ISNUMBER(SEARCH("R132",G74)),0)+IFERROR(--ISNUMBER(SEARCH("R135",G74)),0)+IFERROR(--ISNUMBER(SEARCH("R138",G74)),0)+IFERROR(--ISNUMBER(SEARCH("R141",G74)),0))</f>
        <v/>
      </c>
      <c r="U74" s="58">
        <f>IF(A74="","",IFERROR(--ISNUMBER(SEARCH("R28",G74))*28,0)+IFERROR(--ISNUMBER(SEARCH("R29",G74))*29,0)+IFERROR(--ISNUMBER(SEARCH("R30",G74))*30,0)+IFERROR(--ISNUMBER(SEARCH("R31",G74))*31,0)+IFERROR(--ISNUMBER(SEARCH("R32",G74))*32,0)+IFERROR(--ISNUMBER(SEARCH("R33",G74))*33,0)+IFERROR(--ISNUMBER(SEARCH("R34",G74))*34,0)+IFERROR(--ISNUMBER(SEARCH("R35",G74))*35,0)+IFERROR(--ISNUMBER(SEARCH("R36",G74))*36,0)+IFERROR(--ISNUMBER(SEARCH("R37",G74))*37,0)+IFERROR(--ISNUMBER(SEARCH("R38",G74))*38,0)+IFERROR(--ISNUMBER(SEARCH("R39",G74))*39,0)+IFERROR(--ISNUMBER(SEARCH("R40",G74))*40,0)+IFERROR(--ISNUMBER(SEARCH("R41",G74))*41,0)+IFERROR(--ISNUMBER(SEARCH("R42",G74))*42,0)+IFERROR(--ISNUMBER(SEARCH("R43",G74))*43,0)+IFERROR(--ISNUMBER(SEARCH("R44",G74))*44,0)+IFERROR(--ISNUMBER(SEARCH("R45",G74))*45,0)+IFERROR(--ISNUMBER(SEARCH("R46",G74))*46,0)+IFERROR(--ISNUMBER(SEARCH("R47",G74))*47,0)+IFERROR(--ISNUMBER(SEARCH("R48",G74))*48,0)+IFERROR(--ISNUMBER(SEARCH("R49",G74))*49,0)+IFERROR(--ISNUMBER(SEARCH("R50",G74))*50,0)+IFERROR(--ISNUMBER(SEARCH("R51",G74))*51,0)+IFERROR(--ISNUMBER(SEARCH("R52",G74))*52,0)+IFERROR(--ISNUMBER(SEARCH("R53",G74))*53,0)+IFERROR(--ISNUMBER(SEARCH("R54",G74))*54,0)+IFERROR(--ISNUMBER(SEARCH("R55",G74))*55,0)+IFERROR(--ISNUMBER(SEARCH("R56",G74))*56,0)+IFERROR(--ISNUMBER(SEARCH("R57",G74))*57,0)+IFERROR(--ISNUMBER(SEARCH("R58",G74))*58,0)+IFERROR(--ISNUMBER(SEARCH("R59",G74))*59,0)+IFERROR(--ISNUMBER(SEARCH("R60",G74))*60,0)+IFERROR(--ISNUMBER(SEARCH("R61",G74))*61,0)+IFERROR(--ISNUMBER(SEARCH("R62",G74))*62,0)+IFERROR(--ISNUMBER(SEARCH("R63",G74))*63,0)+IFERROR(--ISNUMBER(SEARCH("R64",G74))*64,0)+IFERROR(--ISNUMBER(SEARCH("R65",G74))*65,0)+IFERROR(--ISNUMBER(SEARCH("R66",G74))*66,0)+IFERROR(--ISNUMBER(SEARCH("R67",G74))*67,0)+IFERROR(--ISNUMBER(SEARCH("R68",G74))*68,0)+IFERROR(--ISNUMBER(SEARCH("R69",G74))*69,0)+IFERROR(--ISNUMBER(SEARCH("R70",G74))*70,0)+IFERROR(--ISNUMBER(SEARCH("R71",G74))*71,0)+IFERROR(--ISNUMBER(SEARCH("R72",G74))*72,0)+IFERROR(--ISNUMBER(SEARCH("R73",G74))*73,0)+IFERROR(--ISNUMBER(SEARCH("R74",G74))*74,0)+IFERROR(--ISNUMBER(SEARCH("R75",G74))*75,0)+IFERROR(--ISNUMBER(SEARCH("R76",G74))*76,0)+IFERROR(--ISNUMBER(SEARCH("R77",G74))*77,0)+IFERROR(--ISNUMBER(SEARCH("R78",G74))*78,0)+IFERROR(--ISNUMBER(SEARCH("R79",G74))*79,0)+IFERROR(--ISNUMBER(SEARCH("R80",G74))*80,0)+IFERROR(--ISNUMBER(SEARCH("R81",G74))*81,0)+IFERROR(--ISNUMBER(SEARCH("R82",G74))*82,0)+IFERROR(--ISNUMBER(SEARCH("R83",G74))*83,0)+IFERROR(--ISNUMBER(SEARCH("R84",G74))*84,0)+IFERROR(--ISNUMBER(SEARCH("R85",G74))*85,0)+IFERROR(--ISNUMBER(SEARCH("R86",G74))*86,0)+IFERROR(--ISNUMBER(SEARCH("R87",G74))*87,0)+IFERROR(--ISNUMBER(SEARCH("R88",G74))*88,0)+IFERROR(--ISNUMBER(SEARCH("R89",G74))*89,0)+IFERROR(--ISNUMBER(SEARCH("R90",G74))*90,0)+IFERROR(--ISNUMBER(SEARCH("R91",G74))*91,0)+IFERROR(--ISNUMBER(SEARCH("R92",G74))*92,0)+IFERROR(--ISNUMBER(SEARCH("R93",G74))*93,0)+IFERROR(--ISNUMBER(SEARCH("R94",G74))*94,0)+IFERROR(--ISNUMBER(SEARCH("R95",G74))*95,0)+IFERROR(--ISNUMBER(SEARCH("R96",G74))*96,0)+IFERROR(--ISNUMBER(SEARCH("R97",G74))*97,0)+IFERROR(--ISNUMBER(SEARCH("R98",G74))*98,0)+IFERROR(--ISNUMBER(SEARCH("R99",G74))*99,0)+IFERROR(--ISNUMBER(SEARCH("R100",G74))*100,0)+IFERROR(--ISNUMBER(SEARCH("R101",G74))*101,0)+IFERROR(--ISNUMBER(SEARCH("R102",G74))*102,0)+IFERROR(--ISNUMBER(SEARCH("R103",G74))*103,0)+IFERROR(--ISNUMBER(SEARCH("R104",G74))*104,0)+IFERROR(--ISNUMBER(SEARCH("R105",G74))*105,0)+IFERROR(--ISNUMBER(SEARCH("R106",G74))*106,0)+IFERROR(--ISNUMBER(SEARCH("R107",G74))*107,0)+IFERROR(--ISNUMBER(SEARCH("R108",G74))*108,0)+IFERROR(--ISNUMBER(SEARCH("R109",G74))*109,0)+IFERROR(--ISNUMBER(SEARCH("R110",G74))*110,0)+IFERROR(--ISNUMBER(SEARCH("R111",G74))*111,0)+IFERROR(--ISNUMBER(SEARCH("R112",G74))*112,0)+IFERROR(--ISNUMBER(SEARCH("R113",G74))*113,0)+IFERROR(--ISNUMBER(SEARCH("R114",G74))*114,0)+IFERROR(--ISNUMBER(SEARCH("R115",G74))*115,0)+IFERROR(--ISNUMBER(SEARCH("R116",G74))*116,0)+IFERROR(--ISNUMBER(SEARCH("R117",G74))*117,0)+IFERROR(--ISNUMBER(SEARCH("R118",G74))*118,0)+IFERROR(--ISNUMBER(SEARCH("R119",G74))*119,0)+IFERROR(--ISNUMBER(SEARCH("R120",G74))*120,0)+IFERROR(--ISNUMBER(SEARCH("R121",G74))*121,0)+IFERROR(--ISNUMBER(SEARCH("R122",G74))*122,0)+IFERROR(--ISNUMBER(SEARCH("R123",G74))*123,0)+IFERROR(--ISNUMBER(SEARCH("R124",G74))*124,0)+IFERROR(--ISNUMBER(SEARCH("R125",G74))*125,0)+IFERROR(--ISNUMBER(SEARCH("R126",G74))*126,0)+IFERROR(--ISNUMBER(SEARCH("R127",G74))*127,0)+IFERROR(--ISNUMBER(SEARCH("R128",G74))*128,0)+IFERROR(--ISNUMBER(SEARCH("R129",G74))*129,0)+IFERROR(--ISNUMBER(SEARCH("R130",G74))*130,0)+IFERROR(--ISNUMBER(SEARCH("R131",G74))*131,0)+IFERROR(--ISNUMBER(SEARCH("R132",G74))*132,0)+IFERROR(--ISNUMBER(SEARCH("R133",G74))*133,0)+IFERROR(--ISNUMBER(SEARCH("R134",G74))*134,0)+IFERROR(--ISNUMBER(SEARCH("R135",G74))*135,0)+IFERROR(--ISNUMBER(SEARCH("R136",G74))*136,0)+IFERROR(--ISNUMBER(SEARCH("R137",G74))*137,0)+IFERROR(--ISNUMBER(SEARCH("R138",G74))*138,0)+IFERROR(--ISNUMBER(SEARCH("R139",G74))*139,0)+IFERROR(--ISNUMBER(SEARCH("R140",G74))*140,0)+IFERROR(--ISNUMBER(SEARCH("R141",G74))*141,0))</f>
        <v/>
      </c>
      <c r="V74" s="59">
        <f>IF(A74="","",IF(K74&lt;&gt;"",K74,J74))</f>
        <v/>
      </c>
      <c r="W74" s="59">
        <f>IF(A74="","",IF(AND(V74=29,O74&lt;&gt;"",COUNTIFS($V$6:$V$505,29,$F$6:$F$505,F74,$C$6:$C$505,C74,$O$6:$O$505,"&lt;&gt;")&gt;1),IF(COUNTIFS($V$6:V74,29,$F$6:F74,F74,$C$6:C74,C74,$O$6:O74,"&lt;&gt;")=1,"Esta es la fila que se debe CONSERVAR (aparición 1 de "&amp;COUNTIFS($V$6:$V$505,29,$F$6:$F$505,F74,$C$6:$C$505,C74,$O$6:$O$505,"&lt;&gt;")&amp;" con el mismo tercero y valor, casilla 29). Si hay más filas iguales, bórreles el valor a ELLAS, no a esta.","DUPLICADO — ya existe otra fila con el mismo tercero y valor para casilla 29 (aparición "&amp;COUNTIFS($V$6:V74,29,$F$6:F74,F74,$C$6:C74,C74,$O$6:O74,"&lt;&gt;")&amp;" de "&amp;COUNTIFS($V$6:$V$505,29,$F$6:$F$505,F74,$C$6:$C$505,C74,$O$6:$O$505,"&lt;&gt;")&amp;"). Para resolverlo: seleccione la celda O"&amp;ROW()&amp;" (columna Valor a declarar de ESTA fila) y presione Supr."),""))</f>
        <v/>
      </c>
      <c r="X74" s="463">
        <f>IF(A74="","",F74)</f>
        <v/>
      </c>
      <c r="Y74" s="463">
        <f>IF(A74="","",SUMIF(Entrada_Manual!$I$88:$I$187,A74,Entrada_Manual!$F$88:$F$187))</f>
        <v/>
      </c>
      <c r="Z74" s="463">
        <f>IF(A74="","",X74-Y74)</f>
        <v/>
      </c>
      <c r="AA74">
        <f>IF(A74="","",SUMPRODUCT((Entrada_Manual!$I$88:$I$187=A74)*1))</f>
        <v/>
      </c>
      <c r="AB74">
        <f>IF(A74="","",IF(S74&lt;=1,"",IF(AA74=0,"PENDIENTE — SIN ASIGNAR",IF(Z74=0,"RESUELTO","PARCIAL — DIFERENCIA "&amp;TEXT(Z74,"#,##0")))))</f>
        <v/>
      </c>
    </row>
    <row r="75" ht="42.75" customHeight="1" s="235">
      <c r="A75" s="47">
        <f>IF(Exogena_RAW!E84&lt;&gt;"",ROW()-5,"")</f>
        <v/>
      </c>
      <c r="B75" s="48">
        <f>IF(A75="","",84)</f>
        <v/>
      </c>
      <c r="C75" s="48">
        <f>IF(A75="","",IFERROR(Exogena_RAW!A84,""))</f>
        <v/>
      </c>
      <c r="D75" s="48">
        <f>IF(A75="","",IFERROR(Exogena_RAW!B84,""))</f>
        <v/>
      </c>
      <c r="E75" s="48">
        <f>IF(A75="","",Exogena_RAW!E84)</f>
        <v/>
      </c>
      <c r="F75" s="461">
        <f>IF(A75="","",Exogena_RAW!F84)</f>
        <v/>
      </c>
      <c r="G75" s="48">
        <f>IF(A75="","",IFERROR(Exogena_RAW!G84,""))</f>
        <v/>
      </c>
      <c r="H75" s="48">
        <f>IF(A75="","",IFERROR(Exogena_RAW!H84,""))</f>
        <v/>
      </c>
      <c r="I75" s="48">
        <f>IF(A75="","",IFERROR(IF(S75&gt;1,"VARIAS CASILLAS",IF(S75=1,IF(T75=1,"PROPUESTA DE CASILLA","REVISIÓN: CASILLA NO DIRECTA"),IF(OR(ISNUMBER(SEARCH("TOPE",UPPER(E75))),ISNUMBER(SEARCH("TOPE",UPPER(G75)))),"SOLO CONTROL",IF(ISNUMBER(SEARCH("RETEN",UPPER(E75))),"RETENCIÓN","REVISAR")))),"REVISAR"))</f>
        <v/>
      </c>
      <c r="J75" s="48">
        <f>IF(A75="","",IF(ISNUMBER(SEARCH("ingreso laboral promedio de los últimos seis meses",E75)),"",IFERROR(IF(AND(S75=1,T75=1),U75,""),"")))</f>
        <v/>
      </c>
      <c r="K75" s="216" t="n"/>
      <c r="L75" s="48">
        <f>IF(A75="","",IFERROR(IF(K75&lt;&gt;"","Casilla elegida por usuario",IF(S75&gt;1,"Varias casillas — elegir en K",IF(J75&lt;&gt;"","Sugerencia directa",IF(S75=1,"No trasladar directo — revisar",IF(OR(ISNUMBER(SEARCH("TOPE",UPPER(E75))),ISNUMBER(SEARCH("TOPE",UPPER(G75)))),"Solo control","Revisar manualmente"))))),"Revisar manualmente"))</f>
        <v/>
      </c>
      <c r="M75" s="461">
        <f>IF(A75="","",IF(IF(K75&lt;&gt;"",K75,J75)="",0,IF(COUNTIFS(Reglas!$I$5:$I$118,IF(K75&lt;&gt;"",K75,J75),Reglas!$J$5:$J$118,"Sí")=1,F75,0)))</f>
        <v/>
      </c>
      <c r="N75" s="56" t="n"/>
      <c r="O75" s="462">
        <f>IF(A75="","",IF(M75=0,"",M75))</f>
        <v/>
      </c>
      <c r="P75" s="461">
        <f>IF(A75="","",IF(O75="",0,IF(ISNUMBER(O75),O75,0)))</f>
        <v/>
      </c>
      <c r="Q75" s="48">
        <f>IF(A75="","",IF(Exogena_RAW!$C$4="","BLOQUEADO: FALTA AÑO",IF(Exogena_RAW!$K$10&lt;&gt;Reglas!$B$5,"BLOQUEADO: AÑO",IF(IF(K75&lt;&gt;"",K75,J75)="",IF(S75&gt;1,"REQUIERE ASIGNACIÓN MANUAL (VARIAS CASILLAS)","INFORMATIVO (sin casilla — no se declara)"),IF(COUNTIFS(Reglas!$I$5:$I$118,IF(K75&lt;&gt;"",K75,J75),Reglas!$J$5:$J$118,"Sí")=0,"BLOQUEADO: CASILLA NO DIRECTA",IF(O75="","EXCLUIDO (valor borrado por el usuario)",IF(_xlfn.ISFORMULA(O75),IF(W75&lt;&gt;"","BORRADOR — VALOR SUGERIDO DIAN ⚠ VER ALERTA","BORRADOR — VALOR SUGERIDO DIAN"),IF(W75&lt;&gt;"","ACEPTADO ⚠ VER ALERTA","ACEPTADO"))))))))</f>
        <v/>
      </c>
      <c r="R75" s="218" t="n"/>
      <c r="S75" s="58">
        <f>IF(A75="","",IFERROR(--ISNUMBER(SEARCH("R28",G75)),0)+IFERROR(--ISNUMBER(SEARCH("R29",G75)),0)+IFERROR(--ISNUMBER(SEARCH("R30",G75)),0)+IFERROR(--ISNUMBER(SEARCH("R31",G75)),0)+IFERROR(--ISNUMBER(SEARCH("R32",G75)),0)+IFERROR(--ISNUMBER(SEARCH("R33",G75)),0)+IFERROR(--ISNUMBER(SEARCH("R34",G75)),0)+IFERROR(--ISNUMBER(SEARCH("R35",G75)),0)+IFERROR(--ISNUMBER(SEARCH("R36",G75)),0)+IFERROR(--ISNUMBER(SEARCH("R37",G75)),0)+IFERROR(--ISNUMBER(SEARCH("R38",G75)),0)+IFERROR(--ISNUMBER(SEARCH("R39",G75)),0)+IFERROR(--ISNUMBER(SEARCH("R40",G75)),0)+IFERROR(--ISNUMBER(SEARCH("R41",G75)),0)+IFERROR(--ISNUMBER(SEARCH("R42",G75)),0)+IFERROR(--ISNUMBER(SEARCH("R43",G75)),0)+IFERROR(--ISNUMBER(SEARCH("R44",G75)),0)+IFERROR(--ISNUMBER(SEARCH("R45",G75)),0)+IFERROR(--ISNUMBER(SEARCH("R46",G75)),0)+IFERROR(--ISNUMBER(SEARCH("R47",G75)),0)+IFERROR(--ISNUMBER(SEARCH("R48",G75)),0)+IFERROR(--ISNUMBER(SEARCH("R49",G75)),0)+IFERROR(--ISNUMBER(SEARCH("R50",G75)),0)+IFERROR(--ISNUMBER(SEARCH("R51",G75)),0)+IFERROR(--ISNUMBER(SEARCH("R52",G75)),0)+IFERROR(--ISNUMBER(SEARCH("R53",G75)),0)+IFERROR(--ISNUMBER(SEARCH("R54",G75)),0)+IFERROR(--ISNUMBER(SEARCH("R55",G75)),0)+IFERROR(--ISNUMBER(SEARCH("R56",G75)),0)+IFERROR(--ISNUMBER(SEARCH("R57",G75)),0)+IFERROR(--ISNUMBER(SEARCH("R58",G75)),0)+IFERROR(--ISNUMBER(SEARCH("R59",G75)),0)+IFERROR(--ISNUMBER(SEARCH("R60",G75)),0)+IFERROR(--ISNUMBER(SEARCH("R61",G75)),0)+IFERROR(--ISNUMBER(SEARCH("R62",G75)),0)+IFERROR(--ISNUMBER(SEARCH("R63",G75)),0)+IFERROR(--ISNUMBER(SEARCH("R64",G75)),0)+IFERROR(--ISNUMBER(SEARCH("R65",G75)),0)+IFERROR(--ISNUMBER(SEARCH("R66",G75)),0)+IFERROR(--ISNUMBER(SEARCH("R67",G75)),0)+IFERROR(--ISNUMBER(SEARCH("R68",G75)),0)+IFERROR(--ISNUMBER(SEARCH("R69",G75)),0)+IFERROR(--ISNUMBER(SEARCH("R70",G75)),0)+IFERROR(--ISNUMBER(SEARCH("R71",G75)),0)+IFERROR(--ISNUMBER(SEARCH("R72",G75)),0)+IFERROR(--ISNUMBER(SEARCH("R73",G75)),0)+IFERROR(--ISNUMBER(SEARCH("R74",G75)),0)+IFERROR(--ISNUMBER(SEARCH("R75",G75)),0)+IFERROR(--ISNUMBER(SEARCH("R76",G75)),0)+IFERROR(--ISNUMBER(SEARCH("R77",G75)),0)+IFERROR(--ISNUMBER(SEARCH("R78",G75)),0)+IFERROR(--ISNUMBER(SEARCH("R79",G75)),0)+IFERROR(--ISNUMBER(SEARCH("R80",G75)),0)+IFERROR(--ISNUMBER(SEARCH("R81",G75)),0)+IFERROR(--ISNUMBER(SEARCH("R82",G75)),0)+IFERROR(--ISNUMBER(SEARCH("R83",G75)),0)+IFERROR(--ISNUMBER(SEARCH("R84",G75)),0)+IFERROR(--ISNUMBER(SEARCH("R85",G75)),0)+IFERROR(--ISNUMBER(SEARCH("R86",G75)),0)+IFERROR(--ISNUMBER(SEARCH("R87",G75)),0)+IFERROR(--ISNUMBER(SEARCH("R88",G75)),0)+IFERROR(--ISNUMBER(SEARCH("R89",G75)),0)+IFERROR(--ISNUMBER(SEARCH("R90",G75)),0)+IFERROR(--ISNUMBER(SEARCH("R91",G75)),0)+IFERROR(--ISNUMBER(SEARCH("R92",G75)),0)+IFERROR(--ISNUMBER(SEARCH("R93",G75)),0)+IFERROR(--ISNUMBER(SEARCH("R94",G75)),0)+IFERROR(--ISNUMBER(SEARCH("R95",G75)),0)+IFERROR(--ISNUMBER(SEARCH("R96",G75)),0)+IFERROR(--ISNUMBER(SEARCH("R97",G75)),0)+IFERROR(--ISNUMBER(SEARCH("R98",G75)),0)+IFERROR(--ISNUMBER(SEARCH("R99",G75)),0)+IFERROR(--ISNUMBER(SEARCH("R100",G75)),0)+IFERROR(--ISNUMBER(SEARCH("R101",G75)),0)+IFERROR(--ISNUMBER(SEARCH("R102",G75)),0)+IFERROR(--ISNUMBER(SEARCH("R103",G75)),0)+IFERROR(--ISNUMBER(SEARCH("R104",G75)),0)+IFERROR(--ISNUMBER(SEARCH("R105",G75)),0)+IFERROR(--ISNUMBER(SEARCH("R106",G75)),0)+IFERROR(--ISNUMBER(SEARCH("R107",G75)),0)+IFERROR(--ISNUMBER(SEARCH("R108",G75)),0)+IFERROR(--ISNUMBER(SEARCH("R109",G75)),0)+IFERROR(--ISNUMBER(SEARCH("R110",G75)),0)+IFERROR(--ISNUMBER(SEARCH("R111",G75)),0)+IFERROR(--ISNUMBER(SEARCH("R112",G75)),0)+IFERROR(--ISNUMBER(SEARCH("R113",G75)),0)+IFERROR(--ISNUMBER(SEARCH("R114",G75)),0)+IFERROR(--ISNUMBER(SEARCH("R115",G75)),0)+IFERROR(--ISNUMBER(SEARCH("R116",G75)),0)+IFERROR(--ISNUMBER(SEARCH("R117",G75)),0)+IFERROR(--ISNUMBER(SEARCH("R118",G75)),0)+IFERROR(--ISNUMBER(SEARCH("R119",G75)),0)+IFERROR(--ISNUMBER(SEARCH("R120",G75)),0)+IFERROR(--ISNUMBER(SEARCH("R121",G75)),0)+IFERROR(--ISNUMBER(SEARCH("R122",G75)),0)+IFERROR(--ISNUMBER(SEARCH("R123",G75)),0)+IFERROR(--ISNUMBER(SEARCH("R124",G75)),0)+IFERROR(--ISNUMBER(SEARCH("R125",G75)),0)+IFERROR(--ISNUMBER(SEARCH("R126",G75)),0)+IFERROR(--ISNUMBER(SEARCH("R127",G75)),0)+IFERROR(--ISNUMBER(SEARCH("R128",G75)),0)+IFERROR(--ISNUMBER(SEARCH("R129",G75)),0)+IFERROR(--ISNUMBER(SEARCH("R130",G75)),0)+IFERROR(--ISNUMBER(SEARCH("R131",G75)),0)+IFERROR(--ISNUMBER(SEARCH("R132",G75)),0)+IFERROR(--ISNUMBER(SEARCH("R133",G75)),0)+IFERROR(--ISNUMBER(SEARCH("R134",G75)),0)+IFERROR(--ISNUMBER(SEARCH("R135",G75)),0)+IFERROR(--ISNUMBER(SEARCH("R136",G75)),0)+IFERROR(--ISNUMBER(SEARCH("R137",G75)),0)+IFERROR(--ISNUMBER(SEARCH("R138",G75)),0)+IFERROR(--ISNUMBER(SEARCH("R139",G75)),0)+IFERROR(--ISNUMBER(SEARCH("R140",G75)),0)+IFERROR(--ISNUMBER(SEARCH("R141",G75)),0))</f>
        <v/>
      </c>
      <c r="T75" s="58">
        <f>IF(A75="","",IFERROR(--ISNUMBER(SEARCH("R28",G75)),0)+IFERROR(--ISNUMBER(SEARCH("R29",G75)),0)+IFERROR(--ISNUMBER(SEARCH("R30",G75)),0)+IFERROR(--ISNUMBER(SEARCH("R32",G75)),0)+IFERROR(--ISNUMBER(SEARCH("R33",G75)),0)+IFERROR(--ISNUMBER(SEARCH("R35",G75)),0)+IFERROR(--ISNUMBER(SEARCH("R36",G75)),0)+IFERROR(--ISNUMBER(SEARCH("R38",G75)),0)+IFERROR(--ISNUMBER(SEARCH("R39",G75)),0)+IFERROR(--ISNUMBER(SEARCH("R43",G75)),0)+IFERROR(--ISNUMBER(SEARCH("R44",G75)),0)+IFERROR(--ISNUMBER(SEARCH("R45",G75)),0)+IFERROR(--ISNUMBER(SEARCH("R47",G75)),0)+IFERROR(--ISNUMBER(SEARCH("R48",G75)),0)+IFERROR(--ISNUMBER(SEARCH("R50",G75)),0)+IFERROR(--ISNUMBER(SEARCH("R51",G75)),0)+IFERROR(--ISNUMBER(SEARCH("R56",G75)),0)+IFERROR(--ISNUMBER(SEARCH("R58",G75)),0)+IFERROR(--ISNUMBER(SEARCH("R59",G75)),0)+IFERROR(--ISNUMBER(SEARCH("R60",G75)),0)+IFERROR(--ISNUMBER(SEARCH("R62",G75)),0)+IFERROR(--ISNUMBER(SEARCH("R63",G75)),0)+IFERROR(--ISNUMBER(SEARCH("R64",G75)),0)+IFERROR(--ISNUMBER(SEARCH("R66",G75)),0)+IFERROR(--ISNUMBER(SEARCH("R67",G75)),0)+IFERROR(--ISNUMBER(SEARCH("R72",G75)),0)+IFERROR(--ISNUMBER(SEARCH("R74",G75)),0)+IFERROR(--ISNUMBER(SEARCH("R75",G75)),0)+IFERROR(--ISNUMBER(SEARCH("R76",G75)),0)+IFERROR(--ISNUMBER(SEARCH("R77",G75)),0)+IFERROR(--ISNUMBER(SEARCH("R79",G75)),0)+IFERROR(--ISNUMBER(SEARCH("R80",G75)),0)+IFERROR(--ISNUMBER(SEARCH("R81",G75)),0)+IFERROR(--ISNUMBER(SEARCH("R83",G75)),0)+IFERROR(--ISNUMBER(SEARCH("R84",G75)),0)+IFERROR(--ISNUMBER(SEARCH("R89",G75)),0)+IFERROR(--ISNUMBER(SEARCH("R94",G75)),0)+IFERROR(--ISNUMBER(SEARCH("R95",G75)),0)+IFERROR(--ISNUMBER(SEARCH("R96",G75)),0)+IFERROR(--ISNUMBER(SEARCH("R98",G75)),0)+IFERROR(--ISNUMBER(SEARCH("R99",G75)),0)+IFERROR(--ISNUMBER(SEARCH("R100",G75)),0)+IFERROR(--ISNUMBER(SEARCH("R104",G75)),0)+IFERROR(--ISNUMBER(SEARCH("R105",G75)),0)+IFERROR(--ISNUMBER(SEARCH("R107",G75)),0)+IFERROR(--ISNUMBER(SEARCH("R108",G75)),0)+IFERROR(--ISNUMBER(SEARCH("R109",G75)),0)+IFERROR(--ISNUMBER(SEARCH("R110",G75)),0)+IFERROR(--ISNUMBER(SEARCH("R112",G75)),0)+IFERROR(--ISNUMBER(SEARCH("R113",G75)),0)+IFERROR(--ISNUMBER(SEARCH("R114",G75)),0)+IFERROR(--ISNUMBER(SEARCH("R118",G75)),0)+IFERROR(--ISNUMBER(SEARCH("R119",G75)),0)+IFERROR(--ISNUMBER(SEARCH("R120",G75)),0)+IFERROR(--ISNUMBER(SEARCH("R122",G75)),0)+IFERROR(--ISNUMBER(SEARCH("R123",G75)),0)+IFERROR(--ISNUMBER(SEARCH("R124",G75)),0)+IFERROR(--ISNUMBER(SEARCH("R128",G75)),0)+IFERROR(--ISNUMBER(SEARCH("R130",G75)),0)+IFERROR(--ISNUMBER(SEARCH("R131",G75)),0)+IFERROR(--ISNUMBER(SEARCH("R132",G75)),0)+IFERROR(--ISNUMBER(SEARCH("R135",G75)),0)+IFERROR(--ISNUMBER(SEARCH("R138",G75)),0)+IFERROR(--ISNUMBER(SEARCH("R141",G75)),0))</f>
        <v/>
      </c>
      <c r="U75" s="58">
        <f>IF(A75="","",IFERROR(--ISNUMBER(SEARCH("R28",G75))*28,0)+IFERROR(--ISNUMBER(SEARCH("R29",G75))*29,0)+IFERROR(--ISNUMBER(SEARCH("R30",G75))*30,0)+IFERROR(--ISNUMBER(SEARCH("R31",G75))*31,0)+IFERROR(--ISNUMBER(SEARCH("R32",G75))*32,0)+IFERROR(--ISNUMBER(SEARCH("R33",G75))*33,0)+IFERROR(--ISNUMBER(SEARCH("R34",G75))*34,0)+IFERROR(--ISNUMBER(SEARCH("R35",G75))*35,0)+IFERROR(--ISNUMBER(SEARCH("R36",G75))*36,0)+IFERROR(--ISNUMBER(SEARCH("R37",G75))*37,0)+IFERROR(--ISNUMBER(SEARCH("R38",G75))*38,0)+IFERROR(--ISNUMBER(SEARCH("R39",G75))*39,0)+IFERROR(--ISNUMBER(SEARCH("R40",G75))*40,0)+IFERROR(--ISNUMBER(SEARCH("R41",G75))*41,0)+IFERROR(--ISNUMBER(SEARCH("R42",G75))*42,0)+IFERROR(--ISNUMBER(SEARCH("R43",G75))*43,0)+IFERROR(--ISNUMBER(SEARCH("R44",G75))*44,0)+IFERROR(--ISNUMBER(SEARCH("R45",G75))*45,0)+IFERROR(--ISNUMBER(SEARCH("R46",G75))*46,0)+IFERROR(--ISNUMBER(SEARCH("R47",G75))*47,0)+IFERROR(--ISNUMBER(SEARCH("R48",G75))*48,0)+IFERROR(--ISNUMBER(SEARCH("R49",G75))*49,0)+IFERROR(--ISNUMBER(SEARCH("R50",G75))*50,0)+IFERROR(--ISNUMBER(SEARCH("R51",G75))*51,0)+IFERROR(--ISNUMBER(SEARCH("R52",G75))*52,0)+IFERROR(--ISNUMBER(SEARCH("R53",G75))*53,0)+IFERROR(--ISNUMBER(SEARCH("R54",G75))*54,0)+IFERROR(--ISNUMBER(SEARCH("R55",G75))*55,0)+IFERROR(--ISNUMBER(SEARCH("R56",G75))*56,0)+IFERROR(--ISNUMBER(SEARCH("R57",G75))*57,0)+IFERROR(--ISNUMBER(SEARCH("R58",G75))*58,0)+IFERROR(--ISNUMBER(SEARCH("R59",G75))*59,0)+IFERROR(--ISNUMBER(SEARCH("R60",G75))*60,0)+IFERROR(--ISNUMBER(SEARCH("R61",G75))*61,0)+IFERROR(--ISNUMBER(SEARCH("R62",G75))*62,0)+IFERROR(--ISNUMBER(SEARCH("R63",G75))*63,0)+IFERROR(--ISNUMBER(SEARCH("R64",G75))*64,0)+IFERROR(--ISNUMBER(SEARCH("R65",G75))*65,0)+IFERROR(--ISNUMBER(SEARCH("R66",G75))*66,0)+IFERROR(--ISNUMBER(SEARCH("R67",G75))*67,0)+IFERROR(--ISNUMBER(SEARCH("R68",G75))*68,0)+IFERROR(--ISNUMBER(SEARCH("R69",G75))*69,0)+IFERROR(--ISNUMBER(SEARCH("R70",G75))*70,0)+IFERROR(--ISNUMBER(SEARCH("R71",G75))*71,0)+IFERROR(--ISNUMBER(SEARCH("R72",G75))*72,0)+IFERROR(--ISNUMBER(SEARCH("R73",G75))*73,0)+IFERROR(--ISNUMBER(SEARCH("R74",G75))*74,0)+IFERROR(--ISNUMBER(SEARCH("R75",G75))*75,0)+IFERROR(--ISNUMBER(SEARCH("R76",G75))*76,0)+IFERROR(--ISNUMBER(SEARCH("R77",G75))*77,0)+IFERROR(--ISNUMBER(SEARCH("R78",G75))*78,0)+IFERROR(--ISNUMBER(SEARCH("R79",G75))*79,0)+IFERROR(--ISNUMBER(SEARCH("R80",G75))*80,0)+IFERROR(--ISNUMBER(SEARCH("R81",G75))*81,0)+IFERROR(--ISNUMBER(SEARCH("R82",G75))*82,0)+IFERROR(--ISNUMBER(SEARCH("R83",G75))*83,0)+IFERROR(--ISNUMBER(SEARCH("R84",G75))*84,0)+IFERROR(--ISNUMBER(SEARCH("R85",G75))*85,0)+IFERROR(--ISNUMBER(SEARCH("R86",G75))*86,0)+IFERROR(--ISNUMBER(SEARCH("R87",G75))*87,0)+IFERROR(--ISNUMBER(SEARCH("R88",G75))*88,0)+IFERROR(--ISNUMBER(SEARCH("R89",G75))*89,0)+IFERROR(--ISNUMBER(SEARCH("R90",G75))*90,0)+IFERROR(--ISNUMBER(SEARCH("R91",G75))*91,0)+IFERROR(--ISNUMBER(SEARCH("R92",G75))*92,0)+IFERROR(--ISNUMBER(SEARCH("R93",G75))*93,0)+IFERROR(--ISNUMBER(SEARCH("R94",G75))*94,0)+IFERROR(--ISNUMBER(SEARCH("R95",G75))*95,0)+IFERROR(--ISNUMBER(SEARCH("R96",G75))*96,0)+IFERROR(--ISNUMBER(SEARCH("R97",G75))*97,0)+IFERROR(--ISNUMBER(SEARCH("R98",G75))*98,0)+IFERROR(--ISNUMBER(SEARCH("R99",G75))*99,0)+IFERROR(--ISNUMBER(SEARCH("R100",G75))*100,0)+IFERROR(--ISNUMBER(SEARCH("R101",G75))*101,0)+IFERROR(--ISNUMBER(SEARCH("R102",G75))*102,0)+IFERROR(--ISNUMBER(SEARCH("R103",G75))*103,0)+IFERROR(--ISNUMBER(SEARCH("R104",G75))*104,0)+IFERROR(--ISNUMBER(SEARCH("R105",G75))*105,0)+IFERROR(--ISNUMBER(SEARCH("R106",G75))*106,0)+IFERROR(--ISNUMBER(SEARCH("R107",G75))*107,0)+IFERROR(--ISNUMBER(SEARCH("R108",G75))*108,0)+IFERROR(--ISNUMBER(SEARCH("R109",G75))*109,0)+IFERROR(--ISNUMBER(SEARCH("R110",G75))*110,0)+IFERROR(--ISNUMBER(SEARCH("R111",G75))*111,0)+IFERROR(--ISNUMBER(SEARCH("R112",G75))*112,0)+IFERROR(--ISNUMBER(SEARCH("R113",G75))*113,0)+IFERROR(--ISNUMBER(SEARCH("R114",G75))*114,0)+IFERROR(--ISNUMBER(SEARCH("R115",G75))*115,0)+IFERROR(--ISNUMBER(SEARCH("R116",G75))*116,0)+IFERROR(--ISNUMBER(SEARCH("R117",G75))*117,0)+IFERROR(--ISNUMBER(SEARCH("R118",G75))*118,0)+IFERROR(--ISNUMBER(SEARCH("R119",G75))*119,0)+IFERROR(--ISNUMBER(SEARCH("R120",G75))*120,0)+IFERROR(--ISNUMBER(SEARCH("R121",G75))*121,0)+IFERROR(--ISNUMBER(SEARCH("R122",G75))*122,0)+IFERROR(--ISNUMBER(SEARCH("R123",G75))*123,0)+IFERROR(--ISNUMBER(SEARCH("R124",G75))*124,0)+IFERROR(--ISNUMBER(SEARCH("R125",G75))*125,0)+IFERROR(--ISNUMBER(SEARCH("R126",G75))*126,0)+IFERROR(--ISNUMBER(SEARCH("R127",G75))*127,0)+IFERROR(--ISNUMBER(SEARCH("R128",G75))*128,0)+IFERROR(--ISNUMBER(SEARCH("R129",G75))*129,0)+IFERROR(--ISNUMBER(SEARCH("R130",G75))*130,0)+IFERROR(--ISNUMBER(SEARCH("R131",G75))*131,0)+IFERROR(--ISNUMBER(SEARCH("R132",G75))*132,0)+IFERROR(--ISNUMBER(SEARCH("R133",G75))*133,0)+IFERROR(--ISNUMBER(SEARCH("R134",G75))*134,0)+IFERROR(--ISNUMBER(SEARCH("R135",G75))*135,0)+IFERROR(--ISNUMBER(SEARCH("R136",G75))*136,0)+IFERROR(--ISNUMBER(SEARCH("R137",G75))*137,0)+IFERROR(--ISNUMBER(SEARCH("R138",G75))*138,0)+IFERROR(--ISNUMBER(SEARCH("R139",G75))*139,0)+IFERROR(--ISNUMBER(SEARCH("R140",G75))*140,0)+IFERROR(--ISNUMBER(SEARCH("R141",G75))*141,0))</f>
        <v/>
      </c>
      <c r="V75" s="59">
        <f>IF(A75="","",IF(K75&lt;&gt;"",K75,J75))</f>
        <v/>
      </c>
      <c r="W75" s="59">
        <f>IF(A75="","",IF(AND(V75=29,O75&lt;&gt;"",COUNTIFS($V$6:$V$505,29,$F$6:$F$505,F75,$C$6:$C$505,C75,$O$6:$O$505,"&lt;&gt;")&gt;1),IF(COUNTIFS($V$6:V75,29,$F$6:F75,F75,$C$6:C75,C75,$O$6:O75,"&lt;&gt;")=1,"Esta es la fila que se debe CONSERVAR (aparición 1 de "&amp;COUNTIFS($V$6:$V$505,29,$F$6:$F$505,F75,$C$6:$C$505,C75,$O$6:$O$505,"&lt;&gt;")&amp;" con el mismo tercero y valor, casilla 29). Si hay más filas iguales, bórreles el valor a ELLAS, no a esta.","DUPLICADO — ya existe otra fila con el mismo tercero y valor para casilla 29 (aparición "&amp;COUNTIFS($V$6:V75,29,$F$6:F75,F75,$C$6:C75,C75,$O$6:O75,"&lt;&gt;")&amp;" de "&amp;COUNTIFS($V$6:$V$505,29,$F$6:$F$505,F75,$C$6:$C$505,C75,$O$6:$O$505,"&lt;&gt;")&amp;"). Para resolverlo: seleccione la celda O"&amp;ROW()&amp;" (columna Valor a declarar de ESTA fila) y presione Supr."),""))</f>
        <v/>
      </c>
      <c r="X75" s="463">
        <f>IF(A75="","",F75)</f>
        <v/>
      </c>
      <c r="Y75" s="463">
        <f>IF(A75="","",SUMIF(Entrada_Manual!$I$88:$I$187,A75,Entrada_Manual!$F$88:$F$187))</f>
        <v/>
      </c>
      <c r="Z75" s="463">
        <f>IF(A75="","",X75-Y75)</f>
        <v/>
      </c>
      <c r="AA75">
        <f>IF(A75="","",SUMPRODUCT((Entrada_Manual!$I$88:$I$187=A75)*1))</f>
        <v/>
      </c>
      <c r="AB75">
        <f>IF(A75="","",IF(S75&lt;=1,"",IF(AA75=0,"PENDIENTE — SIN ASIGNAR",IF(Z75=0,"RESUELTO","PARCIAL — DIFERENCIA "&amp;TEXT(Z75,"#,##0")))))</f>
        <v/>
      </c>
    </row>
    <row r="76" ht="28.5" customHeight="1" s="235">
      <c r="A76" s="47">
        <f>IF(Exogena_RAW!E85&lt;&gt;"",ROW()-5,"")</f>
        <v/>
      </c>
      <c r="B76" s="48">
        <f>IF(A76="","",85)</f>
        <v/>
      </c>
      <c r="C76" s="48">
        <f>IF(A76="","",IFERROR(Exogena_RAW!A85,""))</f>
        <v/>
      </c>
      <c r="D76" s="48">
        <f>IF(A76="","",IFERROR(Exogena_RAW!B85,""))</f>
        <v/>
      </c>
      <c r="E76" s="48">
        <f>IF(A76="","",Exogena_RAW!E85)</f>
        <v/>
      </c>
      <c r="F76" s="461">
        <f>IF(A76="","",Exogena_RAW!F85)</f>
        <v/>
      </c>
      <c r="G76" s="48">
        <f>IF(A76="","",IFERROR(Exogena_RAW!G85,""))</f>
        <v/>
      </c>
      <c r="H76" s="48">
        <f>IF(A76="","",IFERROR(Exogena_RAW!H85,""))</f>
        <v/>
      </c>
      <c r="I76" s="48">
        <f>IF(A76="","",IFERROR(IF(S76&gt;1,"VARIAS CASILLAS",IF(S76=1,IF(T76=1,"PROPUESTA DE CASILLA","REVISIÓN: CASILLA NO DIRECTA"),IF(OR(ISNUMBER(SEARCH("TOPE",UPPER(E76))),ISNUMBER(SEARCH("TOPE",UPPER(G76)))),"SOLO CONTROL",IF(ISNUMBER(SEARCH("RETEN",UPPER(E76))),"RETENCIÓN","REVISAR")))),"REVISAR"))</f>
        <v/>
      </c>
      <c r="J76" s="48">
        <f>IF(A76="","",IF(ISNUMBER(SEARCH("ingreso laboral promedio de los últimos seis meses",E76)),"",IFERROR(IF(AND(S76=1,T76=1),U76,""),"")))</f>
        <v/>
      </c>
      <c r="K76" s="216" t="n"/>
      <c r="L76" s="48">
        <f>IF(A76="","",IFERROR(IF(K76&lt;&gt;"","Casilla elegida por usuario",IF(S76&gt;1,"Varias casillas — elegir en K",IF(J76&lt;&gt;"","Sugerencia directa",IF(S76=1,"No trasladar directo — revisar",IF(OR(ISNUMBER(SEARCH("TOPE",UPPER(E76))),ISNUMBER(SEARCH("TOPE",UPPER(G76)))),"Solo control","Revisar manualmente"))))),"Revisar manualmente"))</f>
        <v/>
      </c>
      <c r="M76" s="461">
        <f>IF(A76="","",IF(IF(K76&lt;&gt;"",K76,J76)="",0,IF(COUNTIFS(Reglas!$I$5:$I$118,IF(K76&lt;&gt;"",K76,J76),Reglas!$J$5:$J$118,"Sí")=1,F76,0)))</f>
        <v/>
      </c>
      <c r="N76" s="56" t="n"/>
      <c r="O76" s="462">
        <f>IF(A76="","",IF(M76=0,"",M76))</f>
        <v/>
      </c>
      <c r="P76" s="461">
        <f>IF(A76="","",IF(O76="",0,IF(ISNUMBER(O76),O76,0)))</f>
        <v/>
      </c>
      <c r="Q76" s="48">
        <f>IF(A76="","",IF(Exogena_RAW!$C$4="","BLOQUEADO: FALTA AÑO",IF(Exogena_RAW!$K$10&lt;&gt;Reglas!$B$5,"BLOQUEADO: AÑO",IF(IF(K76&lt;&gt;"",K76,J76)="",IF(S76&gt;1,"REQUIERE ASIGNACIÓN MANUAL (VARIAS CASILLAS)","INFORMATIVO (sin casilla — no se declara)"),IF(COUNTIFS(Reglas!$I$5:$I$118,IF(K76&lt;&gt;"",K76,J76),Reglas!$J$5:$J$118,"Sí")=0,"BLOQUEADO: CASILLA NO DIRECTA",IF(O76="","EXCLUIDO (valor borrado por el usuario)",IF(_xlfn.ISFORMULA(O76),IF(W76&lt;&gt;"","BORRADOR — VALOR SUGERIDO DIAN ⚠ VER ALERTA","BORRADOR — VALOR SUGERIDO DIAN"),IF(W76&lt;&gt;"","ACEPTADO ⚠ VER ALERTA","ACEPTADO"))))))))</f>
        <v/>
      </c>
      <c r="R76" s="218" t="n"/>
      <c r="S76" s="58">
        <f>IF(A76="","",IFERROR(--ISNUMBER(SEARCH("R28",G76)),0)+IFERROR(--ISNUMBER(SEARCH("R29",G76)),0)+IFERROR(--ISNUMBER(SEARCH("R30",G76)),0)+IFERROR(--ISNUMBER(SEARCH("R31",G76)),0)+IFERROR(--ISNUMBER(SEARCH("R32",G76)),0)+IFERROR(--ISNUMBER(SEARCH("R33",G76)),0)+IFERROR(--ISNUMBER(SEARCH("R34",G76)),0)+IFERROR(--ISNUMBER(SEARCH("R35",G76)),0)+IFERROR(--ISNUMBER(SEARCH("R36",G76)),0)+IFERROR(--ISNUMBER(SEARCH("R37",G76)),0)+IFERROR(--ISNUMBER(SEARCH("R38",G76)),0)+IFERROR(--ISNUMBER(SEARCH("R39",G76)),0)+IFERROR(--ISNUMBER(SEARCH("R40",G76)),0)+IFERROR(--ISNUMBER(SEARCH("R41",G76)),0)+IFERROR(--ISNUMBER(SEARCH("R42",G76)),0)+IFERROR(--ISNUMBER(SEARCH("R43",G76)),0)+IFERROR(--ISNUMBER(SEARCH("R44",G76)),0)+IFERROR(--ISNUMBER(SEARCH("R45",G76)),0)+IFERROR(--ISNUMBER(SEARCH("R46",G76)),0)+IFERROR(--ISNUMBER(SEARCH("R47",G76)),0)+IFERROR(--ISNUMBER(SEARCH("R48",G76)),0)+IFERROR(--ISNUMBER(SEARCH("R49",G76)),0)+IFERROR(--ISNUMBER(SEARCH("R50",G76)),0)+IFERROR(--ISNUMBER(SEARCH("R51",G76)),0)+IFERROR(--ISNUMBER(SEARCH("R52",G76)),0)+IFERROR(--ISNUMBER(SEARCH("R53",G76)),0)+IFERROR(--ISNUMBER(SEARCH("R54",G76)),0)+IFERROR(--ISNUMBER(SEARCH("R55",G76)),0)+IFERROR(--ISNUMBER(SEARCH("R56",G76)),0)+IFERROR(--ISNUMBER(SEARCH("R57",G76)),0)+IFERROR(--ISNUMBER(SEARCH("R58",G76)),0)+IFERROR(--ISNUMBER(SEARCH("R59",G76)),0)+IFERROR(--ISNUMBER(SEARCH("R60",G76)),0)+IFERROR(--ISNUMBER(SEARCH("R61",G76)),0)+IFERROR(--ISNUMBER(SEARCH("R62",G76)),0)+IFERROR(--ISNUMBER(SEARCH("R63",G76)),0)+IFERROR(--ISNUMBER(SEARCH("R64",G76)),0)+IFERROR(--ISNUMBER(SEARCH("R65",G76)),0)+IFERROR(--ISNUMBER(SEARCH("R66",G76)),0)+IFERROR(--ISNUMBER(SEARCH("R67",G76)),0)+IFERROR(--ISNUMBER(SEARCH("R68",G76)),0)+IFERROR(--ISNUMBER(SEARCH("R69",G76)),0)+IFERROR(--ISNUMBER(SEARCH("R70",G76)),0)+IFERROR(--ISNUMBER(SEARCH("R71",G76)),0)+IFERROR(--ISNUMBER(SEARCH("R72",G76)),0)+IFERROR(--ISNUMBER(SEARCH("R73",G76)),0)+IFERROR(--ISNUMBER(SEARCH("R74",G76)),0)+IFERROR(--ISNUMBER(SEARCH("R75",G76)),0)+IFERROR(--ISNUMBER(SEARCH("R76",G76)),0)+IFERROR(--ISNUMBER(SEARCH("R77",G76)),0)+IFERROR(--ISNUMBER(SEARCH("R78",G76)),0)+IFERROR(--ISNUMBER(SEARCH("R79",G76)),0)+IFERROR(--ISNUMBER(SEARCH("R80",G76)),0)+IFERROR(--ISNUMBER(SEARCH("R81",G76)),0)+IFERROR(--ISNUMBER(SEARCH("R82",G76)),0)+IFERROR(--ISNUMBER(SEARCH("R83",G76)),0)+IFERROR(--ISNUMBER(SEARCH("R84",G76)),0)+IFERROR(--ISNUMBER(SEARCH("R85",G76)),0)+IFERROR(--ISNUMBER(SEARCH("R86",G76)),0)+IFERROR(--ISNUMBER(SEARCH("R87",G76)),0)+IFERROR(--ISNUMBER(SEARCH("R88",G76)),0)+IFERROR(--ISNUMBER(SEARCH("R89",G76)),0)+IFERROR(--ISNUMBER(SEARCH("R90",G76)),0)+IFERROR(--ISNUMBER(SEARCH("R91",G76)),0)+IFERROR(--ISNUMBER(SEARCH("R92",G76)),0)+IFERROR(--ISNUMBER(SEARCH("R93",G76)),0)+IFERROR(--ISNUMBER(SEARCH("R94",G76)),0)+IFERROR(--ISNUMBER(SEARCH("R95",G76)),0)+IFERROR(--ISNUMBER(SEARCH("R96",G76)),0)+IFERROR(--ISNUMBER(SEARCH("R97",G76)),0)+IFERROR(--ISNUMBER(SEARCH("R98",G76)),0)+IFERROR(--ISNUMBER(SEARCH("R99",G76)),0)+IFERROR(--ISNUMBER(SEARCH("R100",G76)),0)+IFERROR(--ISNUMBER(SEARCH("R101",G76)),0)+IFERROR(--ISNUMBER(SEARCH("R102",G76)),0)+IFERROR(--ISNUMBER(SEARCH("R103",G76)),0)+IFERROR(--ISNUMBER(SEARCH("R104",G76)),0)+IFERROR(--ISNUMBER(SEARCH("R105",G76)),0)+IFERROR(--ISNUMBER(SEARCH("R106",G76)),0)+IFERROR(--ISNUMBER(SEARCH("R107",G76)),0)+IFERROR(--ISNUMBER(SEARCH("R108",G76)),0)+IFERROR(--ISNUMBER(SEARCH("R109",G76)),0)+IFERROR(--ISNUMBER(SEARCH("R110",G76)),0)+IFERROR(--ISNUMBER(SEARCH("R111",G76)),0)+IFERROR(--ISNUMBER(SEARCH("R112",G76)),0)+IFERROR(--ISNUMBER(SEARCH("R113",G76)),0)+IFERROR(--ISNUMBER(SEARCH("R114",G76)),0)+IFERROR(--ISNUMBER(SEARCH("R115",G76)),0)+IFERROR(--ISNUMBER(SEARCH("R116",G76)),0)+IFERROR(--ISNUMBER(SEARCH("R117",G76)),0)+IFERROR(--ISNUMBER(SEARCH("R118",G76)),0)+IFERROR(--ISNUMBER(SEARCH("R119",G76)),0)+IFERROR(--ISNUMBER(SEARCH("R120",G76)),0)+IFERROR(--ISNUMBER(SEARCH("R121",G76)),0)+IFERROR(--ISNUMBER(SEARCH("R122",G76)),0)+IFERROR(--ISNUMBER(SEARCH("R123",G76)),0)+IFERROR(--ISNUMBER(SEARCH("R124",G76)),0)+IFERROR(--ISNUMBER(SEARCH("R125",G76)),0)+IFERROR(--ISNUMBER(SEARCH("R126",G76)),0)+IFERROR(--ISNUMBER(SEARCH("R127",G76)),0)+IFERROR(--ISNUMBER(SEARCH("R128",G76)),0)+IFERROR(--ISNUMBER(SEARCH("R129",G76)),0)+IFERROR(--ISNUMBER(SEARCH("R130",G76)),0)+IFERROR(--ISNUMBER(SEARCH("R131",G76)),0)+IFERROR(--ISNUMBER(SEARCH("R132",G76)),0)+IFERROR(--ISNUMBER(SEARCH("R133",G76)),0)+IFERROR(--ISNUMBER(SEARCH("R134",G76)),0)+IFERROR(--ISNUMBER(SEARCH("R135",G76)),0)+IFERROR(--ISNUMBER(SEARCH("R136",G76)),0)+IFERROR(--ISNUMBER(SEARCH("R137",G76)),0)+IFERROR(--ISNUMBER(SEARCH("R138",G76)),0)+IFERROR(--ISNUMBER(SEARCH("R139",G76)),0)+IFERROR(--ISNUMBER(SEARCH("R140",G76)),0)+IFERROR(--ISNUMBER(SEARCH("R141",G76)),0))</f>
        <v/>
      </c>
      <c r="T76" s="58">
        <f>IF(A76="","",IFERROR(--ISNUMBER(SEARCH("R28",G76)),0)+IFERROR(--ISNUMBER(SEARCH("R29",G76)),0)+IFERROR(--ISNUMBER(SEARCH("R30",G76)),0)+IFERROR(--ISNUMBER(SEARCH("R32",G76)),0)+IFERROR(--ISNUMBER(SEARCH("R33",G76)),0)+IFERROR(--ISNUMBER(SEARCH("R35",G76)),0)+IFERROR(--ISNUMBER(SEARCH("R36",G76)),0)+IFERROR(--ISNUMBER(SEARCH("R38",G76)),0)+IFERROR(--ISNUMBER(SEARCH("R39",G76)),0)+IFERROR(--ISNUMBER(SEARCH("R43",G76)),0)+IFERROR(--ISNUMBER(SEARCH("R44",G76)),0)+IFERROR(--ISNUMBER(SEARCH("R45",G76)),0)+IFERROR(--ISNUMBER(SEARCH("R47",G76)),0)+IFERROR(--ISNUMBER(SEARCH("R48",G76)),0)+IFERROR(--ISNUMBER(SEARCH("R50",G76)),0)+IFERROR(--ISNUMBER(SEARCH("R51",G76)),0)+IFERROR(--ISNUMBER(SEARCH("R56",G76)),0)+IFERROR(--ISNUMBER(SEARCH("R58",G76)),0)+IFERROR(--ISNUMBER(SEARCH("R59",G76)),0)+IFERROR(--ISNUMBER(SEARCH("R60",G76)),0)+IFERROR(--ISNUMBER(SEARCH("R62",G76)),0)+IFERROR(--ISNUMBER(SEARCH("R63",G76)),0)+IFERROR(--ISNUMBER(SEARCH("R64",G76)),0)+IFERROR(--ISNUMBER(SEARCH("R66",G76)),0)+IFERROR(--ISNUMBER(SEARCH("R67",G76)),0)+IFERROR(--ISNUMBER(SEARCH("R72",G76)),0)+IFERROR(--ISNUMBER(SEARCH("R74",G76)),0)+IFERROR(--ISNUMBER(SEARCH("R75",G76)),0)+IFERROR(--ISNUMBER(SEARCH("R76",G76)),0)+IFERROR(--ISNUMBER(SEARCH("R77",G76)),0)+IFERROR(--ISNUMBER(SEARCH("R79",G76)),0)+IFERROR(--ISNUMBER(SEARCH("R80",G76)),0)+IFERROR(--ISNUMBER(SEARCH("R81",G76)),0)+IFERROR(--ISNUMBER(SEARCH("R83",G76)),0)+IFERROR(--ISNUMBER(SEARCH("R84",G76)),0)+IFERROR(--ISNUMBER(SEARCH("R89",G76)),0)+IFERROR(--ISNUMBER(SEARCH("R94",G76)),0)+IFERROR(--ISNUMBER(SEARCH("R95",G76)),0)+IFERROR(--ISNUMBER(SEARCH("R96",G76)),0)+IFERROR(--ISNUMBER(SEARCH("R98",G76)),0)+IFERROR(--ISNUMBER(SEARCH("R99",G76)),0)+IFERROR(--ISNUMBER(SEARCH("R100",G76)),0)+IFERROR(--ISNUMBER(SEARCH("R104",G76)),0)+IFERROR(--ISNUMBER(SEARCH("R105",G76)),0)+IFERROR(--ISNUMBER(SEARCH("R107",G76)),0)+IFERROR(--ISNUMBER(SEARCH("R108",G76)),0)+IFERROR(--ISNUMBER(SEARCH("R109",G76)),0)+IFERROR(--ISNUMBER(SEARCH("R110",G76)),0)+IFERROR(--ISNUMBER(SEARCH("R112",G76)),0)+IFERROR(--ISNUMBER(SEARCH("R113",G76)),0)+IFERROR(--ISNUMBER(SEARCH("R114",G76)),0)+IFERROR(--ISNUMBER(SEARCH("R118",G76)),0)+IFERROR(--ISNUMBER(SEARCH("R119",G76)),0)+IFERROR(--ISNUMBER(SEARCH("R120",G76)),0)+IFERROR(--ISNUMBER(SEARCH("R122",G76)),0)+IFERROR(--ISNUMBER(SEARCH("R123",G76)),0)+IFERROR(--ISNUMBER(SEARCH("R124",G76)),0)+IFERROR(--ISNUMBER(SEARCH("R128",G76)),0)+IFERROR(--ISNUMBER(SEARCH("R130",G76)),0)+IFERROR(--ISNUMBER(SEARCH("R131",G76)),0)+IFERROR(--ISNUMBER(SEARCH("R132",G76)),0)+IFERROR(--ISNUMBER(SEARCH("R135",G76)),0)+IFERROR(--ISNUMBER(SEARCH("R138",G76)),0)+IFERROR(--ISNUMBER(SEARCH("R141",G76)),0))</f>
        <v/>
      </c>
      <c r="U76" s="58">
        <f>IF(A76="","",IFERROR(--ISNUMBER(SEARCH("R28",G76))*28,0)+IFERROR(--ISNUMBER(SEARCH("R29",G76))*29,0)+IFERROR(--ISNUMBER(SEARCH("R30",G76))*30,0)+IFERROR(--ISNUMBER(SEARCH("R31",G76))*31,0)+IFERROR(--ISNUMBER(SEARCH("R32",G76))*32,0)+IFERROR(--ISNUMBER(SEARCH("R33",G76))*33,0)+IFERROR(--ISNUMBER(SEARCH("R34",G76))*34,0)+IFERROR(--ISNUMBER(SEARCH("R35",G76))*35,0)+IFERROR(--ISNUMBER(SEARCH("R36",G76))*36,0)+IFERROR(--ISNUMBER(SEARCH("R37",G76))*37,0)+IFERROR(--ISNUMBER(SEARCH("R38",G76))*38,0)+IFERROR(--ISNUMBER(SEARCH("R39",G76))*39,0)+IFERROR(--ISNUMBER(SEARCH("R40",G76))*40,0)+IFERROR(--ISNUMBER(SEARCH("R41",G76))*41,0)+IFERROR(--ISNUMBER(SEARCH("R42",G76))*42,0)+IFERROR(--ISNUMBER(SEARCH("R43",G76))*43,0)+IFERROR(--ISNUMBER(SEARCH("R44",G76))*44,0)+IFERROR(--ISNUMBER(SEARCH("R45",G76))*45,0)+IFERROR(--ISNUMBER(SEARCH("R46",G76))*46,0)+IFERROR(--ISNUMBER(SEARCH("R47",G76))*47,0)+IFERROR(--ISNUMBER(SEARCH("R48",G76))*48,0)+IFERROR(--ISNUMBER(SEARCH("R49",G76))*49,0)+IFERROR(--ISNUMBER(SEARCH("R50",G76))*50,0)+IFERROR(--ISNUMBER(SEARCH("R51",G76))*51,0)+IFERROR(--ISNUMBER(SEARCH("R52",G76))*52,0)+IFERROR(--ISNUMBER(SEARCH("R53",G76))*53,0)+IFERROR(--ISNUMBER(SEARCH("R54",G76))*54,0)+IFERROR(--ISNUMBER(SEARCH("R55",G76))*55,0)+IFERROR(--ISNUMBER(SEARCH("R56",G76))*56,0)+IFERROR(--ISNUMBER(SEARCH("R57",G76))*57,0)+IFERROR(--ISNUMBER(SEARCH("R58",G76))*58,0)+IFERROR(--ISNUMBER(SEARCH("R59",G76))*59,0)+IFERROR(--ISNUMBER(SEARCH("R60",G76))*60,0)+IFERROR(--ISNUMBER(SEARCH("R61",G76))*61,0)+IFERROR(--ISNUMBER(SEARCH("R62",G76))*62,0)+IFERROR(--ISNUMBER(SEARCH("R63",G76))*63,0)+IFERROR(--ISNUMBER(SEARCH("R64",G76))*64,0)+IFERROR(--ISNUMBER(SEARCH("R65",G76))*65,0)+IFERROR(--ISNUMBER(SEARCH("R66",G76))*66,0)+IFERROR(--ISNUMBER(SEARCH("R67",G76))*67,0)+IFERROR(--ISNUMBER(SEARCH("R68",G76))*68,0)+IFERROR(--ISNUMBER(SEARCH("R69",G76))*69,0)+IFERROR(--ISNUMBER(SEARCH("R70",G76))*70,0)+IFERROR(--ISNUMBER(SEARCH("R71",G76))*71,0)+IFERROR(--ISNUMBER(SEARCH("R72",G76))*72,0)+IFERROR(--ISNUMBER(SEARCH("R73",G76))*73,0)+IFERROR(--ISNUMBER(SEARCH("R74",G76))*74,0)+IFERROR(--ISNUMBER(SEARCH("R75",G76))*75,0)+IFERROR(--ISNUMBER(SEARCH("R76",G76))*76,0)+IFERROR(--ISNUMBER(SEARCH("R77",G76))*77,0)+IFERROR(--ISNUMBER(SEARCH("R78",G76))*78,0)+IFERROR(--ISNUMBER(SEARCH("R79",G76))*79,0)+IFERROR(--ISNUMBER(SEARCH("R80",G76))*80,0)+IFERROR(--ISNUMBER(SEARCH("R81",G76))*81,0)+IFERROR(--ISNUMBER(SEARCH("R82",G76))*82,0)+IFERROR(--ISNUMBER(SEARCH("R83",G76))*83,0)+IFERROR(--ISNUMBER(SEARCH("R84",G76))*84,0)+IFERROR(--ISNUMBER(SEARCH("R85",G76))*85,0)+IFERROR(--ISNUMBER(SEARCH("R86",G76))*86,0)+IFERROR(--ISNUMBER(SEARCH("R87",G76))*87,0)+IFERROR(--ISNUMBER(SEARCH("R88",G76))*88,0)+IFERROR(--ISNUMBER(SEARCH("R89",G76))*89,0)+IFERROR(--ISNUMBER(SEARCH("R90",G76))*90,0)+IFERROR(--ISNUMBER(SEARCH("R91",G76))*91,0)+IFERROR(--ISNUMBER(SEARCH("R92",G76))*92,0)+IFERROR(--ISNUMBER(SEARCH("R93",G76))*93,0)+IFERROR(--ISNUMBER(SEARCH("R94",G76))*94,0)+IFERROR(--ISNUMBER(SEARCH("R95",G76))*95,0)+IFERROR(--ISNUMBER(SEARCH("R96",G76))*96,0)+IFERROR(--ISNUMBER(SEARCH("R97",G76))*97,0)+IFERROR(--ISNUMBER(SEARCH("R98",G76))*98,0)+IFERROR(--ISNUMBER(SEARCH("R99",G76))*99,0)+IFERROR(--ISNUMBER(SEARCH("R100",G76))*100,0)+IFERROR(--ISNUMBER(SEARCH("R101",G76))*101,0)+IFERROR(--ISNUMBER(SEARCH("R102",G76))*102,0)+IFERROR(--ISNUMBER(SEARCH("R103",G76))*103,0)+IFERROR(--ISNUMBER(SEARCH("R104",G76))*104,0)+IFERROR(--ISNUMBER(SEARCH("R105",G76))*105,0)+IFERROR(--ISNUMBER(SEARCH("R106",G76))*106,0)+IFERROR(--ISNUMBER(SEARCH("R107",G76))*107,0)+IFERROR(--ISNUMBER(SEARCH("R108",G76))*108,0)+IFERROR(--ISNUMBER(SEARCH("R109",G76))*109,0)+IFERROR(--ISNUMBER(SEARCH("R110",G76))*110,0)+IFERROR(--ISNUMBER(SEARCH("R111",G76))*111,0)+IFERROR(--ISNUMBER(SEARCH("R112",G76))*112,0)+IFERROR(--ISNUMBER(SEARCH("R113",G76))*113,0)+IFERROR(--ISNUMBER(SEARCH("R114",G76))*114,0)+IFERROR(--ISNUMBER(SEARCH("R115",G76))*115,0)+IFERROR(--ISNUMBER(SEARCH("R116",G76))*116,0)+IFERROR(--ISNUMBER(SEARCH("R117",G76))*117,0)+IFERROR(--ISNUMBER(SEARCH("R118",G76))*118,0)+IFERROR(--ISNUMBER(SEARCH("R119",G76))*119,0)+IFERROR(--ISNUMBER(SEARCH("R120",G76))*120,0)+IFERROR(--ISNUMBER(SEARCH("R121",G76))*121,0)+IFERROR(--ISNUMBER(SEARCH("R122",G76))*122,0)+IFERROR(--ISNUMBER(SEARCH("R123",G76))*123,0)+IFERROR(--ISNUMBER(SEARCH("R124",G76))*124,0)+IFERROR(--ISNUMBER(SEARCH("R125",G76))*125,0)+IFERROR(--ISNUMBER(SEARCH("R126",G76))*126,0)+IFERROR(--ISNUMBER(SEARCH("R127",G76))*127,0)+IFERROR(--ISNUMBER(SEARCH("R128",G76))*128,0)+IFERROR(--ISNUMBER(SEARCH("R129",G76))*129,0)+IFERROR(--ISNUMBER(SEARCH("R130",G76))*130,0)+IFERROR(--ISNUMBER(SEARCH("R131",G76))*131,0)+IFERROR(--ISNUMBER(SEARCH("R132",G76))*132,0)+IFERROR(--ISNUMBER(SEARCH("R133",G76))*133,0)+IFERROR(--ISNUMBER(SEARCH("R134",G76))*134,0)+IFERROR(--ISNUMBER(SEARCH("R135",G76))*135,0)+IFERROR(--ISNUMBER(SEARCH("R136",G76))*136,0)+IFERROR(--ISNUMBER(SEARCH("R137",G76))*137,0)+IFERROR(--ISNUMBER(SEARCH("R138",G76))*138,0)+IFERROR(--ISNUMBER(SEARCH("R139",G76))*139,0)+IFERROR(--ISNUMBER(SEARCH("R140",G76))*140,0)+IFERROR(--ISNUMBER(SEARCH("R141",G76))*141,0))</f>
        <v/>
      </c>
      <c r="V76" s="59">
        <f>IF(A76="","",IF(K76&lt;&gt;"",K76,J76))</f>
        <v/>
      </c>
      <c r="W76" s="59">
        <f>IF(A76="","",IF(AND(V76=29,O76&lt;&gt;"",COUNTIFS($V$6:$V$505,29,$F$6:$F$505,F76,$C$6:$C$505,C76,$O$6:$O$505,"&lt;&gt;")&gt;1),IF(COUNTIFS($V$6:V76,29,$F$6:F76,F76,$C$6:C76,C76,$O$6:O76,"&lt;&gt;")=1,"Esta es la fila que se debe CONSERVAR (aparición 1 de "&amp;COUNTIFS($V$6:$V$505,29,$F$6:$F$505,F76,$C$6:$C$505,C76,$O$6:$O$505,"&lt;&gt;")&amp;" con el mismo tercero y valor, casilla 29). Si hay más filas iguales, bórreles el valor a ELLAS, no a esta.","DUPLICADO — ya existe otra fila con el mismo tercero y valor para casilla 29 (aparición "&amp;COUNTIFS($V$6:V76,29,$F$6:F76,F76,$C$6:C76,C76,$O$6:O76,"&lt;&gt;")&amp;" de "&amp;COUNTIFS($V$6:$V$505,29,$F$6:$F$505,F76,$C$6:$C$505,C76,$O$6:$O$505,"&lt;&gt;")&amp;"). Para resolverlo: seleccione la celda O"&amp;ROW()&amp;" (columna Valor a declarar de ESTA fila) y presione Supr."),""))</f>
        <v/>
      </c>
      <c r="X76" s="463">
        <f>IF(A76="","",F76)</f>
        <v/>
      </c>
      <c r="Y76" s="463">
        <f>IF(A76="","",SUMIF(Entrada_Manual!$I$88:$I$187,A76,Entrada_Manual!$F$88:$F$187))</f>
        <v/>
      </c>
      <c r="Z76" s="463">
        <f>IF(A76="","",X76-Y76)</f>
        <v/>
      </c>
      <c r="AA76">
        <f>IF(A76="","",SUMPRODUCT((Entrada_Manual!$I$88:$I$187=A76)*1))</f>
        <v/>
      </c>
      <c r="AB76">
        <f>IF(A76="","",IF(S76&lt;=1,"",IF(AA76=0,"PENDIENTE — SIN ASIGNAR",IF(Z76=0,"RESUELTO","PARCIAL — DIFERENCIA "&amp;TEXT(Z76,"#,##0")))))</f>
        <v/>
      </c>
    </row>
    <row r="77" ht="14.25" customHeight="1" s="235">
      <c r="A77" s="47">
        <f>IF(Exogena_RAW!E86&lt;&gt;"",ROW()-5,"")</f>
        <v/>
      </c>
      <c r="B77" s="48">
        <f>IF(A77="","",86)</f>
        <v/>
      </c>
      <c r="C77" s="48">
        <f>IF(A77="","",IFERROR(Exogena_RAW!A86,""))</f>
        <v/>
      </c>
      <c r="D77" s="48">
        <f>IF(A77="","",IFERROR(Exogena_RAW!B86,""))</f>
        <v/>
      </c>
      <c r="E77" s="48">
        <f>IF(A77="","",Exogena_RAW!E86)</f>
        <v/>
      </c>
      <c r="F77" s="461">
        <f>IF(A77="","",Exogena_RAW!F86)</f>
        <v/>
      </c>
      <c r="G77" s="48">
        <f>IF(A77="","",IFERROR(Exogena_RAW!G86,""))</f>
        <v/>
      </c>
      <c r="H77" s="48">
        <f>IF(A77="","",IFERROR(Exogena_RAW!H86,""))</f>
        <v/>
      </c>
      <c r="I77" s="48">
        <f>IF(A77="","",IFERROR(IF(S77&gt;1,"VARIAS CASILLAS",IF(S77=1,IF(T77=1,"PROPUESTA DE CASILLA","REVISIÓN: CASILLA NO DIRECTA"),IF(OR(ISNUMBER(SEARCH("TOPE",UPPER(E77))),ISNUMBER(SEARCH("TOPE",UPPER(G77)))),"SOLO CONTROL",IF(ISNUMBER(SEARCH("RETEN",UPPER(E77))),"RETENCIÓN","REVISAR")))),"REVISAR"))</f>
        <v/>
      </c>
      <c r="J77" s="48">
        <f>IF(A77="","",IF(ISNUMBER(SEARCH("ingreso laboral promedio de los últimos seis meses",E77)),"",IFERROR(IF(AND(S77=1,T77=1),U77,""),"")))</f>
        <v/>
      </c>
      <c r="K77" s="216" t="n"/>
      <c r="L77" s="48">
        <f>IF(A77="","",IFERROR(IF(K77&lt;&gt;"","Casilla elegida por usuario",IF(S77&gt;1,"Varias casillas — elegir en K",IF(J77&lt;&gt;"","Sugerencia directa",IF(S77=1,"No trasladar directo — revisar",IF(OR(ISNUMBER(SEARCH("TOPE",UPPER(E77))),ISNUMBER(SEARCH("TOPE",UPPER(G77)))),"Solo control","Revisar manualmente"))))),"Revisar manualmente"))</f>
        <v/>
      </c>
      <c r="M77" s="461">
        <f>IF(A77="","",IF(IF(K77&lt;&gt;"",K77,J77)="",0,IF(COUNTIFS(Reglas!$I$5:$I$118,IF(K77&lt;&gt;"",K77,J77),Reglas!$J$5:$J$118,"Sí")=1,F77,0)))</f>
        <v/>
      </c>
      <c r="N77" s="56" t="n"/>
      <c r="O77" s="462">
        <f>IF(A77="","",IF(M77=0,"",M77))</f>
        <v/>
      </c>
      <c r="P77" s="461">
        <f>IF(A77="","",IF(O77="",0,IF(ISNUMBER(O77),O77,0)))</f>
        <v/>
      </c>
      <c r="Q77" s="48">
        <f>IF(A77="","",IF(Exogena_RAW!$C$4="","BLOQUEADO: FALTA AÑO",IF(Exogena_RAW!$K$10&lt;&gt;Reglas!$B$5,"BLOQUEADO: AÑO",IF(IF(K77&lt;&gt;"",K77,J77)="",IF(S77&gt;1,"REQUIERE ASIGNACIÓN MANUAL (VARIAS CASILLAS)","INFORMATIVO (sin casilla — no se declara)"),IF(COUNTIFS(Reglas!$I$5:$I$118,IF(K77&lt;&gt;"",K77,J77),Reglas!$J$5:$J$118,"Sí")=0,"BLOQUEADO: CASILLA NO DIRECTA",IF(O77="","EXCLUIDO (valor borrado por el usuario)",IF(_xlfn.ISFORMULA(O77),IF(W77&lt;&gt;"","BORRADOR — VALOR SUGERIDO DIAN ⚠ VER ALERTA","BORRADOR — VALOR SUGERIDO DIAN"),IF(W77&lt;&gt;"","ACEPTADO ⚠ VER ALERTA","ACEPTADO"))))))))</f>
        <v/>
      </c>
      <c r="R77" s="218" t="n"/>
      <c r="S77" s="58">
        <f>IF(A77="","",IFERROR(--ISNUMBER(SEARCH("R28",G77)),0)+IFERROR(--ISNUMBER(SEARCH("R29",G77)),0)+IFERROR(--ISNUMBER(SEARCH("R30",G77)),0)+IFERROR(--ISNUMBER(SEARCH("R31",G77)),0)+IFERROR(--ISNUMBER(SEARCH("R32",G77)),0)+IFERROR(--ISNUMBER(SEARCH("R33",G77)),0)+IFERROR(--ISNUMBER(SEARCH("R34",G77)),0)+IFERROR(--ISNUMBER(SEARCH("R35",G77)),0)+IFERROR(--ISNUMBER(SEARCH("R36",G77)),0)+IFERROR(--ISNUMBER(SEARCH("R37",G77)),0)+IFERROR(--ISNUMBER(SEARCH("R38",G77)),0)+IFERROR(--ISNUMBER(SEARCH("R39",G77)),0)+IFERROR(--ISNUMBER(SEARCH("R40",G77)),0)+IFERROR(--ISNUMBER(SEARCH("R41",G77)),0)+IFERROR(--ISNUMBER(SEARCH("R42",G77)),0)+IFERROR(--ISNUMBER(SEARCH("R43",G77)),0)+IFERROR(--ISNUMBER(SEARCH("R44",G77)),0)+IFERROR(--ISNUMBER(SEARCH("R45",G77)),0)+IFERROR(--ISNUMBER(SEARCH("R46",G77)),0)+IFERROR(--ISNUMBER(SEARCH("R47",G77)),0)+IFERROR(--ISNUMBER(SEARCH("R48",G77)),0)+IFERROR(--ISNUMBER(SEARCH("R49",G77)),0)+IFERROR(--ISNUMBER(SEARCH("R50",G77)),0)+IFERROR(--ISNUMBER(SEARCH("R51",G77)),0)+IFERROR(--ISNUMBER(SEARCH("R52",G77)),0)+IFERROR(--ISNUMBER(SEARCH("R53",G77)),0)+IFERROR(--ISNUMBER(SEARCH("R54",G77)),0)+IFERROR(--ISNUMBER(SEARCH("R55",G77)),0)+IFERROR(--ISNUMBER(SEARCH("R56",G77)),0)+IFERROR(--ISNUMBER(SEARCH("R57",G77)),0)+IFERROR(--ISNUMBER(SEARCH("R58",G77)),0)+IFERROR(--ISNUMBER(SEARCH("R59",G77)),0)+IFERROR(--ISNUMBER(SEARCH("R60",G77)),0)+IFERROR(--ISNUMBER(SEARCH("R61",G77)),0)+IFERROR(--ISNUMBER(SEARCH("R62",G77)),0)+IFERROR(--ISNUMBER(SEARCH("R63",G77)),0)+IFERROR(--ISNUMBER(SEARCH("R64",G77)),0)+IFERROR(--ISNUMBER(SEARCH("R65",G77)),0)+IFERROR(--ISNUMBER(SEARCH("R66",G77)),0)+IFERROR(--ISNUMBER(SEARCH("R67",G77)),0)+IFERROR(--ISNUMBER(SEARCH("R68",G77)),0)+IFERROR(--ISNUMBER(SEARCH("R69",G77)),0)+IFERROR(--ISNUMBER(SEARCH("R70",G77)),0)+IFERROR(--ISNUMBER(SEARCH("R71",G77)),0)+IFERROR(--ISNUMBER(SEARCH("R72",G77)),0)+IFERROR(--ISNUMBER(SEARCH("R73",G77)),0)+IFERROR(--ISNUMBER(SEARCH("R74",G77)),0)+IFERROR(--ISNUMBER(SEARCH("R75",G77)),0)+IFERROR(--ISNUMBER(SEARCH("R76",G77)),0)+IFERROR(--ISNUMBER(SEARCH("R77",G77)),0)+IFERROR(--ISNUMBER(SEARCH("R78",G77)),0)+IFERROR(--ISNUMBER(SEARCH("R79",G77)),0)+IFERROR(--ISNUMBER(SEARCH("R80",G77)),0)+IFERROR(--ISNUMBER(SEARCH("R81",G77)),0)+IFERROR(--ISNUMBER(SEARCH("R82",G77)),0)+IFERROR(--ISNUMBER(SEARCH("R83",G77)),0)+IFERROR(--ISNUMBER(SEARCH("R84",G77)),0)+IFERROR(--ISNUMBER(SEARCH("R85",G77)),0)+IFERROR(--ISNUMBER(SEARCH("R86",G77)),0)+IFERROR(--ISNUMBER(SEARCH("R87",G77)),0)+IFERROR(--ISNUMBER(SEARCH("R88",G77)),0)+IFERROR(--ISNUMBER(SEARCH("R89",G77)),0)+IFERROR(--ISNUMBER(SEARCH("R90",G77)),0)+IFERROR(--ISNUMBER(SEARCH("R91",G77)),0)+IFERROR(--ISNUMBER(SEARCH("R92",G77)),0)+IFERROR(--ISNUMBER(SEARCH("R93",G77)),0)+IFERROR(--ISNUMBER(SEARCH("R94",G77)),0)+IFERROR(--ISNUMBER(SEARCH("R95",G77)),0)+IFERROR(--ISNUMBER(SEARCH("R96",G77)),0)+IFERROR(--ISNUMBER(SEARCH("R97",G77)),0)+IFERROR(--ISNUMBER(SEARCH("R98",G77)),0)+IFERROR(--ISNUMBER(SEARCH("R99",G77)),0)+IFERROR(--ISNUMBER(SEARCH("R100",G77)),0)+IFERROR(--ISNUMBER(SEARCH("R101",G77)),0)+IFERROR(--ISNUMBER(SEARCH("R102",G77)),0)+IFERROR(--ISNUMBER(SEARCH("R103",G77)),0)+IFERROR(--ISNUMBER(SEARCH("R104",G77)),0)+IFERROR(--ISNUMBER(SEARCH("R105",G77)),0)+IFERROR(--ISNUMBER(SEARCH("R106",G77)),0)+IFERROR(--ISNUMBER(SEARCH("R107",G77)),0)+IFERROR(--ISNUMBER(SEARCH("R108",G77)),0)+IFERROR(--ISNUMBER(SEARCH("R109",G77)),0)+IFERROR(--ISNUMBER(SEARCH("R110",G77)),0)+IFERROR(--ISNUMBER(SEARCH("R111",G77)),0)+IFERROR(--ISNUMBER(SEARCH("R112",G77)),0)+IFERROR(--ISNUMBER(SEARCH("R113",G77)),0)+IFERROR(--ISNUMBER(SEARCH("R114",G77)),0)+IFERROR(--ISNUMBER(SEARCH("R115",G77)),0)+IFERROR(--ISNUMBER(SEARCH("R116",G77)),0)+IFERROR(--ISNUMBER(SEARCH("R117",G77)),0)+IFERROR(--ISNUMBER(SEARCH("R118",G77)),0)+IFERROR(--ISNUMBER(SEARCH("R119",G77)),0)+IFERROR(--ISNUMBER(SEARCH("R120",G77)),0)+IFERROR(--ISNUMBER(SEARCH("R121",G77)),0)+IFERROR(--ISNUMBER(SEARCH("R122",G77)),0)+IFERROR(--ISNUMBER(SEARCH("R123",G77)),0)+IFERROR(--ISNUMBER(SEARCH("R124",G77)),0)+IFERROR(--ISNUMBER(SEARCH("R125",G77)),0)+IFERROR(--ISNUMBER(SEARCH("R126",G77)),0)+IFERROR(--ISNUMBER(SEARCH("R127",G77)),0)+IFERROR(--ISNUMBER(SEARCH("R128",G77)),0)+IFERROR(--ISNUMBER(SEARCH("R129",G77)),0)+IFERROR(--ISNUMBER(SEARCH("R130",G77)),0)+IFERROR(--ISNUMBER(SEARCH("R131",G77)),0)+IFERROR(--ISNUMBER(SEARCH("R132",G77)),0)+IFERROR(--ISNUMBER(SEARCH("R133",G77)),0)+IFERROR(--ISNUMBER(SEARCH("R134",G77)),0)+IFERROR(--ISNUMBER(SEARCH("R135",G77)),0)+IFERROR(--ISNUMBER(SEARCH("R136",G77)),0)+IFERROR(--ISNUMBER(SEARCH("R137",G77)),0)+IFERROR(--ISNUMBER(SEARCH("R138",G77)),0)+IFERROR(--ISNUMBER(SEARCH("R139",G77)),0)+IFERROR(--ISNUMBER(SEARCH("R140",G77)),0)+IFERROR(--ISNUMBER(SEARCH("R141",G77)),0))</f>
        <v/>
      </c>
      <c r="T77" s="58">
        <f>IF(A77="","",IFERROR(--ISNUMBER(SEARCH("R28",G77)),0)+IFERROR(--ISNUMBER(SEARCH("R29",G77)),0)+IFERROR(--ISNUMBER(SEARCH("R30",G77)),0)+IFERROR(--ISNUMBER(SEARCH("R32",G77)),0)+IFERROR(--ISNUMBER(SEARCH("R33",G77)),0)+IFERROR(--ISNUMBER(SEARCH("R35",G77)),0)+IFERROR(--ISNUMBER(SEARCH("R36",G77)),0)+IFERROR(--ISNUMBER(SEARCH("R38",G77)),0)+IFERROR(--ISNUMBER(SEARCH("R39",G77)),0)+IFERROR(--ISNUMBER(SEARCH("R43",G77)),0)+IFERROR(--ISNUMBER(SEARCH("R44",G77)),0)+IFERROR(--ISNUMBER(SEARCH("R45",G77)),0)+IFERROR(--ISNUMBER(SEARCH("R47",G77)),0)+IFERROR(--ISNUMBER(SEARCH("R48",G77)),0)+IFERROR(--ISNUMBER(SEARCH("R50",G77)),0)+IFERROR(--ISNUMBER(SEARCH("R51",G77)),0)+IFERROR(--ISNUMBER(SEARCH("R56",G77)),0)+IFERROR(--ISNUMBER(SEARCH("R58",G77)),0)+IFERROR(--ISNUMBER(SEARCH("R59",G77)),0)+IFERROR(--ISNUMBER(SEARCH("R60",G77)),0)+IFERROR(--ISNUMBER(SEARCH("R62",G77)),0)+IFERROR(--ISNUMBER(SEARCH("R63",G77)),0)+IFERROR(--ISNUMBER(SEARCH("R64",G77)),0)+IFERROR(--ISNUMBER(SEARCH("R66",G77)),0)+IFERROR(--ISNUMBER(SEARCH("R67",G77)),0)+IFERROR(--ISNUMBER(SEARCH("R72",G77)),0)+IFERROR(--ISNUMBER(SEARCH("R74",G77)),0)+IFERROR(--ISNUMBER(SEARCH("R75",G77)),0)+IFERROR(--ISNUMBER(SEARCH("R76",G77)),0)+IFERROR(--ISNUMBER(SEARCH("R77",G77)),0)+IFERROR(--ISNUMBER(SEARCH("R79",G77)),0)+IFERROR(--ISNUMBER(SEARCH("R80",G77)),0)+IFERROR(--ISNUMBER(SEARCH("R81",G77)),0)+IFERROR(--ISNUMBER(SEARCH("R83",G77)),0)+IFERROR(--ISNUMBER(SEARCH("R84",G77)),0)+IFERROR(--ISNUMBER(SEARCH("R89",G77)),0)+IFERROR(--ISNUMBER(SEARCH("R94",G77)),0)+IFERROR(--ISNUMBER(SEARCH("R95",G77)),0)+IFERROR(--ISNUMBER(SEARCH("R96",G77)),0)+IFERROR(--ISNUMBER(SEARCH("R98",G77)),0)+IFERROR(--ISNUMBER(SEARCH("R99",G77)),0)+IFERROR(--ISNUMBER(SEARCH("R100",G77)),0)+IFERROR(--ISNUMBER(SEARCH("R104",G77)),0)+IFERROR(--ISNUMBER(SEARCH("R105",G77)),0)+IFERROR(--ISNUMBER(SEARCH("R107",G77)),0)+IFERROR(--ISNUMBER(SEARCH("R108",G77)),0)+IFERROR(--ISNUMBER(SEARCH("R109",G77)),0)+IFERROR(--ISNUMBER(SEARCH("R110",G77)),0)+IFERROR(--ISNUMBER(SEARCH("R112",G77)),0)+IFERROR(--ISNUMBER(SEARCH("R113",G77)),0)+IFERROR(--ISNUMBER(SEARCH("R114",G77)),0)+IFERROR(--ISNUMBER(SEARCH("R118",G77)),0)+IFERROR(--ISNUMBER(SEARCH("R119",G77)),0)+IFERROR(--ISNUMBER(SEARCH("R120",G77)),0)+IFERROR(--ISNUMBER(SEARCH("R122",G77)),0)+IFERROR(--ISNUMBER(SEARCH("R123",G77)),0)+IFERROR(--ISNUMBER(SEARCH("R124",G77)),0)+IFERROR(--ISNUMBER(SEARCH("R128",G77)),0)+IFERROR(--ISNUMBER(SEARCH("R130",G77)),0)+IFERROR(--ISNUMBER(SEARCH("R131",G77)),0)+IFERROR(--ISNUMBER(SEARCH("R132",G77)),0)+IFERROR(--ISNUMBER(SEARCH("R135",G77)),0)+IFERROR(--ISNUMBER(SEARCH("R138",G77)),0)+IFERROR(--ISNUMBER(SEARCH("R141",G77)),0))</f>
        <v/>
      </c>
      <c r="U77" s="58">
        <f>IF(A77="","",IFERROR(--ISNUMBER(SEARCH("R28",G77))*28,0)+IFERROR(--ISNUMBER(SEARCH("R29",G77))*29,0)+IFERROR(--ISNUMBER(SEARCH("R30",G77))*30,0)+IFERROR(--ISNUMBER(SEARCH("R31",G77))*31,0)+IFERROR(--ISNUMBER(SEARCH("R32",G77))*32,0)+IFERROR(--ISNUMBER(SEARCH("R33",G77))*33,0)+IFERROR(--ISNUMBER(SEARCH("R34",G77))*34,0)+IFERROR(--ISNUMBER(SEARCH("R35",G77))*35,0)+IFERROR(--ISNUMBER(SEARCH("R36",G77))*36,0)+IFERROR(--ISNUMBER(SEARCH("R37",G77))*37,0)+IFERROR(--ISNUMBER(SEARCH("R38",G77))*38,0)+IFERROR(--ISNUMBER(SEARCH("R39",G77))*39,0)+IFERROR(--ISNUMBER(SEARCH("R40",G77))*40,0)+IFERROR(--ISNUMBER(SEARCH("R41",G77))*41,0)+IFERROR(--ISNUMBER(SEARCH("R42",G77))*42,0)+IFERROR(--ISNUMBER(SEARCH("R43",G77))*43,0)+IFERROR(--ISNUMBER(SEARCH("R44",G77))*44,0)+IFERROR(--ISNUMBER(SEARCH("R45",G77))*45,0)+IFERROR(--ISNUMBER(SEARCH("R46",G77))*46,0)+IFERROR(--ISNUMBER(SEARCH("R47",G77))*47,0)+IFERROR(--ISNUMBER(SEARCH("R48",G77))*48,0)+IFERROR(--ISNUMBER(SEARCH("R49",G77))*49,0)+IFERROR(--ISNUMBER(SEARCH("R50",G77))*50,0)+IFERROR(--ISNUMBER(SEARCH("R51",G77))*51,0)+IFERROR(--ISNUMBER(SEARCH("R52",G77))*52,0)+IFERROR(--ISNUMBER(SEARCH("R53",G77))*53,0)+IFERROR(--ISNUMBER(SEARCH("R54",G77))*54,0)+IFERROR(--ISNUMBER(SEARCH("R55",G77))*55,0)+IFERROR(--ISNUMBER(SEARCH("R56",G77))*56,0)+IFERROR(--ISNUMBER(SEARCH("R57",G77))*57,0)+IFERROR(--ISNUMBER(SEARCH("R58",G77))*58,0)+IFERROR(--ISNUMBER(SEARCH("R59",G77))*59,0)+IFERROR(--ISNUMBER(SEARCH("R60",G77))*60,0)+IFERROR(--ISNUMBER(SEARCH("R61",G77))*61,0)+IFERROR(--ISNUMBER(SEARCH("R62",G77))*62,0)+IFERROR(--ISNUMBER(SEARCH("R63",G77))*63,0)+IFERROR(--ISNUMBER(SEARCH("R64",G77))*64,0)+IFERROR(--ISNUMBER(SEARCH("R65",G77))*65,0)+IFERROR(--ISNUMBER(SEARCH("R66",G77))*66,0)+IFERROR(--ISNUMBER(SEARCH("R67",G77))*67,0)+IFERROR(--ISNUMBER(SEARCH("R68",G77))*68,0)+IFERROR(--ISNUMBER(SEARCH("R69",G77))*69,0)+IFERROR(--ISNUMBER(SEARCH("R70",G77))*70,0)+IFERROR(--ISNUMBER(SEARCH("R71",G77))*71,0)+IFERROR(--ISNUMBER(SEARCH("R72",G77))*72,0)+IFERROR(--ISNUMBER(SEARCH("R73",G77))*73,0)+IFERROR(--ISNUMBER(SEARCH("R74",G77))*74,0)+IFERROR(--ISNUMBER(SEARCH("R75",G77))*75,0)+IFERROR(--ISNUMBER(SEARCH("R76",G77))*76,0)+IFERROR(--ISNUMBER(SEARCH("R77",G77))*77,0)+IFERROR(--ISNUMBER(SEARCH("R78",G77))*78,0)+IFERROR(--ISNUMBER(SEARCH("R79",G77))*79,0)+IFERROR(--ISNUMBER(SEARCH("R80",G77))*80,0)+IFERROR(--ISNUMBER(SEARCH("R81",G77))*81,0)+IFERROR(--ISNUMBER(SEARCH("R82",G77))*82,0)+IFERROR(--ISNUMBER(SEARCH("R83",G77))*83,0)+IFERROR(--ISNUMBER(SEARCH("R84",G77))*84,0)+IFERROR(--ISNUMBER(SEARCH("R85",G77))*85,0)+IFERROR(--ISNUMBER(SEARCH("R86",G77))*86,0)+IFERROR(--ISNUMBER(SEARCH("R87",G77))*87,0)+IFERROR(--ISNUMBER(SEARCH("R88",G77))*88,0)+IFERROR(--ISNUMBER(SEARCH("R89",G77))*89,0)+IFERROR(--ISNUMBER(SEARCH("R90",G77))*90,0)+IFERROR(--ISNUMBER(SEARCH("R91",G77))*91,0)+IFERROR(--ISNUMBER(SEARCH("R92",G77))*92,0)+IFERROR(--ISNUMBER(SEARCH("R93",G77))*93,0)+IFERROR(--ISNUMBER(SEARCH("R94",G77))*94,0)+IFERROR(--ISNUMBER(SEARCH("R95",G77))*95,0)+IFERROR(--ISNUMBER(SEARCH("R96",G77))*96,0)+IFERROR(--ISNUMBER(SEARCH("R97",G77))*97,0)+IFERROR(--ISNUMBER(SEARCH("R98",G77))*98,0)+IFERROR(--ISNUMBER(SEARCH("R99",G77))*99,0)+IFERROR(--ISNUMBER(SEARCH("R100",G77))*100,0)+IFERROR(--ISNUMBER(SEARCH("R101",G77))*101,0)+IFERROR(--ISNUMBER(SEARCH("R102",G77))*102,0)+IFERROR(--ISNUMBER(SEARCH("R103",G77))*103,0)+IFERROR(--ISNUMBER(SEARCH("R104",G77))*104,0)+IFERROR(--ISNUMBER(SEARCH("R105",G77))*105,0)+IFERROR(--ISNUMBER(SEARCH("R106",G77))*106,0)+IFERROR(--ISNUMBER(SEARCH("R107",G77))*107,0)+IFERROR(--ISNUMBER(SEARCH("R108",G77))*108,0)+IFERROR(--ISNUMBER(SEARCH("R109",G77))*109,0)+IFERROR(--ISNUMBER(SEARCH("R110",G77))*110,0)+IFERROR(--ISNUMBER(SEARCH("R111",G77))*111,0)+IFERROR(--ISNUMBER(SEARCH("R112",G77))*112,0)+IFERROR(--ISNUMBER(SEARCH("R113",G77))*113,0)+IFERROR(--ISNUMBER(SEARCH("R114",G77))*114,0)+IFERROR(--ISNUMBER(SEARCH("R115",G77))*115,0)+IFERROR(--ISNUMBER(SEARCH("R116",G77))*116,0)+IFERROR(--ISNUMBER(SEARCH("R117",G77))*117,0)+IFERROR(--ISNUMBER(SEARCH("R118",G77))*118,0)+IFERROR(--ISNUMBER(SEARCH("R119",G77))*119,0)+IFERROR(--ISNUMBER(SEARCH("R120",G77))*120,0)+IFERROR(--ISNUMBER(SEARCH("R121",G77))*121,0)+IFERROR(--ISNUMBER(SEARCH("R122",G77))*122,0)+IFERROR(--ISNUMBER(SEARCH("R123",G77))*123,0)+IFERROR(--ISNUMBER(SEARCH("R124",G77))*124,0)+IFERROR(--ISNUMBER(SEARCH("R125",G77))*125,0)+IFERROR(--ISNUMBER(SEARCH("R126",G77))*126,0)+IFERROR(--ISNUMBER(SEARCH("R127",G77))*127,0)+IFERROR(--ISNUMBER(SEARCH("R128",G77))*128,0)+IFERROR(--ISNUMBER(SEARCH("R129",G77))*129,0)+IFERROR(--ISNUMBER(SEARCH("R130",G77))*130,0)+IFERROR(--ISNUMBER(SEARCH("R131",G77))*131,0)+IFERROR(--ISNUMBER(SEARCH("R132",G77))*132,0)+IFERROR(--ISNUMBER(SEARCH("R133",G77))*133,0)+IFERROR(--ISNUMBER(SEARCH("R134",G77))*134,0)+IFERROR(--ISNUMBER(SEARCH("R135",G77))*135,0)+IFERROR(--ISNUMBER(SEARCH("R136",G77))*136,0)+IFERROR(--ISNUMBER(SEARCH("R137",G77))*137,0)+IFERROR(--ISNUMBER(SEARCH("R138",G77))*138,0)+IFERROR(--ISNUMBER(SEARCH("R139",G77))*139,0)+IFERROR(--ISNUMBER(SEARCH("R140",G77))*140,0)+IFERROR(--ISNUMBER(SEARCH("R141",G77))*141,0))</f>
        <v/>
      </c>
      <c r="V77" s="59">
        <f>IF(A77="","",IF(K77&lt;&gt;"",K77,J77))</f>
        <v/>
      </c>
      <c r="W77" s="59">
        <f>IF(A77="","",IF(AND(V77=29,O77&lt;&gt;"",COUNTIFS($V$6:$V$505,29,$F$6:$F$505,F77,$C$6:$C$505,C77,$O$6:$O$505,"&lt;&gt;")&gt;1),IF(COUNTIFS($V$6:V77,29,$F$6:F77,F77,$C$6:C77,C77,$O$6:O77,"&lt;&gt;")=1,"Esta es la fila que se debe CONSERVAR (aparición 1 de "&amp;COUNTIFS($V$6:$V$505,29,$F$6:$F$505,F77,$C$6:$C$505,C77,$O$6:$O$505,"&lt;&gt;")&amp;" con el mismo tercero y valor, casilla 29). Si hay más filas iguales, bórreles el valor a ELLAS, no a esta.","DUPLICADO — ya existe otra fila con el mismo tercero y valor para casilla 29 (aparición "&amp;COUNTIFS($V$6:V77,29,$F$6:F77,F77,$C$6:C77,C77,$O$6:O77,"&lt;&gt;")&amp;" de "&amp;COUNTIFS($V$6:$V$505,29,$F$6:$F$505,F77,$C$6:$C$505,C77,$O$6:$O$505,"&lt;&gt;")&amp;"). Para resolverlo: seleccione la celda O"&amp;ROW()&amp;" (columna Valor a declarar de ESTA fila) y presione Supr."),""))</f>
        <v/>
      </c>
      <c r="X77" s="463">
        <f>IF(A77="","",F77)</f>
        <v/>
      </c>
      <c r="Y77" s="463">
        <f>IF(A77="","",SUMIF(Entrada_Manual!$I$88:$I$187,A77,Entrada_Manual!$F$88:$F$187))</f>
        <v/>
      </c>
      <c r="Z77" s="463">
        <f>IF(A77="","",X77-Y77)</f>
        <v/>
      </c>
      <c r="AA77">
        <f>IF(A77="","",SUMPRODUCT((Entrada_Manual!$I$88:$I$187=A77)*1))</f>
        <v/>
      </c>
      <c r="AB77">
        <f>IF(A77="","",IF(S77&lt;=1,"",IF(AA77=0,"PENDIENTE — SIN ASIGNAR",IF(Z77=0,"RESUELTO","PARCIAL — DIFERENCIA "&amp;TEXT(Z77,"#,##0")))))</f>
        <v/>
      </c>
    </row>
    <row r="78" ht="14.25" customHeight="1" s="235">
      <c r="A78" s="47">
        <f>IF(Exogena_RAW!E87&lt;&gt;"",ROW()-5,"")</f>
        <v/>
      </c>
      <c r="B78" s="48">
        <f>IF(A78="","",87)</f>
        <v/>
      </c>
      <c r="C78" s="48">
        <f>IF(A78="","",IFERROR(Exogena_RAW!A87,""))</f>
        <v/>
      </c>
      <c r="D78" s="48">
        <f>IF(A78="","",IFERROR(Exogena_RAW!B87,""))</f>
        <v/>
      </c>
      <c r="E78" s="48">
        <f>IF(A78="","",Exogena_RAW!E87)</f>
        <v/>
      </c>
      <c r="F78" s="461">
        <f>IF(A78="","",Exogena_RAW!F87)</f>
        <v/>
      </c>
      <c r="G78" s="48">
        <f>IF(A78="","",IFERROR(Exogena_RAW!G87,""))</f>
        <v/>
      </c>
      <c r="H78" s="48">
        <f>IF(A78="","",IFERROR(Exogena_RAW!H87,""))</f>
        <v/>
      </c>
      <c r="I78" s="48">
        <f>IF(A78="","",IFERROR(IF(S78&gt;1,"VARIAS CASILLAS",IF(S78=1,IF(T78=1,"PROPUESTA DE CASILLA","REVISIÓN: CASILLA NO DIRECTA"),IF(OR(ISNUMBER(SEARCH("TOPE",UPPER(E78))),ISNUMBER(SEARCH("TOPE",UPPER(G78)))),"SOLO CONTROL",IF(ISNUMBER(SEARCH("RETEN",UPPER(E78))),"RETENCIÓN","REVISAR")))),"REVISAR"))</f>
        <v/>
      </c>
      <c r="J78" s="48">
        <f>IF(A78="","",IF(ISNUMBER(SEARCH("ingreso laboral promedio de los últimos seis meses",E78)),"",IFERROR(IF(AND(S78=1,T78=1),U78,""),"")))</f>
        <v/>
      </c>
      <c r="K78" s="216" t="n"/>
      <c r="L78" s="48">
        <f>IF(A78="","",IFERROR(IF(K78&lt;&gt;"","Casilla elegida por usuario",IF(S78&gt;1,"Varias casillas — elegir en K",IF(J78&lt;&gt;"","Sugerencia directa",IF(S78=1,"No trasladar directo — revisar",IF(OR(ISNUMBER(SEARCH("TOPE",UPPER(E78))),ISNUMBER(SEARCH("TOPE",UPPER(G78)))),"Solo control","Revisar manualmente"))))),"Revisar manualmente"))</f>
        <v/>
      </c>
      <c r="M78" s="461">
        <f>IF(A78="","",IF(IF(K78&lt;&gt;"",K78,J78)="",0,IF(COUNTIFS(Reglas!$I$5:$I$118,IF(K78&lt;&gt;"",K78,J78),Reglas!$J$5:$J$118,"Sí")=1,F78,0)))</f>
        <v/>
      </c>
      <c r="N78" s="56" t="n"/>
      <c r="O78" s="462">
        <f>IF(A78="","",IF(M78=0,"",M78))</f>
        <v/>
      </c>
      <c r="P78" s="461">
        <f>IF(A78="","",IF(O78="",0,IF(ISNUMBER(O78),O78,0)))</f>
        <v/>
      </c>
      <c r="Q78" s="48">
        <f>IF(A78="","",IF(Exogena_RAW!$C$4="","BLOQUEADO: FALTA AÑO",IF(Exogena_RAW!$K$10&lt;&gt;Reglas!$B$5,"BLOQUEADO: AÑO",IF(IF(K78&lt;&gt;"",K78,J78)="",IF(S78&gt;1,"REQUIERE ASIGNACIÓN MANUAL (VARIAS CASILLAS)","INFORMATIVO (sin casilla — no se declara)"),IF(COUNTIFS(Reglas!$I$5:$I$118,IF(K78&lt;&gt;"",K78,J78),Reglas!$J$5:$J$118,"Sí")=0,"BLOQUEADO: CASILLA NO DIRECTA",IF(O78="","EXCLUIDO (valor borrado por el usuario)",IF(_xlfn.ISFORMULA(O78),IF(W78&lt;&gt;"","BORRADOR — VALOR SUGERIDO DIAN ⚠ VER ALERTA","BORRADOR — VALOR SUGERIDO DIAN"),IF(W78&lt;&gt;"","ACEPTADO ⚠ VER ALERTA","ACEPTADO"))))))))</f>
        <v/>
      </c>
      <c r="R78" s="218" t="n"/>
      <c r="S78" s="58">
        <f>IF(A78="","",IFERROR(--ISNUMBER(SEARCH("R28",G78)),0)+IFERROR(--ISNUMBER(SEARCH("R29",G78)),0)+IFERROR(--ISNUMBER(SEARCH("R30",G78)),0)+IFERROR(--ISNUMBER(SEARCH("R31",G78)),0)+IFERROR(--ISNUMBER(SEARCH("R32",G78)),0)+IFERROR(--ISNUMBER(SEARCH("R33",G78)),0)+IFERROR(--ISNUMBER(SEARCH("R34",G78)),0)+IFERROR(--ISNUMBER(SEARCH("R35",G78)),0)+IFERROR(--ISNUMBER(SEARCH("R36",G78)),0)+IFERROR(--ISNUMBER(SEARCH("R37",G78)),0)+IFERROR(--ISNUMBER(SEARCH("R38",G78)),0)+IFERROR(--ISNUMBER(SEARCH("R39",G78)),0)+IFERROR(--ISNUMBER(SEARCH("R40",G78)),0)+IFERROR(--ISNUMBER(SEARCH("R41",G78)),0)+IFERROR(--ISNUMBER(SEARCH("R42",G78)),0)+IFERROR(--ISNUMBER(SEARCH("R43",G78)),0)+IFERROR(--ISNUMBER(SEARCH("R44",G78)),0)+IFERROR(--ISNUMBER(SEARCH("R45",G78)),0)+IFERROR(--ISNUMBER(SEARCH("R46",G78)),0)+IFERROR(--ISNUMBER(SEARCH("R47",G78)),0)+IFERROR(--ISNUMBER(SEARCH("R48",G78)),0)+IFERROR(--ISNUMBER(SEARCH("R49",G78)),0)+IFERROR(--ISNUMBER(SEARCH("R50",G78)),0)+IFERROR(--ISNUMBER(SEARCH("R51",G78)),0)+IFERROR(--ISNUMBER(SEARCH("R52",G78)),0)+IFERROR(--ISNUMBER(SEARCH("R53",G78)),0)+IFERROR(--ISNUMBER(SEARCH("R54",G78)),0)+IFERROR(--ISNUMBER(SEARCH("R55",G78)),0)+IFERROR(--ISNUMBER(SEARCH("R56",G78)),0)+IFERROR(--ISNUMBER(SEARCH("R57",G78)),0)+IFERROR(--ISNUMBER(SEARCH("R58",G78)),0)+IFERROR(--ISNUMBER(SEARCH("R59",G78)),0)+IFERROR(--ISNUMBER(SEARCH("R60",G78)),0)+IFERROR(--ISNUMBER(SEARCH("R61",G78)),0)+IFERROR(--ISNUMBER(SEARCH("R62",G78)),0)+IFERROR(--ISNUMBER(SEARCH("R63",G78)),0)+IFERROR(--ISNUMBER(SEARCH("R64",G78)),0)+IFERROR(--ISNUMBER(SEARCH("R65",G78)),0)+IFERROR(--ISNUMBER(SEARCH("R66",G78)),0)+IFERROR(--ISNUMBER(SEARCH("R67",G78)),0)+IFERROR(--ISNUMBER(SEARCH("R68",G78)),0)+IFERROR(--ISNUMBER(SEARCH("R69",G78)),0)+IFERROR(--ISNUMBER(SEARCH("R70",G78)),0)+IFERROR(--ISNUMBER(SEARCH("R71",G78)),0)+IFERROR(--ISNUMBER(SEARCH("R72",G78)),0)+IFERROR(--ISNUMBER(SEARCH("R73",G78)),0)+IFERROR(--ISNUMBER(SEARCH("R74",G78)),0)+IFERROR(--ISNUMBER(SEARCH("R75",G78)),0)+IFERROR(--ISNUMBER(SEARCH("R76",G78)),0)+IFERROR(--ISNUMBER(SEARCH("R77",G78)),0)+IFERROR(--ISNUMBER(SEARCH("R78",G78)),0)+IFERROR(--ISNUMBER(SEARCH("R79",G78)),0)+IFERROR(--ISNUMBER(SEARCH("R80",G78)),0)+IFERROR(--ISNUMBER(SEARCH("R81",G78)),0)+IFERROR(--ISNUMBER(SEARCH("R82",G78)),0)+IFERROR(--ISNUMBER(SEARCH("R83",G78)),0)+IFERROR(--ISNUMBER(SEARCH("R84",G78)),0)+IFERROR(--ISNUMBER(SEARCH("R85",G78)),0)+IFERROR(--ISNUMBER(SEARCH("R86",G78)),0)+IFERROR(--ISNUMBER(SEARCH("R87",G78)),0)+IFERROR(--ISNUMBER(SEARCH("R88",G78)),0)+IFERROR(--ISNUMBER(SEARCH("R89",G78)),0)+IFERROR(--ISNUMBER(SEARCH("R90",G78)),0)+IFERROR(--ISNUMBER(SEARCH("R91",G78)),0)+IFERROR(--ISNUMBER(SEARCH("R92",G78)),0)+IFERROR(--ISNUMBER(SEARCH("R93",G78)),0)+IFERROR(--ISNUMBER(SEARCH("R94",G78)),0)+IFERROR(--ISNUMBER(SEARCH("R95",G78)),0)+IFERROR(--ISNUMBER(SEARCH("R96",G78)),0)+IFERROR(--ISNUMBER(SEARCH("R97",G78)),0)+IFERROR(--ISNUMBER(SEARCH("R98",G78)),0)+IFERROR(--ISNUMBER(SEARCH("R99",G78)),0)+IFERROR(--ISNUMBER(SEARCH("R100",G78)),0)+IFERROR(--ISNUMBER(SEARCH("R101",G78)),0)+IFERROR(--ISNUMBER(SEARCH("R102",G78)),0)+IFERROR(--ISNUMBER(SEARCH("R103",G78)),0)+IFERROR(--ISNUMBER(SEARCH("R104",G78)),0)+IFERROR(--ISNUMBER(SEARCH("R105",G78)),0)+IFERROR(--ISNUMBER(SEARCH("R106",G78)),0)+IFERROR(--ISNUMBER(SEARCH("R107",G78)),0)+IFERROR(--ISNUMBER(SEARCH("R108",G78)),0)+IFERROR(--ISNUMBER(SEARCH("R109",G78)),0)+IFERROR(--ISNUMBER(SEARCH("R110",G78)),0)+IFERROR(--ISNUMBER(SEARCH("R111",G78)),0)+IFERROR(--ISNUMBER(SEARCH("R112",G78)),0)+IFERROR(--ISNUMBER(SEARCH("R113",G78)),0)+IFERROR(--ISNUMBER(SEARCH("R114",G78)),0)+IFERROR(--ISNUMBER(SEARCH("R115",G78)),0)+IFERROR(--ISNUMBER(SEARCH("R116",G78)),0)+IFERROR(--ISNUMBER(SEARCH("R117",G78)),0)+IFERROR(--ISNUMBER(SEARCH("R118",G78)),0)+IFERROR(--ISNUMBER(SEARCH("R119",G78)),0)+IFERROR(--ISNUMBER(SEARCH("R120",G78)),0)+IFERROR(--ISNUMBER(SEARCH("R121",G78)),0)+IFERROR(--ISNUMBER(SEARCH("R122",G78)),0)+IFERROR(--ISNUMBER(SEARCH("R123",G78)),0)+IFERROR(--ISNUMBER(SEARCH("R124",G78)),0)+IFERROR(--ISNUMBER(SEARCH("R125",G78)),0)+IFERROR(--ISNUMBER(SEARCH("R126",G78)),0)+IFERROR(--ISNUMBER(SEARCH("R127",G78)),0)+IFERROR(--ISNUMBER(SEARCH("R128",G78)),0)+IFERROR(--ISNUMBER(SEARCH("R129",G78)),0)+IFERROR(--ISNUMBER(SEARCH("R130",G78)),0)+IFERROR(--ISNUMBER(SEARCH("R131",G78)),0)+IFERROR(--ISNUMBER(SEARCH("R132",G78)),0)+IFERROR(--ISNUMBER(SEARCH("R133",G78)),0)+IFERROR(--ISNUMBER(SEARCH("R134",G78)),0)+IFERROR(--ISNUMBER(SEARCH("R135",G78)),0)+IFERROR(--ISNUMBER(SEARCH("R136",G78)),0)+IFERROR(--ISNUMBER(SEARCH("R137",G78)),0)+IFERROR(--ISNUMBER(SEARCH("R138",G78)),0)+IFERROR(--ISNUMBER(SEARCH("R139",G78)),0)+IFERROR(--ISNUMBER(SEARCH("R140",G78)),0)+IFERROR(--ISNUMBER(SEARCH("R141",G78)),0))</f>
        <v/>
      </c>
      <c r="T78" s="58">
        <f>IF(A78="","",IFERROR(--ISNUMBER(SEARCH("R28",G78)),0)+IFERROR(--ISNUMBER(SEARCH("R29",G78)),0)+IFERROR(--ISNUMBER(SEARCH("R30",G78)),0)+IFERROR(--ISNUMBER(SEARCH("R32",G78)),0)+IFERROR(--ISNUMBER(SEARCH("R33",G78)),0)+IFERROR(--ISNUMBER(SEARCH("R35",G78)),0)+IFERROR(--ISNUMBER(SEARCH("R36",G78)),0)+IFERROR(--ISNUMBER(SEARCH("R38",G78)),0)+IFERROR(--ISNUMBER(SEARCH("R39",G78)),0)+IFERROR(--ISNUMBER(SEARCH("R43",G78)),0)+IFERROR(--ISNUMBER(SEARCH("R44",G78)),0)+IFERROR(--ISNUMBER(SEARCH("R45",G78)),0)+IFERROR(--ISNUMBER(SEARCH("R47",G78)),0)+IFERROR(--ISNUMBER(SEARCH("R48",G78)),0)+IFERROR(--ISNUMBER(SEARCH("R50",G78)),0)+IFERROR(--ISNUMBER(SEARCH("R51",G78)),0)+IFERROR(--ISNUMBER(SEARCH("R56",G78)),0)+IFERROR(--ISNUMBER(SEARCH("R58",G78)),0)+IFERROR(--ISNUMBER(SEARCH("R59",G78)),0)+IFERROR(--ISNUMBER(SEARCH("R60",G78)),0)+IFERROR(--ISNUMBER(SEARCH("R62",G78)),0)+IFERROR(--ISNUMBER(SEARCH("R63",G78)),0)+IFERROR(--ISNUMBER(SEARCH("R64",G78)),0)+IFERROR(--ISNUMBER(SEARCH("R66",G78)),0)+IFERROR(--ISNUMBER(SEARCH("R67",G78)),0)+IFERROR(--ISNUMBER(SEARCH("R72",G78)),0)+IFERROR(--ISNUMBER(SEARCH("R74",G78)),0)+IFERROR(--ISNUMBER(SEARCH("R75",G78)),0)+IFERROR(--ISNUMBER(SEARCH("R76",G78)),0)+IFERROR(--ISNUMBER(SEARCH("R77",G78)),0)+IFERROR(--ISNUMBER(SEARCH("R79",G78)),0)+IFERROR(--ISNUMBER(SEARCH("R80",G78)),0)+IFERROR(--ISNUMBER(SEARCH("R81",G78)),0)+IFERROR(--ISNUMBER(SEARCH("R83",G78)),0)+IFERROR(--ISNUMBER(SEARCH("R84",G78)),0)+IFERROR(--ISNUMBER(SEARCH("R89",G78)),0)+IFERROR(--ISNUMBER(SEARCH("R94",G78)),0)+IFERROR(--ISNUMBER(SEARCH("R95",G78)),0)+IFERROR(--ISNUMBER(SEARCH("R96",G78)),0)+IFERROR(--ISNUMBER(SEARCH("R98",G78)),0)+IFERROR(--ISNUMBER(SEARCH("R99",G78)),0)+IFERROR(--ISNUMBER(SEARCH("R100",G78)),0)+IFERROR(--ISNUMBER(SEARCH("R104",G78)),0)+IFERROR(--ISNUMBER(SEARCH("R105",G78)),0)+IFERROR(--ISNUMBER(SEARCH("R107",G78)),0)+IFERROR(--ISNUMBER(SEARCH("R108",G78)),0)+IFERROR(--ISNUMBER(SEARCH("R109",G78)),0)+IFERROR(--ISNUMBER(SEARCH("R110",G78)),0)+IFERROR(--ISNUMBER(SEARCH("R112",G78)),0)+IFERROR(--ISNUMBER(SEARCH("R113",G78)),0)+IFERROR(--ISNUMBER(SEARCH("R114",G78)),0)+IFERROR(--ISNUMBER(SEARCH("R118",G78)),0)+IFERROR(--ISNUMBER(SEARCH("R119",G78)),0)+IFERROR(--ISNUMBER(SEARCH("R120",G78)),0)+IFERROR(--ISNUMBER(SEARCH("R122",G78)),0)+IFERROR(--ISNUMBER(SEARCH("R123",G78)),0)+IFERROR(--ISNUMBER(SEARCH("R124",G78)),0)+IFERROR(--ISNUMBER(SEARCH("R128",G78)),0)+IFERROR(--ISNUMBER(SEARCH("R130",G78)),0)+IFERROR(--ISNUMBER(SEARCH("R131",G78)),0)+IFERROR(--ISNUMBER(SEARCH("R132",G78)),0)+IFERROR(--ISNUMBER(SEARCH("R135",G78)),0)+IFERROR(--ISNUMBER(SEARCH("R138",G78)),0)+IFERROR(--ISNUMBER(SEARCH("R141",G78)),0))</f>
        <v/>
      </c>
      <c r="U78" s="58">
        <f>IF(A78="","",IFERROR(--ISNUMBER(SEARCH("R28",G78))*28,0)+IFERROR(--ISNUMBER(SEARCH("R29",G78))*29,0)+IFERROR(--ISNUMBER(SEARCH("R30",G78))*30,0)+IFERROR(--ISNUMBER(SEARCH("R31",G78))*31,0)+IFERROR(--ISNUMBER(SEARCH("R32",G78))*32,0)+IFERROR(--ISNUMBER(SEARCH("R33",G78))*33,0)+IFERROR(--ISNUMBER(SEARCH("R34",G78))*34,0)+IFERROR(--ISNUMBER(SEARCH("R35",G78))*35,0)+IFERROR(--ISNUMBER(SEARCH("R36",G78))*36,0)+IFERROR(--ISNUMBER(SEARCH("R37",G78))*37,0)+IFERROR(--ISNUMBER(SEARCH("R38",G78))*38,0)+IFERROR(--ISNUMBER(SEARCH("R39",G78))*39,0)+IFERROR(--ISNUMBER(SEARCH("R40",G78))*40,0)+IFERROR(--ISNUMBER(SEARCH("R41",G78))*41,0)+IFERROR(--ISNUMBER(SEARCH("R42",G78))*42,0)+IFERROR(--ISNUMBER(SEARCH("R43",G78))*43,0)+IFERROR(--ISNUMBER(SEARCH("R44",G78))*44,0)+IFERROR(--ISNUMBER(SEARCH("R45",G78))*45,0)+IFERROR(--ISNUMBER(SEARCH("R46",G78))*46,0)+IFERROR(--ISNUMBER(SEARCH("R47",G78))*47,0)+IFERROR(--ISNUMBER(SEARCH("R48",G78))*48,0)+IFERROR(--ISNUMBER(SEARCH("R49",G78))*49,0)+IFERROR(--ISNUMBER(SEARCH("R50",G78))*50,0)+IFERROR(--ISNUMBER(SEARCH("R51",G78))*51,0)+IFERROR(--ISNUMBER(SEARCH("R52",G78))*52,0)+IFERROR(--ISNUMBER(SEARCH("R53",G78))*53,0)+IFERROR(--ISNUMBER(SEARCH("R54",G78))*54,0)+IFERROR(--ISNUMBER(SEARCH("R55",G78))*55,0)+IFERROR(--ISNUMBER(SEARCH("R56",G78))*56,0)+IFERROR(--ISNUMBER(SEARCH("R57",G78))*57,0)+IFERROR(--ISNUMBER(SEARCH("R58",G78))*58,0)+IFERROR(--ISNUMBER(SEARCH("R59",G78))*59,0)+IFERROR(--ISNUMBER(SEARCH("R60",G78))*60,0)+IFERROR(--ISNUMBER(SEARCH("R61",G78))*61,0)+IFERROR(--ISNUMBER(SEARCH("R62",G78))*62,0)+IFERROR(--ISNUMBER(SEARCH("R63",G78))*63,0)+IFERROR(--ISNUMBER(SEARCH("R64",G78))*64,0)+IFERROR(--ISNUMBER(SEARCH("R65",G78))*65,0)+IFERROR(--ISNUMBER(SEARCH("R66",G78))*66,0)+IFERROR(--ISNUMBER(SEARCH("R67",G78))*67,0)+IFERROR(--ISNUMBER(SEARCH("R68",G78))*68,0)+IFERROR(--ISNUMBER(SEARCH("R69",G78))*69,0)+IFERROR(--ISNUMBER(SEARCH("R70",G78))*70,0)+IFERROR(--ISNUMBER(SEARCH("R71",G78))*71,0)+IFERROR(--ISNUMBER(SEARCH("R72",G78))*72,0)+IFERROR(--ISNUMBER(SEARCH("R73",G78))*73,0)+IFERROR(--ISNUMBER(SEARCH("R74",G78))*74,0)+IFERROR(--ISNUMBER(SEARCH("R75",G78))*75,0)+IFERROR(--ISNUMBER(SEARCH("R76",G78))*76,0)+IFERROR(--ISNUMBER(SEARCH("R77",G78))*77,0)+IFERROR(--ISNUMBER(SEARCH("R78",G78))*78,0)+IFERROR(--ISNUMBER(SEARCH("R79",G78))*79,0)+IFERROR(--ISNUMBER(SEARCH("R80",G78))*80,0)+IFERROR(--ISNUMBER(SEARCH("R81",G78))*81,0)+IFERROR(--ISNUMBER(SEARCH("R82",G78))*82,0)+IFERROR(--ISNUMBER(SEARCH("R83",G78))*83,0)+IFERROR(--ISNUMBER(SEARCH("R84",G78))*84,0)+IFERROR(--ISNUMBER(SEARCH("R85",G78))*85,0)+IFERROR(--ISNUMBER(SEARCH("R86",G78))*86,0)+IFERROR(--ISNUMBER(SEARCH("R87",G78))*87,0)+IFERROR(--ISNUMBER(SEARCH("R88",G78))*88,0)+IFERROR(--ISNUMBER(SEARCH("R89",G78))*89,0)+IFERROR(--ISNUMBER(SEARCH("R90",G78))*90,0)+IFERROR(--ISNUMBER(SEARCH("R91",G78))*91,0)+IFERROR(--ISNUMBER(SEARCH("R92",G78))*92,0)+IFERROR(--ISNUMBER(SEARCH("R93",G78))*93,0)+IFERROR(--ISNUMBER(SEARCH("R94",G78))*94,0)+IFERROR(--ISNUMBER(SEARCH("R95",G78))*95,0)+IFERROR(--ISNUMBER(SEARCH("R96",G78))*96,0)+IFERROR(--ISNUMBER(SEARCH("R97",G78))*97,0)+IFERROR(--ISNUMBER(SEARCH("R98",G78))*98,0)+IFERROR(--ISNUMBER(SEARCH("R99",G78))*99,0)+IFERROR(--ISNUMBER(SEARCH("R100",G78))*100,0)+IFERROR(--ISNUMBER(SEARCH("R101",G78))*101,0)+IFERROR(--ISNUMBER(SEARCH("R102",G78))*102,0)+IFERROR(--ISNUMBER(SEARCH("R103",G78))*103,0)+IFERROR(--ISNUMBER(SEARCH("R104",G78))*104,0)+IFERROR(--ISNUMBER(SEARCH("R105",G78))*105,0)+IFERROR(--ISNUMBER(SEARCH("R106",G78))*106,0)+IFERROR(--ISNUMBER(SEARCH("R107",G78))*107,0)+IFERROR(--ISNUMBER(SEARCH("R108",G78))*108,0)+IFERROR(--ISNUMBER(SEARCH("R109",G78))*109,0)+IFERROR(--ISNUMBER(SEARCH("R110",G78))*110,0)+IFERROR(--ISNUMBER(SEARCH("R111",G78))*111,0)+IFERROR(--ISNUMBER(SEARCH("R112",G78))*112,0)+IFERROR(--ISNUMBER(SEARCH("R113",G78))*113,0)+IFERROR(--ISNUMBER(SEARCH("R114",G78))*114,0)+IFERROR(--ISNUMBER(SEARCH("R115",G78))*115,0)+IFERROR(--ISNUMBER(SEARCH("R116",G78))*116,0)+IFERROR(--ISNUMBER(SEARCH("R117",G78))*117,0)+IFERROR(--ISNUMBER(SEARCH("R118",G78))*118,0)+IFERROR(--ISNUMBER(SEARCH("R119",G78))*119,0)+IFERROR(--ISNUMBER(SEARCH("R120",G78))*120,0)+IFERROR(--ISNUMBER(SEARCH("R121",G78))*121,0)+IFERROR(--ISNUMBER(SEARCH("R122",G78))*122,0)+IFERROR(--ISNUMBER(SEARCH("R123",G78))*123,0)+IFERROR(--ISNUMBER(SEARCH("R124",G78))*124,0)+IFERROR(--ISNUMBER(SEARCH("R125",G78))*125,0)+IFERROR(--ISNUMBER(SEARCH("R126",G78))*126,0)+IFERROR(--ISNUMBER(SEARCH("R127",G78))*127,0)+IFERROR(--ISNUMBER(SEARCH("R128",G78))*128,0)+IFERROR(--ISNUMBER(SEARCH("R129",G78))*129,0)+IFERROR(--ISNUMBER(SEARCH("R130",G78))*130,0)+IFERROR(--ISNUMBER(SEARCH("R131",G78))*131,0)+IFERROR(--ISNUMBER(SEARCH("R132",G78))*132,0)+IFERROR(--ISNUMBER(SEARCH("R133",G78))*133,0)+IFERROR(--ISNUMBER(SEARCH("R134",G78))*134,0)+IFERROR(--ISNUMBER(SEARCH("R135",G78))*135,0)+IFERROR(--ISNUMBER(SEARCH("R136",G78))*136,0)+IFERROR(--ISNUMBER(SEARCH("R137",G78))*137,0)+IFERROR(--ISNUMBER(SEARCH("R138",G78))*138,0)+IFERROR(--ISNUMBER(SEARCH("R139",G78))*139,0)+IFERROR(--ISNUMBER(SEARCH("R140",G78))*140,0)+IFERROR(--ISNUMBER(SEARCH("R141",G78))*141,0))</f>
        <v/>
      </c>
      <c r="V78" s="59">
        <f>IF(A78="","",IF(K78&lt;&gt;"",K78,J78))</f>
        <v/>
      </c>
      <c r="W78" s="59">
        <f>IF(A78="","",IF(AND(V78=29,O78&lt;&gt;"",COUNTIFS($V$6:$V$505,29,$F$6:$F$505,F78,$C$6:$C$505,C78,$O$6:$O$505,"&lt;&gt;")&gt;1),IF(COUNTIFS($V$6:V78,29,$F$6:F78,F78,$C$6:C78,C78,$O$6:O78,"&lt;&gt;")=1,"Esta es la fila que se debe CONSERVAR (aparición 1 de "&amp;COUNTIFS($V$6:$V$505,29,$F$6:$F$505,F78,$C$6:$C$505,C78,$O$6:$O$505,"&lt;&gt;")&amp;" con el mismo tercero y valor, casilla 29). Si hay más filas iguales, bórreles el valor a ELLAS, no a esta.","DUPLICADO — ya existe otra fila con el mismo tercero y valor para casilla 29 (aparición "&amp;COUNTIFS($V$6:V78,29,$F$6:F78,F78,$C$6:C78,C78,$O$6:O78,"&lt;&gt;")&amp;" de "&amp;COUNTIFS($V$6:$V$505,29,$F$6:$F$505,F78,$C$6:$C$505,C78,$O$6:$O$505,"&lt;&gt;")&amp;"). Para resolverlo: seleccione la celda O"&amp;ROW()&amp;" (columna Valor a declarar de ESTA fila) y presione Supr."),""))</f>
        <v/>
      </c>
      <c r="X78" s="463">
        <f>IF(A78="","",F78)</f>
        <v/>
      </c>
      <c r="Y78" s="463">
        <f>IF(A78="","",SUMIF(Entrada_Manual!$I$88:$I$187,A78,Entrada_Manual!$F$88:$F$187))</f>
        <v/>
      </c>
      <c r="Z78" s="463">
        <f>IF(A78="","",X78-Y78)</f>
        <v/>
      </c>
      <c r="AA78">
        <f>IF(A78="","",SUMPRODUCT((Entrada_Manual!$I$88:$I$187=A78)*1))</f>
        <v/>
      </c>
      <c r="AB78">
        <f>IF(A78="","",IF(S78&lt;=1,"",IF(AA78=0,"PENDIENTE — SIN ASIGNAR",IF(Z78=0,"RESUELTO","PARCIAL — DIFERENCIA "&amp;TEXT(Z78,"#,##0")))))</f>
        <v/>
      </c>
    </row>
    <row r="79" ht="14.25" customHeight="1" s="235">
      <c r="A79" s="47">
        <f>IF(Exogena_RAW!E88&lt;&gt;"",ROW()-5,"")</f>
        <v/>
      </c>
      <c r="B79" s="48">
        <f>IF(A79="","",88)</f>
        <v/>
      </c>
      <c r="C79" s="48">
        <f>IF(A79="","",IFERROR(Exogena_RAW!A88,""))</f>
        <v/>
      </c>
      <c r="D79" s="48">
        <f>IF(A79="","",IFERROR(Exogena_RAW!B88,""))</f>
        <v/>
      </c>
      <c r="E79" s="48">
        <f>IF(A79="","",Exogena_RAW!E88)</f>
        <v/>
      </c>
      <c r="F79" s="461">
        <f>IF(A79="","",Exogena_RAW!F88)</f>
        <v/>
      </c>
      <c r="G79" s="48">
        <f>IF(A79="","",IFERROR(Exogena_RAW!G88,""))</f>
        <v/>
      </c>
      <c r="H79" s="48">
        <f>IF(A79="","",IFERROR(Exogena_RAW!H88,""))</f>
        <v/>
      </c>
      <c r="I79" s="48">
        <f>IF(A79="","",IFERROR(IF(S79&gt;1,"VARIAS CASILLAS",IF(S79=1,IF(T79=1,"PROPUESTA DE CASILLA","REVISIÓN: CASILLA NO DIRECTA"),IF(OR(ISNUMBER(SEARCH("TOPE",UPPER(E79))),ISNUMBER(SEARCH("TOPE",UPPER(G79)))),"SOLO CONTROL",IF(ISNUMBER(SEARCH("RETEN",UPPER(E79))),"RETENCIÓN","REVISAR")))),"REVISAR"))</f>
        <v/>
      </c>
      <c r="J79" s="48">
        <f>IF(A79="","",IF(ISNUMBER(SEARCH("ingreso laboral promedio de los últimos seis meses",E79)),"",IFERROR(IF(AND(S79=1,T79=1),U79,""),"")))</f>
        <v/>
      </c>
      <c r="K79" s="216" t="n"/>
      <c r="L79" s="48">
        <f>IF(A79="","",IFERROR(IF(K79&lt;&gt;"","Casilla elegida por usuario",IF(S79&gt;1,"Varias casillas — elegir en K",IF(J79&lt;&gt;"","Sugerencia directa",IF(S79=1,"No trasladar directo — revisar",IF(OR(ISNUMBER(SEARCH("TOPE",UPPER(E79))),ISNUMBER(SEARCH("TOPE",UPPER(G79)))),"Solo control","Revisar manualmente"))))),"Revisar manualmente"))</f>
        <v/>
      </c>
      <c r="M79" s="461">
        <f>IF(A79="","",IF(IF(K79&lt;&gt;"",K79,J79)="",0,IF(COUNTIFS(Reglas!$I$5:$I$118,IF(K79&lt;&gt;"",K79,J79),Reglas!$J$5:$J$118,"Sí")=1,F79,0)))</f>
        <v/>
      </c>
      <c r="N79" s="56" t="n"/>
      <c r="O79" s="462">
        <f>IF(A79="","",IF(M79=0,"",M79))</f>
        <v/>
      </c>
      <c r="P79" s="461">
        <f>IF(A79="","",IF(O79="",0,IF(ISNUMBER(O79),O79,0)))</f>
        <v/>
      </c>
      <c r="Q79" s="48">
        <f>IF(A79="","",IF(Exogena_RAW!$C$4="","BLOQUEADO: FALTA AÑO",IF(Exogena_RAW!$K$10&lt;&gt;Reglas!$B$5,"BLOQUEADO: AÑO",IF(IF(K79&lt;&gt;"",K79,J79)="",IF(S79&gt;1,"REQUIERE ASIGNACIÓN MANUAL (VARIAS CASILLAS)","INFORMATIVO (sin casilla — no se declara)"),IF(COUNTIFS(Reglas!$I$5:$I$118,IF(K79&lt;&gt;"",K79,J79),Reglas!$J$5:$J$118,"Sí")=0,"BLOQUEADO: CASILLA NO DIRECTA",IF(O79="","EXCLUIDO (valor borrado por el usuario)",IF(_xlfn.ISFORMULA(O79),IF(W79&lt;&gt;"","BORRADOR — VALOR SUGERIDO DIAN ⚠ VER ALERTA","BORRADOR — VALOR SUGERIDO DIAN"),IF(W79&lt;&gt;"","ACEPTADO ⚠ VER ALERTA","ACEPTADO"))))))))</f>
        <v/>
      </c>
      <c r="R79" s="218" t="n"/>
      <c r="S79" s="58">
        <f>IF(A79="","",IFERROR(--ISNUMBER(SEARCH("R28",G79)),0)+IFERROR(--ISNUMBER(SEARCH("R29",G79)),0)+IFERROR(--ISNUMBER(SEARCH("R30",G79)),0)+IFERROR(--ISNUMBER(SEARCH("R31",G79)),0)+IFERROR(--ISNUMBER(SEARCH("R32",G79)),0)+IFERROR(--ISNUMBER(SEARCH("R33",G79)),0)+IFERROR(--ISNUMBER(SEARCH("R34",G79)),0)+IFERROR(--ISNUMBER(SEARCH("R35",G79)),0)+IFERROR(--ISNUMBER(SEARCH("R36",G79)),0)+IFERROR(--ISNUMBER(SEARCH("R37",G79)),0)+IFERROR(--ISNUMBER(SEARCH("R38",G79)),0)+IFERROR(--ISNUMBER(SEARCH("R39",G79)),0)+IFERROR(--ISNUMBER(SEARCH("R40",G79)),0)+IFERROR(--ISNUMBER(SEARCH("R41",G79)),0)+IFERROR(--ISNUMBER(SEARCH("R42",G79)),0)+IFERROR(--ISNUMBER(SEARCH("R43",G79)),0)+IFERROR(--ISNUMBER(SEARCH("R44",G79)),0)+IFERROR(--ISNUMBER(SEARCH("R45",G79)),0)+IFERROR(--ISNUMBER(SEARCH("R46",G79)),0)+IFERROR(--ISNUMBER(SEARCH("R47",G79)),0)+IFERROR(--ISNUMBER(SEARCH("R48",G79)),0)+IFERROR(--ISNUMBER(SEARCH("R49",G79)),0)+IFERROR(--ISNUMBER(SEARCH("R50",G79)),0)+IFERROR(--ISNUMBER(SEARCH("R51",G79)),0)+IFERROR(--ISNUMBER(SEARCH("R52",G79)),0)+IFERROR(--ISNUMBER(SEARCH("R53",G79)),0)+IFERROR(--ISNUMBER(SEARCH("R54",G79)),0)+IFERROR(--ISNUMBER(SEARCH("R55",G79)),0)+IFERROR(--ISNUMBER(SEARCH("R56",G79)),0)+IFERROR(--ISNUMBER(SEARCH("R57",G79)),0)+IFERROR(--ISNUMBER(SEARCH("R58",G79)),0)+IFERROR(--ISNUMBER(SEARCH("R59",G79)),0)+IFERROR(--ISNUMBER(SEARCH("R60",G79)),0)+IFERROR(--ISNUMBER(SEARCH("R61",G79)),0)+IFERROR(--ISNUMBER(SEARCH("R62",G79)),0)+IFERROR(--ISNUMBER(SEARCH("R63",G79)),0)+IFERROR(--ISNUMBER(SEARCH("R64",G79)),0)+IFERROR(--ISNUMBER(SEARCH("R65",G79)),0)+IFERROR(--ISNUMBER(SEARCH("R66",G79)),0)+IFERROR(--ISNUMBER(SEARCH("R67",G79)),0)+IFERROR(--ISNUMBER(SEARCH("R68",G79)),0)+IFERROR(--ISNUMBER(SEARCH("R69",G79)),0)+IFERROR(--ISNUMBER(SEARCH("R70",G79)),0)+IFERROR(--ISNUMBER(SEARCH("R71",G79)),0)+IFERROR(--ISNUMBER(SEARCH("R72",G79)),0)+IFERROR(--ISNUMBER(SEARCH("R73",G79)),0)+IFERROR(--ISNUMBER(SEARCH("R74",G79)),0)+IFERROR(--ISNUMBER(SEARCH("R75",G79)),0)+IFERROR(--ISNUMBER(SEARCH("R76",G79)),0)+IFERROR(--ISNUMBER(SEARCH("R77",G79)),0)+IFERROR(--ISNUMBER(SEARCH("R78",G79)),0)+IFERROR(--ISNUMBER(SEARCH("R79",G79)),0)+IFERROR(--ISNUMBER(SEARCH("R80",G79)),0)+IFERROR(--ISNUMBER(SEARCH("R81",G79)),0)+IFERROR(--ISNUMBER(SEARCH("R82",G79)),0)+IFERROR(--ISNUMBER(SEARCH("R83",G79)),0)+IFERROR(--ISNUMBER(SEARCH("R84",G79)),0)+IFERROR(--ISNUMBER(SEARCH("R85",G79)),0)+IFERROR(--ISNUMBER(SEARCH("R86",G79)),0)+IFERROR(--ISNUMBER(SEARCH("R87",G79)),0)+IFERROR(--ISNUMBER(SEARCH("R88",G79)),0)+IFERROR(--ISNUMBER(SEARCH("R89",G79)),0)+IFERROR(--ISNUMBER(SEARCH("R90",G79)),0)+IFERROR(--ISNUMBER(SEARCH("R91",G79)),0)+IFERROR(--ISNUMBER(SEARCH("R92",G79)),0)+IFERROR(--ISNUMBER(SEARCH("R93",G79)),0)+IFERROR(--ISNUMBER(SEARCH("R94",G79)),0)+IFERROR(--ISNUMBER(SEARCH("R95",G79)),0)+IFERROR(--ISNUMBER(SEARCH("R96",G79)),0)+IFERROR(--ISNUMBER(SEARCH("R97",G79)),0)+IFERROR(--ISNUMBER(SEARCH("R98",G79)),0)+IFERROR(--ISNUMBER(SEARCH("R99",G79)),0)+IFERROR(--ISNUMBER(SEARCH("R100",G79)),0)+IFERROR(--ISNUMBER(SEARCH("R101",G79)),0)+IFERROR(--ISNUMBER(SEARCH("R102",G79)),0)+IFERROR(--ISNUMBER(SEARCH("R103",G79)),0)+IFERROR(--ISNUMBER(SEARCH("R104",G79)),0)+IFERROR(--ISNUMBER(SEARCH("R105",G79)),0)+IFERROR(--ISNUMBER(SEARCH("R106",G79)),0)+IFERROR(--ISNUMBER(SEARCH("R107",G79)),0)+IFERROR(--ISNUMBER(SEARCH("R108",G79)),0)+IFERROR(--ISNUMBER(SEARCH("R109",G79)),0)+IFERROR(--ISNUMBER(SEARCH("R110",G79)),0)+IFERROR(--ISNUMBER(SEARCH("R111",G79)),0)+IFERROR(--ISNUMBER(SEARCH("R112",G79)),0)+IFERROR(--ISNUMBER(SEARCH("R113",G79)),0)+IFERROR(--ISNUMBER(SEARCH("R114",G79)),0)+IFERROR(--ISNUMBER(SEARCH("R115",G79)),0)+IFERROR(--ISNUMBER(SEARCH("R116",G79)),0)+IFERROR(--ISNUMBER(SEARCH("R117",G79)),0)+IFERROR(--ISNUMBER(SEARCH("R118",G79)),0)+IFERROR(--ISNUMBER(SEARCH("R119",G79)),0)+IFERROR(--ISNUMBER(SEARCH("R120",G79)),0)+IFERROR(--ISNUMBER(SEARCH("R121",G79)),0)+IFERROR(--ISNUMBER(SEARCH("R122",G79)),0)+IFERROR(--ISNUMBER(SEARCH("R123",G79)),0)+IFERROR(--ISNUMBER(SEARCH("R124",G79)),0)+IFERROR(--ISNUMBER(SEARCH("R125",G79)),0)+IFERROR(--ISNUMBER(SEARCH("R126",G79)),0)+IFERROR(--ISNUMBER(SEARCH("R127",G79)),0)+IFERROR(--ISNUMBER(SEARCH("R128",G79)),0)+IFERROR(--ISNUMBER(SEARCH("R129",G79)),0)+IFERROR(--ISNUMBER(SEARCH("R130",G79)),0)+IFERROR(--ISNUMBER(SEARCH("R131",G79)),0)+IFERROR(--ISNUMBER(SEARCH("R132",G79)),0)+IFERROR(--ISNUMBER(SEARCH("R133",G79)),0)+IFERROR(--ISNUMBER(SEARCH("R134",G79)),0)+IFERROR(--ISNUMBER(SEARCH("R135",G79)),0)+IFERROR(--ISNUMBER(SEARCH("R136",G79)),0)+IFERROR(--ISNUMBER(SEARCH("R137",G79)),0)+IFERROR(--ISNUMBER(SEARCH("R138",G79)),0)+IFERROR(--ISNUMBER(SEARCH("R139",G79)),0)+IFERROR(--ISNUMBER(SEARCH("R140",G79)),0)+IFERROR(--ISNUMBER(SEARCH("R141",G79)),0))</f>
        <v/>
      </c>
      <c r="T79" s="58">
        <f>IF(A79="","",IFERROR(--ISNUMBER(SEARCH("R28",G79)),0)+IFERROR(--ISNUMBER(SEARCH("R29",G79)),0)+IFERROR(--ISNUMBER(SEARCH("R30",G79)),0)+IFERROR(--ISNUMBER(SEARCH("R32",G79)),0)+IFERROR(--ISNUMBER(SEARCH("R33",G79)),0)+IFERROR(--ISNUMBER(SEARCH("R35",G79)),0)+IFERROR(--ISNUMBER(SEARCH("R36",G79)),0)+IFERROR(--ISNUMBER(SEARCH("R38",G79)),0)+IFERROR(--ISNUMBER(SEARCH("R39",G79)),0)+IFERROR(--ISNUMBER(SEARCH("R43",G79)),0)+IFERROR(--ISNUMBER(SEARCH("R44",G79)),0)+IFERROR(--ISNUMBER(SEARCH("R45",G79)),0)+IFERROR(--ISNUMBER(SEARCH("R47",G79)),0)+IFERROR(--ISNUMBER(SEARCH("R48",G79)),0)+IFERROR(--ISNUMBER(SEARCH("R50",G79)),0)+IFERROR(--ISNUMBER(SEARCH("R51",G79)),0)+IFERROR(--ISNUMBER(SEARCH("R56",G79)),0)+IFERROR(--ISNUMBER(SEARCH("R58",G79)),0)+IFERROR(--ISNUMBER(SEARCH("R59",G79)),0)+IFERROR(--ISNUMBER(SEARCH("R60",G79)),0)+IFERROR(--ISNUMBER(SEARCH("R62",G79)),0)+IFERROR(--ISNUMBER(SEARCH("R63",G79)),0)+IFERROR(--ISNUMBER(SEARCH("R64",G79)),0)+IFERROR(--ISNUMBER(SEARCH("R66",G79)),0)+IFERROR(--ISNUMBER(SEARCH("R67",G79)),0)+IFERROR(--ISNUMBER(SEARCH("R72",G79)),0)+IFERROR(--ISNUMBER(SEARCH("R74",G79)),0)+IFERROR(--ISNUMBER(SEARCH("R75",G79)),0)+IFERROR(--ISNUMBER(SEARCH("R76",G79)),0)+IFERROR(--ISNUMBER(SEARCH("R77",G79)),0)+IFERROR(--ISNUMBER(SEARCH("R79",G79)),0)+IFERROR(--ISNUMBER(SEARCH("R80",G79)),0)+IFERROR(--ISNUMBER(SEARCH("R81",G79)),0)+IFERROR(--ISNUMBER(SEARCH("R83",G79)),0)+IFERROR(--ISNUMBER(SEARCH("R84",G79)),0)+IFERROR(--ISNUMBER(SEARCH("R89",G79)),0)+IFERROR(--ISNUMBER(SEARCH("R94",G79)),0)+IFERROR(--ISNUMBER(SEARCH("R95",G79)),0)+IFERROR(--ISNUMBER(SEARCH("R96",G79)),0)+IFERROR(--ISNUMBER(SEARCH("R98",G79)),0)+IFERROR(--ISNUMBER(SEARCH("R99",G79)),0)+IFERROR(--ISNUMBER(SEARCH("R100",G79)),0)+IFERROR(--ISNUMBER(SEARCH("R104",G79)),0)+IFERROR(--ISNUMBER(SEARCH("R105",G79)),0)+IFERROR(--ISNUMBER(SEARCH("R107",G79)),0)+IFERROR(--ISNUMBER(SEARCH("R108",G79)),0)+IFERROR(--ISNUMBER(SEARCH("R109",G79)),0)+IFERROR(--ISNUMBER(SEARCH("R110",G79)),0)+IFERROR(--ISNUMBER(SEARCH("R112",G79)),0)+IFERROR(--ISNUMBER(SEARCH("R113",G79)),0)+IFERROR(--ISNUMBER(SEARCH("R114",G79)),0)+IFERROR(--ISNUMBER(SEARCH("R118",G79)),0)+IFERROR(--ISNUMBER(SEARCH("R119",G79)),0)+IFERROR(--ISNUMBER(SEARCH("R120",G79)),0)+IFERROR(--ISNUMBER(SEARCH("R122",G79)),0)+IFERROR(--ISNUMBER(SEARCH("R123",G79)),0)+IFERROR(--ISNUMBER(SEARCH("R124",G79)),0)+IFERROR(--ISNUMBER(SEARCH("R128",G79)),0)+IFERROR(--ISNUMBER(SEARCH("R130",G79)),0)+IFERROR(--ISNUMBER(SEARCH("R131",G79)),0)+IFERROR(--ISNUMBER(SEARCH("R132",G79)),0)+IFERROR(--ISNUMBER(SEARCH("R135",G79)),0)+IFERROR(--ISNUMBER(SEARCH("R138",G79)),0)+IFERROR(--ISNUMBER(SEARCH("R141",G79)),0))</f>
        <v/>
      </c>
      <c r="U79" s="58">
        <f>IF(A79="","",IFERROR(--ISNUMBER(SEARCH("R28",G79))*28,0)+IFERROR(--ISNUMBER(SEARCH("R29",G79))*29,0)+IFERROR(--ISNUMBER(SEARCH("R30",G79))*30,0)+IFERROR(--ISNUMBER(SEARCH("R31",G79))*31,0)+IFERROR(--ISNUMBER(SEARCH("R32",G79))*32,0)+IFERROR(--ISNUMBER(SEARCH("R33",G79))*33,0)+IFERROR(--ISNUMBER(SEARCH("R34",G79))*34,0)+IFERROR(--ISNUMBER(SEARCH("R35",G79))*35,0)+IFERROR(--ISNUMBER(SEARCH("R36",G79))*36,0)+IFERROR(--ISNUMBER(SEARCH("R37",G79))*37,0)+IFERROR(--ISNUMBER(SEARCH("R38",G79))*38,0)+IFERROR(--ISNUMBER(SEARCH("R39",G79))*39,0)+IFERROR(--ISNUMBER(SEARCH("R40",G79))*40,0)+IFERROR(--ISNUMBER(SEARCH("R41",G79))*41,0)+IFERROR(--ISNUMBER(SEARCH("R42",G79))*42,0)+IFERROR(--ISNUMBER(SEARCH("R43",G79))*43,0)+IFERROR(--ISNUMBER(SEARCH("R44",G79))*44,0)+IFERROR(--ISNUMBER(SEARCH("R45",G79))*45,0)+IFERROR(--ISNUMBER(SEARCH("R46",G79))*46,0)+IFERROR(--ISNUMBER(SEARCH("R47",G79))*47,0)+IFERROR(--ISNUMBER(SEARCH("R48",G79))*48,0)+IFERROR(--ISNUMBER(SEARCH("R49",G79))*49,0)+IFERROR(--ISNUMBER(SEARCH("R50",G79))*50,0)+IFERROR(--ISNUMBER(SEARCH("R51",G79))*51,0)+IFERROR(--ISNUMBER(SEARCH("R52",G79))*52,0)+IFERROR(--ISNUMBER(SEARCH("R53",G79))*53,0)+IFERROR(--ISNUMBER(SEARCH("R54",G79))*54,0)+IFERROR(--ISNUMBER(SEARCH("R55",G79))*55,0)+IFERROR(--ISNUMBER(SEARCH("R56",G79))*56,0)+IFERROR(--ISNUMBER(SEARCH("R57",G79))*57,0)+IFERROR(--ISNUMBER(SEARCH("R58",G79))*58,0)+IFERROR(--ISNUMBER(SEARCH("R59",G79))*59,0)+IFERROR(--ISNUMBER(SEARCH("R60",G79))*60,0)+IFERROR(--ISNUMBER(SEARCH("R61",G79))*61,0)+IFERROR(--ISNUMBER(SEARCH("R62",G79))*62,0)+IFERROR(--ISNUMBER(SEARCH("R63",G79))*63,0)+IFERROR(--ISNUMBER(SEARCH("R64",G79))*64,0)+IFERROR(--ISNUMBER(SEARCH("R65",G79))*65,0)+IFERROR(--ISNUMBER(SEARCH("R66",G79))*66,0)+IFERROR(--ISNUMBER(SEARCH("R67",G79))*67,0)+IFERROR(--ISNUMBER(SEARCH("R68",G79))*68,0)+IFERROR(--ISNUMBER(SEARCH("R69",G79))*69,0)+IFERROR(--ISNUMBER(SEARCH("R70",G79))*70,0)+IFERROR(--ISNUMBER(SEARCH("R71",G79))*71,0)+IFERROR(--ISNUMBER(SEARCH("R72",G79))*72,0)+IFERROR(--ISNUMBER(SEARCH("R73",G79))*73,0)+IFERROR(--ISNUMBER(SEARCH("R74",G79))*74,0)+IFERROR(--ISNUMBER(SEARCH("R75",G79))*75,0)+IFERROR(--ISNUMBER(SEARCH("R76",G79))*76,0)+IFERROR(--ISNUMBER(SEARCH("R77",G79))*77,0)+IFERROR(--ISNUMBER(SEARCH("R78",G79))*78,0)+IFERROR(--ISNUMBER(SEARCH("R79",G79))*79,0)+IFERROR(--ISNUMBER(SEARCH("R80",G79))*80,0)+IFERROR(--ISNUMBER(SEARCH("R81",G79))*81,0)+IFERROR(--ISNUMBER(SEARCH("R82",G79))*82,0)+IFERROR(--ISNUMBER(SEARCH("R83",G79))*83,0)+IFERROR(--ISNUMBER(SEARCH("R84",G79))*84,0)+IFERROR(--ISNUMBER(SEARCH("R85",G79))*85,0)+IFERROR(--ISNUMBER(SEARCH("R86",G79))*86,0)+IFERROR(--ISNUMBER(SEARCH("R87",G79))*87,0)+IFERROR(--ISNUMBER(SEARCH("R88",G79))*88,0)+IFERROR(--ISNUMBER(SEARCH("R89",G79))*89,0)+IFERROR(--ISNUMBER(SEARCH("R90",G79))*90,0)+IFERROR(--ISNUMBER(SEARCH("R91",G79))*91,0)+IFERROR(--ISNUMBER(SEARCH("R92",G79))*92,0)+IFERROR(--ISNUMBER(SEARCH("R93",G79))*93,0)+IFERROR(--ISNUMBER(SEARCH("R94",G79))*94,0)+IFERROR(--ISNUMBER(SEARCH("R95",G79))*95,0)+IFERROR(--ISNUMBER(SEARCH("R96",G79))*96,0)+IFERROR(--ISNUMBER(SEARCH("R97",G79))*97,0)+IFERROR(--ISNUMBER(SEARCH("R98",G79))*98,0)+IFERROR(--ISNUMBER(SEARCH("R99",G79))*99,0)+IFERROR(--ISNUMBER(SEARCH("R100",G79))*100,0)+IFERROR(--ISNUMBER(SEARCH("R101",G79))*101,0)+IFERROR(--ISNUMBER(SEARCH("R102",G79))*102,0)+IFERROR(--ISNUMBER(SEARCH("R103",G79))*103,0)+IFERROR(--ISNUMBER(SEARCH("R104",G79))*104,0)+IFERROR(--ISNUMBER(SEARCH("R105",G79))*105,0)+IFERROR(--ISNUMBER(SEARCH("R106",G79))*106,0)+IFERROR(--ISNUMBER(SEARCH("R107",G79))*107,0)+IFERROR(--ISNUMBER(SEARCH("R108",G79))*108,0)+IFERROR(--ISNUMBER(SEARCH("R109",G79))*109,0)+IFERROR(--ISNUMBER(SEARCH("R110",G79))*110,0)+IFERROR(--ISNUMBER(SEARCH("R111",G79))*111,0)+IFERROR(--ISNUMBER(SEARCH("R112",G79))*112,0)+IFERROR(--ISNUMBER(SEARCH("R113",G79))*113,0)+IFERROR(--ISNUMBER(SEARCH("R114",G79))*114,0)+IFERROR(--ISNUMBER(SEARCH("R115",G79))*115,0)+IFERROR(--ISNUMBER(SEARCH("R116",G79))*116,0)+IFERROR(--ISNUMBER(SEARCH("R117",G79))*117,0)+IFERROR(--ISNUMBER(SEARCH("R118",G79))*118,0)+IFERROR(--ISNUMBER(SEARCH("R119",G79))*119,0)+IFERROR(--ISNUMBER(SEARCH("R120",G79))*120,0)+IFERROR(--ISNUMBER(SEARCH("R121",G79))*121,0)+IFERROR(--ISNUMBER(SEARCH("R122",G79))*122,0)+IFERROR(--ISNUMBER(SEARCH("R123",G79))*123,0)+IFERROR(--ISNUMBER(SEARCH("R124",G79))*124,0)+IFERROR(--ISNUMBER(SEARCH("R125",G79))*125,0)+IFERROR(--ISNUMBER(SEARCH("R126",G79))*126,0)+IFERROR(--ISNUMBER(SEARCH("R127",G79))*127,0)+IFERROR(--ISNUMBER(SEARCH("R128",G79))*128,0)+IFERROR(--ISNUMBER(SEARCH("R129",G79))*129,0)+IFERROR(--ISNUMBER(SEARCH("R130",G79))*130,0)+IFERROR(--ISNUMBER(SEARCH("R131",G79))*131,0)+IFERROR(--ISNUMBER(SEARCH("R132",G79))*132,0)+IFERROR(--ISNUMBER(SEARCH("R133",G79))*133,0)+IFERROR(--ISNUMBER(SEARCH("R134",G79))*134,0)+IFERROR(--ISNUMBER(SEARCH("R135",G79))*135,0)+IFERROR(--ISNUMBER(SEARCH("R136",G79))*136,0)+IFERROR(--ISNUMBER(SEARCH("R137",G79))*137,0)+IFERROR(--ISNUMBER(SEARCH("R138",G79))*138,0)+IFERROR(--ISNUMBER(SEARCH("R139",G79))*139,0)+IFERROR(--ISNUMBER(SEARCH("R140",G79))*140,0)+IFERROR(--ISNUMBER(SEARCH("R141",G79))*141,0))</f>
        <v/>
      </c>
      <c r="V79" s="59">
        <f>IF(A79="","",IF(K79&lt;&gt;"",K79,J79))</f>
        <v/>
      </c>
      <c r="W79" s="59">
        <f>IF(A79="","",IF(AND(V79=29,O79&lt;&gt;"",COUNTIFS($V$6:$V$505,29,$F$6:$F$505,F79,$C$6:$C$505,C79,$O$6:$O$505,"&lt;&gt;")&gt;1),IF(COUNTIFS($V$6:V79,29,$F$6:F79,F79,$C$6:C79,C79,$O$6:O79,"&lt;&gt;")=1,"Esta es la fila que se debe CONSERVAR (aparición 1 de "&amp;COUNTIFS($V$6:$V$505,29,$F$6:$F$505,F79,$C$6:$C$505,C79,$O$6:$O$505,"&lt;&gt;")&amp;" con el mismo tercero y valor, casilla 29). Si hay más filas iguales, bórreles el valor a ELLAS, no a esta.","DUPLICADO — ya existe otra fila con el mismo tercero y valor para casilla 29 (aparición "&amp;COUNTIFS($V$6:V79,29,$F$6:F79,F79,$C$6:C79,C79,$O$6:O79,"&lt;&gt;")&amp;" de "&amp;COUNTIFS($V$6:$V$505,29,$F$6:$F$505,F79,$C$6:$C$505,C79,$O$6:$O$505,"&lt;&gt;")&amp;"). Para resolverlo: seleccione la celda O"&amp;ROW()&amp;" (columna Valor a declarar de ESTA fila) y presione Supr."),""))</f>
        <v/>
      </c>
      <c r="X79" s="463">
        <f>IF(A79="","",F79)</f>
        <v/>
      </c>
      <c r="Y79" s="463">
        <f>IF(A79="","",SUMIF(Entrada_Manual!$I$88:$I$187,A79,Entrada_Manual!$F$88:$F$187))</f>
        <v/>
      </c>
      <c r="Z79" s="463">
        <f>IF(A79="","",X79-Y79)</f>
        <v/>
      </c>
      <c r="AA79">
        <f>IF(A79="","",SUMPRODUCT((Entrada_Manual!$I$88:$I$187=A79)*1))</f>
        <v/>
      </c>
      <c r="AB79">
        <f>IF(A79="","",IF(S79&lt;=1,"",IF(AA79=0,"PENDIENTE — SIN ASIGNAR",IF(Z79=0,"RESUELTO","PARCIAL — DIFERENCIA "&amp;TEXT(Z79,"#,##0")))))</f>
        <v/>
      </c>
    </row>
    <row r="80" ht="14.25" customHeight="1" s="235">
      <c r="A80" s="47">
        <f>IF(Exogena_RAW!E89&lt;&gt;"",ROW()-5,"")</f>
        <v/>
      </c>
      <c r="B80" s="48">
        <f>IF(A80="","",89)</f>
        <v/>
      </c>
      <c r="C80" s="48">
        <f>IF(A80="","",IFERROR(Exogena_RAW!A89,""))</f>
        <v/>
      </c>
      <c r="D80" s="48">
        <f>IF(A80="","",IFERROR(Exogena_RAW!B89,""))</f>
        <v/>
      </c>
      <c r="E80" s="48">
        <f>IF(A80="","",Exogena_RAW!E89)</f>
        <v/>
      </c>
      <c r="F80" s="461">
        <f>IF(A80="","",Exogena_RAW!F89)</f>
        <v/>
      </c>
      <c r="G80" s="48">
        <f>IF(A80="","",IFERROR(Exogena_RAW!G89,""))</f>
        <v/>
      </c>
      <c r="H80" s="48">
        <f>IF(A80="","",IFERROR(Exogena_RAW!H89,""))</f>
        <v/>
      </c>
      <c r="I80" s="48">
        <f>IF(A80="","",IFERROR(IF(S80&gt;1,"VARIAS CASILLAS",IF(S80=1,IF(T80=1,"PROPUESTA DE CASILLA","REVISIÓN: CASILLA NO DIRECTA"),IF(OR(ISNUMBER(SEARCH("TOPE",UPPER(E80))),ISNUMBER(SEARCH("TOPE",UPPER(G80)))),"SOLO CONTROL",IF(ISNUMBER(SEARCH("RETEN",UPPER(E80))),"RETENCIÓN","REVISAR")))),"REVISAR"))</f>
        <v/>
      </c>
      <c r="J80" s="48">
        <f>IF(A80="","",IF(ISNUMBER(SEARCH("ingreso laboral promedio de los últimos seis meses",E80)),"",IFERROR(IF(AND(S80=1,T80=1),U80,""),"")))</f>
        <v/>
      </c>
      <c r="K80" s="216" t="n"/>
      <c r="L80" s="48">
        <f>IF(A80="","",IFERROR(IF(K80&lt;&gt;"","Casilla elegida por usuario",IF(S80&gt;1,"Varias casillas — elegir en K",IF(J80&lt;&gt;"","Sugerencia directa",IF(S80=1,"No trasladar directo — revisar",IF(OR(ISNUMBER(SEARCH("TOPE",UPPER(E80))),ISNUMBER(SEARCH("TOPE",UPPER(G80)))),"Solo control","Revisar manualmente"))))),"Revisar manualmente"))</f>
        <v/>
      </c>
      <c r="M80" s="461">
        <f>IF(A80="","",IF(IF(K80&lt;&gt;"",K80,J80)="",0,IF(COUNTIFS(Reglas!$I$5:$I$118,IF(K80&lt;&gt;"",K80,J80),Reglas!$J$5:$J$118,"Sí")=1,F80,0)))</f>
        <v/>
      </c>
      <c r="N80" s="56" t="n"/>
      <c r="O80" s="462">
        <f>IF(A80="","",IF(M80=0,"",M80))</f>
        <v/>
      </c>
      <c r="P80" s="461">
        <f>IF(A80="","",IF(O80="",0,IF(ISNUMBER(O80),O80,0)))</f>
        <v/>
      </c>
      <c r="Q80" s="48">
        <f>IF(A80="","",IF(Exogena_RAW!$C$4="","BLOQUEADO: FALTA AÑO",IF(Exogena_RAW!$K$10&lt;&gt;Reglas!$B$5,"BLOQUEADO: AÑO",IF(IF(K80&lt;&gt;"",K80,J80)="",IF(S80&gt;1,"REQUIERE ASIGNACIÓN MANUAL (VARIAS CASILLAS)","INFORMATIVO (sin casilla — no se declara)"),IF(COUNTIFS(Reglas!$I$5:$I$118,IF(K80&lt;&gt;"",K80,J80),Reglas!$J$5:$J$118,"Sí")=0,"BLOQUEADO: CASILLA NO DIRECTA",IF(O80="","EXCLUIDO (valor borrado por el usuario)",IF(_xlfn.ISFORMULA(O80),IF(W80&lt;&gt;"","BORRADOR — VALOR SUGERIDO DIAN ⚠ VER ALERTA","BORRADOR — VALOR SUGERIDO DIAN"),IF(W80&lt;&gt;"","ACEPTADO ⚠ VER ALERTA","ACEPTADO"))))))))</f>
        <v/>
      </c>
      <c r="R80" s="218" t="n"/>
      <c r="S80" s="58">
        <f>IF(A80="","",IFERROR(--ISNUMBER(SEARCH("R28",G80)),0)+IFERROR(--ISNUMBER(SEARCH("R29",G80)),0)+IFERROR(--ISNUMBER(SEARCH("R30",G80)),0)+IFERROR(--ISNUMBER(SEARCH("R31",G80)),0)+IFERROR(--ISNUMBER(SEARCH("R32",G80)),0)+IFERROR(--ISNUMBER(SEARCH("R33",G80)),0)+IFERROR(--ISNUMBER(SEARCH("R34",G80)),0)+IFERROR(--ISNUMBER(SEARCH("R35",G80)),0)+IFERROR(--ISNUMBER(SEARCH("R36",G80)),0)+IFERROR(--ISNUMBER(SEARCH("R37",G80)),0)+IFERROR(--ISNUMBER(SEARCH("R38",G80)),0)+IFERROR(--ISNUMBER(SEARCH("R39",G80)),0)+IFERROR(--ISNUMBER(SEARCH("R40",G80)),0)+IFERROR(--ISNUMBER(SEARCH("R41",G80)),0)+IFERROR(--ISNUMBER(SEARCH("R42",G80)),0)+IFERROR(--ISNUMBER(SEARCH("R43",G80)),0)+IFERROR(--ISNUMBER(SEARCH("R44",G80)),0)+IFERROR(--ISNUMBER(SEARCH("R45",G80)),0)+IFERROR(--ISNUMBER(SEARCH("R46",G80)),0)+IFERROR(--ISNUMBER(SEARCH("R47",G80)),0)+IFERROR(--ISNUMBER(SEARCH("R48",G80)),0)+IFERROR(--ISNUMBER(SEARCH("R49",G80)),0)+IFERROR(--ISNUMBER(SEARCH("R50",G80)),0)+IFERROR(--ISNUMBER(SEARCH("R51",G80)),0)+IFERROR(--ISNUMBER(SEARCH("R52",G80)),0)+IFERROR(--ISNUMBER(SEARCH("R53",G80)),0)+IFERROR(--ISNUMBER(SEARCH("R54",G80)),0)+IFERROR(--ISNUMBER(SEARCH("R55",G80)),0)+IFERROR(--ISNUMBER(SEARCH("R56",G80)),0)+IFERROR(--ISNUMBER(SEARCH("R57",G80)),0)+IFERROR(--ISNUMBER(SEARCH("R58",G80)),0)+IFERROR(--ISNUMBER(SEARCH("R59",G80)),0)+IFERROR(--ISNUMBER(SEARCH("R60",G80)),0)+IFERROR(--ISNUMBER(SEARCH("R61",G80)),0)+IFERROR(--ISNUMBER(SEARCH("R62",G80)),0)+IFERROR(--ISNUMBER(SEARCH("R63",G80)),0)+IFERROR(--ISNUMBER(SEARCH("R64",G80)),0)+IFERROR(--ISNUMBER(SEARCH("R65",G80)),0)+IFERROR(--ISNUMBER(SEARCH("R66",G80)),0)+IFERROR(--ISNUMBER(SEARCH("R67",G80)),0)+IFERROR(--ISNUMBER(SEARCH("R68",G80)),0)+IFERROR(--ISNUMBER(SEARCH("R69",G80)),0)+IFERROR(--ISNUMBER(SEARCH("R70",G80)),0)+IFERROR(--ISNUMBER(SEARCH("R71",G80)),0)+IFERROR(--ISNUMBER(SEARCH("R72",G80)),0)+IFERROR(--ISNUMBER(SEARCH("R73",G80)),0)+IFERROR(--ISNUMBER(SEARCH("R74",G80)),0)+IFERROR(--ISNUMBER(SEARCH("R75",G80)),0)+IFERROR(--ISNUMBER(SEARCH("R76",G80)),0)+IFERROR(--ISNUMBER(SEARCH("R77",G80)),0)+IFERROR(--ISNUMBER(SEARCH("R78",G80)),0)+IFERROR(--ISNUMBER(SEARCH("R79",G80)),0)+IFERROR(--ISNUMBER(SEARCH("R80",G80)),0)+IFERROR(--ISNUMBER(SEARCH("R81",G80)),0)+IFERROR(--ISNUMBER(SEARCH("R82",G80)),0)+IFERROR(--ISNUMBER(SEARCH("R83",G80)),0)+IFERROR(--ISNUMBER(SEARCH("R84",G80)),0)+IFERROR(--ISNUMBER(SEARCH("R85",G80)),0)+IFERROR(--ISNUMBER(SEARCH("R86",G80)),0)+IFERROR(--ISNUMBER(SEARCH("R87",G80)),0)+IFERROR(--ISNUMBER(SEARCH("R88",G80)),0)+IFERROR(--ISNUMBER(SEARCH("R89",G80)),0)+IFERROR(--ISNUMBER(SEARCH("R90",G80)),0)+IFERROR(--ISNUMBER(SEARCH("R91",G80)),0)+IFERROR(--ISNUMBER(SEARCH("R92",G80)),0)+IFERROR(--ISNUMBER(SEARCH("R93",G80)),0)+IFERROR(--ISNUMBER(SEARCH("R94",G80)),0)+IFERROR(--ISNUMBER(SEARCH("R95",G80)),0)+IFERROR(--ISNUMBER(SEARCH("R96",G80)),0)+IFERROR(--ISNUMBER(SEARCH("R97",G80)),0)+IFERROR(--ISNUMBER(SEARCH("R98",G80)),0)+IFERROR(--ISNUMBER(SEARCH("R99",G80)),0)+IFERROR(--ISNUMBER(SEARCH("R100",G80)),0)+IFERROR(--ISNUMBER(SEARCH("R101",G80)),0)+IFERROR(--ISNUMBER(SEARCH("R102",G80)),0)+IFERROR(--ISNUMBER(SEARCH("R103",G80)),0)+IFERROR(--ISNUMBER(SEARCH("R104",G80)),0)+IFERROR(--ISNUMBER(SEARCH("R105",G80)),0)+IFERROR(--ISNUMBER(SEARCH("R106",G80)),0)+IFERROR(--ISNUMBER(SEARCH("R107",G80)),0)+IFERROR(--ISNUMBER(SEARCH("R108",G80)),0)+IFERROR(--ISNUMBER(SEARCH("R109",G80)),0)+IFERROR(--ISNUMBER(SEARCH("R110",G80)),0)+IFERROR(--ISNUMBER(SEARCH("R111",G80)),0)+IFERROR(--ISNUMBER(SEARCH("R112",G80)),0)+IFERROR(--ISNUMBER(SEARCH("R113",G80)),0)+IFERROR(--ISNUMBER(SEARCH("R114",G80)),0)+IFERROR(--ISNUMBER(SEARCH("R115",G80)),0)+IFERROR(--ISNUMBER(SEARCH("R116",G80)),0)+IFERROR(--ISNUMBER(SEARCH("R117",G80)),0)+IFERROR(--ISNUMBER(SEARCH("R118",G80)),0)+IFERROR(--ISNUMBER(SEARCH("R119",G80)),0)+IFERROR(--ISNUMBER(SEARCH("R120",G80)),0)+IFERROR(--ISNUMBER(SEARCH("R121",G80)),0)+IFERROR(--ISNUMBER(SEARCH("R122",G80)),0)+IFERROR(--ISNUMBER(SEARCH("R123",G80)),0)+IFERROR(--ISNUMBER(SEARCH("R124",G80)),0)+IFERROR(--ISNUMBER(SEARCH("R125",G80)),0)+IFERROR(--ISNUMBER(SEARCH("R126",G80)),0)+IFERROR(--ISNUMBER(SEARCH("R127",G80)),0)+IFERROR(--ISNUMBER(SEARCH("R128",G80)),0)+IFERROR(--ISNUMBER(SEARCH("R129",G80)),0)+IFERROR(--ISNUMBER(SEARCH("R130",G80)),0)+IFERROR(--ISNUMBER(SEARCH("R131",G80)),0)+IFERROR(--ISNUMBER(SEARCH("R132",G80)),0)+IFERROR(--ISNUMBER(SEARCH("R133",G80)),0)+IFERROR(--ISNUMBER(SEARCH("R134",G80)),0)+IFERROR(--ISNUMBER(SEARCH("R135",G80)),0)+IFERROR(--ISNUMBER(SEARCH("R136",G80)),0)+IFERROR(--ISNUMBER(SEARCH("R137",G80)),0)+IFERROR(--ISNUMBER(SEARCH("R138",G80)),0)+IFERROR(--ISNUMBER(SEARCH("R139",G80)),0)+IFERROR(--ISNUMBER(SEARCH("R140",G80)),0)+IFERROR(--ISNUMBER(SEARCH("R141",G80)),0))</f>
        <v/>
      </c>
      <c r="T80" s="58">
        <f>IF(A80="","",IFERROR(--ISNUMBER(SEARCH("R28",G80)),0)+IFERROR(--ISNUMBER(SEARCH("R29",G80)),0)+IFERROR(--ISNUMBER(SEARCH("R30",G80)),0)+IFERROR(--ISNUMBER(SEARCH("R32",G80)),0)+IFERROR(--ISNUMBER(SEARCH("R33",G80)),0)+IFERROR(--ISNUMBER(SEARCH("R35",G80)),0)+IFERROR(--ISNUMBER(SEARCH("R36",G80)),0)+IFERROR(--ISNUMBER(SEARCH("R38",G80)),0)+IFERROR(--ISNUMBER(SEARCH("R39",G80)),0)+IFERROR(--ISNUMBER(SEARCH("R43",G80)),0)+IFERROR(--ISNUMBER(SEARCH("R44",G80)),0)+IFERROR(--ISNUMBER(SEARCH("R45",G80)),0)+IFERROR(--ISNUMBER(SEARCH("R47",G80)),0)+IFERROR(--ISNUMBER(SEARCH("R48",G80)),0)+IFERROR(--ISNUMBER(SEARCH("R50",G80)),0)+IFERROR(--ISNUMBER(SEARCH("R51",G80)),0)+IFERROR(--ISNUMBER(SEARCH("R56",G80)),0)+IFERROR(--ISNUMBER(SEARCH("R58",G80)),0)+IFERROR(--ISNUMBER(SEARCH("R59",G80)),0)+IFERROR(--ISNUMBER(SEARCH("R60",G80)),0)+IFERROR(--ISNUMBER(SEARCH("R62",G80)),0)+IFERROR(--ISNUMBER(SEARCH("R63",G80)),0)+IFERROR(--ISNUMBER(SEARCH("R64",G80)),0)+IFERROR(--ISNUMBER(SEARCH("R66",G80)),0)+IFERROR(--ISNUMBER(SEARCH("R67",G80)),0)+IFERROR(--ISNUMBER(SEARCH("R72",G80)),0)+IFERROR(--ISNUMBER(SEARCH("R74",G80)),0)+IFERROR(--ISNUMBER(SEARCH("R75",G80)),0)+IFERROR(--ISNUMBER(SEARCH("R76",G80)),0)+IFERROR(--ISNUMBER(SEARCH("R77",G80)),0)+IFERROR(--ISNUMBER(SEARCH("R79",G80)),0)+IFERROR(--ISNUMBER(SEARCH("R80",G80)),0)+IFERROR(--ISNUMBER(SEARCH("R81",G80)),0)+IFERROR(--ISNUMBER(SEARCH("R83",G80)),0)+IFERROR(--ISNUMBER(SEARCH("R84",G80)),0)+IFERROR(--ISNUMBER(SEARCH("R89",G80)),0)+IFERROR(--ISNUMBER(SEARCH("R94",G80)),0)+IFERROR(--ISNUMBER(SEARCH("R95",G80)),0)+IFERROR(--ISNUMBER(SEARCH("R96",G80)),0)+IFERROR(--ISNUMBER(SEARCH("R98",G80)),0)+IFERROR(--ISNUMBER(SEARCH("R99",G80)),0)+IFERROR(--ISNUMBER(SEARCH("R100",G80)),0)+IFERROR(--ISNUMBER(SEARCH("R104",G80)),0)+IFERROR(--ISNUMBER(SEARCH("R105",G80)),0)+IFERROR(--ISNUMBER(SEARCH("R107",G80)),0)+IFERROR(--ISNUMBER(SEARCH("R108",G80)),0)+IFERROR(--ISNUMBER(SEARCH("R109",G80)),0)+IFERROR(--ISNUMBER(SEARCH("R110",G80)),0)+IFERROR(--ISNUMBER(SEARCH("R112",G80)),0)+IFERROR(--ISNUMBER(SEARCH("R113",G80)),0)+IFERROR(--ISNUMBER(SEARCH("R114",G80)),0)+IFERROR(--ISNUMBER(SEARCH("R118",G80)),0)+IFERROR(--ISNUMBER(SEARCH("R119",G80)),0)+IFERROR(--ISNUMBER(SEARCH("R120",G80)),0)+IFERROR(--ISNUMBER(SEARCH("R122",G80)),0)+IFERROR(--ISNUMBER(SEARCH("R123",G80)),0)+IFERROR(--ISNUMBER(SEARCH("R124",G80)),0)+IFERROR(--ISNUMBER(SEARCH("R128",G80)),0)+IFERROR(--ISNUMBER(SEARCH("R130",G80)),0)+IFERROR(--ISNUMBER(SEARCH("R131",G80)),0)+IFERROR(--ISNUMBER(SEARCH("R132",G80)),0)+IFERROR(--ISNUMBER(SEARCH("R135",G80)),0)+IFERROR(--ISNUMBER(SEARCH("R138",G80)),0)+IFERROR(--ISNUMBER(SEARCH("R141",G80)),0))</f>
        <v/>
      </c>
      <c r="U80" s="58">
        <f>IF(A80="","",IFERROR(--ISNUMBER(SEARCH("R28",G80))*28,0)+IFERROR(--ISNUMBER(SEARCH("R29",G80))*29,0)+IFERROR(--ISNUMBER(SEARCH("R30",G80))*30,0)+IFERROR(--ISNUMBER(SEARCH("R31",G80))*31,0)+IFERROR(--ISNUMBER(SEARCH("R32",G80))*32,0)+IFERROR(--ISNUMBER(SEARCH("R33",G80))*33,0)+IFERROR(--ISNUMBER(SEARCH("R34",G80))*34,0)+IFERROR(--ISNUMBER(SEARCH("R35",G80))*35,0)+IFERROR(--ISNUMBER(SEARCH("R36",G80))*36,0)+IFERROR(--ISNUMBER(SEARCH("R37",G80))*37,0)+IFERROR(--ISNUMBER(SEARCH("R38",G80))*38,0)+IFERROR(--ISNUMBER(SEARCH("R39",G80))*39,0)+IFERROR(--ISNUMBER(SEARCH("R40",G80))*40,0)+IFERROR(--ISNUMBER(SEARCH("R41",G80))*41,0)+IFERROR(--ISNUMBER(SEARCH("R42",G80))*42,0)+IFERROR(--ISNUMBER(SEARCH("R43",G80))*43,0)+IFERROR(--ISNUMBER(SEARCH("R44",G80))*44,0)+IFERROR(--ISNUMBER(SEARCH("R45",G80))*45,0)+IFERROR(--ISNUMBER(SEARCH("R46",G80))*46,0)+IFERROR(--ISNUMBER(SEARCH("R47",G80))*47,0)+IFERROR(--ISNUMBER(SEARCH("R48",G80))*48,0)+IFERROR(--ISNUMBER(SEARCH("R49",G80))*49,0)+IFERROR(--ISNUMBER(SEARCH("R50",G80))*50,0)+IFERROR(--ISNUMBER(SEARCH("R51",G80))*51,0)+IFERROR(--ISNUMBER(SEARCH("R52",G80))*52,0)+IFERROR(--ISNUMBER(SEARCH("R53",G80))*53,0)+IFERROR(--ISNUMBER(SEARCH("R54",G80))*54,0)+IFERROR(--ISNUMBER(SEARCH("R55",G80))*55,0)+IFERROR(--ISNUMBER(SEARCH("R56",G80))*56,0)+IFERROR(--ISNUMBER(SEARCH("R57",G80))*57,0)+IFERROR(--ISNUMBER(SEARCH("R58",G80))*58,0)+IFERROR(--ISNUMBER(SEARCH("R59",G80))*59,0)+IFERROR(--ISNUMBER(SEARCH("R60",G80))*60,0)+IFERROR(--ISNUMBER(SEARCH("R61",G80))*61,0)+IFERROR(--ISNUMBER(SEARCH("R62",G80))*62,0)+IFERROR(--ISNUMBER(SEARCH("R63",G80))*63,0)+IFERROR(--ISNUMBER(SEARCH("R64",G80))*64,0)+IFERROR(--ISNUMBER(SEARCH("R65",G80))*65,0)+IFERROR(--ISNUMBER(SEARCH("R66",G80))*66,0)+IFERROR(--ISNUMBER(SEARCH("R67",G80))*67,0)+IFERROR(--ISNUMBER(SEARCH("R68",G80))*68,0)+IFERROR(--ISNUMBER(SEARCH("R69",G80))*69,0)+IFERROR(--ISNUMBER(SEARCH("R70",G80))*70,0)+IFERROR(--ISNUMBER(SEARCH("R71",G80))*71,0)+IFERROR(--ISNUMBER(SEARCH("R72",G80))*72,0)+IFERROR(--ISNUMBER(SEARCH("R73",G80))*73,0)+IFERROR(--ISNUMBER(SEARCH("R74",G80))*74,0)+IFERROR(--ISNUMBER(SEARCH("R75",G80))*75,0)+IFERROR(--ISNUMBER(SEARCH("R76",G80))*76,0)+IFERROR(--ISNUMBER(SEARCH("R77",G80))*77,0)+IFERROR(--ISNUMBER(SEARCH("R78",G80))*78,0)+IFERROR(--ISNUMBER(SEARCH("R79",G80))*79,0)+IFERROR(--ISNUMBER(SEARCH("R80",G80))*80,0)+IFERROR(--ISNUMBER(SEARCH("R81",G80))*81,0)+IFERROR(--ISNUMBER(SEARCH("R82",G80))*82,0)+IFERROR(--ISNUMBER(SEARCH("R83",G80))*83,0)+IFERROR(--ISNUMBER(SEARCH("R84",G80))*84,0)+IFERROR(--ISNUMBER(SEARCH("R85",G80))*85,0)+IFERROR(--ISNUMBER(SEARCH("R86",G80))*86,0)+IFERROR(--ISNUMBER(SEARCH("R87",G80))*87,0)+IFERROR(--ISNUMBER(SEARCH("R88",G80))*88,0)+IFERROR(--ISNUMBER(SEARCH("R89",G80))*89,0)+IFERROR(--ISNUMBER(SEARCH("R90",G80))*90,0)+IFERROR(--ISNUMBER(SEARCH("R91",G80))*91,0)+IFERROR(--ISNUMBER(SEARCH("R92",G80))*92,0)+IFERROR(--ISNUMBER(SEARCH("R93",G80))*93,0)+IFERROR(--ISNUMBER(SEARCH("R94",G80))*94,0)+IFERROR(--ISNUMBER(SEARCH("R95",G80))*95,0)+IFERROR(--ISNUMBER(SEARCH("R96",G80))*96,0)+IFERROR(--ISNUMBER(SEARCH("R97",G80))*97,0)+IFERROR(--ISNUMBER(SEARCH("R98",G80))*98,0)+IFERROR(--ISNUMBER(SEARCH("R99",G80))*99,0)+IFERROR(--ISNUMBER(SEARCH("R100",G80))*100,0)+IFERROR(--ISNUMBER(SEARCH("R101",G80))*101,0)+IFERROR(--ISNUMBER(SEARCH("R102",G80))*102,0)+IFERROR(--ISNUMBER(SEARCH("R103",G80))*103,0)+IFERROR(--ISNUMBER(SEARCH("R104",G80))*104,0)+IFERROR(--ISNUMBER(SEARCH("R105",G80))*105,0)+IFERROR(--ISNUMBER(SEARCH("R106",G80))*106,0)+IFERROR(--ISNUMBER(SEARCH("R107",G80))*107,0)+IFERROR(--ISNUMBER(SEARCH("R108",G80))*108,0)+IFERROR(--ISNUMBER(SEARCH("R109",G80))*109,0)+IFERROR(--ISNUMBER(SEARCH("R110",G80))*110,0)+IFERROR(--ISNUMBER(SEARCH("R111",G80))*111,0)+IFERROR(--ISNUMBER(SEARCH("R112",G80))*112,0)+IFERROR(--ISNUMBER(SEARCH("R113",G80))*113,0)+IFERROR(--ISNUMBER(SEARCH("R114",G80))*114,0)+IFERROR(--ISNUMBER(SEARCH("R115",G80))*115,0)+IFERROR(--ISNUMBER(SEARCH("R116",G80))*116,0)+IFERROR(--ISNUMBER(SEARCH("R117",G80))*117,0)+IFERROR(--ISNUMBER(SEARCH("R118",G80))*118,0)+IFERROR(--ISNUMBER(SEARCH("R119",G80))*119,0)+IFERROR(--ISNUMBER(SEARCH("R120",G80))*120,0)+IFERROR(--ISNUMBER(SEARCH("R121",G80))*121,0)+IFERROR(--ISNUMBER(SEARCH("R122",G80))*122,0)+IFERROR(--ISNUMBER(SEARCH("R123",G80))*123,0)+IFERROR(--ISNUMBER(SEARCH("R124",G80))*124,0)+IFERROR(--ISNUMBER(SEARCH("R125",G80))*125,0)+IFERROR(--ISNUMBER(SEARCH("R126",G80))*126,0)+IFERROR(--ISNUMBER(SEARCH("R127",G80))*127,0)+IFERROR(--ISNUMBER(SEARCH("R128",G80))*128,0)+IFERROR(--ISNUMBER(SEARCH("R129",G80))*129,0)+IFERROR(--ISNUMBER(SEARCH("R130",G80))*130,0)+IFERROR(--ISNUMBER(SEARCH("R131",G80))*131,0)+IFERROR(--ISNUMBER(SEARCH("R132",G80))*132,0)+IFERROR(--ISNUMBER(SEARCH("R133",G80))*133,0)+IFERROR(--ISNUMBER(SEARCH("R134",G80))*134,0)+IFERROR(--ISNUMBER(SEARCH("R135",G80))*135,0)+IFERROR(--ISNUMBER(SEARCH("R136",G80))*136,0)+IFERROR(--ISNUMBER(SEARCH("R137",G80))*137,0)+IFERROR(--ISNUMBER(SEARCH("R138",G80))*138,0)+IFERROR(--ISNUMBER(SEARCH("R139",G80))*139,0)+IFERROR(--ISNUMBER(SEARCH("R140",G80))*140,0)+IFERROR(--ISNUMBER(SEARCH("R141",G80))*141,0))</f>
        <v/>
      </c>
      <c r="V80" s="59">
        <f>IF(A80="","",IF(K80&lt;&gt;"",K80,J80))</f>
        <v/>
      </c>
      <c r="W80" s="59">
        <f>IF(A80="","",IF(AND(V80=29,O80&lt;&gt;"",COUNTIFS($V$6:$V$505,29,$F$6:$F$505,F80,$C$6:$C$505,C80,$O$6:$O$505,"&lt;&gt;")&gt;1),IF(COUNTIFS($V$6:V80,29,$F$6:F80,F80,$C$6:C80,C80,$O$6:O80,"&lt;&gt;")=1,"Esta es la fila que se debe CONSERVAR (aparición 1 de "&amp;COUNTIFS($V$6:$V$505,29,$F$6:$F$505,F80,$C$6:$C$505,C80,$O$6:$O$505,"&lt;&gt;")&amp;" con el mismo tercero y valor, casilla 29). Si hay más filas iguales, bórreles el valor a ELLAS, no a esta.","DUPLICADO — ya existe otra fila con el mismo tercero y valor para casilla 29 (aparición "&amp;COUNTIFS($V$6:V80,29,$F$6:F80,F80,$C$6:C80,C80,$O$6:O80,"&lt;&gt;")&amp;" de "&amp;COUNTIFS($V$6:$V$505,29,$F$6:$F$505,F80,$C$6:$C$505,C80,$O$6:$O$505,"&lt;&gt;")&amp;"). Para resolverlo: seleccione la celda O"&amp;ROW()&amp;" (columna Valor a declarar de ESTA fila) y presione Supr."),""))</f>
        <v/>
      </c>
      <c r="X80" s="463">
        <f>IF(A80="","",F80)</f>
        <v/>
      </c>
      <c r="Y80" s="463">
        <f>IF(A80="","",SUMIF(Entrada_Manual!$I$88:$I$187,A80,Entrada_Manual!$F$88:$F$187))</f>
        <v/>
      </c>
      <c r="Z80" s="463">
        <f>IF(A80="","",X80-Y80)</f>
        <v/>
      </c>
      <c r="AA80">
        <f>IF(A80="","",SUMPRODUCT((Entrada_Manual!$I$88:$I$187=A80)*1))</f>
        <v/>
      </c>
      <c r="AB80">
        <f>IF(A80="","",IF(S80&lt;=1,"",IF(AA80=0,"PENDIENTE — SIN ASIGNAR",IF(Z80=0,"RESUELTO","PARCIAL — DIFERENCIA "&amp;TEXT(Z80,"#,##0")))))</f>
        <v/>
      </c>
    </row>
    <row r="81" ht="14.25" customHeight="1" s="235">
      <c r="A81" s="47">
        <f>IF(Exogena_RAW!E90&lt;&gt;"",ROW()-5,"")</f>
        <v/>
      </c>
      <c r="B81" s="48">
        <f>IF(A81="","",90)</f>
        <v/>
      </c>
      <c r="C81" s="48">
        <f>IF(A81="","",IFERROR(Exogena_RAW!A90,""))</f>
        <v/>
      </c>
      <c r="D81" s="48">
        <f>IF(A81="","",IFERROR(Exogena_RAW!B90,""))</f>
        <v/>
      </c>
      <c r="E81" s="48">
        <f>IF(A81="","",Exogena_RAW!E90)</f>
        <v/>
      </c>
      <c r="F81" s="461">
        <f>IF(A81="","",Exogena_RAW!F90)</f>
        <v/>
      </c>
      <c r="G81" s="48">
        <f>IF(A81="","",IFERROR(Exogena_RAW!G90,""))</f>
        <v/>
      </c>
      <c r="H81" s="48">
        <f>IF(A81="","",IFERROR(Exogena_RAW!H90,""))</f>
        <v/>
      </c>
      <c r="I81" s="48">
        <f>IF(A81="","",IFERROR(IF(S81&gt;1,"VARIAS CASILLAS",IF(S81=1,IF(T81=1,"PROPUESTA DE CASILLA","REVISIÓN: CASILLA NO DIRECTA"),IF(OR(ISNUMBER(SEARCH("TOPE",UPPER(E81))),ISNUMBER(SEARCH("TOPE",UPPER(G81)))),"SOLO CONTROL",IF(ISNUMBER(SEARCH("RETEN",UPPER(E81))),"RETENCIÓN","REVISAR")))),"REVISAR"))</f>
        <v/>
      </c>
      <c r="J81" s="48">
        <f>IF(A81="","",IF(ISNUMBER(SEARCH("ingreso laboral promedio de los últimos seis meses",E81)),"",IFERROR(IF(AND(S81=1,T81=1),U81,""),"")))</f>
        <v/>
      </c>
      <c r="K81" s="216" t="n"/>
      <c r="L81" s="48">
        <f>IF(A81="","",IFERROR(IF(K81&lt;&gt;"","Casilla elegida por usuario",IF(S81&gt;1,"Varias casillas — elegir en K",IF(J81&lt;&gt;"","Sugerencia directa",IF(S81=1,"No trasladar directo — revisar",IF(OR(ISNUMBER(SEARCH("TOPE",UPPER(E81))),ISNUMBER(SEARCH("TOPE",UPPER(G81)))),"Solo control","Revisar manualmente"))))),"Revisar manualmente"))</f>
        <v/>
      </c>
      <c r="M81" s="461">
        <f>IF(A81="","",IF(IF(K81&lt;&gt;"",K81,J81)="",0,IF(COUNTIFS(Reglas!$I$5:$I$118,IF(K81&lt;&gt;"",K81,J81),Reglas!$J$5:$J$118,"Sí")=1,F81,0)))</f>
        <v/>
      </c>
      <c r="N81" s="56" t="n"/>
      <c r="O81" s="462">
        <f>IF(A81="","",IF(M81=0,"",M81))</f>
        <v/>
      </c>
      <c r="P81" s="461">
        <f>IF(A81="","",IF(O81="",0,IF(ISNUMBER(O81),O81,0)))</f>
        <v/>
      </c>
      <c r="Q81" s="48">
        <f>IF(A81="","",IF(Exogena_RAW!$C$4="","BLOQUEADO: FALTA AÑO",IF(Exogena_RAW!$K$10&lt;&gt;Reglas!$B$5,"BLOQUEADO: AÑO",IF(IF(K81&lt;&gt;"",K81,J81)="",IF(S81&gt;1,"REQUIERE ASIGNACIÓN MANUAL (VARIAS CASILLAS)","INFORMATIVO (sin casilla — no se declara)"),IF(COUNTIFS(Reglas!$I$5:$I$118,IF(K81&lt;&gt;"",K81,J81),Reglas!$J$5:$J$118,"Sí")=0,"BLOQUEADO: CASILLA NO DIRECTA",IF(O81="","EXCLUIDO (valor borrado por el usuario)",IF(_xlfn.ISFORMULA(O81),IF(W81&lt;&gt;"","BORRADOR — VALOR SUGERIDO DIAN ⚠ VER ALERTA","BORRADOR — VALOR SUGERIDO DIAN"),IF(W81&lt;&gt;"","ACEPTADO ⚠ VER ALERTA","ACEPTADO"))))))))</f>
        <v/>
      </c>
      <c r="R81" s="218" t="n"/>
      <c r="S81" s="58">
        <f>IF(A81="","",IFERROR(--ISNUMBER(SEARCH("R28",G81)),0)+IFERROR(--ISNUMBER(SEARCH("R29",G81)),0)+IFERROR(--ISNUMBER(SEARCH("R30",G81)),0)+IFERROR(--ISNUMBER(SEARCH("R31",G81)),0)+IFERROR(--ISNUMBER(SEARCH("R32",G81)),0)+IFERROR(--ISNUMBER(SEARCH("R33",G81)),0)+IFERROR(--ISNUMBER(SEARCH("R34",G81)),0)+IFERROR(--ISNUMBER(SEARCH("R35",G81)),0)+IFERROR(--ISNUMBER(SEARCH("R36",G81)),0)+IFERROR(--ISNUMBER(SEARCH("R37",G81)),0)+IFERROR(--ISNUMBER(SEARCH("R38",G81)),0)+IFERROR(--ISNUMBER(SEARCH("R39",G81)),0)+IFERROR(--ISNUMBER(SEARCH("R40",G81)),0)+IFERROR(--ISNUMBER(SEARCH("R41",G81)),0)+IFERROR(--ISNUMBER(SEARCH("R42",G81)),0)+IFERROR(--ISNUMBER(SEARCH("R43",G81)),0)+IFERROR(--ISNUMBER(SEARCH("R44",G81)),0)+IFERROR(--ISNUMBER(SEARCH("R45",G81)),0)+IFERROR(--ISNUMBER(SEARCH("R46",G81)),0)+IFERROR(--ISNUMBER(SEARCH("R47",G81)),0)+IFERROR(--ISNUMBER(SEARCH("R48",G81)),0)+IFERROR(--ISNUMBER(SEARCH("R49",G81)),0)+IFERROR(--ISNUMBER(SEARCH("R50",G81)),0)+IFERROR(--ISNUMBER(SEARCH("R51",G81)),0)+IFERROR(--ISNUMBER(SEARCH("R52",G81)),0)+IFERROR(--ISNUMBER(SEARCH("R53",G81)),0)+IFERROR(--ISNUMBER(SEARCH("R54",G81)),0)+IFERROR(--ISNUMBER(SEARCH("R55",G81)),0)+IFERROR(--ISNUMBER(SEARCH("R56",G81)),0)+IFERROR(--ISNUMBER(SEARCH("R57",G81)),0)+IFERROR(--ISNUMBER(SEARCH("R58",G81)),0)+IFERROR(--ISNUMBER(SEARCH("R59",G81)),0)+IFERROR(--ISNUMBER(SEARCH("R60",G81)),0)+IFERROR(--ISNUMBER(SEARCH("R61",G81)),0)+IFERROR(--ISNUMBER(SEARCH("R62",G81)),0)+IFERROR(--ISNUMBER(SEARCH("R63",G81)),0)+IFERROR(--ISNUMBER(SEARCH("R64",G81)),0)+IFERROR(--ISNUMBER(SEARCH("R65",G81)),0)+IFERROR(--ISNUMBER(SEARCH("R66",G81)),0)+IFERROR(--ISNUMBER(SEARCH("R67",G81)),0)+IFERROR(--ISNUMBER(SEARCH("R68",G81)),0)+IFERROR(--ISNUMBER(SEARCH("R69",G81)),0)+IFERROR(--ISNUMBER(SEARCH("R70",G81)),0)+IFERROR(--ISNUMBER(SEARCH("R71",G81)),0)+IFERROR(--ISNUMBER(SEARCH("R72",G81)),0)+IFERROR(--ISNUMBER(SEARCH("R73",G81)),0)+IFERROR(--ISNUMBER(SEARCH("R74",G81)),0)+IFERROR(--ISNUMBER(SEARCH("R75",G81)),0)+IFERROR(--ISNUMBER(SEARCH("R76",G81)),0)+IFERROR(--ISNUMBER(SEARCH("R77",G81)),0)+IFERROR(--ISNUMBER(SEARCH("R78",G81)),0)+IFERROR(--ISNUMBER(SEARCH("R79",G81)),0)+IFERROR(--ISNUMBER(SEARCH("R80",G81)),0)+IFERROR(--ISNUMBER(SEARCH("R81",G81)),0)+IFERROR(--ISNUMBER(SEARCH("R82",G81)),0)+IFERROR(--ISNUMBER(SEARCH("R83",G81)),0)+IFERROR(--ISNUMBER(SEARCH("R84",G81)),0)+IFERROR(--ISNUMBER(SEARCH("R85",G81)),0)+IFERROR(--ISNUMBER(SEARCH("R86",G81)),0)+IFERROR(--ISNUMBER(SEARCH("R87",G81)),0)+IFERROR(--ISNUMBER(SEARCH("R88",G81)),0)+IFERROR(--ISNUMBER(SEARCH("R89",G81)),0)+IFERROR(--ISNUMBER(SEARCH("R90",G81)),0)+IFERROR(--ISNUMBER(SEARCH("R91",G81)),0)+IFERROR(--ISNUMBER(SEARCH("R92",G81)),0)+IFERROR(--ISNUMBER(SEARCH("R93",G81)),0)+IFERROR(--ISNUMBER(SEARCH("R94",G81)),0)+IFERROR(--ISNUMBER(SEARCH("R95",G81)),0)+IFERROR(--ISNUMBER(SEARCH("R96",G81)),0)+IFERROR(--ISNUMBER(SEARCH("R97",G81)),0)+IFERROR(--ISNUMBER(SEARCH("R98",G81)),0)+IFERROR(--ISNUMBER(SEARCH("R99",G81)),0)+IFERROR(--ISNUMBER(SEARCH("R100",G81)),0)+IFERROR(--ISNUMBER(SEARCH("R101",G81)),0)+IFERROR(--ISNUMBER(SEARCH("R102",G81)),0)+IFERROR(--ISNUMBER(SEARCH("R103",G81)),0)+IFERROR(--ISNUMBER(SEARCH("R104",G81)),0)+IFERROR(--ISNUMBER(SEARCH("R105",G81)),0)+IFERROR(--ISNUMBER(SEARCH("R106",G81)),0)+IFERROR(--ISNUMBER(SEARCH("R107",G81)),0)+IFERROR(--ISNUMBER(SEARCH("R108",G81)),0)+IFERROR(--ISNUMBER(SEARCH("R109",G81)),0)+IFERROR(--ISNUMBER(SEARCH("R110",G81)),0)+IFERROR(--ISNUMBER(SEARCH("R111",G81)),0)+IFERROR(--ISNUMBER(SEARCH("R112",G81)),0)+IFERROR(--ISNUMBER(SEARCH("R113",G81)),0)+IFERROR(--ISNUMBER(SEARCH("R114",G81)),0)+IFERROR(--ISNUMBER(SEARCH("R115",G81)),0)+IFERROR(--ISNUMBER(SEARCH("R116",G81)),0)+IFERROR(--ISNUMBER(SEARCH("R117",G81)),0)+IFERROR(--ISNUMBER(SEARCH("R118",G81)),0)+IFERROR(--ISNUMBER(SEARCH("R119",G81)),0)+IFERROR(--ISNUMBER(SEARCH("R120",G81)),0)+IFERROR(--ISNUMBER(SEARCH("R121",G81)),0)+IFERROR(--ISNUMBER(SEARCH("R122",G81)),0)+IFERROR(--ISNUMBER(SEARCH("R123",G81)),0)+IFERROR(--ISNUMBER(SEARCH("R124",G81)),0)+IFERROR(--ISNUMBER(SEARCH("R125",G81)),0)+IFERROR(--ISNUMBER(SEARCH("R126",G81)),0)+IFERROR(--ISNUMBER(SEARCH("R127",G81)),0)+IFERROR(--ISNUMBER(SEARCH("R128",G81)),0)+IFERROR(--ISNUMBER(SEARCH("R129",G81)),0)+IFERROR(--ISNUMBER(SEARCH("R130",G81)),0)+IFERROR(--ISNUMBER(SEARCH("R131",G81)),0)+IFERROR(--ISNUMBER(SEARCH("R132",G81)),0)+IFERROR(--ISNUMBER(SEARCH("R133",G81)),0)+IFERROR(--ISNUMBER(SEARCH("R134",G81)),0)+IFERROR(--ISNUMBER(SEARCH("R135",G81)),0)+IFERROR(--ISNUMBER(SEARCH("R136",G81)),0)+IFERROR(--ISNUMBER(SEARCH("R137",G81)),0)+IFERROR(--ISNUMBER(SEARCH("R138",G81)),0)+IFERROR(--ISNUMBER(SEARCH("R139",G81)),0)+IFERROR(--ISNUMBER(SEARCH("R140",G81)),0)+IFERROR(--ISNUMBER(SEARCH("R141",G81)),0))</f>
        <v/>
      </c>
      <c r="T81" s="58">
        <f>IF(A81="","",IFERROR(--ISNUMBER(SEARCH("R28",G81)),0)+IFERROR(--ISNUMBER(SEARCH("R29",G81)),0)+IFERROR(--ISNUMBER(SEARCH("R30",G81)),0)+IFERROR(--ISNUMBER(SEARCH("R32",G81)),0)+IFERROR(--ISNUMBER(SEARCH("R33",G81)),0)+IFERROR(--ISNUMBER(SEARCH("R35",G81)),0)+IFERROR(--ISNUMBER(SEARCH("R36",G81)),0)+IFERROR(--ISNUMBER(SEARCH("R38",G81)),0)+IFERROR(--ISNUMBER(SEARCH("R39",G81)),0)+IFERROR(--ISNUMBER(SEARCH("R43",G81)),0)+IFERROR(--ISNUMBER(SEARCH("R44",G81)),0)+IFERROR(--ISNUMBER(SEARCH("R45",G81)),0)+IFERROR(--ISNUMBER(SEARCH("R47",G81)),0)+IFERROR(--ISNUMBER(SEARCH("R48",G81)),0)+IFERROR(--ISNUMBER(SEARCH("R50",G81)),0)+IFERROR(--ISNUMBER(SEARCH("R51",G81)),0)+IFERROR(--ISNUMBER(SEARCH("R56",G81)),0)+IFERROR(--ISNUMBER(SEARCH("R58",G81)),0)+IFERROR(--ISNUMBER(SEARCH("R59",G81)),0)+IFERROR(--ISNUMBER(SEARCH("R60",G81)),0)+IFERROR(--ISNUMBER(SEARCH("R62",G81)),0)+IFERROR(--ISNUMBER(SEARCH("R63",G81)),0)+IFERROR(--ISNUMBER(SEARCH("R64",G81)),0)+IFERROR(--ISNUMBER(SEARCH("R66",G81)),0)+IFERROR(--ISNUMBER(SEARCH("R67",G81)),0)+IFERROR(--ISNUMBER(SEARCH("R72",G81)),0)+IFERROR(--ISNUMBER(SEARCH("R74",G81)),0)+IFERROR(--ISNUMBER(SEARCH("R75",G81)),0)+IFERROR(--ISNUMBER(SEARCH("R76",G81)),0)+IFERROR(--ISNUMBER(SEARCH("R77",G81)),0)+IFERROR(--ISNUMBER(SEARCH("R79",G81)),0)+IFERROR(--ISNUMBER(SEARCH("R80",G81)),0)+IFERROR(--ISNUMBER(SEARCH("R81",G81)),0)+IFERROR(--ISNUMBER(SEARCH("R83",G81)),0)+IFERROR(--ISNUMBER(SEARCH("R84",G81)),0)+IFERROR(--ISNUMBER(SEARCH("R89",G81)),0)+IFERROR(--ISNUMBER(SEARCH("R94",G81)),0)+IFERROR(--ISNUMBER(SEARCH("R95",G81)),0)+IFERROR(--ISNUMBER(SEARCH("R96",G81)),0)+IFERROR(--ISNUMBER(SEARCH("R98",G81)),0)+IFERROR(--ISNUMBER(SEARCH("R99",G81)),0)+IFERROR(--ISNUMBER(SEARCH("R100",G81)),0)+IFERROR(--ISNUMBER(SEARCH("R104",G81)),0)+IFERROR(--ISNUMBER(SEARCH("R105",G81)),0)+IFERROR(--ISNUMBER(SEARCH("R107",G81)),0)+IFERROR(--ISNUMBER(SEARCH("R108",G81)),0)+IFERROR(--ISNUMBER(SEARCH("R109",G81)),0)+IFERROR(--ISNUMBER(SEARCH("R110",G81)),0)+IFERROR(--ISNUMBER(SEARCH("R112",G81)),0)+IFERROR(--ISNUMBER(SEARCH("R113",G81)),0)+IFERROR(--ISNUMBER(SEARCH("R114",G81)),0)+IFERROR(--ISNUMBER(SEARCH("R118",G81)),0)+IFERROR(--ISNUMBER(SEARCH("R119",G81)),0)+IFERROR(--ISNUMBER(SEARCH("R120",G81)),0)+IFERROR(--ISNUMBER(SEARCH("R122",G81)),0)+IFERROR(--ISNUMBER(SEARCH("R123",G81)),0)+IFERROR(--ISNUMBER(SEARCH("R124",G81)),0)+IFERROR(--ISNUMBER(SEARCH("R128",G81)),0)+IFERROR(--ISNUMBER(SEARCH("R130",G81)),0)+IFERROR(--ISNUMBER(SEARCH("R131",G81)),0)+IFERROR(--ISNUMBER(SEARCH("R132",G81)),0)+IFERROR(--ISNUMBER(SEARCH("R135",G81)),0)+IFERROR(--ISNUMBER(SEARCH("R138",G81)),0)+IFERROR(--ISNUMBER(SEARCH("R141",G81)),0))</f>
        <v/>
      </c>
      <c r="U81" s="58">
        <f>IF(A81="","",IFERROR(--ISNUMBER(SEARCH("R28",G81))*28,0)+IFERROR(--ISNUMBER(SEARCH("R29",G81))*29,0)+IFERROR(--ISNUMBER(SEARCH("R30",G81))*30,0)+IFERROR(--ISNUMBER(SEARCH("R31",G81))*31,0)+IFERROR(--ISNUMBER(SEARCH("R32",G81))*32,0)+IFERROR(--ISNUMBER(SEARCH("R33",G81))*33,0)+IFERROR(--ISNUMBER(SEARCH("R34",G81))*34,0)+IFERROR(--ISNUMBER(SEARCH("R35",G81))*35,0)+IFERROR(--ISNUMBER(SEARCH("R36",G81))*36,0)+IFERROR(--ISNUMBER(SEARCH("R37",G81))*37,0)+IFERROR(--ISNUMBER(SEARCH("R38",G81))*38,0)+IFERROR(--ISNUMBER(SEARCH("R39",G81))*39,0)+IFERROR(--ISNUMBER(SEARCH("R40",G81))*40,0)+IFERROR(--ISNUMBER(SEARCH("R41",G81))*41,0)+IFERROR(--ISNUMBER(SEARCH("R42",G81))*42,0)+IFERROR(--ISNUMBER(SEARCH("R43",G81))*43,0)+IFERROR(--ISNUMBER(SEARCH("R44",G81))*44,0)+IFERROR(--ISNUMBER(SEARCH("R45",G81))*45,0)+IFERROR(--ISNUMBER(SEARCH("R46",G81))*46,0)+IFERROR(--ISNUMBER(SEARCH("R47",G81))*47,0)+IFERROR(--ISNUMBER(SEARCH("R48",G81))*48,0)+IFERROR(--ISNUMBER(SEARCH("R49",G81))*49,0)+IFERROR(--ISNUMBER(SEARCH("R50",G81))*50,0)+IFERROR(--ISNUMBER(SEARCH("R51",G81))*51,0)+IFERROR(--ISNUMBER(SEARCH("R52",G81))*52,0)+IFERROR(--ISNUMBER(SEARCH("R53",G81))*53,0)+IFERROR(--ISNUMBER(SEARCH("R54",G81))*54,0)+IFERROR(--ISNUMBER(SEARCH("R55",G81))*55,0)+IFERROR(--ISNUMBER(SEARCH("R56",G81))*56,0)+IFERROR(--ISNUMBER(SEARCH("R57",G81))*57,0)+IFERROR(--ISNUMBER(SEARCH("R58",G81))*58,0)+IFERROR(--ISNUMBER(SEARCH("R59",G81))*59,0)+IFERROR(--ISNUMBER(SEARCH("R60",G81))*60,0)+IFERROR(--ISNUMBER(SEARCH("R61",G81))*61,0)+IFERROR(--ISNUMBER(SEARCH("R62",G81))*62,0)+IFERROR(--ISNUMBER(SEARCH("R63",G81))*63,0)+IFERROR(--ISNUMBER(SEARCH("R64",G81))*64,0)+IFERROR(--ISNUMBER(SEARCH("R65",G81))*65,0)+IFERROR(--ISNUMBER(SEARCH("R66",G81))*66,0)+IFERROR(--ISNUMBER(SEARCH("R67",G81))*67,0)+IFERROR(--ISNUMBER(SEARCH("R68",G81))*68,0)+IFERROR(--ISNUMBER(SEARCH("R69",G81))*69,0)+IFERROR(--ISNUMBER(SEARCH("R70",G81))*70,0)+IFERROR(--ISNUMBER(SEARCH("R71",G81))*71,0)+IFERROR(--ISNUMBER(SEARCH("R72",G81))*72,0)+IFERROR(--ISNUMBER(SEARCH("R73",G81))*73,0)+IFERROR(--ISNUMBER(SEARCH("R74",G81))*74,0)+IFERROR(--ISNUMBER(SEARCH("R75",G81))*75,0)+IFERROR(--ISNUMBER(SEARCH("R76",G81))*76,0)+IFERROR(--ISNUMBER(SEARCH("R77",G81))*77,0)+IFERROR(--ISNUMBER(SEARCH("R78",G81))*78,0)+IFERROR(--ISNUMBER(SEARCH("R79",G81))*79,0)+IFERROR(--ISNUMBER(SEARCH("R80",G81))*80,0)+IFERROR(--ISNUMBER(SEARCH("R81",G81))*81,0)+IFERROR(--ISNUMBER(SEARCH("R82",G81))*82,0)+IFERROR(--ISNUMBER(SEARCH("R83",G81))*83,0)+IFERROR(--ISNUMBER(SEARCH("R84",G81))*84,0)+IFERROR(--ISNUMBER(SEARCH("R85",G81))*85,0)+IFERROR(--ISNUMBER(SEARCH("R86",G81))*86,0)+IFERROR(--ISNUMBER(SEARCH("R87",G81))*87,0)+IFERROR(--ISNUMBER(SEARCH("R88",G81))*88,0)+IFERROR(--ISNUMBER(SEARCH("R89",G81))*89,0)+IFERROR(--ISNUMBER(SEARCH("R90",G81))*90,0)+IFERROR(--ISNUMBER(SEARCH("R91",G81))*91,0)+IFERROR(--ISNUMBER(SEARCH("R92",G81))*92,0)+IFERROR(--ISNUMBER(SEARCH("R93",G81))*93,0)+IFERROR(--ISNUMBER(SEARCH("R94",G81))*94,0)+IFERROR(--ISNUMBER(SEARCH("R95",G81))*95,0)+IFERROR(--ISNUMBER(SEARCH("R96",G81))*96,0)+IFERROR(--ISNUMBER(SEARCH("R97",G81))*97,0)+IFERROR(--ISNUMBER(SEARCH("R98",G81))*98,0)+IFERROR(--ISNUMBER(SEARCH("R99",G81))*99,0)+IFERROR(--ISNUMBER(SEARCH("R100",G81))*100,0)+IFERROR(--ISNUMBER(SEARCH("R101",G81))*101,0)+IFERROR(--ISNUMBER(SEARCH("R102",G81))*102,0)+IFERROR(--ISNUMBER(SEARCH("R103",G81))*103,0)+IFERROR(--ISNUMBER(SEARCH("R104",G81))*104,0)+IFERROR(--ISNUMBER(SEARCH("R105",G81))*105,0)+IFERROR(--ISNUMBER(SEARCH("R106",G81))*106,0)+IFERROR(--ISNUMBER(SEARCH("R107",G81))*107,0)+IFERROR(--ISNUMBER(SEARCH("R108",G81))*108,0)+IFERROR(--ISNUMBER(SEARCH("R109",G81))*109,0)+IFERROR(--ISNUMBER(SEARCH("R110",G81))*110,0)+IFERROR(--ISNUMBER(SEARCH("R111",G81))*111,0)+IFERROR(--ISNUMBER(SEARCH("R112",G81))*112,0)+IFERROR(--ISNUMBER(SEARCH("R113",G81))*113,0)+IFERROR(--ISNUMBER(SEARCH("R114",G81))*114,0)+IFERROR(--ISNUMBER(SEARCH("R115",G81))*115,0)+IFERROR(--ISNUMBER(SEARCH("R116",G81))*116,0)+IFERROR(--ISNUMBER(SEARCH("R117",G81))*117,0)+IFERROR(--ISNUMBER(SEARCH("R118",G81))*118,0)+IFERROR(--ISNUMBER(SEARCH("R119",G81))*119,0)+IFERROR(--ISNUMBER(SEARCH("R120",G81))*120,0)+IFERROR(--ISNUMBER(SEARCH("R121",G81))*121,0)+IFERROR(--ISNUMBER(SEARCH("R122",G81))*122,0)+IFERROR(--ISNUMBER(SEARCH("R123",G81))*123,0)+IFERROR(--ISNUMBER(SEARCH("R124",G81))*124,0)+IFERROR(--ISNUMBER(SEARCH("R125",G81))*125,0)+IFERROR(--ISNUMBER(SEARCH("R126",G81))*126,0)+IFERROR(--ISNUMBER(SEARCH("R127",G81))*127,0)+IFERROR(--ISNUMBER(SEARCH("R128",G81))*128,0)+IFERROR(--ISNUMBER(SEARCH("R129",G81))*129,0)+IFERROR(--ISNUMBER(SEARCH("R130",G81))*130,0)+IFERROR(--ISNUMBER(SEARCH("R131",G81))*131,0)+IFERROR(--ISNUMBER(SEARCH("R132",G81))*132,0)+IFERROR(--ISNUMBER(SEARCH("R133",G81))*133,0)+IFERROR(--ISNUMBER(SEARCH("R134",G81))*134,0)+IFERROR(--ISNUMBER(SEARCH("R135",G81))*135,0)+IFERROR(--ISNUMBER(SEARCH("R136",G81))*136,0)+IFERROR(--ISNUMBER(SEARCH("R137",G81))*137,0)+IFERROR(--ISNUMBER(SEARCH("R138",G81))*138,0)+IFERROR(--ISNUMBER(SEARCH("R139",G81))*139,0)+IFERROR(--ISNUMBER(SEARCH("R140",G81))*140,0)+IFERROR(--ISNUMBER(SEARCH("R141",G81))*141,0))</f>
        <v/>
      </c>
      <c r="V81" s="59">
        <f>IF(A81="","",IF(K81&lt;&gt;"",K81,J81))</f>
        <v/>
      </c>
      <c r="W81" s="59">
        <f>IF(A81="","",IF(AND(V81=29,O81&lt;&gt;"",COUNTIFS($V$6:$V$505,29,$F$6:$F$505,F81,$C$6:$C$505,C81,$O$6:$O$505,"&lt;&gt;")&gt;1),IF(COUNTIFS($V$6:V81,29,$F$6:F81,F81,$C$6:C81,C81,$O$6:O81,"&lt;&gt;")=1,"Esta es la fila que se debe CONSERVAR (aparición 1 de "&amp;COUNTIFS($V$6:$V$505,29,$F$6:$F$505,F81,$C$6:$C$505,C81,$O$6:$O$505,"&lt;&gt;")&amp;" con el mismo tercero y valor, casilla 29). Si hay más filas iguales, bórreles el valor a ELLAS, no a esta.","DUPLICADO — ya existe otra fila con el mismo tercero y valor para casilla 29 (aparición "&amp;COUNTIFS($V$6:V81,29,$F$6:F81,F81,$C$6:C81,C81,$O$6:O81,"&lt;&gt;")&amp;" de "&amp;COUNTIFS($V$6:$V$505,29,$F$6:$F$505,F81,$C$6:$C$505,C81,$O$6:$O$505,"&lt;&gt;")&amp;"). Para resolverlo: seleccione la celda O"&amp;ROW()&amp;" (columna Valor a declarar de ESTA fila) y presione Supr."),""))</f>
        <v/>
      </c>
      <c r="X81" s="463">
        <f>IF(A81="","",F81)</f>
        <v/>
      </c>
      <c r="Y81" s="463">
        <f>IF(A81="","",SUMIF(Entrada_Manual!$I$88:$I$187,A81,Entrada_Manual!$F$88:$F$187))</f>
        <v/>
      </c>
      <c r="Z81" s="463">
        <f>IF(A81="","",X81-Y81)</f>
        <v/>
      </c>
      <c r="AA81">
        <f>IF(A81="","",SUMPRODUCT((Entrada_Manual!$I$88:$I$187=A81)*1))</f>
        <v/>
      </c>
      <c r="AB81">
        <f>IF(A81="","",IF(S81&lt;=1,"",IF(AA81=0,"PENDIENTE — SIN ASIGNAR",IF(Z81=0,"RESUELTO","PARCIAL — DIFERENCIA "&amp;TEXT(Z81,"#,##0")))))</f>
        <v/>
      </c>
    </row>
    <row r="82" ht="14.25" customHeight="1" s="235">
      <c r="A82" s="47">
        <f>IF(Exogena_RAW!E91&lt;&gt;"",ROW()-5,"")</f>
        <v/>
      </c>
      <c r="B82" s="48">
        <f>IF(A82="","",91)</f>
        <v/>
      </c>
      <c r="C82" s="48">
        <f>IF(A82="","",IFERROR(Exogena_RAW!A91,""))</f>
        <v/>
      </c>
      <c r="D82" s="48">
        <f>IF(A82="","",IFERROR(Exogena_RAW!B91,""))</f>
        <v/>
      </c>
      <c r="E82" s="48">
        <f>IF(A82="","",Exogena_RAW!E91)</f>
        <v/>
      </c>
      <c r="F82" s="461">
        <f>IF(A82="","",Exogena_RAW!F91)</f>
        <v/>
      </c>
      <c r="G82" s="48">
        <f>IF(A82="","",IFERROR(Exogena_RAW!G91,""))</f>
        <v/>
      </c>
      <c r="H82" s="48">
        <f>IF(A82="","",IFERROR(Exogena_RAW!H91,""))</f>
        <v/>
      </c>
      <c r="I82" s="48">
        <f>IF(A82="","",IFERROR(IF(S82&gt;1,"VARIAS CASILLAS",IF(S82=1,IF(T82=1,"PROPUESTA DE CASILLA","REVISIÓN: CASILLA NO DIRECTA"),IF(OR(ISNUMBER(SEARCH("TOPE",UPPER(E82))),ISNUMBER(SEARCH("TOPE",UPPER(G82)))),"SOLO CONTROL",IF(ISNUMBER(SEARCH("RETEN",UPPER(E82))),"RETENCIÓN","REVISAR")))),"REVISAR"))</f>
        <v/>
      </c>
      <c r="J82" s="48">
        <f>IF(A82="","",IF(ISNUMBER(SEARCH("ingreso laboral promedio de los últimos seis meses",E82)),"",IFERROR(IF(AND(S82=1,T82=1),U82,""),"")))</f>
        <v/>
      </c>
      <c r="K82" s="216" t="n"/>
      <c r="L82" s="48">
        <f>IF(A82="","",IFERROR(IF(K82&lt;&gt;"","Casilla elegida por usuario",IF(S82&gt;1,"Varias casillas — elegir en K",IF(J82&lt;&gt;"","Sugerencia directa",IF(S82=1,"No trasladar directo — revisar",IF(OR(ISNUMBER(SEARCH("TOPE",UPPER(E82))),ISNUMBER(SEARCH("TOPE",UPPER(G82)))),"Solo control","Revisar manualmente"))))),"Revisar manualmente"))</f>
        <v/>
      </c>
      <c r="M82" s="461">
        <f>IF(A82="","",IF(IF(K82&lt;&gt;"",K82,J82)="",0,IF(COUNTIFS(Reglas!$I$5:$I$118,IF(K82&lt;&gt;"",K82,J82),Reglas!$J$5:$J$118,"Sí")=1,F82,0)))</f>
        <v/>
      </c>
      <c r="N82" s="56" t="n"/>
      <c r="O82" s="462">
        <f>IF(A82="","",IF(M82=0,"",M82))</f>
        <v/>
      </c>
      <c r="P82" s="461">
        <f>IF(A82="","",IF(O82="",0,IF(ISNUMBER(O82),O82,0)))</f>
        <v/>
      </c>
      <c r="Q82" s="48">
        <f>IF(A82="","",IF(Exogena_RAW!$C$4="","BLOQUEADO: FALTA AÑO",IF(Exogena_RAW!$K$10&lt;&gt;Reglas!$B$5,"BLOQUEADO: AÑO",IF(IF(K82&lt;&gt;"",K82,J82)="",IF(S82&gt;1,"REQUIERE ASIGNACIÓN MANUAL (VARIAS CASILLAS)","INFORMATIVO (sin casilla — no se declara)"),IF(COUNTIFS(Reglas!$I$5:$I$118,IF(K82&lt;&gt;"",K82,J82),Reglas!$J$5:$J$118,"Sí")=0,"BLOQUEADO: CASILLA NO DIRECTA",IF(O82="","EXCLUIDO (valor borrado por el usuario)",IF(_xlfn.ISFORMULA(O82),IF(W82&lt;&gt;"","BORRADOR — VALOR SUGERIDO DIAN ⚠ VER ALERTA","BORRADOR — VALOR SUGERIDO DIAN"),IF(W82&lt;&gt;"","ACEPTADO ⚠ VER ALERTA","ACEPTADO"))))))))</f>
        <v/>
      </c>
      <c r="R82" s="218" t="n"/>
      <c r="S82" s="58">
        <f>IF(A82="","",IFERROR(--ISNUMBER(SEARCH("R28",G82)),0)+IFERROR(--ISNUMBER(SEARCH("R29",G82)),0)+IFERROR(--ISNUMBER(SEARCH("R30",G82)),0)+IFERROR(--ISNUMBER(SEARCH("R31",G82)),0)+IFERROR(--ISNUMBER(SEARCH("R32",G82)),0)+IFERROR(--ISNUMBER(SEARCH("R33",G82)),0)+IFERROR(--ISNUMBER(SEARCH("R34",G82)),0)+IFERROR(--ISNUMBER(SEARCH("R35",G82)),0)+IFERROR(--ISNUMBER(SEARCH("R36",G82)),0)+IFERROR(--ISNUMBER(SEARCH("R37",G82)),0)+IFERROR(--ISNUMBER(SEARCH("R38",G82)),0)+IFERROR(--ISNUMBER(SEARCH("R39",G82)),0)+IFERROR(--ISNUMBER(SEARCH("R40",G82)),0)+IFERROR(--ISNUMBER(SEARCH("R41",G82)),0)+IFERROR(--ISNUMBER(SEARCH("R42",G82)),0)+IFERROR(--ISNUMBER(SEARCH("R43",G82)),0)+IFERROR(--ISNUMBER(SEARCH("R44",G82)),0)+IFERROR(--ISNUMBER(SEARCH("R45",G82)),0)+IFERROR(--ISNUMBER(SEARCH("R46",G82)),0)+IFERROR(--ISNUMBER(SEARCH("R47",G82)),0)+IFERROR(--ISNUMBER(SEARCH("R48",G82)),0)+IFERROR(--ISNUMBER(SEARCH("R49",G82)),0)+IFERROR(--ISNUMBER(SEARCH("R50",G82)),0)+IFERROR(--ISNUMBER(SEARCH("R51",G82)),0)+IFERROR(--ISNUMBER(SEARCH("R52",G82)),0)+IFERROR(--ISNUMBER(SEARCH("R53",G82)),0)+IFERROR(--ISNUMBER(SEARCH("R54",G82)),0)+IFERROR(--ISNUMBER(SEARCH("R55",G82)),0)+IFERROR(--ISNUMBER(SEARCH("R56",G82)),0)+IFERROR(--ISNUMBER(SEARCH("R57",G82)),0)+IFERROR(--ISNUMBER(SEARCH("R58",G82)),0)+IFERROR(--ISNUMBER(SEARCH("R59",G82)),0)+IFERROR(--ISNUMBER(SEARCH("R60",G82)),0)+IFERROR(--ISNUMBER(SEARCH("R61",G82)),0)+IFERROR(--ISNUMBER(SEARCH("R62",G82)),0)+IFERROR(--ISNUMBER(SEARCH("R63",G82)),0)+IFERROR(--ISNUMBER(SEARCH("R64",G82)),0)+IFERROR(--ISNUMBER(SEARCH("R65",G82)),0)+IFERROR(--ISNUMBER(SEARCH("R66",G82)),0)+IFERROR(--ISNUMBER(SEARCH("R67",G82)),0)+IFERROR(--ISNUMBER(SEARCH("R68",G82)),0)+IFERROR(--ISNUMBER(SEARCH("R69",G82)),0)+IFERROR(--ISNUMBER(SEARCH("R70",G82)),0)+IFERROR(--ISNUMBER(SEARCH("R71",G82)),0)+IFERROR(--ISNUMBER(SEARCH("R72",G82)),0)+IFERROR(--ISNUMBER(SEARCH("R73",G82)),0)+IFERROR(--ISNUMBER(SEARCH("R74",G82)),0)+IFERROR(--ISNUMBER(SEARCH("R75",G82)),0)+IFERROR(--ISNUMBER(SEARCH("R76",G82)),0)+IFERROR(--ISNUMBER(SEARCH("R77",G82)),0)+IFERROR(--ISNUMBER(SEARCH("R78",G82)),0)+IFERROR(--ISNUMBER(SEARCH("R79",G82)),0)+IFERROR(--ISNUMBER(SEARCH("R80",G82)),0)+IFERROR(--ISNUMBER(SEARCH("R81",G82)),0)+IFERROR(--ISNUMBER(SEARCH("R82",G82)),0)+IFERROR(--ISNUMBER(SEARCH("R83",G82)),0)+IFERROR(--ISNUMBER(SEARCH("R84",G82)),0)+IFERROR(--ISNUMBER(SEARCH("R85",G82)),0)+IFERROR(--ISNUMBER(SEARCH("R86",G82)),0)+IFERROR(--ISNUMBER(SEARCH("R87",G82)),0)+IFERROR(--ISNUMBER(SEARCH("R88",G82)),0)+IFERROR(--ISNUMBER(SEARCH("R89",G82)),0)+IFERROR(--ISNUMBER(SEARCH("R90",G82)),0)+IFERROR(--ISNUMBER(SEARCH("R91",G82)),0)+IFERROR(--ISNUMBER(SEARCH("R92",G82)),0)+IFERROR(--ISNUMBER(SEARCH("R93",G82)),0)+IFERROR(--ISNUMBER(SEARCH("R94",G82)),0)+IFERROR(--ISNUMBER(SEARCH("R95",G82)),0)+IFERROR(--ISNUMBER(SEARCH("R96",G82)),0)+IFERROR(--ISNUMBER(SEARCH("R97",G82)),0)+IFERROR(--ISNUMBER(SEARCH("R98",G82)),0)+IFERROR(--ISNUMBER(SEARCH("R99",G82)),0)+IFERROR(--ISNUMBER(SEARCH("R100",G82)),0)+IFERROR(--ISNUMBER(SEARCH("R101",G82)),0)+IFERROR(--ISNUMBER(SEARCH("R102",G82)),0)+IFERROR(--ISNUMBER(SEARCH("R103",G82)),0)+IFERROR(--ISNUMBER(SEARCH("R104",G82)),0)+IFERROR(--ISNUMBER(SEARCH("R105",G82)),0)+IFERROR(--ISNUMBER(SEARCH("R106",G82)),0)+IFERROR(--ISNUMBER(SEARCH("R107",G82)),0)+IFERROR(--ISNUMBER(SEARCH("R108",G82)),0)+IFERROR(--ISNUMBER(SEARCH("R109",G82)),0)+IFERROR(--ISNUMBER(SEARCH("R110",G82)),0)+IFERROR(--ISNUMBER(SEARCH("R111",G82)),0)+IFERROR(--ISNUMBER(SEARCH("R112",G82)),0)+IFERROR(--ISNUMBER(SEARCH("R113",G82)),0)+IFERROR(--ISNUMBER(SEARCH("R114",G82)),0)+IFERROR(--ISNUMBER(SEARCH("R115",G82)),0)+IFERROR(--ISNUMBER(SEARCH("R116",G82)),0)+IFERROR(--ISNUMBER(SEARCH("R117",G82)),0)+IFERROR(--ISNUMBER(SEARCH("R118",G82)),0)+IFERROR(--ISNUMBER(SEARCH("R119",G82)),0)+IFERROR(--ISNUMBER(SEARCH("R120",G82)),0)+IFERROR(--ISNUMBER(SEARCH("R121",G82)),0)+IFERROR(--ISNUMBER(SEARCH("R122",G82)),0)+IFERROR(--ISNUMBER(SEARCH("R123",G82)),0)+IFERROR(--ISNUMBER(SEARCH("R124",G82)),0)+IFERROR(--ISNUMBER(SEARCH("R125",G82)),0)+IFERROR(--ISNUMBER(SEARCH("R126",G82)),0)+IFERROR(--ISNUMBER(SEARCH("R127",G82)),0)+IFERROR(--ISNUMBER(SEARCH("R128",G82)),0)+IFERROR(--ISNUMBER(SEARCH("R129",G82)),0)+IFERROR(--ISNUMBER(SEARCH("R130",G82)),0)+IFERROR(--ISNUMBER(SEARCH("R131",G82)),0)+IFERROR(--ISNUMBER(SEARCH("R132",G82)),0)+IFERROR(--ISNUMBER(SEARCH("R133",G82)),0)+IFERROR(--ISNUMBER(SEARCH("R134",G82)),0)+IFERROR(--ISNUMBER(SEARCH("R135",G82)),0)+IFERROR(--ISNUMBER(SEARCH("R136",G82)),0)+IFERROR(--ISNUMBER(SEARCH("R137",G82)),0)+IFERROR(--ISNUMBER(SEARCH("R138",G82)),0)+IFERROR(--ISNUMBER(SEARCH("R139",G82)),0)+IFERROR(--ISNUMBER(SEARCH("R140",G82)),0)+IFERROR(--ISNUMBER(SEARCH("R141",G82)),0))</f>
        <v/>
      </c>
      <c r="T82" s="58">
        <f>IF(A82="","",IFERROR(--ISNUMBER(SEARCH("R28",G82)),0)+IFERROR(--ISNUMBER(SEARCH("R29",G82)),0)+IFERROR(--ISNUMBER(SEARCH("R30",G82)),0)+IFERROR(--ISNUMBER(SEARCH("R32",G82)),0)+IFERROR(--ISNUMBER(SEARCH("R33",G82)),0)+IFERROR(--ISNUMBER(SEARCH("R35",G82)),0)+IFERROR(--ISNUMBER(SEARCH("R36",G82)),0)+IFERROR(--ISNUMBER(SEARCH("R38",G82)),0)+IFERROR(--ISNUMBER(SEARCH("R39",G82)),0)+IFERROR(--ISNUMBER(SEARCH("R43",G82)),0)+IFERROR(--ISNUMBER(SEARCH("R44",G82)),0)+IFERROR(--ISNUMBER(SEARCH("R45",G82)),0)+IFERROR(--ISNUMBER(SEARCH("R47",G82)),0)+IFERROR(--ISNUMBER(SEARCH("R48",G82)),0)+IFERROR(--ISNUMBER(SEARCH("R50",G82)),0)+IFERROR(--ISNUMBER(SEARCH("R51",G82)),0)+IFERROR(--ISNUMBER(SEARCH("R56",G82)),0)+IFERROR(--ISNUMBER(SEARCH("R58",G82)),0)+IFERROR(--ISNUMBER(SEARCH("R59",G82)),0)+IFERROR(--ISNUMBER(SEARCH("R60",G82)),0)+IFERROR(--ISNUMBER(SEARCH("R62",G82)),0)+IFERROR(--ISNUMBER(SEARCH("R63",G82)),0)+IFERROR(--ISNUMBER(SEARCH("R64",G82)),0)+IFERROR(--ISNUMBER(SEARCH("R66",G82)),0)+IFERROR(--ISNUMBER(SEARCH("R67",G82)),0)+IFERROR(--ISNUMBER(SEARCH("R72",G82)),0)+IFERROR(--ISNUMBER(SEARCH("R74",G82)),0)+IFERROR(--ISNUMBER(SEARCH("R75",G82)),0)+IFERROR(--ISNUMBER(SEARCH("R76",G82)),0)+IFERROR(--ISNUMBER(SEARCH("R77",G82)),0)+IFERROR(--ISNUMBER(SEARCH("R79",G82)),0)+IFERROR(--ISNUMBER(SEARCH("R80",G82)),0)+IFERROR(--ISNUMBER(SEARCH("R81",G82)),0)+IFERROR(--ISNUMBER(SEARCH("R83",G82)),0)+IFERROR(--ISNUMBER(SEARCH("R84",G82)),0)+IFERROR(--ISNUMBER(SEARCH("R89",G82)),0)+IFERROR(--ISNUMBER(SEARCH("R94",G82)),0)+IFERROR(--ISNUMBER(SEARCH("R95",G82)),0)+IFERROR(--ISNUMBER(SEARCH("R96",G82)),0)+IFERROR(--ISNUMBER(SEARCH("R98",G82)),0)+IFERROR(--ISNUMBER(SEARCH("R99",G82)),0)+IFERROR(--ISNUMBER(SEARCH("R100",G82)),0)+IFERROR(--ISNUMBER(SEARCH("R104",G82)),0)+IFERROR(--ISNUMBER(SEARCH("R105",G82)),0)+IFERROR(--ISNUMBER(SEARCH("R107",G82)),0)+IFERROR(--ISNUMBER(SEARCH("R108",G82)),0)+IFERROR(--ISNUMBER(SEARCH("R109",G82)),0)+IFERROR(--ISNUMBER(SEARCH("R110",G82)),0)+IFERROR(--ISNUMBER(SEARCH("R112",G82)),0)+IFERROR(--ISNUMBER(SEARCH("R113",G82)),0)+IFERROR(--ISNUMBER(SEARCH("R114",G82)),0)+IFERROR(--ISNUMBER(SEARCH("R118",G82)),0)+IFERROR(--ISNUMBER(SEARCH("R119",G82)),0)+IFERROR(--ISNUMBER(SEARCH("R120",G82)),0)+IFERROR(--ISNUMBER(SEARCH("R122",G82)),0)+IFERROR(--ISNUMBER(SEARCH("R123",G82)),0)+IFERROR(--ISNUMBER(SEARCH("R124",G82)),0)+IFERROR(--ISNUMBER(SEARCH("R128",G82)),0)+IFERROR(--ISNUMBER(SEARCH("R130",G82)),0)+IFERROR(--ISNUMBER(SEARCH("R131",G82)),0)+IFERROR(--ISNUMBER(SEARCH("R132",G82)),0)+IFERROR(--ISNUMBER(SEARCH("R135",G82)),0)+IFERROR(--ISNUMBER(SEARCH("R138",G82)),0)+IFERROR(--ISNUMBER(SEARCH("R141",G82)),0))</f>
        <v/>
      </c>
      <c r="U82" s="58">
        <f>IF(A82="","",IFERROR(--ISNUMBER(SEARCH("R28",G82))*28,0)+IFERROR(--ISNUMBER(SEARCH("R29",G82))*29,0)+IFERROR(--ISNUMBER(SEARCH("R30",G82))*30,0)+IFERROR(--ISNUMBER(SEARCH("R31",G82))*31,0)+IFERROR(--ISNUMBER(SEARCH("R32",G82))*32,0)+IFERROR(--ISNUMBER(SEARCH("R33",G82))*33,0)+IFERROR(--ISNUMBER(SEARCH("R34",G82))*34,0)+IFERROR(--ISNUMBER(SEARCH("R35",G82))*35,0)+IFERROR(--ISNUMBER(SEARCH("R36",G82))*36,0)+IFERROR(--ISNUMBER(SEARCH("R37",G82))*37,0)+IFERROR(--ISNUMBER(SEARCH("R38",G82))*38,0)+IFERROR(--ISNUMBER(SEARCH("R39",G82))*39,0)+IFERROR(--ISNUMBER(SEARCH("R40",G82))*40,0)+IFERROR(--ISNUMBER(SEARCH("R41",G82))*41,0)+IFERROR(--ISNUMBER(SEARCH("R42",G82))*42,0)+IFERROR(--ISNUMBER(SEARCH("R43",G82))*43,0)+IFERROR(--ISNUMBER(SEARCH("R44",G82))*44,0)+IFERROR(--ISNUMBER(SEARCH("R45",G82))*45,0)+IFERROR(--ISNUMBER(SEARCH("R46",G82))*46,0)+IFERROR(--ISNUMBER(SEARCH("R47",G82))*47,0)+IFERROR(--ISNUMBER(SEARCH("R48",G82))*48,0)+IFERROR(--ISNUMBER(SEARCH("R49",G82))*49,0)+IFERROR(--ISNUMBER(SEARCH("R50",G82))*50,0)+IFERROR(--ISNUMBER(SEARCH("R51",G82))*51,0)+IFERROR(--ISNUMBER(SEARCH("R52",G82))*52,0)+IFERROR(--ISNUMBER(SEARCH("R53",G82))*53,0)+IFERROR(--ISNUMBER(SEARCH("R54",G82))*54,0)+IFERROR(--ISNUMBER(SEARCH("R55",G82))*55,0)+IFERROR(--ISNUMBER(SEARCH("R56",G82))*56,0)+IFERROR(--ISNUMBER(SEARCH("R57",G82))*57,0)+IFERROR(--ISNUMBER(SEARCH("R58",G82))*58,0)+IFERROR(--ISNUMBER(SEARCH("R59",G82))*59,0)+IFERROR(--ISNUMBER(SEARCH("R60",G82))*60,0)+IFERROR(--ISNUMBER(SEARCH("R61",G82))*61,0)+IFERROR(--ISNUMBER(SEARCH("R62",G82))*62,0)+IFERROR(--ISNUMBER(SEARCH("R63",G82))*63,0)+IFERROR(--ISNUMBER(SEARCH("R64",G82))*64,0)+IFERROR(--ISNUMBER(SEARCH("R65",G82))*65,0)+IFERROR(--ISNUMBER(SEARCH("R66",G82))*66,0)+IFERROR(--ISNUMBER(SEARCH("R67",G82))*67,0)+IFERROR(--ISNUMBER(SEARCH("R68",G82))*68,0)+IFERROR(--ISNUMBER(SEARCH("R69",G82))*69,0)+IFERROR(--ISNUMBER(SEARCH("R70",G82))*70,0)+IFERROR(--ISNUMBER(SEARCH("R71",G82))*71,0)+IFERROR(--ISNUMBER(SEARCH("R72",G82))*72,0)+IFERROR(--ISNUMBER(SEARCH("R73",G82))*73,0)+IFERROR(--ISNUMBER(SEARCH("R74",G82))*74,0)+IFERROR(--ISNUMBER(SEARCH("R75",G82))*75,0)+IFERROR(--ISNUMBER(SEARCH("R76",G82))*76,0)+IFERROR(--ISNUMBER(SEARCH("R77",G82))*77,0)+IFERROR(--ISNUMBER(SEARCH("R78",G82))*78,0)+IFERROR(--ISNUMBER(SEARCH("R79",G82))*79,0)+IFERROR(--ISNUMBER(SEARCH("R80",G82))*80,0)+IFERROR(--ISNUMBER(SEARCH("R81",G82))*81,0)+IFERROR(--ISNUMBER(SEARCH("R82",G82))*82,0)+IFERROR(--ISNUMBER(SEARCH("R83",G82))*83,0)+IFERROR(--ISNUMBER(SEARCH("R84",G82))*84,0)+IFERROR(--ISNUMBER(SEARCH("R85",G82))*85,0)+IFERROR(--ISNUMBER(SEARCH("R86",G82))*86,0)+IFERROR(--ISNUMBER(SEARCH("R87",G82))*87,0)+IFERROR(--ISNUMBER(SEARCH("R88",G82))*88,0)+IFERROR(--ISNUMBER(SEARCH("R89",G82))*89,0)+IFERROR(--ISNUMBER(SEARCH("R90",G82))*90,0)+IFERROR(--ISNUMBER(SEARCH("R91",G82))*91,0)+IFERROR(--ISNUMBER(SEARCH("R92",G82))*92,0)+IFERROR(--ISNUMBER(SEARCH("R93",G82))*93,0)+IFERROR(--ISNUMBER(SEARCH("R94",G82))*94,0)+IFERROR(--ISNUMBER(SEARCH("R95",G82))*95,0)+IFERROR(--ISNUMBER(SEARCH("R96",G82))*96,0)+IFERROR(--ISNUMBER(SEARCH("R97",G82))*97,0)+IFERROR(--ISNUMBER(SEARCH("R98",G82))*98,0)+IFERROR(--ISNUMBER(SEARCH("R99",G82))*99,0)+IFERROR(--ISNUMBER(SEARCH("R100",G82))*100,0)+IFERROR(--ISNUMBER(SEARCH("R101",G82))*101,0)+IFERROR(--ISNUMBER(SEARCH("R102",G82))*102,0)+IFERROR(--ISNUMBER(SEARCH("R103",G82))*103,0)+IFERROR(--ISNUMBER(SEARCH("R104",G82))*104,0)+IFERROR(--ISNUMBER(SEARCH("R105",G82))*105,0)+IFERROR(--ISNUMBER(SEARCH("R106",G82))*106,0)+IFERROR(--ISNUMBER(SEARCH("R107",G82))*107,0)+IFERROR(--ISNUMBER(SEARCH("R108",G82))*108,0)+IFERROR(--ISNUMBER(SEARCH("R109",G82))*109,0)+IFERROR(--ISNUMBER(SEARCH("R110",G82))*110,0)+IFERROR(--ISNUMBER(SEARCH("R111",G82))*111,0)+IFERROR(--ISNUMBER(SEARCH("R112",G82))*112,0)+IFERROR(--ISNUMBER(SEARCH("R113",G82))*113,0)+IFERROR(--ISNUMBER(SEARCH("R114",G82))*114,0)+IFERROR(--ISNUMBER(SEARCH("R115",G82))*115,0)+IFERROR(--ISNUMBER(SEARCH("R116",G82))*116,0)+IFERROR(--ISNUMBER(SEARCH("R117",G82))*117,0)+IFERROR(--ISNUMBER(SEARCH("R118",G82))*118,0)+IFERROR(--ISNUMBER(SEARCH("R119",G82))*119,0)+IFERROR(--ISNUMBER(SEARCH("R120",G82))*120,0)+IFERROR(--ISNUMBER(SEARCH("R121",G82))*121,0)+IFERROR(--ISNUMBER(SEARCH("R122",G82))*122,0)+IFERROR(--ISNUMBER(SEARCH("R123",G82))*123,0)+IFERROR(--ISNUMBER(SEARCH("R124",G82))*124,0)+IFERROR(--ISNUMBER(SEARCH("R125",G82))*125,0)+IFERROR(--ISNUMBER(SEARCH("R126",G82))*126,0)+IFERROR(--ISNUMBER(SEARCH("R127",G82))*127,0)+IFERROR(--ISNUMBER(SEARCH("R128",G82))*128,0)+IFERROR(--ISNUMBER(SEARCH("R129",G82))*129,0)+IFERROR(--ISNUMBER(SEARCH("R130",G82))*130,0)+IFERROR(--ISNUMBER(SEARCH("R131",G82))*131,0)+IFERROR(--ISNUMBER(SEARCH("R132",G82))*132,0)+IFERROR(--ISNUMBER(SEARCH("R133",G82))*133,0)+IFERROR(--ISNUMBER(SEARCH("R134",G82))*134,0)+IFERROR(--ISNUMBER(SEARCH("R135",G82))*135,0)+IFERROR(--ISNUMBER(SEARCH("R136",G82))*136,0)+IFERROR(--ISNUMBER(SEARCH("R137",G82))*137,0)+IFERROR(--ISNUMBER(SEARCH("R138",G82))*138,0)+IFERROR(--ISNUMBER(SEARCH("R139",G82))*139,0)+IFERROR(--ISNUMBER(SEARCH("R140",G82))*140,0)+IFERROR(--ISNUMBER(SEARCH("R141",G82))*141,0))</f>
        <v/>
      </c>
      <c r="V82" s="59">
        <f>IF(A82="","",IF(K82&lt;&gt;"",K82,J82))</f>
        <v/>
      </c>
      <c r="W82" s="59">
        <f>IF(A82="","",IF(AND(V82=29,O82&lt;&gt;"",COUNTIFS($V$6:$V$505,29,$F$6:$F$505,F82,$C$6:$C$505,C82,$O$6:$O$505,"&lt;&gt;")&gt;1),IF(COUNTIFS($V$6:V82,29,$F$6:F82,F82,$C$6:C82,C82,$O$6:O82,"&lt;&gt;")=1,"Esta es la fila que se debe CONSERVAR (aparición 1 de "&amp;COUNTIFS($V$6:$V$505,29,$F$6:$F$505,F82,$C$6:$C$505,C82,$O$6:$O$505,"&lt;&gt;")&amp;" con el mismo tercero y valor, casilla 29). Si hay más filas iguales, bórreles el valor a ELLAS, no a esta.","DUPLICADO — ya existe otra fila con el mismo tercero y valor para casilla 29 (aparición "&amp;COUNTIFS($V$6:V82,29,$F$6:F82,F82,$C$6:C82,C82,$O$6:O82,"&lt;&gt;")&amp;" de "&amp;COUNTIFS($V$6:$V$505,29,$F$6:$F$505,F82,$C$6:$C$505,C82,$O$6:$O$505,"&lt;&gt;")&amp;"). Para resolverlo: seleccione la celda O"&amp;ROW()&amp;" (columna Valor a declarar de ESTA fila) y presione Supr."),""))</f>
        <v/>
      </c>
      <c r="X82" s="463">
        <f>IF(A82="","",F82)</f>
        <v/>
      </c>
      <c r="Y82" s="463">
        <f>IF(A82="","",SUMIF(Entrada_Manual!$I$88:$I$187,A82,Entrada_Manual!$F$88:$F$187))</f>
        <v/>
      </c>
      <c r="Z82" s="463">
        <f>IF(A82="","",X82-Y82)</f>
        <v/>
      </c>
      <c r="AA82">
        <f>IF(A82="","",SUMPRODUCT((Entrada_Manual!$I$88:$I$187=A82)*1))</f>
        <v/>
      </c>
      <c r="AB82">
        <f>IF(A82="","",IF(S82&lt;=1,"",IF(AA82=0,"PENDIENTE — SIN ASIGNAR",IF(Z82=0,"RESUELTO","PARCIAL — DIFERENCIA "&amp;TEXT(Z82,"#,##0")))))</f>
        <v/>
      </c>
    </row>
    <row r="83" ht="14.25" customHeight="1" s="235">
      <c r="A83" s="47">
        <f>IF(Exogena_RAW!E92&lt;&gt;"",ROW()-5,"")</f>
        <v/>
      </c>
      <c r="B83" s="48">
        <f>IF(A83="","",92)</f>
        <v/>
      </c>
      <c r="C83" s="48">
        <f>IF(A83="","",IFERROR(Exogena_RAW!A92,""))</f>
        <v/>
      </c>
      <c r="D83" s="48">
        <f>IF(A83="","",IFERROR(Exogena_RAW!B92,""))</f>
        <v/>
      </c>
      <c r="E83" s="48">
        <f>IF(A83="","",Exogena_RAW!E92)</f>
        <v/>
      </c>
      <c r="F83" s="461">
        <f>IF(A83="","",Exogena_RAW!F92)</f>
        <v/>
      </c>
      <c r="G83" s="48">
        <f>IF(A83="","",IFERROR(Exogena_RAW!G92,""))</f>
        <v/>
      </c>
      <c r="H83" s="48">
        <f>IF(A83="","",IFERROR(Exogena_RAW!H92,""))</f>
        <v/>
      </c>
      <c r="I83" s="48">
        <f>IF(A83="","",IFERROR(IF(S83&gt;1,"VARIAS CASILLAS",IF(S83=1,IF(T83=1,"PROPUESTA DE CASILLA","REVISIÓN: CASILLA NO DIRECTA"),IF(OR(ISNUMBER(SEARCH("TOPE",UPPER(E83))),ISNUMBER(SEARCH("TOPE",UPPER(G83)))),"SOLO CONTROL",IF(ISNUMBER(SEARCH("RETEN",UPPER(E83))),"RETENCIÓN","REVISAR")))),"REVISAR"))</f>
        <v/>
      </c>
      <c r="J83" s="48">
        <f>IF(A83="","",IF(ISNUMBER(SEARCH("ingreso laboral promedio de los últimos seis meses",E83)),"",IFERROR(IF(AND(S83=1,T83=1),U83,""),"")))</f>
        <v/>
      </c>
      <c r="K83" s="216" t="n"/>
      <c r="L83" s="48">
        <f>IF(A83="","",IFERROR(IF(K83&lt;&gt;"","Casilla elegida por usuario",IF(S83&gt;1,"Varias casillas — elegir en K",IF(J83&lt;&gt;"","Sugerencia directa",IF(S83=1,"No trasladar directo — revisar",IF(OR(ISNUMBER(SEARCH("TOPE",UPPER(E83))),ISNUMBER(SEARCH("TOPE",UPPER(G83)))),"Solo control","Revisar manualmente"))))),"Revisar manualmente"))</f>
        <v/>
      </c>
      <c r="M83" s="461">
        <f>IF(A83="","",IF(IF(K83&lt;&gt;"",K83,J83)="",0,IF(COUNTIFS(Reglas!$I$5:$I$118,IF(K83&lt;&gt;"",K83,J83),Reglas!$J$5:$J$118,"Sí")=1,F83,0)))</f>
        <v/>
      </c>
      <c r="N83" s="56" t="n"/>
      <c r="O83" s="462">
        <f>IF(A83="","",IF(M83=0,"",M83))</f>
        <v/>
      </c>
      <c r="P83" s="461">
        <f>IF(A83="","",IF(O83="",0,IF(ISNUMBER(O83),O83,0)))</f>
        <v/>
      </c>
      <c r="Q83" s="48">
        <f>IF(A83="","",IF(Exogena_RAW!$C$4="","BLOQUEADO: FALTA AÑO",IF(Exogena_RAW!$K$10&lt;&gt;Reglas!$B$5,"BLOQUEADO: AÑO",IF(IF(K83&lt;&gt;"",K83,J83)="",IF(S83&gt;1,"REQUIERE ASIGNACIÓN MANUAL (VARIAS CASILLAS)","INFORMATIVO (sin casilla — no se declara)"),IF(COUNTIFS(Reglas!$I$5:$I$118,IF(K83&lt;&gt;"",K83,J83),Reglas!$J$5:$J$118,"Sí")=0,"BLOQUEADO: CASILLA NO DIRECTA",IF(O83="","EXCLUIDO (valor borrado por el usuario)",IF(_xlfn.ISFORMULA(O83),IF(W83&lt;&gt;"","BORRADOR — VALOR SUGERIDO DIAN ⚠ VER ALERTA","BORRADOR — VALOR SUGERIDO DIAN"),IF(W83&lt;&gt;"","ACEPTADO ⚠ VER ALERTA","ACEPTADO"))))))))</f>
        <v/>
      </c>
      <c r="R83" s="218" t="n"/>
      <c r="S83" s="58">
        <f>IF(A83="","",IFERROR(--ISNUMBER(SEARCH("R28",G83)),0)+IFERROR(--ISNUMBER(SEARCH("R29",G83)),0)+IFERROR(--ISNUMBER(SEARCH("R30",G83)),0)+IFERROR(--ISNUMBER(SEARCH("R31",G83)),0)+IFERROR(--ISNUMBER(SEARCH("R32",G83)),0)+IFERROR(--ISNUMBER(SEARCH("R33",G83)),0)+IFERROR(--ISNUMBER(SEARCH("R34",G83)),0)+IFERROR(--ISNUMBER(SEARCH("R35",G83)),0)+IFERROR(--ISNUMBER(SEARCH("R36",G83)),0)+IFERROR(--ISNUMBER(SEARCH("R37",G83)),0)+IFERROR(--ISNUMBER(SEARCH("R38",G83)),0)+IFERROR(--ISNUMBER(SEARCH("R39",G83)),0)+IFERROR(--ISNUMBER(SEARCH("R40",G83)),0)+IFERROR(--ISNUMBER(SEARCH("R41",G83)),0)+IFERROR(--ISNUMBER(SEARCH("R42",G83)),0)+IFERROR(--ISNUMBER(SEARCH("R43",G83)),0)+IFERROR(--ISNUMBER(SEARCH("R44",G83)),0)+IFERROR(--ISNUMBER(SEARCH("R45",G83)),0)+IFERROR(--ISNUMBER(SEARCH("R46",G83)),0)+IFERROR(--ISNUMBER(SEARCH("R47",G83)),0)+IFERROR(--ISNUMBER(SEARCH("R48",G83)),0)+IFERROR(--ISNUMBER(SEARCH("R49",G83)),0)+IFERROR(--ISNUMBER(SEARCH("R50",G83)),0)+IFERROR(--ISNUMBER(SEARCH("R51",G83)),0)+IFERROR(--ISNUMBER(SEARCH("R52",G83)),0)+IFERROR(--ISNUMBER(SEARCH("R53",G83)),0)+IFERROR(--ISNUMBER(SEARCH("R54",G83)),0)+IFERROR(--ISNUMBER(SEARCH("R55",G83)),0)+IFERROR(--ISNUMBER(SEARCH("R56",G83)),0)+IFERROR(--ISNUMBER(SEARCH("R57",G83)),0)+IFERROR(--ISNUMBER(SEARCH("R58",G83)),0)+IFERROR(--ISNUMBER(SEARCH("R59",G83)),0)+IFERROR(--ISNUMBER(SEARCH("R60",G83)),0)+IFERROR(--ISNUMBER(SEARCH("R61",G83)),0)+IFERROR(--ISNUMBER(SEARCH("R62",G83)),0)+IFERROR(--ISNUMBER(SEARCH("R63",G83)),0)+IFERROR(--ISNUMBER(SEARCH("R64",G83)),0)+IFERROR(--ISNUMBER(SEARCH("R65",G83)),0)+IFERROR(--ISNUMBER(SEARCH("R66",G83)),0)+IFERROR(--ISNUMBER(SEARCH("R67",G83)),0)+IFERROR(--ISNUMBER(SEARCH("R68",G83)),0)+IFERROR(--ISNUMBER(SEARCH("R69",G83)),0)+IFERROR(--ISNUMBER(SEARCH("R70",G83)),0)+IFERROR(--ISNUMBER(SEARCH("R71",G83)),0)+IFERROR(--ISNUMBER(SEARCH("R72",G83)),0)+IFERROR(--ISNUMBER(SEARCH("R73",G83)),0)+IFERROR(--ISNUMBER(SEARCH("R74",G83)),0)+IFERROR(--ISNUMBER(SEARCH("R75",G83)),0)+IFERROR(--ISNUMBER(SEARCH("R76",G83)),0)+IFERROR(--ISNUMBER(SEARCH("R77",G83)),0)+IFERROR(--ISNUMBER(SEARCH("R78",G83)),0)+IFERROR(--ISNUMBER(SEARCH("R79",G83)),0)+IFERROR(--ISNUMBER(SEARCH("R80",G83)),0)+IFERROR(--ISNUMBER(SEARCH("R81",G83)),0)+IFERROR(--ISNUMBER(SEARCH("R82",G83)),0)+IFERROR(--ISNUMBER(SEARCH("R83",G83)),0)+IFERROR(--ISNUMBER(SEARCH("R84",G83)),0)+IFERROR(--ISNUMBER(SEARCH("R85",G83)),0)+IFERROR(--ISNUMBER(SEARCH("R86",G83)),0)+IFERROR(--ISNUMBER(SEARCH("R87",G83)),0)+IFERROR(--ISNUMBER(SEARCH("R88",G83)),0)+IFERROR(--ISNUMBER(SEARCH("R89",G83)),0)+IFERROR(--ISNUMBER(SEARCH("R90",G83)),0)+IFERROR(--ISNUMBER(SEARCH("R91",G83)),0)+IFERROR(--ISNUMBER(SEARCH("R92",G83)),0)+IFERROR(--ISNUMBER(SEARCH("R93",G83)),0)+IFERROR(--ISNUMBER(SEARCH("R94",G83)),0)+IFERROR(--ISNUMBER(SEARCH("R95",G83)),0)+IFERROR(--ISNUMBER(SEARCH("R96",G83)),0)+IFERROR(--ISNUMBER(SEARCH("R97",G83)),0)+IFERROR(--ISNUMBER(SEARCH("R98",G83)),0)+IFERROR(--ISNUMBER(SEARCH("R99",G83)),0)+IFERROR(--ISNUMBER(SEARCH("R100",G83)),0)+IFERROR(--ISNUMBER(SEARCH("R101",G83)),0)+IFERROR(--ISNUMBER(SEARCH("R102",G83)),0)+IFERROR(--ISNUMBER(SEARCH("R103",G83)),0)+IFERROR(--ISNUMBER(SEARCH("R104",G83)),0)+IFERROR(--ISNUMBER(SEARCH("R105",G83)),0)+IFERROR(--ISNUMBER(SEARCH("R106",G83)),0)+IFERROR(--ISNUMBER(SEARCH("R107",G83)),0)+IFERROR(--ISNUMBER(SEARCH("R108",G83)),0)+IFERROR(--ISNUMBER(SEARCH("R109",G83)),0)+IFERROR(--ISNUMBER(SEARCH("R110",G83)),0)+IFERROR(--ISNUMBER(SEARCH("R111",G83)),0)+IFERROR(--ISNUMBER(SEARCH("R112",G83)),0)+IFERROR(--ISNUMBER(SEARCH("R113",G83)),0)+IFERROR(--ISNUMBER(SEARCH("R114",G83)),0)+IFERROR(--ISNUMBER(SEARCH("R115",G83)),0)+IFERROR(--ISNUMBER(SEARCH("R116",G83)),0)+IFERROR(--ISNUMBER(SEARCH("R117",G83)),0)+IFERROR(--ISNUMBER(SEARCH("R118",G83)),0)+IFERROR(--ISNUMBER(SEARCH("R119",G83)),0)+IFERROR(--ISNUMBER(SEARCH("R120",G83)),0)+IFERROR(--ISNUMBER(SEARCH("R121",G83)),0)+IFERROR(--ISNUMBER(SEARCH("R122",G83)),0)+IFERROR(--ISNUMBER(SEARCH("R123",G83)),0)+IFERROR(--ISNUMBER(SEARCH("R124",G83)),0)+IFERROR(--ISNUMBER(SEARCH("R125",G83)),0)+IFERROR(--ISNUMBER(SEARCH("R126",G83)),0)+IFERROR(--ISNUMBER(SEARCH("R127",G83)),0)+IFERROR(--ISNUMBER(SEARCH("R128",G83)),0)+IFERROR(--ISNUMBER(SEARCH("R129",G83)),0)+IFERROR(--ISNUMBER(SEARCH("R130",G83)),0)+IFERROR(--ISNUMBER(SEARCH("R131",G83)),0)+IFERROR(--ISNUMBER(SEARCH("R132",G83)),0)+IFERROR(--ISNUMBER(SEARCH("R133",G83)),0)+IFERROR(--ISNUMBER(SEARCH("R134",G83)),0)+IFERROR(--ISNUMBER(SEARCH("R135",G83)),0)+IFERROR(--ISNUMBER(SEARCH("R136",G83)),0)+IFERROR(--ISNUMBER(SEARCH("R137",G83)),0)+IFERROR(--ISNUMBER(SEARCH("R138",G83)),0)+IFERROR(--ISNUMBER(SEARCH("R139",G83)),0)+IFERROR(--ISNUMBER(SEARCH("R140",G83)),0)+IFERROR(--ISNUMBER(SEARCH("R141",G83)),0))</f>
        <v/>
      </c>
      <c r="T83" s="58">
        <f>IF(A83="","",IFERROR(--ISNUMBER(SEARCH("R28",G83)),0)+IFERROR(--ISNUMBER(SEARCH("R29",G83)),0)+IFERROR(--ISNUMBER(SEARCH("R30",G83)),0)+IFERROR(--ISNUMBER(SEARCH("R32",G83)),0)+IFERROR(--ISNUMBER(SEARCH("R33",G83)),0)+IFERROR(--ISNUMBER(SEARCH("R35",G83)),0)+IFERROR(--ISNUMBER(SEARCH("R36",G83)),0)+IFERROR(--ISNUMBER(SEARCH("R38",G83)),0)+IFERROR(--ISNUMBER(SEARCH("R39",G83)),0)+IFERROR(--ISNUMBER(SEARCH("R43",G83)),0)+IFERROR(--ISNUMBER(SEARCH("R44",G83)),0)+IFERROR(--ISNUMBER(SEARCH("R45",G83)),0)+IFERROR(--ISNUMBER(SEARCH("R47",G83)),0)+IFERROR(--ISNUMBER(SEARCH("R48",G83)),0)+IFERROR(--ISNUMBER(SEARCH("R50",G83)),0)+IFERROR(--ISNUMBER(SEARCH("R51",G83)),0)+IFERROR(--ISNUMBER(SEARCH("R56",G83)),0)+IFERROR(--ISNUMBER(SEARCH("R58",G83)),0)+IFERROR(--ISNUMBER(SEARCH("R59",G83)),0)+IFERROR(--ISNUMBER(SEARCH("R60",G83)),0)+IFERROR(--ISNUMBER(SEARCH("R62",G83)),0)+IFERROR(--ISNUMBER(SEARCH("R63",G83)),0)+IFERROR(--ISNUMBER(SEARCH("R64",G83)),0)+IFERROR(--ISNUMBER(SEARCH("R66",G83)),0)+IFERROR(--ISNUMBER(SEARCH("R67",G83)),0)+IFERROR(--ISNUMBER(SEARCH("R72",G83)),0)+IFERROR(--ISNUMBER(SEARCH("R74",G83)),0)+IFERROR(--ISNUMBER(SEARCH("R75",G83)),0)+IFERROR(--ISNUMBER(SEARCH("R76",G83)),0)+IFERROR(--ISNUMBER(SEARCH("R77",G83)),0)+IFERROR(--ISNUMBER(SEARCH("R79",G83)),0)+IFERROR(--ISNUMBER(SEARCH("R80",G83)),0)+IFERROR(--ISNUMBER(SEARCH("R81",G83)),0)+IFERROR(--ISNUMBER(SEARCH("R83",G83)),0)+IFERROR(--ISNUMBER(SEARCH("R84",G83)),0)+IFERROR(--ISNUMBER(SEARCH("R89",G83)),0)+IFERROR(--ISNUMBER(SEARCH("R94",G83)),0)+IFERROR(--ISNUMBER(SEARCH("R95",G83)),0)+IFERROR(--ISNUMBER(SEARCH("R96",G83)),0)+IFERROR(--ISNUMBER(SEARCH("R98",G83)),0)+IFERROR(--ISNUMBER(SEARCH("R99",G83)),0)+IFERROR(--ISNUMBER(SEARCH("R100",G83)),0)+IFERROR(--ISNUMBER(SEARCH("R104",G83)),0)+IFERROR(--ISNUMBER(SEARCH("R105",G83)),0)+IFERROR(--ISNUMBER(SEARCH("R107",G83)),0)+IFERROR(--ISNUMBER(SEARCH("R108",G83)),0)+IFERROR(--ISNUMBER(SEARCH("R109",G83)),0)+IFERROR(--ISNUMBER(SEARCH("R110",G83)),0)+IFERROR(--ISNUMBER(SEARCH("R112",G83)),0)+IFERROR(--ISNUMBER(SEARCH("R113",G83)),0)+IFERROR(--ISNUMBER(SEARCH("R114",G83)),0)+IFERROR(--ISNUMBER(SEARCH("R118",G83)),0)+IFERROR(--ISNUMBER(SEARCH("R119",G83)),0)+IFERROR(--ISNUMBER(SEARCH("R120",G83)),0)+IFERROR(--ISNUMBER(SEARCH("R122",G83)),0)+IFERROR(--ISNUMBER(SEARCH("R123",G83)),0)+IFERROR(--ISNUMBER(SEARCH("R124",G83)),0)+IFERROR(--ISNUMBER(SEARCH("R128",G83)),0)+IFERROR(--ISNUMBER(SEARCH("R130",G83)),0)+IFERROR(--ISNUMBER(SEARCH("R131",G83)),0)+IFERROR(--ISNUMBER(SEARCH("R132",G83)),0)+IFERROR(--ISNUMBER(SEARCH("R135",G83)),0)+IFERROR(--ISNUMBER(SEARCH("R138",G83)),0)+IFERROR(--ISNUMBER(SEARCH("R141",G83)),0))</f>
        <v/>
      </c>
      <c r="U83" s="58">
        <f>IF(A83="","",IFERROR(--ISNUMBER(SEARCH("R28",G83))*28,0)+IFERROR(--ISNUMBER(SEARCH("R29",G83))*29,0)+IFERROR(--ISNUMBER(SEARCH("R30",G83))*30,0)+IFERROR(--ISNUMBER(SEARCH("R31",G83))*31,0)+IFERROR(--ISNUMBER(SEARCH("R32",G83))*32,0)+IFERROR(--ISNUMBER(SEARCH("R33",G83))*33,0)+IFERROR(--ISNUMBER(SEARCH("R34",G83))*34,0)+IFERROR(--ISNUMBER(SEARCH("R35",G83))*35,0)+IFERROR(--ISNUMBER(SEARCH("R36",G83))*36,0)+IFERROR(--ISNUMBER(SEARCH("R37",G83))*37,0)+IFERROR(--ISNUMBER(SEARCH("R38",G83))*38,0)+IFERROR(--ISNUMBER(SEARCH("R39",G83))*39,0)+IFERROR(--ISNUMBER(SEARCH("R40",G83))*40,0)+IFERROR(--ISNUMBER(SEARCH("R41",G83))*41,0)+IFERROR(--ISNUMBER(SEARCH("R42",G83))*42,0)+IFERROR(--ISNUMBER(SEARCH("R43",G83))*43,0)+IFERROR(--ISNUMBER(SEARCH("R44",G83))*44,0)+IFERROR(--ISNUMBER(SEARCH("R45",G83))*45,0)+IFERROR(--ISNUMBER(SEARCH("R46",G83))*46,0)+IFERROR(--ISNUMBER(SEARCH("R47",G83))*47,0)+IFERROR(--ISNUMBER(SEARCH("R48",G83))*48,0)+IFERROR(--ISNUMBER(SEARCH("R49",G83))*49,0)+IFERROR(--ISNUMBER(SEARCH("R50",G83))*50,0)+IFERROR(--ISNUMBER(SEARCH("R51",G83))*51,0)+IFERROR(--ISNUMBER(SEARCH("R52",G83))*52,0)+IFERROR(--ISNUMBER(SEARCH("R53",G83))*53,0)+IFERROR(--ISNUMBER(SEARCH("R54",G83))*54,0)+IFERROR(--ISNUMBER(SEARCH("R55",G83))*55,0)+IFERROR(--ISNUMBER(SEARCH("R56",G83))*56,0)+IFERROR(--ISNUMBER(SEARCH("R57",G83))*57,0)+IFERROR(--ISNUMBER(SEARCH("R58",G83))*58,0)+IFERROR(--ISNUMBER(SEARCH("R59",G83))*59,0)+IFERROR(--ISNUMBER(SEARCH("R60",G83))*60,0)+IFERROR(--ISNUMBER(SEARCH("R61",G83))*61,0)+IFERROR(--ISNUMBER(SEARCH("R62",G83))*62,0)+IFERROR(--ISNUMBER(SEARCH("R63",G83))*63,0)+IFERROR(--ISNUMBER(SEARCH("R64",G83))*64,0)+IFERROR(--ISNUMBER(SEARCH("R65",G83))*65,0)+IFERROR(--ISNUMBER(SEARCH("R66",G83))*66,0)+IFERROR(--ISNUMBER(SEARCH("R67",G83))*67,0)+IFERROR(--ISNUMBER(SEARCH("R68",G83))*68,0)+IFERROR(--ISNUMBER(SEARCH("R69",G83))*69,0)+IFERROR(--ISNUMBER(SEARCH("R70",G83))*70,0)+IFERROR(--ISNUMBER(SEARCH("R71",G83))*71,0)+IFERROR(--ISNUMBER(SEARCH("R72",G83))*72,0)+IFERROR(--ISNUMBER(SEARCH("R73",G83))*73,0)+IFERROR(--ISNUMBER(SEARCH("R74",G83))*74,0)+IFERROR(--ISNUMBER(SEARCH("R75",G83))*75,0)+IFERROR(--ISNUMBER(SEARCH("R76",G83))*76,0)+IFERROR(--ISNUMBER(SEARCH("R77",G83))*77,0)+IFERROR(--ISNUMBER(SEARCH("R78",G83))*78,0)+IFERROR(--ISNUMBER(SEARCH("R79",G83))*79,0)+IFERROR(--ISNUMBER(SEARCH("R80",G83))*80,0)+IFERROR(--ISNUMBER(SEARCH("R81",G83))*81,0)+IFERROR(--ISNUMBER(SEARCH("R82",G83))*82,0)+IFERROR(--ISNUMBER(SEARCH("R83",G83))*83,0)+IFERROR(--ISNUMBER(SEARCH("R84",G83))*84,0)+IFERROR(--ISNUMBER(SEARCH("R85",G83))*85,0)+IFERROR(--ISNUMBER(SEARCH("R86",G83))*86,0)+IFERROR(--ISNUMBER(SEARCH("R87",G83))*87,0)+IFERROR(--ISNUMBER(SEARCH("R88",G83))*88,0)+IFERROR(--ISNUMBER(SEARCH("R89",G83))*89,0)+IFERROR(--ISNUMBER(SEARCH("R90",G83))*90,0)+IFERROR(--ISNUMBER(SEARCH("R91",G83))*91,0)+IFERROR(--ISNUMBER(SEARCH("R92",G83))*92,0)+IFERROR(--ISNUMBER(SEARCH("R93",G83))*93,0)+IFERROR(--ISNUMBER(SEARCH("R94",G83))*94,0)+IFERROR(--ISNUMBER(SEARCH("R95",G83))*95,0)+IFERROR(--ISNUMBER(SEARCH("R96",G83))*96,0)+IFERROR(--ISNUMBER(SEARCH("R97",G83))*97,0)+IFERROR(--ISNUMBER(SEARCH("R98",G83))*98,0)+IFERROR(--ISNUMBER(SEARCH("R99",G83))*99,0)+IFERROR(--ISNUMBER(SEARCH("R100",G83))*100,0)+IFERROR(--ISNUMBER(SEARCH("R101",G83))*101,0)+IFERROR(--ISNUMBER(SEARCH("R102",G83))*102,0)+IFERROR(--ISNUMBER(SEARCH("R103",G83))*103,0)+IFERROR(--ISNUMBER(SEARCH("R104",G83))*104,0)+IFERROR(--ISNUMBER(SEARCH("R105",G83))*105,0)+IFERROR(--ISNUMBER(SEARCH("R106",G83))*106,0)+IFERROR(--ISNUMBER(SEARCH("R107",G83))*107,0)+IFERROR(--ISNUMBER(SEARCH("R108",G83))*108,0)+IFERROR(--ISNUMBER(SEARCH("R109",G83))*109,0)+IFERROR(--ISNUMBER(SEARCH("R110",G83))*110,0)+IFERROR(--ISNUMBER(SEARCH("R111",G83))*111,0)+IFERROR(--ISNUMBER(SEARCH("R112",G83))*112,0)+IFERROR(--ISNUMBER(SEARCH("R113",G83))*113,0)+IFERROR(--ISNUMBER(SEARCH("R114",G83))*114,0)+IFERROR(--ISNUMBER(SEARCH("R115",G83))*115,0)+IFERROR(--ISNUMBER(SEARCH("R116",G83))*116,0)+IFERROR(--ISNUMBER(SEARCH("R117",G83))*117,0)+IFERROR(--ISNUMBER(SEARCH("R118",G83))*118,0)+IFERROR(--ISNUMBER(SEARCH("R119",G83))*119,0)+IFERROR(--ISNUMBER(SEARCH("R120",G83))*120,0)+IFERROR(--ISNUMBER(SEARCH("R121",G83))*121,0)+IFERROR(--ISNUMBER(SEARCH("R122",G83))*122,0)+IFERROR(--ISNUMBER(SEARCH("R123",G83))*123,0)+IFERROR(--ISNUMBER(SEARCH("R124",G83))*124,0)+IFERROR(--ISNUMBER(SEARCH("R125",G83))*125,0)+IFERROR(--ISNUMBER(SEARCH("R126",G83))*126,0)+IFERROR(--ISNUMBER(SEARCH("R127",G83))*127,0)+IFERROR(--ISNUMBER(SEARCH("R128",G83))*128,0)+IFERROR(--ISNUMBER(SEARCH("R129",G83))*129,0)+IFERROR(--ISNUMBER(SEARCH("R130",G83))*130,0)+IFERROR(--ISNUMBER(SEARCH("R131",G83))*131,0)+IFERROR(--ISNUMBER(SEARCH("R132",G83))*132,0)+IFERROR(--ISNUMBER(SEARCH("R133",G83))*133,0)+IFERROR(--ISNUMBER(SEARCH("R134",G83))*134,0)+IFERROR(--ISNUMBER(SEARCH("R135",G83))*135,0)+IFERROR(--ISNUMBER(SEARCH("R136",G83))*136,0)+IFERROR(--ISNUMBER(SEARCH("R137",G83))*137,0)+IFERROR(--ISNUMBER(SEARCH("R138",G83))*138,0)+IFERROR(--ISNUMBER(SEARCH("R139",G83))*139,0)+IFERROR(--ISNUMBER(SEARCH("R140",G83))*140,0)+IFERROR(--ISNUMBER(SEARCH("R141",G83))*141,0))</f>
        <v/>
      </c>
      <c r="V83" s="59">
        <f>IF(A83="","",IF(K83&lt;&gt;"",K83,J83))</f>
        <v/>
      </c>
      <c r="W83" s="59">
        <f>IF(A83="","",IF(AND(V83=29,O83&lt;&gt;"",COUNTIFS($V$6:$V$505,29,$F$6:$F$505,F83,$C$6:$C$505,C83,$O$6:$O$505,"&lt;&gt;")&gt;1),IF(COUNTIFS($V$6:V83,29,$F$6:F83,F83,$C$6:C83,C83,$O$6:O83,"&lt;&gt;")=1,"Esta es la fila que se debe CONSERVAR (aparición 1 de "&amp;COUNTIFS($V$6:$V$505,29,$F$6:$F$505,F83,$C$6:$C$505,C83,$O$6:$O$505,"&lt;&gt;")&amp;" con el mismo tercero y valor, casilla 29). Si hay más filas iguales, bórreles el valor a ELLAS, no a esta.","DUPLICADO — ya existe otra fila con el mismo tercero y valor para casilla 29 (aparición "&amp;COUNTIFS($V$6:V83,29,$F$6:F83,F83,$C$6:C83,C83,$O$6:O83,"&lt;&gt;")&amp;" de "&amp;COUNTIFS($V$6:$V$505,29,$F$6:$F$505,F83,$C$6:$C$505,C83,$O$6:$O$505,"&lt;&gt;")&amp;"). Para resolverlo: seleccione la celda O"&amp;ROW()&amp;" (columna Valor a declarar de ESTA fila) y presione Supr."),""))</f>
        <v/>
      </c>
      <c r="X83" s="463">
        <f>IF(A83="","",F83)</f>
        <v/>
      </c>
      <c r="Y83" s="463">
        <f>IF(A83="","",SUMIF(Entrada_Manual!$I$88:$I$187,A83,Entrada_Manual!$F$88:$F$187))</f>
        <v/>
      </c>
      <c r="Z83" s="463">
        <f>IF(A83="","",X83-Y83)</f>
        <v/>
      </c>
      <c r="AA83">
        <f>IF(A83="","",SUMPRODUCT((Entrada_Manual!$I$88:$I$187=A83)*1))</f>
        <v/>
      </c>
      <c r="AB83">
        <f>IF(A83="","",IF(S83&lt;=1,"",IF(AA83=0,"PENDIENTE — SIN ASIGNAR",IF(Z83=0,"RESUELTO","PARCIAL — DIFERENCIA "&amp;TEXT(Z83,"#,##0")))))</f>
        <v/>
      </c>
    </row>
    <row r="84" ht="14.25" customHeight="1" s="235">
      <c r="A84" s="47">
        <f>IF(Exogena_RAW!E93&lt;&gt;"",ROW()-5,"")</f>
        <v/>
      </c>
      <c r="B84" s="48">
        <f>IF(A84="","",93)</f>
        <v/>
      </c>
      <c r="C84" s="48">
        <f>IF(A84="","",IFERROR(Exogena_RAW!A93,""))</f>
        <v/>
      </c>
      <c r="D84" s="48">
        <f>IF(A84="","",IFERROR(Exogena_RAW!B93,""))</f>
        <v/>
      </c>
      <c r="E84" s="48">
        <f>IF(A84="","",Exogena_RAW!E93)</f>
        <v/>
      </c>
      <c r="F84" s="461">
        <f>IF(A84="","",Exogena_RAW!F93)</f>
        <v/>
      </c>
      <c r="G84" s="48">
        <f>IF(A84="","",IFERROR(Exogena_RAW!G93,""))</f>
        <v/>
      </c>
      <c r="H84" s="48">
        <f>IF(A84="","",IFERROR(Exogena_RAW!H93,""))</f>
        <v/>
      </c>
      <c r="I84" s="48">
        <f>IF(A84="","",IFERROR(IF(S84&gt;1,"VARIAS CASILLAS",IF(S84=1,IF(T84=1,"PROPUESTA DE CASILLA","REVISIÓN: CASILLA NO DIRECTA"),IF(OR(ISNUMBER(SEARCH("TOPE",UPPER(E84))),ISNUMBER(SEARCH("TOPE",UPPER(G84)))),"SOLO CONTROL",IF(ISNUMBER(SEARCH("RETEN",UPPER(E84))),"RETENCIÓN","REVISAR")))),"REVISAR"))</f>
        <v/>
      </c>
      <c r="J84" s="48">
        <f>IF(A84="","",IF(ISNUMBER(SEARCH("ingreso laboral promedio de los últimos seis meses",E84)),"",IFERROR(IF(AND(S84=1,T84=1),U84,""),"")))</f>
        <v/>
      </c>
      <c r="K84" s="216" t="n"/>
      <c r="L84" s="48">
        <f>IF(A84="","",IFERROR(IF(K84&lt;&gt;"","Casilla elegida por usuario",IF(S84&gt;1,"Varias casillas — elegir en K",IF(J84&lt;&gt;"","Sugerencia directa",IF(S84=1,"No trasladar directo — revisar",IF(OR(ISNUMBER(SEARCH("TOPE",UPPER(E84))),ISNUMBER(SEARCH("TOPE",UPPER(G84)))),"Solo control","Revisar manualmente"))))),"Revisar manualmente"))</f>
        <v/>
      </c>
      <c r="M84" s="461">
        <f>IF(A84="","",IF(IF(K84&lt;&gt;"",K84,J84)="",0,IF(COUNTIFS(Reglas!$I$5:$I$118,IF(K84&lt;&gt;"",K84,J84),Reglas!$J$5:$J$118,"Sí")=1,F84,0)))</f>
        <v/>
      </c>
      <c r="N84" s="56" t="n"/>
      <c r="O84" s="462">
        <f>IF(A84="","",IF(M84=0,"",M84))</f>
        <v/>
      </c>
      <c r="P84" s="461">
        <f>IF(A84="","",IF(O84="",0,IF(ISNUMBER(O84),O84,0)))</f>
        <v/>
      </c>
      <c r="Q84" s="48">
        <f>IF(A84="","",IF(Exogena_RAW!$C$4="","BLOQUEADO: FALTA AÑO",IF(Exogena_RAW!$K$10&lt;&gt;Reglas!$B$5,"BLOQUEADO: AÑO",IF(IF(K84&lt;&gt;"",K84,J84)="",IF(S84&gt;1,"REQUIERE ASIGNACIÓN MANUAL (VARIAS CASILLAS)","INFORMATIVO (sin casilla — no se declara)"),IF(COUNTIFS(Reglas!$I$5:$I$118,IF(K84&lt;&gt;"",K84,J84),Reglas!$J$5:$J$118,"Sí")=0,"BLOQUEADO: CASILLA NO DIRECTA",IF(O84="","EXCLUIDO (valor borrado por el usuario)",IF(_xlfn.ISFORMULA(O84),IF(W84&lt;&gt;"","BORRADOR — VALOR SUGERIDO DIAN ⚠ VER ALERTA","BORRADOR — VALOR SUGERIDO DIAN"),IF(W84&lt;&gt;"","ACEPTADO ⚠ VER ALERTA","ACEPTADO"))))))))</f>
        <v/>
      </c>
      <c r="R84" s="218" t="n"/>
      <c r="S84" s="58">
        <f>IF(A84="","",IFERROR(--ISNUMBER(SEARCH("R28",G84)),0)+IFERROR(--ISNUMBER(SEARCH("R29",G84)),0)+IFERROR(--ISNUMBER(SEARCH("R30",G84)),0)+IFERROR(--ISNUMBER(SEARCH("R31",G84)),0)+IFERROR(--ISNUMBER(SEARCH("R32",G84)),0)+IFERROR(--ISNUMBER(SEARCH("R33",G84)),0)+IFERROR(--ISNUMBER(SEARCH("R34",G84)),0)+IFERROR(--ISNUMBER(SEARCH("R35",G84)),0)+IFERROR(--ISNUMBER(SEARCH("R36",G84)),0)+IFERROR(--ISNUMBER(SEARCH("R37",G84)),0)+IFERROR(--ISNUMBER(SEARCH("R38",G84)),0)+IFERROR(--ISNUMBER(SEARCH("R39",G84)),0)+IFERROR(--ISNUMBER(SEARCH("R40",G84)),0)+IFERROR(--ISNUMBER(SEARCH("R41",G84)),0)+IFERROR(--ISNUMBER(SEARCH("R42",G84)),0)+IFERROR(--ISNUMBER(SEARCH("R43",G84)),0)+IFERROR(--ISNUMBER(SEARCH("R44",G84)),0)+IFERROR(--ISNUMBER(SEARCH("R45",G84)),0)+IFERROR(--ISNUMBER(SEARCH("R46",G84)),0)+IFERROR(--ISNUMBER(SEARCH("R47",G84)),0)+IFERROR(--ISNUMBER(SEARCH("R48",G84)),0)+IFERROR(--ISNUMBER(SEARCH("R49",G84)),0)+IFERROR(--ISNUMBER(SEARCH("R50",G84)),0)+IFERROR(--ISNUMBER(SEARCH("R51",G84)),0)+IFERROR(--ISNUMBER(SEARCH("R52",G84)),0)+IFERROR(--ISNUMBER(SEARCH("R53",G84)),0)+IFERROR(--ISNUMBER(SEARCH("R54",G84)),0)+IFERROR(--ISNUMBER(SEARCH("R55",G84)),0)+IFERROR(--ISNUMBER(SEARCH("R56",G84)),0)+IFERROR(--ISNUMBER(SEARCH("R57",G84)),0)+IFERROR(--ISNUMBER(SEARCH("R58",G84)),0)+IFERROR(--ISNUMBER(SEARCH("R59",G84)),0)+IFERROR(--ISNUMBER(SEARCH("R60",G84)),0)+IFERROR(--ISNUMBER(SEARCH("R61",G84)),0)+IFERROR(--ISNUMBER(SEARCH("R62",G84)),0)+IFERROR(--ISNUMBER(SEARCH("R63",G84)),0)+IFERROR(--ISNUMBER(SEARCH("R64",G84)),0)+IFERROR(--ISNUMBER(SEARCH("R65",G84)),0)+IFERROR(--ISNUMBER(SEARCH("R66",G84)),0)+IFERROR(--ISNUMBER(SEARCH("R67",G84)),0)+IFERROR(--ISNUMBER(SEARCH("R68",G84)),0)+IFERROR(--ISNUMBER(SEARCH("R69",G84)),0)+IFERROR(--ISNUMBER(SEARCH("R70",G84)),0)+IFERROR(--ISNUMBER(SEARCH("R71",G84)),0)+IFERROR(--ISNUMBER(SEARCH("R72",G84)),0)+IFERROR(--ISNUMBER(SEARCH("R73",G84)),0)+IFERROR(--ISNUMBER(SEARCH("R74",G84)),0)+IFERROR(--ISNUMBER(SEARCH("R75",G84)),0)+IFERROR(--ISNUMBER(SEARCH("R76",G84)),0)+IFERROR(--ISNUMBER(SEARCH("R77",G84)),0)+IFERROR(--ISNUMBER(SEARCH("R78",G84)),0)+IFERROR(--ISNUMBER(SEARCH("R79",G84)),0)+IFERROR(--ISNUMBER(SEARCH("R80",G84)),0)+IFERROR(--ISNUMBER(SEARCH("R81",G84)),0)+IFERROR(--ISNUMBER(SEARCH("R82",G84)),0)+IFERROR(--ISNUMBER(SEARCH("R83",G84)),0)+IFERROR(--ISNUMBER(SEARCH("R84",G84)),0)+IFERROR(--ISNUMBER(SEARCH("R85",G84)),0)+IFERROR(--ISNUMBER(SEARCH("R86",G84)),0)+IFERROR(--ISNUMBER(SEARCH("R87",G84)),0)+IFERROR(--ISNUMBER(SEARCH("R88",G84)),0)+IFERROR(--ISNUMBER(SEARCH("R89",G84)),0)+IFERROR(--ISNUMBER(SEARCH("R90",G84)),0)+IFERROR(--ISNUMBER(SEARCH("R91",G84)),0)+IFERROR(--ISNUMBER(SEARCH("R92",G84)),0)+IFERROR(--ISNUMBER(SEARCH("R93",G84)),0)+IFERROR(--ISNUMBER(SEARCH("R94",G84)),0)+IFERROR(--ISNUMBER(SEARCH("R95",G84)),0)+IFERROR(--ISNUMBER(SEARCH("R96",G84)),0)+IFERROR(--ISNUMBER(SEARCH("R97",G84)),0)+IFERROR(--ISNUMBER(SEARCH("R98",G84)),0)+IFERROR(--ISNUMBER(SEARCH("R99",G84)),0)+IFERROR(--ISNUMBER(SEARCH("R100",G84)),0)+IFERROR(--ISNUMBER(SEARCH("R101",G84)),0)+IFERROR(--ISNUMBER(SEARCH("R102",G84)),0)+IFERROR(--ISNUMBER(SEARCH("R103",G84)),0)+IFERROR(--ISNUMBER(SEARCH("R104",G84)),0)+IFERROR(--ISNUMBER(SEARCH("R105",G84)),0)+IFERROR(--ISNUMBER(SEARCH("R106",G84)),0)+IFERROR(--ISNUMBER(SEARCH("R107",G84)),0)+IFERROR(--ISNUMBER(SEARCH("R108",G84)),0)+IFERROR(--ISNUMBER(SEARCH("R109",G84)),0)+IFERROR(--ISNUMBER(SEARCH("R110",G84)),0)+IFERROR(--ISNUMBER(SEARCH("R111",G84)),0)+IFERROR(--ISNUMBER(SEARCH("R112",G84)),0)+IFERROR(--ISNUMBER(SEARCH("R113",G84)),0)+IFERROR(--ISNUMBER(SEARCH("R114",G84)),0)+IFERROR(--ISNUMBER(SEARCH("R115",G84)),0)+IFERROR(--ISNUMBER(SEARCH("R116",G84)),0)+IFERROR(--ISNUMBER(SEARCH("R117",G84)),0)+IFERROR(--ISNUMBER(SEARCH("R118",G84)),0)+IFERROR(--ISNUMBER(SEARCH("R119",G84)),0)+IFERROR(--ISNUMBER(SEARCH("R120",G84)),0)+IFERROR(--ISNUMBER(SEARCH("R121",G84)),0)+IFERROR(--ISNUMBER(SEARCH("R122",G84)),0)+IFERROR(--ISNUMBER(SEARCH("R123",G84)),0)+IFERROR(--ISNUMBER(SEARCH("R124",G84)),0)+IFERROR(--ISNUMBER(SEARCH("R125",G84)),0)+IFERROR(--ISNUMBER(SEARCH("R126",G84)),0)+IFERROR(--ISNUMBER(SEARCH("R127",G84)),0)+IFERROR(--ISNUMBER(SEARCH("R128",G84)),0)+IFERROR(--ISNUMBER(SEARCH("R129",G84)),0)+IFERROR(--ISNUMBER(SEARCH("R130",G84)),0)+IFERROR(--ISNUMBER(SEARCH("R131",G84)),0)+IFERROR(--ISNUMBER(SEARCH("R132",G84)),0)+IFERROR(--ISNUMBER(SEARCH("R133",G84)),0)+IFERROR(--ISNUMBER(SEARCH("R134",G84)),0)+IFERROR(--ISNUMBER(SEARCH("R135",G84)),0)+IFERROR(--ISNUMBER(SEARCH("R136",G84)),0)+IFERROR(--ISNUMBER(SEARCH("R137",G84)),0)+IFERROR(--ISNUMBER(SEARCH("R138",G84)),0)+IFERROR(--ISNUMBER(SEARCH("R139",G84)),0)+IFERROR(--ISNUMBER(SEARCH("R140",G84)),0)+IFERROR(--ISNUMBER(SEARCH("R141",G84)),0))</f>
        <v/>
      </c>
      <c r="T84" s="58">
        <f>IF(A84="","",IFERROR(--ISNUMBER(SEARCH("R28",G84)),0)+IFERROR(--ISNUMBER(SEARCH("R29",G84)),0)+IFERROR(--ISNUMBER(SEARCH("R30",G84)),0)+IFERROR(--ISNUMBER(SEARCH("R32",G84)),0)+IFERROR(--ISNUMBER(SEARCH("R33",G84)),0)+IFERROR(--ISNUMBER(SEARCH("R35",G84)),0)+IFERROR(--ISNUMBER(SEARCH("R36",G84)),0)+IFERROR(--ISNUMBER(SEARCH("R38",G84)),0)+IFERROR(--ISNUMBER(SEARCH("R39",G84)),0)+IFERROR(--ISNUMBER(SEARCH("R43",G84)),0)+IFERROR(--ISNUMBER(SEARCH("R44",G84)),0)+IFERROR(--ISNUMBER(SEARCH("R45",G84)),0)+IFERROR(--ISNUMBER(SEARCH("R47",G84)),0)+IFERROR(--ISNUMBER(SEARCH("R48",G84)),0)+IFERROR(--ISNUMBER(SEARCH("R50",G84)),0)+IFERROR(--ISNUMBER(SEARCH("R51",G84)),0)+IFERROR(--ISNUMBER(SEARCH("R56",G84)),0)+IFERROR(--ISNUMBER(SEARCH("R58",G84)),0)+IFERROR(--ISNUMBER(SEARCH("R59",G84)),0)+IFERROR(--ISNUMBER(SEARCH("R60",G84)),0)+IFERROR(--ISNUMBER(SEARCH("R62",G84)),0)+IFERROR(--ISNUMBER(SEARCH("R63",G84)),0)+IFERROR(--ISNUMBER(SEARCH("R64",G84)),0)+IFERROR(--ISNUMBER(SEARCH("R66",G84)),0)+IFERROR(--ISNUMBER(SEARCH("R67",G84)),0)+IFERROR(--ISNUMBER(SEARCH("R72",G84)),0)+IFERROR(--ISNUMBER(SEARCH("R74",G84)),0)+IFERROR(--ISNUMBER(SEARCH("R75",G84)),0)+IFERROR(--ISNUMBER(SEARCH("R76",G84)),0)+IFERROR(--ISNUMBER(SEARCH("R77",G84)),0)+IFERROR(--ISNUMBER(SEARCH("R79",G84)),0)+IFERROR(--ISNUMBER(SEARCH("R80",G84)),0)+IFERROR(--ISNUMBER(SEARCH("R81",G84)),0)+IFERROR(--ISNUMBER(SEARCH("R83",G84)),0)+IFERROR(--ISNUMBER(SEARCH("R84",G84)),0)+IFERROR(--ISNUMBER(SEARCH("R89",G84)),0)+IFERROR(--ISNUMBER(SEARCH("R94",G84)),0)+IFERROR(--ISNUMBER(SEARCH("R95",G84)),0)+IFERROR(--ISNUMBER(SEARCH("R96",G84)),0)+IFERROR(--ISNUMBER(SEARCH("R98",G84)),0)+IFERROR(--ISNUMBER(SEARCH("R99",G84)),0)+IFERROR(--ISNUMBER(SEARCH("R100",G84)),0)+IFERROR(--ISNUMBER(SEARCH("R104",G84)),0)+IFERROR(--ISNUMBER(SEARCH("R105",G84)),0)+IFERROR(--ISNUMBER(SEARCH("R107",G84)),0)+IFERROR(--ISNUMBER(SEARCH("R108",G84)),0)+IFERROR(--ISNUMBER(SEARCH("R109",G84)),0)+IFERROR(--ISNUMBER(SEARCH("R110",G84)),0)+IFERROR(--ISNUMBER(SEARCH("R112",G84)),0)+IFERROR(--ISNUMBER(SEARCH("R113",G84)),0)+IFERROR(--ISNUMBER(SEARCH("R114",G84)),0)+IFERROR(--ISNUMBER(SEARCH("R118",G84)),0)+IFERROR(--ISNUMBER(SEARCH("R119",G84)),0)+IFERROR(--ISNUMBER(SEARCH("R120",G84)),0)+IFERROR(--ISNUMBER(SEARCH("R122",G84)),0)+IFERROR(--ISNUMBER(SEARCH("R123",G84)),0)+IFERROR(--ISNUMBER(SEARCH("R124",G84)),0)+IFERROR(--ISNUMBER(SEARCH("R128",G84)),0)+IFERROR(--ISNUMBER(SEARCH("R130",G84)),0)+IFERROR(--ISNUMBER(SEARCH("R131",G84)),0)+IFERROR(--ISNUMBER(SEARCH("R132",G84)),0)+IFERROR(--ISNUMBER(SEARCH("R135",G84)),0)+IFERROR(--ISNUMBER(SEARCH("R138",G84)),0)+IFERROR(--ISNUMBER(SEARCH("R141",G84)),0))</f>
        <v/>
      </c>
      <c r="U84" s="58">
        <f>IF(A84="","",IFERROR(--ISNUMBER(SEARCH("R28",G84))*28,0)+IFERROR(--ISNUMBER(SEARCH("R29",G84))*29,0)+IFERROR(--ISNUMBER(SEARCH("R30",G84))*30,0)+IFERROR(--ISNUMBER(SEARCH("R31",G84))*31,0)+IFERROR(--ISNUMBER(SEARCH("R32",G84))*32,0)+IFERROR(--ISNUMBER(SEARCH("R33",G84))*33,0)+IFERROR(--ISNUMBER(SEARCH("R34",G84))*34,0)+IFERROR(--ISNUMBER(SEARCH("R35",G84))*35,0)+IFERROR(--ISNUMBER(SEARCH("R36",G84))*36,0)+IFERROR(--ISNUMBER(SEARCH("R37",G84))*37,0)+IFERROR(--ISNUMBER(SEARCH("R38",G84))*38,0)+IFERROR(--ISNUMBER(SEARCH("R39",G84))*39,0)+IFERROR(--ISNUMBER(SEARCH("R40",G84))*40,0)+IFERROR(--ISNUMBER(SEARCH("R41",G84))*41,0)+IFERROR(--ISNUMBER(SEARCH("R42",G84))*42,0)+IFERROR(--ISNUMBER(SEARCH("R43",G84))*43,0)+IFERROR(--ISNUMBER(SEARCH("R44",G84))*44,0)+IFERROR(--ISNUMBER(SEARCH("R45",G84))*45,0)+IFERROR(--ISNUMBER(SEARCH("R46",G84))*46,0)+IFERROR(--ISNUMBER(SEARCH("R47",G84))*47,0)+IFERROR(--ISNUMBER(SEARCH("R48",G84))*48,0)+IFERROR(--ISNUMBER(SEARCH("R49",G84))*49,0)+IFERROR(--ISNUMBER(SEARCH("R50",G84))*50,0)+IFERROR(--ISNUMBER(SEARCH("R51",G84))*51,0)+IFERROR(--ISNUMBER(SEARCH("R52",G84))*52,0)+IFERROR(--ISNUMBER(SEARCH("R53",G84))*53,0)+IFERROR(--ISNUMBER(SEARCH("R54",G84))*54,0)+IFERROR(--ISNUMBER(SEARCH("R55",G84))*55,0)+IFERROR(--ISNUMBER(SEARCH("R56",G84))*56,0)+IFERROR(--ISNUMBER(SEARCH("R57",G84))*57,0)+IFERROR(--ISNUMBER(SEARCH("R58",G84))*58,0)+IFERROR(--ISNUMBER(SEARCH("R59",G84))*59,0)+IFERROR(--ISNUMBER(SEARCH("R60",G84))*60,0)+IFERROR(--ISNUMBER(SEARCH("R61",G84))*61,0)+IFERROR(--ISNUMBER(SEARCH("R62",G84))*62,0)+IFERROR(--ISNUMBER(SEARCH("R63",G84))*63,0)+IFERROR(--ISNUMBER(SEARCH("R64",G84))*64,0)+IFERROR(--ISNUMBER(SEARCH("R65",G84))*65,0)+IFERROR(--ISNUMBER(SEARCH("R66",G84))*66,0)+IFERROR(--ISNUMBER(SEARCH("R67",G84))*67,0)+IFERROR(--ISNUMBER(SEARCH("R68",G84))*68,0)+IFERROR(--ISNUMBER(SEARCH("R69",G84))*69,0)+IFERROR(--ISNUMBER(SEARCH("R70",G84))*70,0)+IFERROR(--ISNUMBER(SEARCH("R71",G84))*71,0)+IFERROR(--ISNUMBER(SEARCH("R72",G84))*72,0)+IFERROR(--ISNUMBER(SEARCH("R73",G84))*73,0)+IFERROR(--ISNUMBER(SEARCH("R74",G84))*74,0)+IFERROR(--ISNUMBER(SEARCH("R75",G84))*75,0)+IFERROR(--ISNUMBER(SEARCH("R76",G84))*76,0)+IFERROR(--ISNUMBER(SEARCH("R77",G84))*77,0)+IFERROR(--ISNUMBER(SEARCH("R78",G84))*78,0)+IFERROR(--ISNUMBER(SEARCH("R79",G84))*79,0)+IFERROR(--ISNUMBER(SEARCH("R80",G84))*80,0)+IFERROR(--ISNUMBER(SEARCH("R81",G84))*81,0)+IFERROR(--ISNUMBER(SEARCH("R82",G84))*82,0)+IFERROR(--ISNUMBER(SEARCH("R83",G84))*83,0)+IFERROR(--ISNUMBER(SEARCH("R84",G84))*84,0)+IFERROR(--ISNUMBER(SEARCH("R85",G84))*85,0)+IFERROR(--ISNUMBER(SEARCH("R86",G84))*86,0)+IFERROR(--ISNUMBER(SEARCH("R87",G84))*87,0)+IFERROR(--ISNUMBER(SEARCH("R88",G84))*88,0)+IFERROR(--ISNUMBER(SEARCH("R89",G84))*89,0)+IFERROR(--ISNUMBER(SEARCH("R90",G84))*90,0)+IFERROR(--ISNUMBER(SEARCH("R91",G84))*91,0)+IFERROR(--ISNUMBER(SEARCH("R92",G84))*92,0)+IFERROR(--ISNUMBER(SEARCH("R93",G84))*93,0)+IFERROR(--ISNUMBER(SEARCH("R94",G84))*94,0)+IFERROR(--ISNUMBER(SEARCH("R95",G84))*95,0)+IFERROR(--ISNUMBER(SEARCH("R96",G84))*96,0)+IFERROR(--ISNUMBER(SEARCH("R97",G84))*97,0)+IFERROR(--ISNUMBER(SEARCH("R98",G84))*98,0)+IFERROR(--ISNUMBER(SEARCH("R99",G84))*99,0)+IFERROR(--ISNUMBER(SEARCH("R100",G84))*100,0)+IFERROR(--ISNUMBER(SEARCH("R101",G84))*101,0)+IFERROR(--ISNUMBER(SEARCH("R102",G84))*102,0)+IFERROR(--ISNUMBER(SEARCH("R103",G84))*103,0)+IFERROR(--ISNUMBER(SEARCH("R104",G84))*104,0)+IFERROR(--ISNUMBER(SEARCH("R105",G84))*105,0)+IFERROR(--ISNUMBER(SEARCH("R106",G84))*106,0)+IFERROR(--ISNUMBER(SEARCH("R107",G84))*107,0)+IFERROR(--ISNUMBER(SEARCH("R108",G84))*108,0)+IFERROR(--ISNUMBER(SEARCH("R109",G84))*109,0)+IFERROR(--ISNUMBER(SEARCH("R110",G84))*110,0)+IFERROR(--ISNUMBER(SEARCH("R111",G84))*111,0)+IFERROR(--ISNUMBER(SEARCH("R112",G84))*112,0)+IFERROR(--ISNUMBER(SEARCH("R113",G84))*113,0)+IFERROR(--ISNUMBER(SEARCH("R114",G84))*114,0)+IFERROR(--ISNUMBER(SEARCH("R115",G84))*115,0)+IFERROR(--ISNUMBER(SEARCH("R116",G84))*116,0)+IFERROR(--ISNUMBER(SEARCH("R117",G84))*117,0)+IFERROR(--ISNUMBER(SEARCH("R118",G84))*118,0)+IFERROR(--ISNUMBER(SEARCH("R119",G84))*119,0)+IFERROR(--ISNUMBER(SEARCH("R120",G84))*120,0)+IFERROR(--ISNUMBER(SEARCH("R121",G84))*121,0)+IFERROR(--ISNUMBER(SEARCH("R122",G84))*122,0)+IFERROR(--ISNUMBER(SEARCH("R123",G84))*123,0)+IFERROR(--ISNUMBER(SEARCH("R124",G84))*124,0)+IFERROR(--ISNUMBER(SEARCH("R125",G84))*125,0)+IFERROR(--ISNUMBER(SEARCH("R126",G84))*126,0)+IFERROR(--ISNUMBER(SEARCH("R127",G84))*127,0)+IFERROR(--ISNUMBER(SEARCH("R128",G84))*128,0)+IFERROR(--ISNUMBER(SEARCH("R129",G84))*129,0)+IFERROR(--ISNUMBER(SEARCH("R130",G84))*130,0)+IFERROR(--ISNUMBER(SEARCH("R131",G84))*131,0)+IFERROR(--ISNUMBER(SEARCH("R132",G84))*132,0)+IFERROR(--ISNUMBER(SEARCH("R133",G84))*133,0)+IFERROR(--ISNUMBER(SEARCH("R134",G84))*134,0)+IFERROR(--ISNUMBER(SEARCH("R135",G84))*135,0)+IFERROR(--ISNUMBER(SEARCH("R136",G84))*136,0)+IFERROR(--ISNUMBER(SEARCH("R137",G84))*137,0)+IFERROR(--ISNUMBER(SEARCH("R138",G84))*138,0)+IFERROR(--ISNUMBER(SEARCH("R139",G84))*139,0)+IFERROR(--ISNUMBER(SEARCH("R140",G84))*140,0)+IFERROR(--ISNUMBER(SEARCH("R141",G84))*141,0))</f>
        <v/>
      </c>
      <c r="V84" s="59">
        <f>IF(A84="","",IF(K84&lt;&gt;"",K84,J84))</f>
        <v/>
      </c>
      <c r="W84" s="59">
        <f>IF(A84="","",IF(AND(V84=29,O84&lt;&gt;"",COUNTIFS($V$6:$V$505,29,$F$6:$F$505,F84,$C$6:$C$505,C84,$O$6:$O$505,"&lt;&gt;")&gt;1),IF(COUNTIFS($V$6:V84,29,$F$6:F84,F84,$C$6:C84,C84,$O$6:O84,"&lt;&gt;")=1,"Esta es la fila que se debe CONSERVAR (aparición 1 de "&amp;COUNTIFS($V$6:$V$505,29,$F$6:$F$505,F84,$C$6:$C$505,C84,$O$6:$O$505,"&lt;&gt;")&amp;" con el mismo tercero y valor, casilla 29). Si hay más filas iguales, bórreles el valor a ELLAS, no a esta.","DUPLICADO — ya existe otra fila con el mismo tercero y valor para casilla 29 (aparición "&amp;COUNTIFS($V$6:V84,29,$F$6:F84,F84,$C$6:C84,C84,$O$6:O84,"&lt;&gt;")&amp;" de "&amp;COUNTIFS($V$6:$V$505,29,$F$6:$F$505,F84,$C$6:$C$505,C84,$O$6:$O$505,"&lt;&gt;")&amp;"). Para resolverlo: seleccione la celda O"&amp;ROW()&amp;" (columna Valor a declarar de ESTA fila) y presione Supr."),""))</f>
        <v/>
      </c>
      <c r="X84" s="463">
        <f>IF(A84="","",F84)</f>
        <v/>
      </c>
      <c r="Y84" s="463">
        <f>IF(A84="","",SUMIF(Entrada_Manual!$I$88:$I$187,A84,Entrada_Manual!$F$88:$F$187))</f>
        <v/>
      </c>
      <c r="Z84" s="463">
        <f>IF(A84="","",X84-Y84)</f>
        <v/>
      </c>
      <c r="AA84">
        <f>IF(A84="","",SUMPRODUCT((Entrada_Manual!$I$88:$I$187=A84)*1))</f>
        <v/>
      </c>
      <c r="AB84">
        <f>IF(A84="","",IF(S84&lt;=1,"",IF(AA84=0,"PENDIENTE — SIN ASIGNAR",IF(Z84=0,"RESUELTO","PARCIAL — DIFERENCIA "&amp;TEXT(Z84,"#,##0")))))</f>
        <v/>
      </c>
    </row>
    <row r="85" ht="14.25" customHeight="1" s="235">
      <c r="A85" s="47">
        <f>IF(Exogena_RAW!E94&lt;&gt;"",ROW()-5,"")</f>
        <v/>
      </c>
      <c r="B85" s="48">
        <f>IF(A85="","",94)</f>
        <v/>
      </c>
      <c r="C85" s="48">
        <f>IF(A85="","",IFERROR(Exogena_RAW!A94,""))</f>
        <v/>
      </c>
      <c r="D85" s="48">
        <f>IF(A85="","",IFERROR(Exogena_RAW!B94,""))</f>
        <v/>
      </c>
      <c r="E85" s="48">
        <f>IF(A85="","",Exogena_RAW!E94)</f>
        <v/>
      </c>
      <c r="F85" s="461">
        <f>IF(A85="","",Exogena_RAW!F94)</f>
        <v/>
      </c>
      <c r="G85" s="48">
        <f>IF(A85="","",IFERROR(Exogena_RAW!G94,""))</f>
        <v/>
      </c>
      <c r="H85" s="48">
        <f>IF(A85="","",IFERROR(Exogena_RAW!H94,""))</f>
        <v/>
      </c>
      <c r="I85" s="48">
        <f>IF(A85="","",IFERROR(IF(S85&gt;1,"VARIAS CASILLAS",IF(S85=1,IF(T85=1,"PROPUESTA DE CASILLA","REVISIÓN: CASILLA NO DIRECTA"),IF(OR(ISNUMBER(SEARCH("TOPE",UPPER(E85))),ISNUMBER(SEARCH("TOPE",UPPER(G85)))),"SOLO CONTROL",IF(ISNUMBER(SEARCH("RETEN",UPPER(E85))),"RETENCIÓN","REVISAR")))),"REVISAR"))</f>
        <v/>
      </c>
      <c r="J85" s="48">
        <f>IF(A85="","",IF(ISNUMBER(SEARCH("ingreso laboral promedio de los últimos seis meses",E85)),"",IFERROR(IF(AND(S85=1,T85=1),U85,""),"")))</f>
        <v/>
      </c>
      <c r="K85" s="216" t="n"/>
      <c r="L85" s="48">
        <f>IF(A85="","",IFERROR(IF(K85&lt;&gt;"","Casilla elegida por usuario",IF(S85&gt;1,"Varias casillas — elegir en K",IF(J85&lt;&gt;"","Sugerencia directa",IF(S85=1,"No trasladar directo — revisar",IF(OR(ISNUMBER(SEARCH("TOPE",UPPER(E85))),ISNUMBER(SEARCH("TOPE",UPPER(G85)))),"Solo control","Revisar manualmente"))))),"Revisar manualmente"))</f>
        <v/>
      </c>
      <c r="M85" s="461">
        <f>IF(A85="","",IF(IF(K85&lt;&gt;"",K85,J85)="",0,IF(COUNTIFS(Reglas!$I$5:$I$118,IF(K85&lt;&gt;"",K85,J85),Reglas!$J$5:$J$118,"Sí")=1,F85,0)))</f>
        <v/>
      </c>
      <c r="N85" s="56" t="n"/>
      <c r="O85" s="462">
        <f>IF(A85="","",IF(M85=0,"",M85))</f>
        <v/>
      </c>
      <c r="P85" s="461">
        <f>IF(A85="","",IF(O85="",0,IF(ISNUMBER(O85),O85,0)))</f>
        <v/>
      </c>
      <c r="Q85" s="48">
        <f>IF(A85="","",IF(Exogena_RAW!$C$4="","BLOQUEADO: FALTA AÑO",IF(Exogena_RAW!$K$10&lt;&gt;Reglas!$B$5,"BLOQUEADO: AÑO",IF(IF(K85&lt;&gt;"",K85,J85)="",IF(S85&gt;1,"REQUIERE ASIGNACIÓN MANUAL (VARIAS CASILLAS)","INFORMATIVO (sin casilla — no se declara)"),IF(COUNTIFS(Reglas!$I$5:$I$118,IF(K85&lt;&gt;"",K85,J85),Reglas!$J$5:$J$118,"Sí")=0,"BLOQUEADO: CASILLA NO DIRECTA",IF(O85="","EXCLUIDO (valor borrado por el usuario)",IF(_xlfn.ISFORMULA(O85),IF(W85&lt;&gt;"","BORRADOR — VALOR SUGERIDO DIAN ⚠ VER ALERTA","BORRADOR — VALOR SUGERIDO DIAN"),IF(W85&lt;&gt;"","ACEPTADO ⚠ VER ALERTA","ACEPTADO"))))))))</f>
        <v/>
      </c>
      <c r="R85" s="218" t="n"/>
      <c r="S85" s="58">
        <f>IF(A85="","",IFERROR(--ISNUMBER(SEARCH("R28",G85)),0)+IFERROR(--ISNUMBER(SEARCH("R29",G85)),0)+IFERROR(--ISNUMBER(SEARCH("R30",G85)),0)+IFERROR(--ISNUMBER(SEARCH("R31",G85)),0)+IFERROR(--ISNUMBER(SEARCH("R32",G85)),0)+IFERROR(--ISNUMBER(SEARCH("R33",G85)),0)+IFERROR(--ISNUMBER(SEARCH("R34",G85)),0)+IFERROR(--ISNUMBER(SEARCH("R35",G85)),0)+IFERROR(--ISNUMBER(SEARCH("R36",G85)),0)+IFERROR(--ISNUMBER(SEARCH("R37",G85)),0)+IFERROR(--ISNUMBER(SEARCH("R38",G85)),0)+IFERROR(--ISNUMBER(SEARCH("R39",G85)),0)+IFERROR(--ISNUMBER(SEARCH("R40",G85)),0)+IFERROR(--ISNUMBER(SEARCH("R41",G85)),0)+IFERROR(--ISNUMBER(SEARCH("R42",G85)),0)+IFERROR(--ISNUMBER(SEARCH("R43",G85)),0)+IFERROR(--ISNUMBER(SEARCH("R44",G85)),0)+IFERROR(--ISNUMBER(SEARCH("R45",G85)),0)+IFERROR(--ISNUMBER(SEARCH("R46",G85)),0)+IFERROR(--ISNUMBER(SEARCH("R47",G85)),0)+IFERROR(--ISNUMBER(SEARCH("R48",G85)),0)+IFERROR(--ISNUMBER(SEARCH("R49",G85)),0)+IFERROR(--ISNUMBER(SEARCH("R50",G85)),0)+IFERROR(--ISNUMBER(SEARCH("R51",G85)),0)+IFERROR(--ISNUMBER(SEARCH("R52",G85)),0)+IFERROR(--ISNUMBER(SEARCH("R53",G85)),0)+IFERROR(--ISNUMBER(SEARCH("R54",G85)),0)+IFERROR(--ISNUMBER(SEARCH("R55",G85)),0)+IFERROR(--ISNUMBER(SEARCH("R56",G85)),0)+IFERROR(--ISNUMBER(SEARCH("R57",G85)),0)+IFERROR(--ISNUMBER(SEARCH("R58",G85)),0)+IFERROR(--ISNUMBER(SEARCH("R59",G85)),0)+IFERROR(--ISNUMBER(SEARCH("R60",G85)),0)+IFERROR(--ISNUMBER(SEARCH("R61",G85)),0)+IFERROR(--ISNUMBER(SEARCH("R62",G85)),0)+IFERROR(--ISNUMBER(SEARCH("R63",G85)),0)+IFERROR(--ISNUMBER(SEARCH("R64",G85)),0)+IFERROR(--ISNUMBER(SEARCH("R65",G85)),0)+IFERROR(--ISNUMBER(SEARCH("R66",G85)),0)+IFERROR(--ISNUMBER(SEARCH("R67",G85)),0)+IFERROR(--ISNUMBER(SEARCH("R68",G85)),0)+IFERROR(--ISNUMBER(SEARCH("R69",G85)),0)+IFERROR(--ISNUMBER(SEARCH("R70",G85)),0)+IFERROR(--ISNUMBER(SEARCH("R71",G85)),0)+IFERROR(--ISNUMBER(SEARCH("R72",G85)),0)+IFERROR(--ISNUMBER(SEARCH("R73",G85)),0)+IFERROR(--ISNUMBER(SEARCH("R74",G85)),0)+IFERROR(--ISNUMBER(SEARCH("R75",G85)),0)+IFERROR(--ISNUMBER(SEARCH("R76",G85)),0)+IFERROR(--ISNUMBER(SEARCH("R77",G85)),0)+IFERROR(--ISNUMBER(SEARCH("R78",G85)),0)+IFERROR(--ISNUMBER(SEARCH("R79",G85)),0)+IFERROR(--ISNUMBER(SEARCH("R80",G85)),0)+IFERROR(--ISNUMBER(SEARCH("R81",G85)),0)+IFERROR(--ISNUMBER(SEARCH("R82",G85)),0)+IFERROR(--ISNUMBER(SEARCH("R83",G85)),0)+IFERROR(--ISNUMBER(SEARCH("R84",G85)),0)+IFERROR(--ISNUMBER(SEARCH("R85",G85)),0)+IFERROR(--ISNUMBER(SEARCH("R86",G85)),0)+IFERROR(--ISNUMBER(SEARCH("R87",G85)),0)+IFERROR(--ISNUMBER(SEARCH("R88",G85)),0)+IFERROR(--ISNUMBER(SEARCH("R89",G85)),0)+IFERROR(--ISNUMBER(SEARCH("R90",G85)),0)+IFERROR(--ISNUMBER(SEARCH("R91",G85)),0)+IFERROR(--ISNUMBER(SEARCH("R92",G85)),0)+IFERROR(--ISNUMBER(SEARCH("R93",G85)),0)+IFERROR(--ISNUMBER(SEARCH("R94",G85)),0)+IFERROR(--ISNUMBER(SEARCH("R95",G85)),0)+IFERROR(--ISNUMBER(SEARCH("R96",G85)),0)+IFERROR(--ISNUMBER(SEARCH("R97",G85)),0)+IFERROR(--ISNUMBER(SEARCH("R98",G85)),0)+IFERROR(--ISNUMBER(SEARCH("R99",G85)),0)+IFERROR(--ISNUMBER(SEARCH("R100",G85)),0)+IFERROR(--ISNUMBER(SEARCH("R101",G85)),0)+IFERROR(--ISNUMBER(SEARCH("R102",G85)),0)+IFERROR(--ISNUMBER(SEARCH("R103",G85)),0)+IFERROR(--ISNUMBER(SEARCH("R104",G85)),0)+IFERROR(--ISNUMBER(SEARCH("R105",G85)),0)+IFERROR(--ISNUMBER(SEARCH("R106",G85)),0)+IFERROR(--ISNUMBER(SEARCH("R107",G85)),0)+IFERROR(--ISNUMBER(SEARCH("R108",G85)),0)+IFERROR(--ISNUMBER(SEARCH("R109",G85)),0)+IFERROR(--ISNUMBER(SEARCH("R110",G85)),0)+IFERROR(--ISNUMBER(SEARCH("R111",G85)),0)+IFERROR(--ISNUMBER(SEARCH("R112",G85)),0)+IFERROR(--ISNUMBER(SEARCH("R113",G85)),0)+IFERROR(--ISNUMBER(SEARCH("R114",G85)),0)+IFERROR(--ISNUMBER(SEARCH("R115",G85)),0)+IFERROR(--ISNUMBER(SEARCH("R116",G85)),0)+IFERROR(--ISNUMBER(SEARCH("R117",G85)),0)+IFERROR(--ISNUMBER(SEARCH("R118",G85)),0)+IFERROR(--ISNUMBER(SEARCH("R119",G85)),0)+IFERROR(--ISNUMBER(SEARCH("R120",G85)),0)+IFERROR(--ISNUMBER(SEARCH("R121",G85)),0)+IFERROR(--ISNUMBER(SEARCH("R122",G85)),0)+IFERROR(--ISNUMBER(SEARCH("R123",G85)),0)+IFERROR(--ISNUMBER(SEARCH("R124",G85)),0)+IFERROR(--ISNUMBER(SEARCH("R125",G85)),0)+IFERROR(--ISNUMBER(SEARCH("R126",G85)),0)+IFERROR(--ISNUMBER(SEARCH("R127",G85)),0)+IFERROR(--ISNUMBER(SEARCH("R128",G85)),0)+IFERROR(--ISNUMBER(SEARCH("R129",G85)),0)+IFERROR(--ISNUMBER(SEARCH("R130",G85)),0)+IFERROR(--ISNUMBER(SEARCH("R131",G85)),0)+IFERROR(--ISNUMBER(SEARCH("R132",G85)),0)+IFERROR(--ISNUMBER(SEARCH("R133",G85)),0)+IFERROR(--ISNUMBER(SEARCH("R134",G85)),0)+IFERROR(--ISNUMBER(SEARCH("R135",G85)),0)+IFERROR(--ISNUMBER(SEARCH("R136",G85)),0)+IFERROR(--ISNUMBER(SEARCH("R137",G85)),0)+IFERROR(--ISNUMBER(SEARCH("R138",G85)),0)+IFERROR(--ISNUMBER(SEARCH("R139",G85)),0)+IFERROR(--ISNUMBER(SEARCH("R140",G85)),0)+IFERROR(--ISNUMBER(SEARCH("R141",G85)),0))</f>
        <v/>
      </c>
      <c r="T85" s="58">
        <f>IF(A85="","",IFERROR(--ISNUMBER(SEARCH("R28",G85)),0)+IFERROR(--ISNUMBER(SEARCH("R29",G85)),0)+IFERROR(--ISNUMBER(SEARCH("R30",G85)),0)+IFERROR(--ISNUMBER(SEARCH("R32",G85)),0)+IFERROR(--ISNUMBER(SEARCH("R33",G85)),0)+IFERROR(--ISNUMBER(SEARCH("R35",G85)),0)+IFERROR(--ISNUMBER(SEARCH("R36",G85)),0)+IFERROR(--ISNUMBER(SEARCH("R38",G85)),0)+IFERROR(--ISNUMBER(SEARCH("R39",G85)),0)+IFERROR(--ISNUMBER(SEARCH("R43",G85)),0)+IFERROR(--ISNUMBER(SEARCH("R44",G85)),0)+IFERROR(--ISNUMBER(SEARCH("R45",G85)),0)+IFERROR(--ISNUMBER(SEARCH("R47",G85)),0)+IFERROR(--ISNUMBER(SEARCH("R48",G85)),0)+IFERROR(--ISNUMBER(SEARCH("R50",G85)),0)+IFERROR(--ISNUMBER(SEARCH("R51",G85)),0)+IFERROR(--ISNUMBER(SEARCH("R56",G85)),0)+IFERROR(--ISNUMBER(SEARCH("R58",G85)),0)+IFERROR(--ISNUMBER(SEARCH("R59",G85)),0)+IFERROR(--ISNUMBER(SEARCH("R60",G85)),0)+IFERROR(--ISNUMBER(SEARCH("R62",G85)),0)+IFERROR(--ISNUMBER(SEARCH("R63",G85)),0)+IFERROR(--ISNUMBER(SEARCH("R64",G85)),0)+IFERROR(--ISNUMBER(SEARCH("R66",G85)),0)+IFERROR(--ISNUMBER(SEARCH("R67",G85)),0)+IFERROR(--ISNUMBER(SEARCH("R72",G85)),0)+IFERROR(--ISNUMBER(SEARCH("R74",G85)),0)+IFERROR(--ISNUMBER(SEARCH("R75",G85)),0)+IFERROR(--ISNUMBER(SEARCH("R76",G85)),0)+IFERROR(--ISNUMBER(SEARCH("R77",G85)),0)+IFERROR(--ISNUMBER(SEARCH("R79",G85)),0)+IFERROR(--ISNUMBER(SEARCH("R80",G85)),0)+IFERROR(--ISNUMBER(SEARCH("R81",G85)),0)+IFERROR(--ISNUMBER(SEARCH("R83",G85)),0)+IFERROR(--ISNUMBER(SEARCH("R84",G85)),0)+IFERROR(--ISNUMBER(SEARCH("R89",G85)),0)+IFERROR(--ISNUMBER(SEARCH("R94",G85)),0)+IFERROR(--ISNUMBER(SEARCH("R95",G85)),0)+IFERROR(--ISNUMBER(SEARCH("R96",G85)),0)+IFERROR(--ISNUMBER(SEARCH("R98",G85)),0)+IFERROR(--ISNUMBER(SEARCH("R99",G85)),0)+IFERROR(--ISNUMBER(SEARCH("R100",G85)),0)+IFERROR(--ISNUMBER(SEARCH("R104",G85)),0)+IFERROR(--ISNUMBER(SEARCH("R105",G85)),0)+IFERROR(--ISNUMBER(SEARCH("R107",G85)),0)+IFERROR(--ISNUMBER(SEARCH("R108",G85)),0)+IFERROR(--ISNUMBER(SEARCH("R109",G85)),0)+IFERROR(--ISNUMBER(SEARCH("R110",G85)),0)+IFERROR(--ISNUMBER(SEARCH("R112",G85)),0)+IFERROR(--ISNUMBER(SEARCH("R113",G85)),0)+IFERROR(--ISNUMBER(SEARCH("R114",G85)),0)+IFERROR(--ISNUMBER(SEARCH("R118",G85)),0)+IFERROR(--ISNUMBER(SEARCH("R119",G85)),0)+IFERROR(--ISNUMBER(SEARCH("R120",G85)),0)+IFERROR(--ISNUMBER(SEARCH("R122",G85)),0)+IFERROR(--ISNUMBER(SEARCH("R123",G85)),0)+IFERROR(--ISNUMBER(SEARCH("R124",G85)),0)+IFERROR(--ISNUMBER(SEARCH("R128",G85)),0)+IFERROR(--ISNUMBER(SEARCH("R130",G85)),0)+IFERROR(--ISNUMBER(SEARCH("R131",G85)),0)+IFERROR(--ISNUMBER(SEARCH("R132",G85)),0)+IFERROR(--ISNUMBER(SEARCH("R135",G85)),0)+IFERROR(--ISNUMBER(SEARCH("R138",G85)),0)+IFERROR(--ISNUMBER(SEARCH("R141",G85)),0))</f>
        <v/>
      </c>
      <c r="U85" s="58">
        <f>IF(A85="","",IFERROR(--ISNUMBER(SEARCH("R28",G85))*28,0)+IFERROR(--ISNUMBER(SEARCH("R29",G85))*29,0)+IFERROR(--ISNUMBER(SEARCH("R30",G85))*30,0)+IFERROR(--ISNUMBER(SEARCH("R31",G85))*31,0)+IFERROR(--ISNUMBER(SEARCH("R32",G85))*32,0)+IFERROR(--ISNUMBER(SEARCH("R33",G85))*33,0)+IFERROR(--ISNUMBER(SEARCH("R34",G85))*34,0)+IFERROR(--ISNUMBER(SEARCH("R35",G85))*35,0)+IFERROR(--ISNUMBER(SEARCH("R36",G85))*36,0)+IFERROR(--ISNUMBER(SEARCH("R37",G85))*37,0)+IFERROR(--ISNUMBER(SEARCH("R38",G85))*38,0)+IFERROR(--ISNUMBER(SEARCH("R39",G85))*39,0)+IFERROR(--ISNUMBER(SEARCH("R40",G85))*40,0)+IFERROR(--ISNUMBER(SEARCH("R41",G85))*41,0)+IFERROR(--ISNUMBER(SEARCH("R42",G85))*42,0)+IFERROR(--ISNUMBER(SEARCH("R43",G85))*43,0)+IFERROR(--ISNUMBER(SEARCH("R44",G85))*44,0)+IFERROR(--ISNUMBER(SEARCH("R45",G85))*45,0)+IFERROR(--ISNUMBER(SEARCH("R46",G85))*46,0)+IFERROR(--ISNUMBER(SEARCH("R47",G85))*47,0)+IFERROR(--ISNUMBER(SEARCH("R48",G85))*48,0)+IFERROR(--ISNUMBER(SEARCH("R49",G85))*49,0)+IFERROR(--ISNUMBER(SEARCH("R50",G85))*50,0)+IFERROR(--ISNUMBER(SEARCH("R51",G85))*51,0)+IFERROR(--ISNUMBER(SEARCH("R52",G85))*52,0)+IFERROR(--ISNUMBER(SEARCH("R53",G85))*53,0)+IFERROR(--ISNUMBER(SEARCH("R54",G85))*54,0)+IFERROR(--ISNUMBER(SEARCH("R55",G85))*55,0)+IFERROR(--ISNUMBER(SEARCH("R56",G85))*56,0)+IFERROR(--ISNUMBER(SEARCH("R57",G85))*57,0)+IFERROR(--ISNUMBER(SEARCH("R58",G85))*58,0)+IFERROR(--ISNUMBER(SEARCH("R59",G85))*59,0)+IFERROR(--ISNUMBER(SEARCH("R60",G85))*60,0)+IFERROR(--ISNUMBER(SEARCH("R61",G85))*61,0)+IFERROR(--ISNUMBER(SEARCH("R62",G85))*62,0)+IFERROR(--ISNUMBER(SEARCH("R63",G85))*63,0)+IFERROR(--ISNUMBER(SEARCH("R64",G85))*64,0)+IFERROR(--ISNUMBER(SEARCH("R65",G85))*65,0)+IFERROR(--ISNUMBER(SEARCH("R66",G85))*66,0)+IFERROR(--ISNUMBER(SEARCH("R67",G85))*67,0)+IFERROR(--ISNUMBER(SEARCH("R68",G85))*68,0)+IFERROR(--ISNUMBER(SEARCH("R69",G85))*69,0)+IFERROR(--ISNUMBER(SEARCH("R70",G85))*70,0)+IFERROR(--ISNUMBER(SEARCH("R71",G85))*71,0)+IFERROR(--ISNUMBER(SEARCH("R72",G85))*72,0)+IFERROR(--ISNUMBER(SEARCH("R73",G85))*73,0)+IFERROR(--ISNUMBER(SEARCH("R74",G85))*74,0)+IFERROR(--ISNUMBER(SEARCH("R75",G85))*75,0)+IFERROR(--ISNUMBER(SEARCH("R76",G85))*76,0)+IFERROR(--ISNUMBER(SEARCH("R77",G85))*77,0)+IFERROR(--ISNUMBER(SEARCH("R78",G85))*78,0)+IFERROR(--ISNUMBER(SEARCH("R79",G85))*79,0)+IFERROR(--ISNUMBER(SEARCH("R80",G85))*80,0)+IFERROR(--ISNUMBER(SEARCH("R81",G85))*81,0)+IFERROR(--ISNUMBER(SEARCH("R82",G85))*82,0)+IFERROR(--ISNUMBER(SEARCH("R83",G85))*83,0)+IFERROR(--ISNUMBER(SEARCH("R84",G85))*84,0)+IFERROR(--ISNUMBER(SEARCH("R85",G85))*85,0)+IFERROR(--ISNUMBER(SEARCH("R86",G85))*86,0)+IFERROR(--ISNUMBER(SEARCH("R87",G85))*87,0)+IFERROR(--ISNUMBER(SEARCH("R88",G85))*88,0)+IFERROR(--ISNUMBER(SEARCH("R89",G85))*89,0)+IFERROR(--ISNUMBER(SEARCH("R90",G85))*90,0)+IFERROR(--ISNUMBER(SEARCH("R91",G85))*91,0)+IFERROR(--ISNUMBER(SEARCH("R92",G85))*92,0)+IFERROR(--ISNUMBER(SEARCH("R93",G85))*93,0)+IFERROR(--ISNUMBER(SEARCH("R94",G85))*94,0)+IFERROR(--ISNUMBER(SEARCH("R95",G85))*95,0)+IFERROR(--ISNUMBER(SEARCH("R96",G85))*96,0)+IFERROR(--ISNUMBER(SEARCH("R97",G85))*97,0)+IFERROR(--ISNUMBER(SEARCH("R98",G85))*98,0)+IFERROR(--ISNUMBER(SEARCH("R99",G85))*99,0)+IFERROR(--ISNUMBER(SEARCH("R100",G85))*100,0)+IFERROR(--ISNUMBER(SEARCH("R101",G85))*101,0)+IFERROR(--ISNUMBER(SEARCH("R102",G85))*102,0)+IFERROR(--ISNUMBER(SEARCH("R103",G85))*103,0)+IFERROR(--ISNUMBER(SEARCH("R104",G85))*104,0)+IFERROR(--ISNUMBER(SEARCH("R105",G85))*105,0)+IFERROR(--ISNUMBER(SEARCH("R106",G85))*106,0)+IFERROR(--ISNUMBER(SEARCH("R107",G85))*107,0)+IFERROR(--ISNUMBER(SEARCH("R108",G85))*108,0)+IFERROR(--ISNUMBER(SEARCH("R109",G85))*109,0)+IFERROR(--ISNUMBER(SEARCH("R110",G85))*110,0)+IFERROR(--ISNUMBER(SEARCH("R111",G85))*111,0)+IFERROR(--ISNUMBER(SEARCH("R112",G85))*112,0)+IFERROR(--ISNUMBER(SEARCH("R113",G85))*113,0)+IFERROR(--ISNUMBER(SEARCH("R114",G85))*114,0)+IFERROR(--ISNUMBER(SEARCH("R115",G85))*115,0)+IFERROR(--ISNUMBER(SEARCH("R116",G85))*116,0)+IFERROR(--ISNUMBER(SEARCH("R117",G85))*117,0)+IFERROR(--ISNUMBER(SEARCH("R118",G85))*118,0)+IFERROR(--ISNUMBER(SEARCH("R119",G85))*119,0)+IFERROR(--ISNUMBER(SEARCH("R120",G85))*120,0)+IFERROR(--ISNUMBER(SEARCH("R121",G85))*121,0)+IFERROR(--ISNUMBER(SEARCH("R122",G85))*122,0)+IFERROR(--ISNUMBER(SEARCH("R123",G85))*123,0)+IFERROR(--ISNUMBER(SEARCH("R124",G85))*124,0)+IFERROR(--ISNUMBER(SEARCH("R125",G85))*125,0)+IFERROR(--ISNUMBER(SEARCH("R126",G85))*126,0)+IFERROR(--ISNUMBER(SEARCH("R127",G85))*127,0)+IFERROR(--ISNUMBER(SEARCH("R128",G85))*128,0)+IFERROR(--ISNUMBER(SEARCH("R129",G85))*129,0)+IFERROR(--ISNUMBER(SEARCH("R130",G85))*130,0)+IFERROR(--ISNUMBER(SEARCH("R131",G85))*131,0)+IFERROR(--ISNUMBER(SEARCH("R132",G85))*132,0)+IFERROR(--ISNUMBER(SEARCH("R133",G85))*133,0)+IFERROR(--ISNUMBER(SEARCH("R134",G85))*134,0)+IFERROR(--ISNUMBER(SEARCH("R135",G85))*135,0)+IFERROR(--ISNUMBER(SEARCH("R136",G85))*136,0)+IFERROR(--ISNUMBER(SEARCH("R137",G85))*137,0)+IFERROR(--ISNUMBER(SEARCH("R138",G85))*138,0)+IFERROR(--ISNUMBER(SEARCH("R139",G85))*139,0)+IFERROR(--ISNUMBER(SEARCH("R140",G85))*140,0)+IFERROR(--ISNUMBER(SEARCH("R141",G85))*141,0))</f>
        <v/>
      </c>
      <c r="V85" s="59">
        <f>IF(A85="","",IF(K85&lt;&gt;"",K85,J85))</f>
        <v/>
      </c>
      <c r="W85" s="59">
        <f>IF(A85="","",IF(AND(V85=29,O85&lt;&gt;"",COUNTIFS($V$6:$V$505,29,$F$6:$F$505,F85,$C$6:$C$505,C85,$O$6:$O$505,"&lt;&gt;")&gt;1),IF(COUNTIFS($V$6:V85,29,$F$6:F85,F85,$C$6:C85,C85,$O$6:O85,"&lt;&gt;")=1,"Esta es la fila que se debe CONSERVAR (aparición 1 de "&amp;COUNTIFS($V$6:$V$505,29,$F$6:$F$505,F85,$C$6:$C$505,C85,$O$6:$O$505,"&lt;&gt;")&amp;" con el mismo tercero y valor, casilla 29). Si hay más filas iguales, bórreles el valor a ELLAS, no a esta.","DUPLICADO — ya existe otra fila con el mismo tercero y valor para casilla 29 (aparición "&amp;COUNTIFS($V$6:V85,29,$F$6:F85,F85,$C$6:C85,C85,$O$6:O85,"&lt;&gt;")&amp;" de "&amp;COUNTIFS($V$6:$V$505,29,$F$6:$F$505,F85,$C$6:$C$505,C85,$O$6:$O$505,"&lt;&gt;")&amp;"). Para resolverlo: seleccione la celda O"&amp;ROW()&amp;" (columna Valor a declarar de ESTA fila) y presione Supr."),""))</f>
        <v/>
      </c>
      <c r="X85" s="463">
        <f>IF(A85="","",F85)</f>
        <v/>
      </c>
      <c r="Y85" s="463">
        <f>IF(A85="","",SUMIF(Entrada_Manual!$I$88:$I$187,A85,Entrada_Manual!$F$88:$F$187))</f>
        <v/>
      </c>
      <c r="Z85" s="463">
        <f>IF(A85="","",X85-Y85)</f>
        <v/>
      </c>
      <c r="AA85">
        <f>IF(A85="","",SUMPRODUCT((Entrada_Manual!$I$88:$I$187=A85)*1))</f>
        <v/>
      </c>
      <c r="AB85">
        <f>IF(A85="","",IF(S85&lt;=1,"",IF(AA85=0,"PENDIENTE — SIN ASIGNAR",IF(Z85=0,"RESUELTO","PARCIAL — DIFERENCIA "&amp;TEXT(Z85,"#,##0")))))</f>
        <v/>
      </c>
    </row>
    <row r="86" ht="14.25" customHeight="1" s="235">
      <c r="A86" s="47">
        <f>IF(Exogena_RAW!E95&lt;&gt;"",ROW()-5,"")</f>
        <v/>
      </c>
      <c r="B86" s="48">
        <f>IF(A86="","",95)</f>
        <v/>
      </c>
      <c r="C86" s="48">
        <f>IF(A86="","",IFERROR(Exogena_RAW!A95,""))</f>
        <v/>
      </c>
      <c r="D86" s="48">
        <f>IF(A86="","",IFERROR(Exogena_RAW!B95,""))</f>
        <v/>
      </c>
      <c r="E86" s="48">
        <f>IF(A86="","",Exogena_RAW!E95)</f>
        <v/>
      </c>
      <c r="F86" s="461">
        <f>IF(A86="","",Exogena_RAW!F95)</f>
        <v/>
      </c>
      <c r="G86" s="48">
        <f>IF(A86="","",IFERROR(Exogena_RAW!G95,""))</f>
        <v/>
      </c>
      <c r="H86" s="48">
        <f>IF(A86="","",IFERROR(Exogena_RAW!H95,""))</f>
        <v/>
      </c>
      <c r="I86" s="48">
        <f>IF(A86="","",IFERROR(IF(S86&gt;1,"VARIAS CASILLAS",IF(S86=1,IF(T86=1,"PROPUESTA DE CASILLA","REVISIÓN: CASILLA NO DIRECTA"),IF(OR(ISNUMBER(SEARCH("TOPE",UPPER(E86))),ISNUMBER(SEARCH("TOPE",UPPER(G86)))),"SOLO CONTROL",IF(ISNUMBER(SEARCH("RETEN",UPPER(E86))),"RETENCIÓN","REVISAR")))),"REVISAR"))</f>
        <v/>
      </c>
      <c r="J86" s="48">
        <f>IF(A86="","",IF(ISNUMBER(SEARCH("ingreso laboral promedio de los últimos seis meses",E86)),"",IFERROR(IF(AND(S86=1,T86=1),U86,""),"")))</f>
        <v/>
      </c>
      <c r="K86" s="216" t="n"/>
      <c r="L86" s="48">
        <f>IF(A86="","",IFERROR(IF(K86&lt;&gt;"","Casilla elegida por usuario",IF(S86&gt;1,"Varias casillas — elegir en K",IF(J86&lt;&gt;"","Sugerencia directa",IF(S86=1,"No trasladar directo — revisar",IF(OR(ISNUMBER(SEARCH("TOPE",UPPER(E86))),ISNUMBER(SEARCH("TOPE",UPPER(G86)))),"Solo control","Revisar manualmente"))))),"Revisar manualmente"))</f>
        <v/>
      </c>
      <c r="M86" s="461">
        <f>IF(A86="","",IF(IF(K86&lt;&gt;"",K86,J86)="",0,IF(COUNTIFS(Reglas!$I$5:$I$118,IF(K86&lt;&gt;"",K86,J86),Reglas!$J$5:$J$118,"Sí")=1,F86,0)))</f>
        <v/>
      </c>
      <c r="N86" s="56" t="n"/>
      <c r="O86" s="462">
        <f>IF(A86="","",IF(M86=0,"",M86))</f>
        <v/>
      </c>
      <c r="P86" s="461">
        <f>IF(A86="","",IF(O86="",0,IF(ISNUMBER(O86),O86,0)))</f>
        <v/>
      </c>
      <c r="Q86" s="48">
        <f>IF(A86="","",IF(Exogena_RAW!$C$4="","BLOQUEADO: FALTA AÑO",IF(Exogena_RAW!$K$10&lt;&gt;Reglas!$B$5,"BLOQUEADO: AÑO",IF(IF(K86&lt;&gt;"",K86,J86)="",IF(S86&gt;1,"REQUIERE ASIGNACIÓN MANUAL (VARIAS CASILLAS)","INFORMATIVO (sin casilla — no se declara)"),IF(COUNTIFS(Reglas!$I$5:$I$118,IF(K86&lt;&gt;"",K86,J86),Reglas!$J$5:$J$118,"Sí")=0,"BLOQUEADO: CASILLA NO DIRECTA",IF(O86="","EXCLUIDO (valor borrado por el usuario)",IF(_xlfn.ISFORMULA(O86),IF(W86&lt;&gt;"","BORRADOR — VALOR SUGERIDO DIAN ⚠ VER ALERTA","BORRADOR — VALOR SUGERIDO DIAN"),IF(W86&lt;&gt;"","ACEPTADO ⚠ VER ALERTA","ACEPTADO"))))))))</f>
        <v/>
      </c>
      <c r="R86" s="218" t="n"/>
      <c r="S86" s="58">
        <f>IF(A86="","",IFERROR(--ISNUMBER(SEARCH("R28",G86)),0)+IFERROR(--ISNUMBER(SEARCH("R29",G86)),0)+IFERROR(--ISNUMBER(SEARCH("R30",G86)),0)+IFERROR(--ISNUMBER(SEARCH("R31",G86)),0)+IFERROR(--ISNUMBER(SEARCH("R32",G86)),0)+IFERROR(--ISNUMBER(SEARCH("R33",G86)),0)+IFERROR(--ISNUMBER(SEARCH("R34",G86)),0)+IFERROR(--ISNUMBER(SEARCH("R35",G86)),0)+IFERROR(--ISNUMBER(SEARCH("R36",G86)),0)+IFERROR(--ISNUMBER(SEARCH("R37",G86)),0)+IFERROR(--ISNUMBER(SEARCH("R38",G86)),0)+IFERROR(--ISNUMBER(SEARCH("R39",G86)),0)+IFERROR(--ISNUMBER(SEARCH("R40",G86)),0)+IFERROR(--ISNUMBER(SEARCH("R41",G86)),0)+IFERROR(--ISNUMBER(SEARCH("R42",G86)),0)+IFERROR(--ISNUMBER(SEARCH("R43",G86)),0)+IFERROR(--ISNUMBER(SEARCH("R44",G86)),0)+IFERROR(--ISNUMBER(SEARCH("R45",G86)),0)+IFERROR(--ISNUMBER(SEARCH("R46",G86)),0)+IFERROR(--ISNUMBER(SEARCH("R47",G86)),0)+IFERROR(--ISNUMBER(SEARCH("R48",G86)),0)+IFERROR(--ISNUMBER(SEARCH("R49",G86)),0)+IFERROR(--ISNUMBER(SEARCH("R50",G86)),0)+IFERROR(--ISNUMBER(SEARCH("R51",G86)),0)+IFERROR(--ISNUMBER(SEARCH("R52",G86)),0)+IFERROR(--ISNUMBER(SEARCH("R53",G86)),0)+IFERROR(--ISNUMBER(SEARCH("R54",G86)),0)+IFERROR(--ISNUMBER(SEARCH("R55",G86)),0)+IFERROR(--ISNUMBER(SEARCH("R56",G86)),0)+IFERROR(--ISNUMBER(SEARCH("R57",G86)),0)+IFERROR(--ISNUMBER(SEARCH("R58",G86)),0)+IFERROR(--ISNUMBER(SEARCH("R59",G86)),0)+IFERROR(--ISNUMBER(SEARCH("R60",G86)),0)+IFERROR(--ISNUMBER(SEARCH("R61",G86)),0)+IFERROR(--ISNUMBER(SEARCH("R62",G86)),0)+IFERROR(--ISNUMBER(SEARCH("R63",G86)),0)+IFERROR(--ISNUMBER(SEARCH("R64",G86)),0)+IFERROR(--ISNUMBER(SEARCH("R65",G86)),0)+IFERROR(--ISNUMBER(SEARCH("R66",G86)),0)+IFERROR(--ISNUMBER(SEARCH("R67",G86)),0)+IFERROR(--ISNUMBER(SEARCH("R68",G86)),0)+IFERROR(--ISNUMBER(SEARCH("R69",G86)),0)+IFERROR(--ISNUMBER(SEARCH("R70",G86)),0)+IFERROR(--ISNUMBER(SEARCH("R71",G86)),0)+IFERROR(--ISNUMBER(SEARCH("R72",G86)),0)+IFERROR(--ISNUMBER(SEARCH("R73",G86)),0)+IFERROR(--ISNUMBER(SEARCH("R74",G86)),0)+IFERROR(--ISNUMBER(SEARCH("R75",G86)),0)+IFERROR(--ISNUMBER(SEARCH("R76",G86)),0)+IFERROR(--ISNUMBER(SEARCH("R77",G86)),0)+IFERROR(--ISNUMBER(SEARCH("R78",G86)),0)+IFERROR(--ISNUMBER(SEARCH("R79",G86)),0)+IFERROR(--ISNUMBER(SEARCH("R80",G86)),0)+IFERROR(--ISNUMBER(SEARCH("R81",G86)),0)+IFERROR(--ISNUMBER(SEARCH("R82",G86)),0)+IFERROR(--ISNUMBER(SEARCH("R83",G86)),0)+IFERROR(--ISNUMBER(SEARCH("R84",G86)),0)+IFERROR(--ISNUMBER(SEARCH("R85",G86)),0)+IFERROR(--ISNUMBER(SEARCH("R86",G86)),0)+IFERROR(--ISNUMBER(SEARCH("R87",G86)),0)+IFERROR(--ISNUMBER(SEARCH("R88",G86)),0)+IFERROR(--ISNUMBER(SEARCH("R89",G86)),0)+IFERROR(--ISNUMBER(SEARCH("R90",G86)),0)+IFERROR(--ISNUMBER(SEARCH("R91",G86)),0)+IFERROR(--ISNUMBER(SEARCH("R92",G86)),0)+IFERROR(--ISNUMBER(SEARCH("R93",G86)),0)+IFERROR(--ISNUMBER(SEARCH("R94",G86)),0)+IFERROR(--ISNUMBER(SEARCH("R95",G86)),0)+IFERROR(--ISNUMBER(SEARCH("R96",G86)),0)+IFERROR(--ISNUMBER(SEARCH("R97",G86)),0)+IFERROR(--ISNUMBER(SEARCH("R98",G86)),0)+IFERROR(--ISNUMBER(SEARCH("R99",G86)),0)+IFERROR(--ISNUMBER(SEARCH("R100",G86)),0)+IFERROR(--ISNUMBER(SEARCH("R101",G86)),0)+IFERROR(--ISNUMBER(SEARCH("R102",G86)),0)+IFERROR(--ISNUMBER(SEARCH("R103",G86)),0)+IFERROR(--ISNUMBER(SEARCH("R104",G86)),0)+IFERROR(--ISNUMBER(SEARCH("R105",G86)),0)+IFERROR(--ISNUMBER(SEARCH("R106",G86)),0)+IFERROR(--ISNUMBER(SEARCH("R107",G86)),0)+IFERROR(--ISNUMBER(SEARCH("R108",G86)),0)+IFERROR(--ISNUMBER(SEARCH("R109",G86)),0)+IFERROR(--ISNUMBER(SEARCH("R110",G86)),0)+IFERROR(--ISNUMBER(SEARCH("R111",G86)),0)+IFERROR(--ISNUMBER(SEARCH("R112",G86)),0)+IFERROR(--ISNUMBER(SEARCH("R113",G86)),0)+IFERROR(--ISNUMBER(SEARCH("R114",G86)),0)+IFERROR(--ISNUMBER(SEARCH("R115",G86)),0)+IFERROR(--ISNUMBER(SEARCH("R116",G86)),0)+IFERROR(--ISNUMBER(SEARCH("R117",G86)),0)+IFERROR(--ISNUMBER(SEARCH("R118",G86)),0)+IFERROR(--ISNUMBER(SEARCH("R119",G86)),0)+IFERROR(--ISNUMBER(SEARCH("R120",G86)),0)+IFERROR(--ISNUMBER(SEARCH("R121",G86)),0)+IFERROR(--ISNUMBER(SEARCH("R122",G86)),0)+IFERROR(--ISNUMBER(SEARCH("R123",G86)),0)+IFERROR(--ISNUMBER(SEARCH("R124",G86)),0)+IFERROR(--ISNUMBER(SEARCH("R125",G86)),0)+IFERROR(--ISNUMBER(SEARCH("R126",G86)),0)+IFERROR(--ISNUMBER(SEARCH("R127",G86)),0)+IFERROR(--ISNUMBER(SEARCH("R128",G86)),0)+IFERROR(--ISNUMBER(SEARCH("R129",G86)),0)+IFERROR(--ISNUMBER(SEARCH("R130",G86)),0)+IFERROR(--ISNUMBER(SEARCH("R131",G86)),0)+IFERROR(--ISNUMBER(SEARCH("R132",G86)),0)+IFERROR(--ISNUMBER(SEARCH("R133",G86)),0)+IFERROR(--ISNUMBER(SEARCH("R134",G86)),0)+IFERROR(--ISNUMBER(SEARCH("R135",G86)),0)+IFERROR(--ISNUMBER(SEARCH("R136",G86)),0)+IFERROR(--ISNUMBER(SEARCH("R137",G86)),0)+IFERROR(--ISNUMBER(SEARCH("R138",G86)),0)+IFERROR(--ISNUMBER(SEARCH("R139",G86)),0)+IFERROR(--ISNUMBER(SEARCH("R140",G86)),0)+IFERROR(--ISNUMBER(SEARCH("R141",G86)),0))</f>
        <v/>
      </c>
      <c r="T86" s="58">
        <f>IF(A86="","",IFERROR(--ISNUMBER(SEARCH("R28",G86)),0)+IFERROR(--ISNUMBER(SEARCH("R29",G86)),0)+IFERROR(--ISNUMBER(SEARCH("R30",G86)),0)+IFERROR(--ISNUMBER(SEARCH("R32",G86)),0)+IFERROR(--ISNUMBER(SEARCH("R33",G86)),0)+IFERROR(--ISNUMBER(SEARCH("R35",G86)),0)+IFERROR(--ISNUMBER(SEARCH("R36",G86)),0)+IFERROR(--ISNUMBER(SEARCH("R38",G86)),0)+IFERROR(--ISNUMBER(SEARCH("R39",G86)),0)+IFERROR(--ISNUMBER(SEARCH("R43",G86)),0)+IFERROR(--ISNUMBER(SEARCH("R44",G86)),0)+IFERROR(--ISNUMBER(SEARCH("R45",G86)),0)+IFERROR(--ISNUMBER(SEARCH("R47",G86)),0)+IFERROR(--ISNUMBER(SEARCH("R48",G86)),0)+IFERROR(--ISNUMBER(SEARCH("R50",G86)),0)+IFERROR(--ISNUMBER(SEARCH("R51",G86)),0)+IFERROR(--ISNUMBER(SEARCH("R56",G86)),0)+IFERROR(--ISNUMBER(SEARCH("R58",G86)),0)+IFERROR(--ISNUMBER(SEARCH("R59",G86)),0)+IFERROR(--ISNUMBER(SEARCH("R60",G86)),0)+IFERROR(--ISNUMBER(SEARCH("R62",G86)),0)+IFERROR(--ISNUMBER(SEARCH("R63",G86)),0)+IFERROR(--ISNUMBER(SEARCH("R64",G86)),0)+IFERROR(--ISNUMBER(SEARCH("R66",G86)),0)+IFERROR(--ISNUMBER(SEARCH("R67",G86)),0)+IFERROR(--ISNUMBER(SEARCH("R72",G86)),0)+IFERROR(--ISNUMBER(SEARCH("R74",G86)),0)+IFERROR(--ISNUMBER(SEARCH("R75",G86)),0)+IFERROR(--ISNUMBER(SEARCH("R76",G86)),0)+IFERROR(--ISNUMBER(SEARCH("R77",G86)),0)+IFERROR(--ISNUMBER(SEARCH("R79",G86)),0)+IFERROR(--ISNUMBER(SEARCH("R80",G86)),0)+IFERROR(--ISNUMBER(SEARCH("R81",G86)),0)+IFERROR(--ISNUMBER(SEARCH("R83",G86)),0)+IFERROR(--ISNUMBER(SEARCH("R84",G86)),0)+IFERROR(--ISNUMBER(SEARCH("R89",G86)),0)+IFERROR(--ISNUMBER(SEARCH("R94",G86)),0)+IFERROR(--ISNUMBER(SEARCH("R95",G86)),0)+IFERROR(--ISNUMBER(SEARCH("R96",G86)),0)+IFERROR(--ISNUMBER(SEARCH("R98",G86)),0)+IFERROR(--ISNUMBER(SEARCH("R99",G86)),0)+IFERROR(--ISNUMBER(SEARCH("R100",G86)),0)+IFERROR(--ISNUMBER(SEARCH("R104",G86)),0)+IFERROR(--ISNUMBER(SEARCH("R105",G86)),0)+IFERROR(--ISNUMBER(SEARCH("R107",G86)),0)+IFERROR(--ISNUMBER(SEARCH("R108",G86)),0)+IFERROR(--ISNUMBER(SEARCH("R109",G86)),0)+IFERROR(--ISNUMBER(SEARCH("R110",G86)),0)+IFERROR(--ISNUMBER(SEARCH("R112",G86)),0)+IFERROR(--ISNUMBER(SEARCH("R113",G86)),0)+IFERROR(--ISNUMBER(SEARCH("R114",G86)),0)+IFERROR(--ISNUMBER(SEARCH("R118",G86)),0)+IFERROR(--ISNUMBER(SEARCH("R119",G86)),0)+IFERROR(--ISNUMBER(SEARCH("R120",G86)),0)+IFERROR(--ISNUMBER(SEARCH("R122",G86)),0)+IFERROR(--ISNUMBER(SEARCH("R123",G86)),0)+IFERROR(--ISNUMBER(SEARCH("R124",G86)),0)+IFERROR(--ISNUMBER(SEARCH("R128",G86)),0)+IFERROR(--ISNUMBER(SEARCH("R130",G86)),0)+IFERROR(--ISNUMBER(SEARCH("R131",G86)),0)+IFERROR(--ISNUMBER(SEARCH("R132",G86)),0)+IFERROR(--ISNUMBER(SEARCH("R135",G86)),0)+IFERROR(--ISNUMBER(SEARCH("R138",G86)),0)+IFERROR(--ISNUMBER(SEARCH("R141",G86)),0))</f>
        <v/>
      </c>
      <c r="U86" s="58">
        <f>IF(A86="","",IFERROR(--ISNUMBER(SEARCH("R28",G86))*28,0)+IFERROR(--ISNUMBER(SEARCH("R29",G86))*29,0)+IFERROR(--ISNUMBER(SEARCH("R30",G86))*30,0)+IFERROR(--ISNUMBER(SEARCH("R31",G86))*31,0)+IFERROR(--ISNUMBER(SEARCH("R32",G86))*32,0)+IFERROR(--ISNUMBER(SEARCH("R33",G86))*33,0)+IFERROR(--ISNUMBER(SEARCH("R34",G86))*34,0)+IFERROR(--ISNUMBER(SEARCH("R35",G86))*35,0)+IFERROR(--ISNUMBER(SEARCH("R36",G86))*36,0)+IFERROR(--ISNUMBER(SEARCH("R37",G86))*37,0)+IFERROR(--ISNUMBER(SEARCH("R38",G86))*38,0)+IFERROR(--ISNUMBER(SEARCH("R39",G86))*39,0)+IFERROR(--ISNUMBER(SEARCH("R40",G86))*40,0)+IFERROR(--ISNUMBER(SEARCH("R41",G86))*41,0)+IFERROR(--ISNUMBER(SEARCH("R42",G86))*42,0)+IFERROR(--ISNUMBER(SEARCH("R43",G86))*43,0)+IFERROR(--ISNUMBER(SEARCH("R44",G86))*44,0)+IFERROR(--ISNUMBER(SEARCH("R45",G86))*45,0)+IFERROR(--ISNUMBER(SEARCH("R46",G86))*46,0)+IFERROR(--ISNUMBER(SEARCH("R47",G86))*47,0)+IFERROR(--ISNUMBER(SEARCH("R48",G86))*48,0)+IFERROR(--ISNUMBER(SEARCH("R49",G86))*49,0)+IFERROR(--ISNUMBER(SEARCH("R50",G86))*50,0)+IFERROR(--ISNUMBER(SEARCH("R51",G86))*51,0)+IFERROR(--ISNUMBER(SEARCH("R52",G86))*52,0)+IFERROR(--ISNUMBER(SEARCH("R53",G86))*53,0)+IFERROR(--ISNUMBER(SEARCH("R54",G86))*54,0)+IFERROR(--ISNUMBER(SEARCH("R55",G86))*55,0)+IFERROR(--ISNUMBER(SEARCH("R56",G86))*56,0)+IFERROR(--ISNUMBER(SEARCH("R57",G86))*57,0)+IFERROR(--ISNUMBER(SEARCH("R58",G86))*58,0)+IFERROR(--ISNUMBER(SEARCH("R59",G86))*59,0)+IFERROR(--ISNUMBER(SEARCH("R60",G86))*60,0)+IFERROR(--ISNUMBER(SEARCH("R61",G86))*61,0)+IFERROR(--ISNUMBER(SEARCH("R62",G86))*62,0)+IFERROR(--ISNUMBER(SEARCH("R63",G86))*63,0)+IFERROR(--ISNUMBER(SEARCH("R64",G86))*64,0)+IFERROR(--ISNUMBER(SEARCH("R65",G86))*65,0)+IFERROR(--ISNUMBER(SEARCH("R66",G86))*66,0)+IFERROR(--ISNUMBER(SEARCH("R67",G86))*67,0)+IFERROR(--ISNUMBER(SEARCH("R68",G86))*68,0)+IFERROR(--ISNUMBER(SEARCH("R69",G86))*69,0)+IFERROR(--ISNUMBER(SEARCH("R70",G86))*70,0)+IFERROR(--ISNUMBER(SEARCH("R71",G86))*71,0)+IFERROR(--ISNUMBER(SEARCH("R72",G86))*72,0)+IFERROR(--ISNUMBER(SEARCH("R73",G86))*73,0)+IFERROR(--ISNUMBER(SEARCH("R74",G86))*74,0)+IFERROR(--ISNUMBER(SEARCH("R75",G86))*75,0)+IFERROR(--ISNUMBER(SEARCH("R76",G86))*76,0)+IFERROR(--ISNUMBER(SEARCH("R77",G86))*77,0)+IFERROR(--ISNUMBER(SEARCH("R78",G86))*78,0)+IFERROR(--ISNUMBER(SEARCH("R79",G86))*79,0)+IFERROR(--ISNUMBER(SEARCH("R80",G86))*80,0)+IFERROR(--ISNUMBER(SEARCH("R81",G86))*81,0)+IFERROR(--ISNUMBER(SEARCH("R82",G86))*82,0)+IFERROR(--ISNUMBER(SEARCH("R83",G86))*83,0)+IFERROR(--ISNUMBER(SEARCH("R84",G86))*84,0)+IFERROR(--ISNUMBER(SEARCH("R85",G86))*85,0)+IFERROR(--ISNUMBER(SEARCH("R86",G86))*86,0)+IFERROR(--ISNUMBER(SEARCH("R87",G86))*87,0)+IFERROR(--ISNUMBER(SEARCH("R88",G86))*88,0)+IFERROR(--ISNUMBER(SEARCH("R89",G86))*89,0)+IFERROR(--ISNUMBER(SEARCH("R90",G86))*90,0)+IFERROR(--ISNUMBER(SEARCH("R91",G86))*91,0)+IFERROR(--ISNUMBER(SEARCH("R92",G86))*92,0)+IFERROR(--ISNUMBER(SEARCH("R93",G86))*93,0)+IFERROR(--ISNUMBER(SEARCH("R94",G86))*94,0)+IFERROR(--ISNUMBER(SEARCH("R95",G86))*95,0)+IFERROR(--ISNUMBER(SEARCH("R96",G86))*96,0)+IFERROR(--ISNUMBER(SEARCH("R97",G86))*97,0)+IFERROR(--ISNUMBER(SEARCH("R98",G86))*98,0)+IFERROR(--ISNUMBER(SEARCH("R99",G86))*99,0)+IFERROR(--ISNUMBER(SEARCH("R100",G86))*100,0)+IFERROR(--ISNUMBER(SEARCH("R101",G86))*101,0)+IFERROR(--ISNUMBER(SEARCH("R102",G86))*102,0)+IFERROR(--ISNUMBER(SEARCH("R103",G86))*103,0)+IFERROR(--ISNUMBER(SEARCH("R104",G86))*104,0)+IFERROR(--ISNUMBER(SEARCH("R105",G86))*105,0)+IFERROR(--ISNUMBER(SEARCH("R106",G86))*106,0)+IFERROR(--ISNUMBER(SEARCH("R107",G86))*107,0)+IFERROR(--ISNUMBER(SEARCH("R108",G86))*108,0)+IFERROR(--ISNUMBER(SEARCH("R109",G86))*109,0)+IFERROR(--ISNUMBER(SEARCH("R110",G86))*110,0)+IFERROR(--ISNUMBER(SEARCH("R111",G86))*111,0)+IFERROR(--ISNUMBER(SEARCH("R112",G86))*112,0)+IFERROR(--ISNUMBER(SEARCH("R113",G86))*113,0)+IFERROR(--ISNUMBER(SEARCH("R114",G86))*114,0)+IFERROR(--ISNUMBER(SEARCH("R115",G86))*115,0)+IFERROR(--ISNUMBER(SEARCH("R116",G86))*116,0)+IFERROR(--ISNUMBER(SEARCH("R117",G86))*117,0)+IFERROR(--ISNUMBER(SEARCH("R118",G86))*118,0)+IFERROR(--ISNUMBER(SEARCH("R119",G86))*119,0)+IFERROR(--ISNUMBER(SEARCH("R120",G86))*120,0)+IFERROR(--ISNUMBER(SEARCH("R121",G86))*121,0)+IFERROR(--ISNUMBER(SEARCH("R122",G86))*122,0)+IFERROR(--ISNUMBER(SEARCH("R123",G86))*123,0)+IFERROR(--ISNUMBER(SEARCH("R124",G86))*124,0)+IFERROR(--ISNUMBER(SEARCH("R125",G86))*125,0)+IFERROR(--ISNUMBER(SEARCH("R126",G86))*126,0)+IFERROR(--ISNUMBER(SEARCH("R127",G86))*127,0)+IFERROR(--ISNUMBER(SEARCH("R128",G86))*128,0)+IFERROR(--ISNUMBER(SEARCH("R129",G86))*129,0)+IFERROR(--ISNUMBER(SEARCH("R130",G86))*130,0)+IFERROR(--ISNUMBER(SEARCH("R131",G86))*131,0)+IFERROR(--ISNUMBER(SEARCH("R132",G86))*132,0)+IFERROR(--ISNUMBER(SEARCH("R133",G86))*133,0)+IFERROR(--ISNUMBER(SEARCH("R134",G86))*134,0)+IFERROR(--ISNUMBER(SEARCH("R135",G86))*135,0)+IFERROR(--ISNUMBER(SEARCH("R136",G86))*136,0)+IFERROR(--ISNUMBER(SEARCH("R137",G86))*137,0)+IFERROR(--ISNUMBER(SEARCH("R138",G86))*138,0)+IFERROR(--ISNUMBER(SEARCH("R139",G86))*139,0)+IFERROR(--ISNUMBER(SEARCH("R140",G86))*140,0)+IFERROR(--ISNUMBER(SEARCH("R141",G86))*141,0))</f>
        <v/>
      </c>
      <c r="V86" s="59">
        <f>IF(A86="","",IF(K86&lt;&gt;"",K86,J86))</f>
        <v/>
      </c>
      <c r="W86" s="59">
        <f>IF(A86="","",IF(AND(V86=29,O86&lt;&gt;"",COUNTIFS($V$6:$V$505,29,$F$6:$F$505,F86,$C$6:$C$505,C86,$O$6:$O$505,"&lt;&gt;")&gt;1),IF(COUNTIFS($V$6:V86,29,$F$6:F86,F86,$C$6:C86,C86,$O$6:O86,"&lt;&gt;")=1,"Esta es la fila que se debe CONSERVAR (aparición 1 de "&amp;COUNTIFS($V$6:$V$505,29,$F$6:$F$505,F86,$C$6:$C$505,C86,$O$6:$O$505,"&lt;&gt;")&amp;" con el mismo tercero y valor, casilla 29). Si hay más filas iguales, bórreles el valor a ELLAS, no a esta.","DUPLICADO — ya existe otra fila con el mismo tercero y valor para casilla 29 (aparición "&amp;COUNTIFS($V$6:V86,29,$F$6:F86,F86,$C$6:C86,C86,$O$6:O86,"&lt;&gt;")&amp;" de "&amp;COUNTIFS($V$6:$V$505,29,$F$6:$F$505,F86,$C$6:$C$505,C86,$O$6:$O$505,"&lt;&gt;")&amp;"). Para resolverlo: seleccione la celda O"&amp;ROW()&amp;" (columna Valor a declarar de ESTA fila) y presione Supr."),""))</f>
        <v/>
      </c>
      <c r="X86" s="463">
        <f>IF(A86="","",F86)</f>
        <v/>
      </c>
      <c r="Y86" s="463">
        <f>IF(A86="","",SUMIF(Entrada_Manual!$I$88:$I$187,A86,Entrada_Manual!$F$88:$F$187))</f>
        <v/>
      </c>
      <c r="Z86" s="463">
        <f>IF(A86="","",X86-Y86)</f>
        <v/>
      </c>
      <c r="AA86">
        <f>IF(A86="","",SUMPRODUCT((Entrada_Manual!$I$88:$I$187=A86)*1))</f>
        <v/>
      </c>
      <c r="AB86">
        <f>IF(A86="","",IF(S86&lt;=1,"",IF(AA86=0,"PENDIENTE — SIN ASIGNAR",IF(Z86=0,"RESUELTO","PARCIAL — DIFERENCIA "&amp;TEXT(Z86,"#,##0")))))</f>
        <v/>
      </c>
    </row>
    <row r="87" ht="14.25" customHeight="1" s="235">
      <c r="A87" s="47">
        <f>IF(Exogena_RAW!E96&lt;&gt;"",ROW()-5,"")</f>
        <v/>
      </c>
      <c r="B87" s="48">
        <f>IF(A87="","",96)</f>
        <v/>
      </c>
      <c r="C87" s="48">
        <f>IF(A87="","",IFERROR(Exogena_RAW!A96,""))</f>
        <v/>
      </c>
      <c r="D87" s="48">
        <f>IF(A87="","",IFERROR(Exogena_RAW!B96,""))</f>
        <v/>
      </c>
      <c r="E87" s="48">
        <f>IF(A87="","",Exogena_RAW!E96)</f>
        <v/>
      </c>
      <c r="F87" s="461">
        <f>IF(A87="","",Exogena_RAW!F96)</f>
        <v/>
      </c>
      <c r="G87" s="48">
        <f>IF(A87="","",IFERROR(Exogena_RAW!G96,""))</f>
        <v/>
      </c>
      <c r="H87" s="48">
        <f>IF(A87="","",IFERROR(Exogena_RAW!H96,""))</f>
        <v/>
      </c>
      <c r="I87" s="48">
        <f>IF(A87="","",IFERROR(IF(S87&gt;1,"VARIAS CASILLAS",IF(S87=1,IF(T87=1,"PROPUESTA DE CASILLA","REVISIÓN: CASILLA NO DIRECTA"),IF(OR(ISNUMBER(SEARCH("TOPE",UPPER(E87))),ISNUMBER(SEARCH("TOPE",UPPER(G87)))),"SOLO CONTROL",IF(ISNUMBER(SEARCH("RETEN",UPPER(E87))),"RETENCIÓN","REVISAR")))),"REVISAR"))</f>
        <v/>
      </c>
      <c r="J87" s="48">
        <f>IF(A87="","",IF(ISNUMBER(SEARCH("ingreso laboral promedio de los últimos seis meses",E87)),"",IFERROR(IF(AND(S87=1,T87=1),U87,""),"")))</f>
        <v/>
      </c>
      <c r="K87" s="216" t="n"/>
      <c r="L87" s="48">
        <f>IF(A87="","",IFERROR(IF(K87&lt;&gt;"","Casilla elegida por usuario",IF(S87&gt;1,"Varias casillas — elegir en K",IF(J87&lt;&gt;"","Sugerencia directa",IF(S87=1,"No trasladar directo — revisar",IF(OR(ISNUMBER(SEARCH("TOPE",UPPER(E87))),ISNUMBER(SEARCH("TOPE",UPPER(G87)))),"Solo control","Revisar manualmente"))))),"Revisar manualmente"))</f>
        <v/>
      </c>
      <c r="M87" s="461">
        <f>IF(A87="","",IF(IF(K87&lt;&gt;"",K87,J87)="",0,IF(COUNTIFS(Reglas!$I$5:$I$118,IF(K87&lt;&gt;"",K87,J87),Reglas!$J$5:$J$118,"Sí")=1,F87,0)))</f>
        <v/>
      </c>
      <c r="N87" s="56" t="n"/>
      <c r="O87" s="462">
        <f>IF(A87="","",IF(M87=0,"",M87))</f>
        <v/>
      </c>
      <c r="P87" s="461">
        <f>IF(A87="","",IF(O87="",0,IF(ISNUMBER(O87),O87,0)))</f>
        <v/>
      </c>
      <c r="Q87" s="48">
        <f>IF(A87="","",IF(Exogena_RAW!$C$4="","BLOQUEADO: FALTA AÑO",IF(Exogena_RAW!$K$10&lt;&gt;Reglas!$B$5,"BLOQUEADO: AÑO",IF(IF(K87&lt;&gt;"",K87,J87)="",IF(S87&gt;1,"REQUIERE ASIGNACIÓN MANUAL (VARIAS CASILLAS)","INFORMATIVO (sin casilla — no se declara)"),IF(COUNTIFS(Reglas!$I$5:$I$118,IF(K87&lt;&gt;"",K87,J87),Reglas!$J$5:$J$118,"Sí")=0,"BLOQUEADO: CASILLA NO DIRECTA",IF(O87="","EXCLUIDO (valor borrado por el usuario)",IF(_xlfn.ISFORMULA(O87),IF(W87&lt;&gt;"","BORRADOR — VALOR SUGERIDO DIAN ⚠ VER ALERTA","BORRADOR — VALOR SUGERIDO DIAN"),IF(W87&lt;&gt;"","ACEPTADO ⚠ VER ALERTA","ACEPTADO"))))))))</f>
        <v/>
      </c>
      <c r="R87" s="218" t="n"/>
      <c r="S87" s="58">
        <f>IF(A87="","",IFERROR(--ISNUMBER(SEARCH("R28",G87)),0)+IFERROR(--ISNUMBER(SEARCH("R29",G87)),0)+IFERROR(--ISNUMBER(SEARCH("R30",G87)),0)+IFERROR(--ISNUMBER(SEARCH("R31",G87)),0)+IFERROR(--ISNUMBER(SEARCH("R32",G87)),0)+IFERROR(--ISNUMBER(SEARCH("R33",G87)),0)+IFERROR(--ISNUMBER(SEARCH("R34",G87)),0)+IFERROR(--ISNUMBER(SEARCH("R35",G87)),0)+IFERROR(--ISNUMBER(SEARCH("R36",G87)),0)+IFERROR(--ISNUMBER(SEARCH("R37",G87)),0)+IFERROR(--ISNUMBER(SEARCH("R38",G87)),0)+IFERROR(--ISNUMBER(SEARCH("R39",G87)),0)+IFERROR(--ISNUMBER(SEARCH("R40",G87)),0)+IFERROR(--ISNUMBER(SEARCH("R41",G87)),0)+IFERROR(--ISNUMBER(SEARCH("R42",G87)),0)+IFERROR(--ISNUMBER(SEARCH("R43",G87)),0)+IFERROR(--ISNUMBER(SEARCH("R44",G87)),0)+IFERROR(--ISNUMBER(SEARCH("R45",G87)),0)+IFERROR(--ISNUMBER(SEARCH("R46",G87)),0)+IFERROR(--ISNUMBER(SEARCH("R47",G87)),0)+IFERROR(--ISNUMBER(SEARCH("R48",G87)),0)+IFERROR(--ISNUMBER(SEARCH("R49",G87)),0)+IFERROR(--ISNUMBER(SEARCH("R50",G87)),0)+IFERROR(--ISNUMBER(SEARCH("R51",G87)),0)+IFERROR(--ISNUMBER(SEARCH("R52",G87)),0)+IFERROR(--ISNUMBER(SEARCH("R53",G87)),0)+IFERROR(--ISNUMBER(SEARCH("R54",G87)),0)+IFERROR(--ISNUMBER(SEARCH("R55",G87)),0)+IFERROR(--ISNUMBER(SEARCH("R56",G87)),0)+IFERROR(--ISNUMBER(SEARCH("R57",G87)),0)+IFERROR(--ISNUMBER(SEARCH("R58",G87)),0)+IFERROR(--ISNUMBER(SEARCH("R59",G87)),0)+IFERROR(--ISNUMBER(SEARCH("R60",G87)),0)+IFERROR(--ISNUMBER(SEARCH("R61",G87)),0)+IFERROR(--ISNUMBER(SEARCH("R62",G87)),0)+IFERROR(--ISNUMBER(SEARCH("R63",G87)),0)+IFERROR(--ISNUMBER(SEARCH("R64",G87)),0)+IFERROR(--ISNUMBER(SEARCH("R65",G87)),0)+IFERROR(--ISNUMBER(SEARCH("R66",G87)),0)+IFERROR(--ISNUMBER(SEARCH("R67",G87)),0)+IFERROR(--ISNUMBER(SEARCH("R68",G87)),0)+IFERROR(--ISNUMBER(SEARCH("R69",G87)),0)+IFERROR(--ISNUMBER(SEARCH("R70",G87)),0)+IFERROR(--ISNUMBER(SEARCH("R71",G87)),0)+IFERROR(--ISNUMBER(SEARCH("R72",G87)),0)+IFERROR(--ISNUMBER(SEARCH("R73",G87)),0)+IFERROR(--ISNUMBER(SEARCH("R74",G87)),0)+IFERROR(--ISNUMBER(SEARCH("R75",G87)),0)+IFERROR(--ISNUMBER(SEARCH("R76",G87)),0)+IFERROR(--ISNUMBER(SEARCH("R77",G87)),0)+IFERROR(--ISNUMBER(SEARCH("R78",G87)),0)+IFERROR(--ISNUMBER(SEARCH("R79",G87)),0)+IFERROR(--ISNUMBER(SEARCH("R80",G87)),0)+IFERROR(--ISNUMBER(SEARCH("R81",G87)),0)+IFERROR(--ISNUMBER(SEARCH("R82",G87)),0)+IFERROR(--ISNUMBER(SEARCH("R83",G87)),0)+IFERROR(--ISNUMBER(SEARCH("R84",G87)),0)+IFERROR(--ISNUMBER(SEARCH("R85",G87)),0)+IFERROR(--ISNUMBER(SEARCH("R86",G87)),0)+IFERROR(--ISNUMBER(SEARCH("R87",G87)),0)+IFERROR(--ISNUMBER(SEARCH("R88",G87)),0)+IFERROR(--ISNUMBER(SEARCH("R89",G87)),0)+IFERROR(--ISNUMBER(SEARCH("R90",G87)),0)+IFERROR(--ISNUMBER(SEARCH("R91",G87)),0)+IFERROR(--ISNUMBER(SEARCH("R92",G87)),0)+IFERROR(--ISNUMBER(SEARCH("R93",G87)),0)+IFERROR(--ISNUMBER(SEARCH("R94",G87)),0)+IFERROR(--ISNUMBER(SEARCH("R95",G87)),0)+IFERROR(--ISNUMBER(SEARCH("R96",G87)),0)+IFERROR(--ISNUMBER(SEARCH("R97",G87)),0)+IFERROR(--ISNUMBER(SEARCH("R98",G87)),0)+IFERROR(--ISNUMBER(SEARCH("R99",G87)),0)+IFERROR(--ISNUMBER(SEARCH("R100",G87)),0)+IFERROR(--ISNUMBER(SEARCH("R101",G87)),0)+IFERROR(--ISNUMBER(SEARCH("R102",G87)),0)+IFERROR(--ISNUMBER(SEARCH("R103",G87)),0)+IFERROR(--ISNUMBER(SEARCH("R104",G87)),0)+IFERROR(--ISNUMBER(SEARCH("R105",G87)),0)+IFERROR(--ISNUMBER(SEARCH("R106",G87)),0)+IFERROR(--ISNUMBER(SEARCH("R107",G87)),0)+IFERROR(--ISNUMBER(SEARCH("R108",G87)),0)+IFERROR(--ISNUMBER(SEARCH("R109",G87)),0)+IFERROR(--ISNUMBER(SEARCH("R110",G87)),0)+IFERROR(--ISNUMBER(SEARCH("R111",G87)),0)+IFERROR(--ISNUMBER(SEARCH("R112",G87)),0)+IFERROR(--ISNUMBER(SEARCH("R113",G87)),0)+IFERROR(--ISNUMBER(SEARCH("R114",G87)),0)+IFERROR(--ISNUMBER(SEARCH("R115",G87)),0)+IFERROR(--ISNUMBER(SEARCH("R116",G87)),0)+IFERROR(--ISNUMBER(SEARCH("R117",G87)),0)+IFERROR(--ISNUMBER(SEARCH("R118",G87)),0)+IFERROR(--ISNUMBER(SEARCH("R119",G87)),0)+IFERROR(--ISNUMBER(SEARCH("R120",G87)),0)+IFERROR(--ISNUMBER(SEARCH("R121",G87)),0)+IFERROR(--ISNUMBER(SEARCH("R122",G87)),0)+IFERROR(--ISNUMBER(SEARCH("R123",G87)),0)+IFERROR(--ISNUMBER(SEARCH("R124",G87)),0)+IFERROR(--ISNUMBER(SEARCH("R125",G87)),0)+IFERROR(--ISNUMBER(SEARCH("R126",G87)),0)+IFERROR(--ISNUMBER(SEARCH("R127",G87)),0)+IFERROR(--ISNUMBER(SEARCH("R128",G87)),0)+IFERROR(--ISNUMBER(SEARCH("R129",G87)),0)+IFERROR(--ISNUMBER(SEARCH("R130",G87)),0)+IFERROR(--ISNUMBER(SEARCH("R131",G87)),0)+IFERROR(--ISNUMBER(SEARCH("R132",G87)),0)+IFERROR(--ISNUMBER(SEARCH("R133",G87)),0)+IFERROR(--ISNUMBER(SEARCH("R134",G87)),0)+IFERROR(--ISNUMBER(SEARCH("R135",G87)),0)+IFERROR(--ISNUMBER(SEARCH("R136",G87)),0)+IFERROR(--ISNUMBER(SEARCH("R137",G87)),0)+IFERROR(--ISNUMBER(SEARCH("R138",G87)),0)+IFERROR(--ISNUMBER(SEARCH("R139",G87)),0)+IFERROR(--ISNUMBER(SEARCH("R140",G87)),0)+IFERROR(--ISNUMBER(SEARCH("R141",G87)),0))</f>
        <v/>
      </c>
      <c r="T87" s="58">
        <f>IF(A87="","",IFERROR(--ISNUMBER(SEARCH("R28",G87)),0)+IFERROR(--ISNUMBER(SEARCH("R29",G87)),0)+IFERROR(--ISNUMBER(SEARCH("R30",G87)),0)+IFERROR(--ISNUMBER(SEARCH("R32",G87)),0)+IFERROR(--ISNUMBER(SEARCH("R33",G87)),0)+IFERROR(--ISNUMBER(SEARCH("R35",G87)),0)+IFERROR(--ISNUMBER(SEARCH("R36",G87)),0)+IFERROR(--ISNUMBER(SEARCH("R38",G87)),0)+IFERROR(--ISNUMBER(SEARCH("R39",G87)),0)+IFERROR(--ISNUMBER(SEARCH("R43",G87)),0)+IFERROR(--ISNUMBER(SEARCH("R44",G87)),0)+IFERROR(--ISNUMBER(SEARCH("R45",G87)),0)+IFERROR(--ISNUMBER(SEARCH("R47",G87)),0)+IFERROR(--ISNUMBER(SEARCH("R48",G87)),0)+IFERROR(--ISNUMBER(SEARCH("R50",G87)),0)+IFERROR(--ISNUMBER(SEARCH("R51",G87)),0)+IFERROR(--ISNUMBER(SEARCH("R56",G87)),0)+IFERROR(--ISNUMBER(SEARCH("R58",G87)),0)+IFERROR(--ISNUMBER(SEARCH("R59",G87)),0)+IFERROR(--ISNUMBER(SEARCH("R60",G87)),0)+IFERROR(--ISNUMBER(SEARCH("R62",G87)),0)+IFERROR(--ISNUMBER(SEARCH("R63",G87)),0)+IFERROR(--ISNUMBER(SEARCH("R64",G87)),0)+IFERROR(--ISNUMBER(SEARCH("R66",G87)),0)+IFERROR(--ISNUMBER(SEARCH("R67",G87)),0)+IFERROR(--ISNUMBER(SEARCH("R72",G87)),0)+IFERROR(--ISNUMBER(SEARCH("R74",G87)),0)+IFERROR(--ISNUMBER(SEARCH("R75",G87)),0)+IFERROR(--ISNUMBER(SEARCH("R76",G87)),0)+IFERROR(--ISNUMBER(SEARCH("R77",G87)),0)+IFERROR(--ISNUMBER(SEARCH("R79",G87)),0)+IFERROR(--ISNUMBER(SEARCH("R80",G87)),0)+IFERROR(--ISNUMBER(SEARCH("R81",G87)),0)+IFERROR(--ISNUMBER(SEARCH("R83",G87)),0)+IFERROR(--ISNUMBER(SEARCH("R84",G87)),0)+IFERROR(--ISNUMBER(SEARCH("R89",G87)),0)+IFERROR(--ISNUMBER(SEARCH("R94",G87)),0)+IFERROR(--ISNUMBER(SEARCH("R95",G87)),0)+IFERROR(--ISNUMBER(SEARCH("R96",G87)),0)+IFERROR(--ISNUMBER(SEARCH("R98",G87)),0)+IFERROR(--ISNUMBER(SEARCH("R99",G87)),0)+IFERROR(--ISNUMBER(SEARCH("R100",G87)),0)+IFERROR(--ISNUMBER(SEARCH("R104",G87)),0)+IFERROR(--ISNUMBER(SEARCH("R105",G87)),0)+IFERROR(--ISNUMBER(SEARCH("R107",G87)),0)+IFERROR(--ISNUMBER(SEARCH("R108",G87)),0)+IFERROR(--ISNUMBER(SEARCH("R109",G87)),0)+IFERROR(--ISNUMBER(SEARCH("R110",G87)),0)+IFERROR(--ISNUMBER(SEARCH("R112",G87)),0)+IFERROR(--ISNUMBER(SEARCH("R113",G87)),0)+IFERROR(--ISNUMBER(SEARCH("R114",G87)),0)+IFERROR(--ISNUMBER(SEARCH("R118",G87)),0)+IFERROR(--ISNUMBER(SEARCH("R119",G87)),0)+IFERROR(--ISNUMBER(SEARCH("R120",G87)),0)+IFERROR(--ISNUMBER(SEARCH("R122",G87)),0)+IFERROR(--ISNUMBER(SEARCH("R123",G87)),0)+IFERROR(--ISNUMBER(SEARCH("R124",G87)),0)+IFERROR(--ISNUMBER(SEARCH("R128",G87)),0)+IFERROR(--ISNUMBER(SEARCH("R130",G87)),0)+IFERROR(--ISNUMBER(SEARCH("R131",G87)),0)+IFERROR(--ISNUMBER(SEARCH("R132",G87)),0)+IFERROR(--ISNUMBER(SEARCH("R135",G87)),0)+IFERROR(--ISNUMBER(SEARCH("R138",G87)),0)+IFERROR(--ISNUMBER(SEARCH("R141",G87)),0))</f>
        <v/>
      </c>
      <c r="U87" s="58">
        <f>IF(A87="","",IFERROR(--ISNUMBER(SEARCH("R28",G87))*28,0)+IFERROR(--ISNUMBER(SEARCH("R29",G87))*29,0)+IFERROR(--ISNUMBER(SEARCH("R30",G87))*30,0)+IFERROR(--ISNUMBER(SEARCH("R31",G87))*31,0)+IFERROR(--ISNUMBER(SEARCH("R32",G87))*32,0)+IFERROR(--ISNUMBER(SEARCH("R33",G87))*33,0)+IFERROR(--ISNUMBER(SEARCH("R34",G87))*34,0)+IFERROR(--ISNUMBER(SEARCH("R35",G87))*35,0)+IFERROR(--ISNUMBER(SEARCH("R36",G87))*36,0)+IFERROR(--ISNUMBER(SEARCH("R37",G87))*37,0)+IFERROR(--ISNUMBER(SEARCH("R38",G87))*38,0)+IFERROR(--ISNUMBER(SEARCH("R39",G87))*39,0)+IFERROR(--ISNUMBER(SEARCH("R40",G87))*40,0)+IFERROR(--ISNUMBER(SEARCH("R41",G87))*41,0)+IFERROR(--ISNUMBER(SEARCH("R42",G87))*42,0)+IFERROR(--ISNUMBER(SEARCH("R43",G87))*43,0)+IFERROR(--ISNUMBER(SEARCH("R44",G87))*44,0)+IFERROR(--ISNUMBER(SEARCH("R45",G87))*45,0)+IFERROR(--ISNUMBER(SEARCH("R46",G87))*46,0)+IFERROR(--ISNUMBER(SEARCH("R47",G87))*47,0)+IFERROR(--ISNUMBER(SEARCH("R48",G87))*48,0)+IFERROR(--ISNUMBER(SEARCH("R49",G87))*49,0)+IFERROR(--ISNUMBER(SEARCH("R50",G87))*50,0)+IFERROR(--ISNUMBER(SEARCH("R51",G87))*51,0)+IFERROR(--ISNUMBER(SEARCH("R52",G87))*52,0)+IFERROR(--ISNUMBER(SEARCH("R53",G87))*53,0)+IFERROR(--ISNUMBER(SEARCH("R54",G87))*54,0)+IFERROR(--ISNUMBER(SEARCH("R55",G87))*55,0)+IFERROR(--ISNUMBER(SEARCH("R56",G87))*56,0)+IFERROR(--ISNUMBER(SEARCH("R57",G87))*57,0)+IFERROR(--ISNUMBER(SEARCH("R58",G87))*58,0)+IFERROR(--ISNUMBER(SEARCH("R59",G87))*59,0)+IFERROR(--ISNUMBER(SEARCH("R60",G87))*60,0)+IFERROR(--ISNUMBER(SEARCH("R61",G87))*61,0)+IFERROR(--ISNUMBER(SEARCH("R62",G87))*62,0)+IFERROR(--ISNUMBER(SEARCH("R63",G87))*63,0)+IFERROR(--ISNUMBER(SEARCH("R64",G87))*64,0)+IFERROR(--ISNUMBER(SEARCH("R65",G87))*65,0)+IFERROR(--ISNUMBER(SEARCH("R66",G87))*66,0)+IFERROR(--ISNUMBER(SEARCH("R67",G87))*67,0)+IFERROR(--ISNUMBER(SEARCH("R68",G87))*68,0)+IFERROR(--ISNUMBER(SEARCH("R69",G87))*69,0)+IFERROR(--ISNUMBER(SEARCH("R70",G87))*70,0)+IFERROR(--ISNUMBER(SEARCH("R71",G87))*71,0)+IFERROR(--ISNUMBER(SEARCH("R72",G87))*72,0)+IFERROR(--ISNUMBER(SEARCH("R73",G87))*73,0)+IFERROR(--ISNUMBER(SEARCH("R74",G87))*74,0)+IFERROR(--ISNUMBER(SEARCH("R75",G87))*75,0)+IFERROR(--ISNUMBER(SEARCH("R76",G87))*76,0)+IFERROR(--ISNUMBER(SEARCH("R77",G87))*77,0)+IFERROR(--ISNUMBER(SEARCH("R78",G87))*78,0)+IFERROR(--ISNUMBER(SEARCH("R79",G87))*79,0)+IFERROR(--ISNUMBER(SEARCH("R80",G87))*80,0)+IFERROR(--ISNUMBER(SEARCH("R81",G87))*81,0)+IFERROR(--ISNUMBER(SEARCH("R82",G87))*82,0)+IFERROR(--ISNUMBER(SEARCH("R83",G87))*83,0)+IFERROR(--ISNUMBER(SEARCH("R84",G87))*84,0)+IFERROR(--ISNUMBER(SEARCH("R85",G87))*85,0)+IFERROR(--ISNUMBER(SEARCH("R86",G87))*86,0)+IFERROR(--ISNUMBER(SEARCH("R87",G87))*87,0)+IFERROR(--ISNUMBER(SEARCH("R88",G87))*88,0)+IFERROR(--ISNUMBER(SEARCH("R89",G87))*89,0)+IFERROR(--ISNUMBER(SEARCH("R90",G87))*90,0)+IFERROR(--ISNUMBER(SEARCH("R91",G87))*91,0)+IFERROR(--ISNUMBER(SEARCH("R92",G87))*92,0)+IFERROR(--ISNUMBER(SEARCH("R93",G87))*93,0)+IFERROR(--ISNUMBER(SEARCH("R94",G87))*94,0)+IFERROR(--ISNUMBER(SEARCH("R95",G87))*95,0)+IFERROR(--ISNUMBER(SEARCH("R96",G87))*96,0)+IFERROR(--ISNUMBER(SEARCH("R97",G87))*97,0)+IFERROR(--ISNUMBER(SEARCH("R98",G87))*98,0)+IFERROR(--ISNUMBER(SEARCH("R99",G87))*99,0)+IFERROR(--ISNUMBER(SEARCH("R100",G87))*100,0)+IFERROR(--ISNUMBER(SEARCH("R101",G87))*101,0)+IFERROR(--ISNUMBER(SEARCH("R102",G87))*102,0)+IFERROR(--ISNUMBER(SEARCH("R103",G87))*103,0)+IFERROR(--ISNUMBER(SEARCH("R104",G87))*104,0)+IFERROR(--ISNUMBER(SEARCH("R105",G87))*105,0)+IFERROR(--ISNUMBER(SEARCH("R106",G87))*106,0)+IFERROR(--ISNUMBER(SEARCH("R107",G87))*107,0)+IFERROR(--ISNUMBER(SEARCH("R108",G87))*108,0)+IFERROR(--ISNUMBER(SEARCH("R109",G87))*109,0)+IFERROR(--ISNUMBER(SEARCH("R110",G87))*110,0)+IFERROR(--ISNUMBER(SEARCH("R111",G87))*111,0)+IFERROR(--ISNUMBER(SEARCH("R112",G87))*112,0)+IFERROR(--ISNUMBER(SEARCH("R113",G87))*113,0)+IFERROR(--ISNUMBER(SEARCH("R114",G87))*114,0)+IFERROR(--ISNUMBER(SEARCH("R115",G87))*115,0)+IFERROR(--ISNUMBER(SEARCH("R116",G87))*116,0)+IFERROR(--ISNUMBER(SEARCH("R117",G87))*117,0)+IFERROR(--ISNUMBER(SEARCH("R118",G87))*118,0)+IFERROR(--ISNUMBER(SEARCH("R119",G87))*119,0)+IFERROR(--ISNUMBER(SEARCH("R120",G87))*120,0)+IFERROR(--ISNUMBER(SEARCH("R121",G87))*121,0)+IFERROR(--ISNUMBER(SEARCH("R122",G87))*122,0)+IFERROR(--ISNUMBER(SEARCH("R123",G87))*123,0)+IFERROR(--ISNUMBER(SEARCH("R124",G87))*124,0)+IFERROR(--ISNUMBER(SEARCH("R125",G87))*125,0)+IFERROR(--ISNUMBER(SEARCH("R126",G87))*126,0)+IFERROR(--ISNUMBER(SEARCH("R127",G87))*127,0)+IFERROR(--ISNUMBER(SEARCH("R128",G87))*128,0)+IFERROR(--ISNUMBER(SEARCH("R129",G87))*129,0)+IFERROR(--ISNUMBER(SEARCH("R130",G87))*130,0)+IFERROR(--ISNUMBER(SEARCH("R131",G87))*131,0)+IFERROR(--ISNUMBER(SEARCH("R132",G87))*132,0)+IFERROR(--ISNUMBER(SEARCH("R133",G87))*133,0)+IFERROR(--ISNUMBER(SEARCH("R134",G87))*134,0)+IFERROR(--ISNUMBER(SEARCH("R135",G87))*135,0)+IFERROR(--ISNUMBER(SEARCH("R136",G87))*136,0)+IFERROR(--ISNUMBER(SEARCH("R137",G87))*137,0)+IFERROR(--ISNUMBER(SEARCH("R138",G87))*138,0)+IFERROR(--ISNUMBER(SEARCH("R139",G87))*139,0)+IFERROR(--ISNUMBER(SEARCH("R140",G87))*140,0)+IFERROR(--ISNUMBER(SEARCH("R141",G87))*141,0))</f>
        <v/>
      </c>
      <c r="V87" s="59">
        <f>IF(A87="","",IF(K87&lt;&gt;"",K87,J87))</f>
        <v/>
      </c>
      <c r="W87" s="59">
        <f>IF(A87="","",IF(AND(V87=29,O87&lt;&gt;"",COUNTIFS($V$6:$V$505,29,$F$6:$F$505,F87,$C$6:$C$505,C87,$O$6:$O$505,"&lt;&gt;")&gt;1),IF(COUNTIFS($V$6:V87,29,$F$6:F87,F87,$C$6:C87,C87,$O$6:O87,"&lt;&gt;")=1,"Esta es la fila que se debe CONSERVAR (aparición 1 de "&amp;COUNTIFS($V$6:$V$505,29,$F$6:$F$505,F87,$C$6:$C$505,C87,$O$6:$O$505,"&lt;&gt;")&amp;" con el mismo tercero y valor, casilla 29). Si hay más filas iguales, bórreles el valor a ELLAS, no a esta.","DUPLICADO — ya existe otra fila con el mismo tercero y valor para casilla 29 (aparición "&amp;COUNTIFS($V$6:V87,29,$F$6:F87,F87,$C$6:C87,C87,$O$6:O87,"&lt;&gt;")&amp;" de "&amp;COUNTIFS($V$6:$V$505,29,$F$6:$F$505,F87,$C$6:$C$505,C87,$O$6:$O$505,"&lt;&gt;")&amp;"). Para resolverlo: seleccione la celda O"&amp;ROW()&amp;" (columna Valor a declarar de ESTA fila) y presione Supr."),""))</f>
        <v/>
      </c>
      <c r="X87" s="463">
        <f>IF(A87="","",F87)</f>
        <v/>
      </c>
      <c r="Y87" s="463">
        <f>IF(A87="","",SUMIF(Entrada_Manual!$I$88:$I$187,A87,Entrada_Manual!$F$88:$F$187))</f>
        <v/>
      </c>
      <c r="Z87" s="463">
        <f>IF(A87="","",X87-Y87)</f>
        <v/>
      </c>
      <c r="AA87">
        <f>IF(A87="","",SUMPRODUCT((Entrada_Manual!$I$88:$I$187=A87)*1))</f>
        <v/>
      </c>
      <c r="AB87">
        <f>IF(A87="","",IF(S87&lt;=1,"",IF(AA87=0,"PENDIENTE — SIN ASIGNAR",IF(Z87=0,"RESUELTO","PARCIAL — DIFERENCIA "&amp;TEXT(Z87,"#,##0")))))</f>
        <v/>
      </c>
    </row>
    <row r="88" ht="14.25" customHeight="1" s="235">
      <c r="A88" s="47">
        <f>IF(Exogena_RAW!E97&lt;&gt;"",ROW()-5,"")</f>
        <v/>
      </c>
      <c r="B88" s="48">
        <f>IF(A88="","",97)</f>
        <v/>
      </c>
      <c r="C88" s="48">
        <f>IF(A88="","",IFERROR(Exogena_RAW!A97,""))</f>
        <v/>
      </c>
      <c r="D88" s="48">
        <f>IF(A88="","",IFERROR(Exogena_RAW!B97,""))</f>
        <v/>
      </c>
      <c r="E88" s="48">
        <f>IF(A88="","",Exogena_RAW!E97)</f>
        <v/>
      </c>
      <c r="F88" s="461">
        <f>IF(A88="","",Exogena_RAW!F97)</f>
        <v/>
      </c>
      <c r="G88" s="48">
        <f>IF(A88="","",IFERROR(Exogena_RAW!G97,""))</f>
        <v/>
      </c>
      <c r="H88" s="48">
        <f>IF(A88="","",IFERROR(Exogena_RAW!H97,""))</f>
        <v/>
      </c>
      <c r="I88" s="48">
        <f>IF(A88="","",IFERROR(IF(S88&gt;1,"VARIAS CASILLAS",IF(S88=1,IF(T88=1,"PROPUESTA DE CASILLA","REVISIÓN: CASILLA NO DIRECTA"),IF(OR(ISNUMBER(SEARCH("TOPE",UPPER(E88))),ISNUMBER(SEARCH("TOPE",UPPER(G88)))),"SOLO CONTROL",IF(ISNUMBER(SEARCH("RETEN",UPPER(E88))),"RETENCIÓN","REVISAR")))),"REVISAR"))</f>
        <v/>
      </c>
      <c r="J88" s="48">
        <f>IF(A88="","",IF(ISNUMBER(SEARCH("ingreso laboral promedio de los últimos seis meses",E88)),"",IFERROR(IF(AND(S88=1,T88=1),U88,""),"")))</f>
        <v/>
      </c>
      <c r="K88" s="216" t="n"/>
      <c r="L88" s="48">
        <f>IF(A88="","",IFERROR(IF(K88&lt;&gt;"","Casilla elegida por usuario",IF(S88&gt;1,"Varias casillas — elegir en K",IF(J88&lt;&gt;"","Sugerencia directa",IF(S88=1,"No trasladar directo — revisar",IF(OR(ISNUMBER(SEARCH("TOPE",UPPER(E88))),ISNUMBER(SEARCH("TOPE",UPPER(G88)))),"Solo control","Revisar manualmente"))))),"Revisar manualmente"))</f>
        <v/>
      </c>
      <c r="M88" s="461">
        <f>IF(A88="","",IF(IF(K88&lt;&gt;"",K88,J88)="",0,IF(COUNTIFS(Reglas!$I$5:$I$118,IF(K88&lt;&gt;"",K88,J88),Reglas!$J$5:$J$118,"Sí")=1,F88,0)))</f>
        <v/>
      </c>
      <c r="N88" s="56" t="n"/>
      <c r="O88" s="462">
        <f>IF(A88="","",IF(M88=0,"",M88))</f>
        <v/>
      </c>
      <c r="P88" s="461">
        <f>IF(A88="","",IF(O88="",0,IF(ISNUMBER(O88),O88,0)))</f>
        <v/>
      </c>
      <c r="Q88" s="48">
        <f>IF(A88="","",IF(Exogena_RAW!$C$4="","BLOQUEADO: FALTA AÑO",IF(Exogena_RAW!$K$10&lt;&gt;Reglas!$B$5,"BLOQUEADO: AÑO",IF(IF(K88&lt;&gt;"",K88,J88)="",IF(S88&gt;1,"REQUIERE ASIGNACIÓN MANUAL (VARIAS CASILLAS)","INFORMATIVO (sin casilla — no se declara)"),IF(COUNTIFS(Reglas!$I$5:$I$118,IF(K88&lt;&gt;"",K88,J88),Reglas!$J$5:$J$118,"Sí")=0,"BLOQUEADO: CASILLA NO DIRECTA",IF(O88="","EXCLUIDO (valor borrado por el usuario)",IF(_xlfn.ISFORMULA(O88),IF(W88&lt;&gt;"","BORRADOR — VALOR SUGERIDO DIAN ⚠ VER ALERTA","BORRADOR — VALOR SUGERIDO DIAN"),IF(W88&lt;&gt;"","ACEPTADO ⚠ VER ALERTA","ACEPTADO"))))))))</f>
        <v/>
      </c>
      <c r="R88" s="218" t="n"/>
      <c r="S88" s="58">
        <f>IF(A88="","",IFERROR(--ISNUMBER(SEARCH("R28",G88)),0)+IFERROR(--ISNUMBER(SEARCH("R29",G88)),0)+IFERROR(--ISNUMBER(SEARCH("R30",G88)),0)+IFERROR(--ISNUMBER(SEARCH("R31",G88)),0)+IFERROR(--ISNUMBER(SEARCH("R32",G88)),0)+IFERROR(--ISNUMBER(SEARCH("R33",G88)),0)+IFERROR(--ISNUMBER(SEARCH("R34",G88)),0)+IFERROR(--ISNUMBER(SEARCH("R35",G88)),0)+IFERROR(--ISNUMBER(SEARCH("R36",G88)),0)+IFERROR(--ISNUMBER(SEARCH("R37",G88)),0)+IFERROR(--ISNUMBER(SEARCH("R38",G88)),0)+IFERROR(--ISNUMBER(SEARCH("R39",G88)),0)+IFERROR(--ISNUMBER(SEARCH("R40",G88)),0)+IFERROR(--ISNUMBER(SEARCH("R41",G88)),0)+IFERROR(--ISNUMBER(SEARCH("R42",G88)),0)+IFERROR(--ISNUMBER(SEARCH("R43",G88)),0)+IFERROR(--ISNUMBER(SEARCH("R44",G88)),0)+IFERROR(--ISNUMBER(SEARCH("R45",G88)),0)+IFERROR(--ISNUMBER(SEARCH("R46",G88)),0)+IFERROR(--ISNUMBER(SEARCH("R47",G88)),0)+IFERROR(--ISNUMBER(SEARCH("R48",G88)),0)+IFERROR(--ISNUMBER(SEARCH("R49",G88)),0)+IFERROR(--ISNUMBER(SEARCH("R50",G88)),0)+IFERROR(--ISNUMBER(SEARCH("R51",G88)),0)+IFERROR(--ISNUMBER(SEARCH("R52",G88)),0)+IFERROR(--ISNUMBER(SEARCH("R53",G88)),0)+IFERROR(--ISNUMBER(SEARCH("R54",G88)),0)+IFERROR(--ISNUMBER(SEARCH("R55",G88)),0)+IFERROR(--ISNUMBER(SEARCH("R56",G88)),0)+IFERROR(--ISNUMBER(SEARCH("R57",G88)),0)+IFERROR(--ISNUMBER(SEARCH("R58",G88)),0)+IFERROR(--ISNUMBER(SEARCH("R59",G88)),0)+IFERROR(--ISNUMBER(SEARCH("R60",G88)),0)+IFERROR(--ISNUMBER(SEARCH("R61",G88)),0)+IFERROR(--ISNUMBER(SEARCH("R62",G88)),0)+IFERROR(--ISNUMBER(SEARCH("R63",G88)),0)+IFERROR(--ISNUMBER(SEARCH("R64",G88)),0)+IFERROR(--ISNUMBER(SEARCH("R65",G88)),0)+IFERROR(--ISNUMBER(SEARCH("R66",G88)),0)+IFERROR(--ISNUMBER(SEARCH("R67",G88)),0)+IFERROR(--ISNUMBER(SEARCH("R68",G88)),0)+IFERROR(--ISNUMBER(SEARCH("R69",G88)),0)+IFERROR(--ISNUMBER(SEARCH("R70",G88)),0)+IFERROR(--ISNUMBER(SEARCH("R71",G88)),0)+IFERROR(--ISNUMBER(SEARCH("R72",G88)),0)+IFERROR(--ISNUMBER(SEARCH("R73",G88)),0)+IFERROR(--ISNUMBER(SEARCH("R74",G88)),0)+IFERROR(--ISNUMBER(SEARCH("R75",G88)),0)+IFERROR(--ISNUMBER(SEARCH("R76",G88)),0)+IFERROR(--ISNUMBER(SEARCH("R77",G88)),0)+IFERROR(--ISNUMBER(SEARCH("R78",G88)),0)+IFERROR(--ISNUMBER(SEARCH("R79",G88)),0)+IFERROR(--ISNUMBER(SEARCH("R80",G88)),0)+IFERROR(--ISNUMBER(SEARCH("R81",G88)),0)+IFERROR(--ISNUMBER(SEARCH("R82",G88)),0)+IFERROR(--ISNUMBER(SEARCH("R83",G88)),0)+IFERROR(--ISNUMBER(SEARCH("R84",G88)),0)+IFERROR(--ISNUMBER(SEARCH("R85",G88)),0)+IFERROR(--ISNUMBER(SEARCH("R86",G88)),0)+IFERROR(--ISNUMBER(SEARCH("R87",G88)),0)+IFERROR(--ISNUMBER(SEARCH("R88",G88)),0)+IFERROR(--ISNUMBER(SEARCH("R89",G88)),0)+IFERROR(--ISNUMBER(SEARCH("R90",G88)),0)+IFERROR(--ISNUMBER(SEARCH("R91",G88)),0)+IFERROR(--ISNUMBER(SEARCH("R92",G88)),0)+IFERROR(--ISNUMBER(SEARCH("R93",G88)),0)+IFERROR(--ISNUMBER(SEARCH("R94",G88)),0)+IFERROR(--ISNUMBER(SEARCH("R95",G88)),0)+IFERROR(--ISNUMBER(SEARCH("R96",G88)),0)+IFERROR(--ISNUMBER(SEARCH("R97",G88)),0)+IFERROR(--ISNUMBER(SEARCH("R98",G88)),0)+IFERROR(--ISNUMBER(SEARCH("R99",G88)),0)+IFERROR(--ISNUMBER(SEARCH("R100",G88)),0)+IFERROR(--ISNUMBER(SEARCH("R101",G88)),0)+IFERROR(--ISNUMBER(SEARCH("R102",G88)),0)+IFERROR(--ISNUMBER(SEARCH("R103",G88)),0)+IFERROR(--ISNUMBER(SEARCH("R104",G88)),0)+IFERROR(--ISNUMBER(SEARCH("R105",G88)),0)+IFERROR(--ISNUMBER(SEARCH("R106",G88)),0)+IFERROR(--ISNUMBER(SEARCH("R107",G88)),0)+IFERROR(--ISNUMBER(SEARCH("R108",G88)),0)+IFERROR(--ISNUMBER(SEARCH("R109",G88)),0)+IFERROR(--ISNUMBER(SEARCH("R110",G88)),0)+IFERROR(--ISNUMBER(SEARCH("R111",G88)),0)+IFERROR(--ISNUMBER(SEARCH("R112",G88)),0)+IFERROR(--ISNUMBER(SEARCH("R113",G88)),0)+IFERROR(--ISNUMBER(SEARCH("R114",G88)),0)+IFERROR(--ISNUMBER(SEARCH("R115",G88)),0)+IFERROR(--ISNUMBER(SEARCH("R116",G88)),0)+IFERROR(--ISNUMBER(SEARCH("R117",G88)),0)+IFERROR(--ISNUMBER(SEARCH("R118",G88)),0)+IFERROR(--ISNUMBER(SEARCH("R119",G88)),0)+IFERROR(--ISNUMBER(SEARCH("R120",G88)),0)+IFERROR(--ISNUMBER(SEARCH("R121",G88)),0)+IFERROR(--ISNUMBER(SEARCH("R122",G88)),0)+IFERROR(--ISNUMBER(SEARCH("R123",G88)),0)+IFERROR(--ISNUMBER(SEARCH("R124",G88)),0)+IFERROR(--ISNUMBER(SEARCH("R125",G88)),0)+IFERROR(--ISNUMBER(SEARCH("R126",G88)),0)+IFERROR(--ISNUMBER(SEARCH("R127",G88)),0)+IFERROR(--ISNUMBER(SEARCH("R128",G88)),0)+IFERROR(--ISNUMBER(SEARCH("R129",G88)),0)+IFERROR(--ISNUMBER(SEARCH("R130",G88)),0)+IFERROR(--ISNUMBER(SEARCH("R131",G88)),0)+IFERROR(--ISNUMBER(SEARCH("R132",G88)),0)+IFERROR(--ISNUMBER(SEARCH("R133",G88)),0)+IFERROR(--ISNUMBER(SEARCH("R134",G88)),0)+IFERROR(--ISNUMBER(SEARCH("R135",G88)),0)+IFERROR(--ISNUMBER(SEARCH("R136",G88)),0)+IFERROR(--ISNUMBER(SEARCH("R137",G88)),0)+IFERROR(--ISNUMBER(SEARCH("R138",G88)),0)+IFERROR(--ISNUMBER(SEARCH("R139",G88)),0)+IFERROR(--ISNUMBER(SEARCH("R140",G88)),0)+IFERROR(--ISNUMBER(SEARCH("R141",G88)),0))</f>
        <v/>
      </c>
      <c r="T88" s="58">
        <f>IF(A88="","",IFERROR(--ISNUMBER(SEARCH("R28",G88)),0)+IFERROR(--ISNUMBER(SEARCH("R29",G88)),0)+IFERROR(--ISNUMBER(SEARCH("R30",G88)),0)+IFERROR(--ISNUMBER(SEARCH("R32",G88)),0)+IFERROR(--ISNUMBER(SEARCH("R33",G88)),0)+IFERROR(--ISNUMBER(SEARCH("R35",G88)),0)+IFERROR(--ISNUMBER(SEARCH("R36",G88)),0)+IFERROR(--ISNUMBER(SEARCH("R38",G88)),0)+IFERROR(--ISNUMBER(SEARCH("R39",G88)),0)+IFERROR(--ISNUMBER(SEARCH("R43",G88)),0)+IFERROR(--ISNUMBER(SEARCH("R44",G88)),0)+IFERROR(--ISNUMBER(SEARCH("R45",G88)),0)+IFERROR(--ISNUMBER(SEARCH("R47",G88)),0)+IFERROR(--ISNUMBER(SEARCH("R48",G88)),0)+IFERROR(--ISNUMBER(SEARCH("R50",G88)),0)+IFERROR(--ISNUMBER(SEARCH("R51",G88)),0)+IFERROR(--ISNUMBER(SEARCH("R56",G88)),0)+IFERROR(--ISNUMBER(SEARCH("R58",G88)),0)+IFERROR(--ISNUMBER(SEARCH("R59",G88)),0)+IFERROR(--ISNUMBER(SEARCH("R60",G88)),0)+IFERROR(--ISNUMBER(SEARCH("R62",G88)),0)+IFERROR(--ISNUMBER(SEARCH("R63",G88)),0)+IFERROR(--ISNUMBER(SEARCH("R64",G88)),0)+IFERROR(--ISNUMBER(SEARCH("R66",G88)),0)+IFERROR(--ISNUMBER(SEARCH("R67",G88)),0)+IFERROR(--ISNUMBER(SEARCH("R72",G88)),0)+IFERROR(--ISNUMBER(SEARCH("R74",G88)),0)+IFERROR(--ISNUMBER(SEARCH("R75",G88)),0)+IFERROR(--ISNUMBER(SEARCH("R76",G88)),0)+IFERROR(--ISNUMBER(SEARCH("R77",G88)),0)+IFERROR(--ISNUMBER(SEARCH("R79",G88)),0)+IFERROR(--ISNUMBER(SEARCH("R80",G88)),0)+IFERROR(--ISNUMBER(SEARCH("R81",G88)),0)+IFERROR(--ISNUMBER(SEARCH("R83",G88)),0)+IFERROR(--ISNUMBER(SEARCH("R84",G88)),0)+IFERROR(--ISNUMBER(SEARCH("R89",G88)),0)+IFERROR(--ISNUMBER(SEARCH("R94",G88)),0)+IFERROR(--ISNUMBER(SEARCH("R95",G88)),0)+IFERROR(--ISNUMBER(SEARCH("R96",G88)),0)+IFERROR(--ISNUMBER(SEARCH("R98",G88)),0)+IFERROR(--ISNUMBER(SEARCH("R99",G88)),0)+IFERROR(--ISNUMBER(SEARCH("R100",G88)),0)+IFERROR(--ISNUMBER(SEARCH("R104",G88)),0)+IFERROR(--ISNUMBER(SEARCH("R105",G88)),0)+IFERROR(--ISNUMBER(SEARCH("R107",G88)),0)+IFERROR(--ISNUMBER(SEARCH("R108",G88)),0)+IFERROR(--ISNUMBER(SEARCH("R109",G88)),0)+IFERROR(--ISNUMBER(SEARCH("R110",G88)),0)+IFERROR(--ISNUMBER(SEARCH("R112",G88)),0)+IFERROR(--ISNUMBER(SEARCH("R113",G88)),0)+IFERROR(--ISNUMBER(SEARCH("R114",G88)),0)+IFERROR(--ISNUMBER(SEARCH("R118",G88)),0)+IFERROR(--ISNUMBER(SEARCH("R119",G88)),0)+IFERROR(--ISNUMBER(SEARCH("R120",G88)),0)+IFERROR(--ISNUMBER(SEARCH("R122",G88)),0)+IFERROR(--ISNUMBER(SEARCH("R123",G88)),0)+IFERROR(--ISNUMBER(SEARCH("R124",G88)),0)+IFERROR(--ISNUMBER(SEARCH("R128",G88)),0)+IFERROR(--ISNUMBER(SEARCH("R130",G88)),0)+IFERROR(--ISNUMBER(SEARCH("R131",G88)),0)+IFERROR(--ISNUMBER(SEARCH("R132",G88)),0)+IFERROR(--ISNUMBER(SEARCH("R135",G88)),0)+IFERROR(--ISNUMBER(SEARCH("R138",G88)),0)+IFERROR(--ISNUMBER(SEARCH("R141",G88)),0))</f>
        <v/>
      </c>
      <c r="U88" s="58">
        <f>IF(A88="","",IFERROR(--ISNUMBER(SEARCH("R28",G88))*28,0)+IFERROR(--ISNUMBER(SEARCH("R29",G88))*29,0)+IFERROR(--ISNUMBER(SEARCH("R30",G88))*30,0)+IFERROR(--ISNUMBER(SEARCH("R31",G88))*31,0)+IFERROR(--ISNUMBER(SEARCH("R32",G88))*32,0)+IFERROR(--ISNUMBER(SEARCH("R33",G88))*33,0)+IFERROR(--ISNUMBER(SEARCH("R34",G88))*34,0)+IFERROR(--ISNUMBER(SEARCH("R35",G88))*35,0)+IFERROR(--ISNUMBER(SEARCH("R36",G88))*36,0)+IFERROR(--ISNUMBER(SEARCH("R37",G88))*37,0)+IFERROR(--ISNUMBER(SEARCH("R38",G88))*38,0)+IFERROR(--ISNUMBER(SEARCH("R39",G88))*39,0)+IFERROR(--ISNUMBER(SEARCH("R40",G88))*40,0)+IFERROR(--ISNUMBER(SEARCH("R41",G88))*41,0)+IFERROR(--ISNUMBER(SEARCH("R42",G88))*42,0)+IFERROR(--ISNUMBER(SEARCH("R43",G88))*43,0)+IFERROR(--ISNUMBER(SEARCH("R44",G88))*44,0)+IFERROR(--ISNUMBER(SEARCH("R45",G88))*45,0)+IFERROR(--ISNUMBER(SEARCH("R46",G88))*46,0)+IFERROR(--ISNUMBER(SEARCH("R47",G88))*47,0)+IFERROR(--ISNUMBER(SEARCH("R48",G88))*48,0)+IFERROR(--ISNUMBER(SEARCH("R49",G88))*49,0)+IFERROR(--ISNUMBER(SEARCH("R50",G88))*50,0)+IFERROR(--ISNUMBER(SEARCH("R51",G88))*51,0)+IFERROR(--ISNUMBER(SEARCH("R52",G88))*52,0)+IFERROR(--ISNUMBER(SEARCH("R53",G88))*53,0)+IFERROR(--ISNUMBER(SEARCH("R54",G88))*54,0)+IFERROR(--ISNUMBER(SEARCH("R55",G88))*55,0)+IFERROR(--ISNUMBER(SEARCH("R56",G88))*56,0)+IFERROR(--ISNUMBER(SEARCH("R57",G88))*57,0)+IFERROR(--ISNUMBER(SEARCH("R58",G88))*58,0)+IFERROR(--ISNUMBER(SEARCH("R59",G88))*59,0)+IFERROR(--ISNUMBER(SEARCH("R60",G88))*60,0)+IFERROR(--ISNUMBER(SEARCH("R61",G88))*61,0)+IFERROR(--ISNUMBER(SEARCH("R62",G88))*62,0)+IFERROR(--ISNUMBER(SEARCH("R63",G88))*63,0)+IFERROR(--ISNUMBER(SEARCH("R64",G88))*64,0)+IFERROR(--ISNUMBER(SEARCH("R65",G88))*65,0)+IFERROR(--ISNUMBER(SEARCH("R66",G88))*66,0)+IFERROR(--ISNUMBER(SEARCH("R67",G88))*67,0)+IFERROR(--ISNUMBER(SEARCH("R68",G88))*68,0)+IFERROR(--ISNUMBER(SEARCH("R69",G88))*69,0)+IFERROR(--ISNUMBER(SEARCH("R70",G88))*70,0)+IFERROR(--ISNUMBER(SEARCH("R71",G88))*71,0)+IFERROR(--ISNUMBER(SEARCH("R72",G88))*72,0)+IFERROR(--ISNUMBER(SEARCH("R73",G88))*73,0)+IFERROR(--ISNUMBER(SEARCH("R74",G88))*74,0)+IFERROR(--ISNUMBER(SEARCH("R75",G88))*75,0)+IFERROR(--ISNUMBER(SEARCH("R76",G88))*76,0)+IFERROR(--ISNUMBER(SEARCH("R77",G88))*77,0)+IFERROR(--ISNUMBER(SEARCH("R78",G88))*78,0)+IFERROR(--ISNUMBER(SEARCH("R79",G88))*79,0)+IFERROR(--ISNUMBER(SEARCH("R80",G88))*80,0)+IFERROR(--ISNUMBER(SEARCH("R81",G88))*81,0)+IFERROR(--ISNUMBER(SEARCH("R82",G88))*82,0)+IFERROR(--ISNUMBER(SEARCH("R83",G88))*83,0)+IFERROR(--ISNUMBER(SEARCH("R84",G88))*84,0)+IFERROR(--ISNUMBER(SEARCH("R85",G88))*85,0)+IFERROR(--ISNUMBER(SEARCH("R86",G88))*86,0)+IFERROR(--ISNUMBER(SEARCH("R87",G88))*87,0)+IFERROR(--ISNUMBER(SEARCH("R88",G88))*88,0)+IFERROR(--ISNUMBER(SEARCH("R89",G88))*89,0)+IFERROR(--ISNUMBER(SEARCH("R90",G88))*90,0)+IFERROR(--ISNUMBER(SEARCH("R91",G88))*91,0)+IFERROR(--ISNUMBER(SEARCH("R92",G88))*92,0)+IFERROR(--ISNUMBER(SEARCH("R93",G88))*93,0)+IFERROR(--ISNUMBER(SEARCH("R94",G88))*94,0)+IFERROR(--ISNUMBER(SEARCH("R95",G88))*95,0)+IFERROR(--ISNUMBER(SEARCH("R96",G88))*96,0)+IFERROR(--ISNUMBER(SEARCH("R97",G88))*97,0)+IFERROR(--ISNUMBER(SEARCH("R98",G88))*98,0)+IFERROR(--ISNUMBER(SEARCH("R99",G88))*99,0)+IFERROR(--ISNUMBER(SEARCH("R100",G88))*100,0)+IFERROR(--ISNUMBER(SEARCH("R101",G88))*101,0)+IFERROR(--ISNUMBER(SEARCH("R102",G88))*102,0)+IFERROR(--ISNUMBER(SEARCH("R103",G88))*103,0)+IFERROR(--ISNUMBER(SEARCH("R104",G88))*104,0)+IFERROR(--ISNUMBER(SEARCH("R105",G88))*105,0)+IFERROR(--ISNUMBER(SEARCH("R106",G88))*106,0)+IFERROR(--ISNUMBER(SEARCH("R107",G88))*107,0)+IFERROR(--ISNUMBER(SEARCH("R108",G88))*108,0)+IFERROR(--ISNUMBER(SEARCH("R109",G88))*109,0)+IFERROR(--ISNUMBER(SEARCH("R110",G88))*110,0)+IFERROR(--ISNUMBER(SEARCH("R111",G88))*111,0)+IFERROR(--ISNUMBER(SEARCH("R112",G88))*112,0)+IFERROR(--ISNUMBER(SEARCH("R113",G88))*113,0)+IFERROR(--ISNUMBER(SEARCH("R114",G88))*114,0)+IFERROR(--ISNUMBER(SEARCH("R115",G88))*115,0)+IFERROR(--ISNUMBER(SEARCH("R116",G88))*116,0)+IFERROR(--ISNUMBER(SEARCH("R117",G88))*117,0)+IFERROR(--ISNUMBER(SEARCH("R118",G88))*118,0)+IFERROR(--ISNUMBER(SEARCH("R119",G88))*119,0)+IFERROR(--ISNUMBER(SEARCH("R120",G88))*120,0)+IFERROR(--ISNUMBER(SEARCH("R121",G88))*121,0)+IFERROR(--ISNUMBER(SEARCH("R122",G88))*122,0)+IFERROR(--ISNUMBER(SEARCH("R123",G88))*123,0)+IFERROR(--ISNUMBER(SEARCH("R124",G88))*124,0)+IFERROR(--ISNUMBER(SEARCH("R125",G88))*125,0)+IFERROR(--ISNUMBER(SEARCH("R126",G88))*126,0)+IFERROR(--ISNUMBER(SEARCH("R127",G88))*127,0)+IFERROR(--ISNUMBER(SEARCH("R128",G88))*128,0)+IFERROR(--ISNUMBER(SEARCH("R129",G88))*129,0)+IFERROR(--ISNUMBER(SEARCH("R130",G88))*130,0)+IFERROR(--ISNUMBER(SEARCH("R131",G88))*131,0)+IFERROR(--ISNUMBER(SEARCH("R132",G88))*132,0)+IFERROR(--ISNUMBER(SEARCH("R133",G88))*133,0)+IFERROR(--ISNUMBER(SEARCH("R134",G88))*134,0)+IFERROR(--ISNUMBER(SEARCH("R135",G88))*135,0)+IFERROR(--ISNUMBER(SEARCH("R136",G88))*136,0)+IFERROR(--ISNUMBER(SEARCH("R137",G88))*137,0)+IFERROR(--ISNUMBER(SEARCH("R138",G88))*138,0)+IFERROR(--ISNUMBER(SEARCH("R139",G88))*139,0)+IFERROR(--ISNUMBER(SEARCH("R140",G88))*140,0)+IFERROR(--ISNUMBER(SEARCH("R141",G88))*141,0))</f>
        <v/>
      </c>
      <c r="V88" s="59">
        <f>IF(A88="","",IF(K88&lt;&gt;"",K88,J88))</f>
        <v/>
      </c>
      <c r="W88" s="59">
        <f>IF(A88="","",IF(AND(V88=29,O88&lt;&gt;"",COUNTIFS($V$6:$V$505,29,$F$6:$F$505,F88,$C$6:$C$505,C88,$O$6:$O$505,"&lt;&gt;")&gt;1),IF(COUNTIFS($V$6:V88,29,$F$6:F88,F88,$C$6:C88,C88,$O$6:O88,"&lt;&gt;")=1,"Esta es la fila que se debe CONSERVAR (aparición 1 de "&amp;COUNTIFS($V$6:$V$505,29,$F$6:$F$505,F88,$C$6:$C$505,C88,$O$6:$O$505,"&lt;&gt;")&amp;" con el mismo tercero y valor, casilla 29). Si hay más filas iguales, bórreles el valor a ELLAS, no a esta.","DUPLICADO — ya existe otra fila con el mismo tercero y valor para casilla 29 (aparición "&amp;COUNTIFS($V$6:V88,29,$F$6:F88,F88,$C$6:C88,C88,$O$6:O88,"&lt;&gt;")&amp;" de "&amp;COUNTIFS($V$6:$V$505,29,$F$6:$F$505,F88,$C$6:$C$505,C88,$O$6:$O$505,"&lt;&gt;")&amp;"). Para resolverlo: seleccione la celda O"&amp;ROW()&amp;" (columna Valor a declarar de ESTA fila) y presione Supr."),""))</f>
        <v/>
      </c>
      <c r="X88" s="463">
        <f>IF(A88="","",F88)</f>
        <v/>
      </c>
      <c r="Y88" s="463">
        <f>IF(A88="","",SUMIF(Entrada_Manual!$I$88:$I$187,A88,Entrada_Manual!$F$88:$F$187))</f>
        <v/>
      </c>
      <c r="Z88" s="463">
        <f>IF(A88="","",X88-Y88)</f>
        <v/>
      </c>
      <c r="AA88">
        <f>IF(A88="","",SUMPRODUCT((Entrada_Manual!$I$88:$I$187=A88)*1))</f>
        <v/>
      </c>
      <c r="AB88">
        <f>IF(A88="","",IF(S88&lt;=1,"",IF(AA88=0,"PENDIENTE — SIN ASIGNAR",IF(Z88=0,"RESUELTO","PARCIAL — DIFERENCIA "&amp;TEXT(Z88,"#,##0")))))</f>
        <v/>
      </c>
    </row>
    <row r="89" ht="14.25" customHeight="1" s="235">
      <c r="A89" s="47">
        <f>IF(Exogena_RAW!E98&lt;&gt;"",ROW()-5,"")</f>
        <v/>
      </c>
      <c r="B89" s="48">
        <f>IF(A89="","",98)</f>
        <v/>
      </c>
      <c r="C89" s="48">
        <f>IF(A89="","",IFERROR(Exogena_RAW!A98,""))</f>
        <v/>
      </c>
      <c r="D89" s="48">
        <f>IF(A89="","",IFERROR(Exogena_RAW!B98,""))</f>
        <v/>
      </c>
      <c r="E89" s="48">
        <f>IF(A89="","",Exogena_RAW!E98)</f>
        <v/>
      </c>
      <c r="F89" s="461">
        <f>IF(A89="","",Exogena_RAW!F98)</f>
        <v/>
      </c>
      <c r="G89" s="48">
        <f>IF(A89="","",IFERROR(Exogena_RAW!G98,""))</f>
        <v/>
      </c>
      <c r="H89" s="48">
        <f>IF(A89="","",IFERROR(Exogena_RAW!H98,""))</f>
        <v/>
      </c>
      <c r="I89" s="48">
        <f>IF(A89="","",IFERROR(IF(S89&gt;1,"VARIAS CASILLAS",IF(S89=1,IF(T89=1,"PROPUESTA DE CASILLA","REVISIÓN: CASILLA NO DIRECTA"),IF(OR(ISNUMBER(SEARCH("TOPE",UPPER(E89))),ISNUMBER(SEARCH("TOPE",UPPER(G89)))),"SOLO CONTROL",IF(ISNUMBER(SEARCH("RETEN",UPPER(E89))),"RETENCIÓN","REVISAR")))),"REVISAR"))</f>
        <v/>
      </c>
      <c r="J89" s="48">
        <f>IF(A89="","",IF(ISNUMBER(SEARCH("ingreso laboral promedio de los últimos seis meses",E89)),"",IFERROR(IF(AND(S89=1,T89=1),U89,""),"")))</f>
        <v/>
      </c>
      <c r="K89" s="216" t="n"/>
      <c r="L89" s="48">
        <f>IF(A89="","",IFERROR(IF(K89&lt;&gt;"","Casilla elegida por usuario",IF(S89&gt;1,"Varias casillas — elegir en K",IF(J89&lt;&gt;"","Sugerencia directa",IF(S89=1,"No trasladar directo — revisar",IF(OR(ISNUMBER(SEARCH("TOPE",UPPER(E89))),ISNUMBER(SEARCH("TOPE",UPPER(G89)))),"Solo control","Revisar manualmente"))))),"Revisar manualmente"))</f>
        <v/>
      </c>
      <c r="M89" s="461">
        <f>IF(A89="","",IF(IF(K89&lt;&gt;"",K89,J89)="",0,IF(COUNTIFS(Reglas!$I$5:$I$118,IF(K89&lt;&gt;"",K89,J89),Reglas!$J$5:$J$118,"Sí")=1,F89,0)))</f>
        <v/>
      </c>
      <c r="N89" s="56" t="n"/>
      <c r="O89" s="462">
        <f>IF(A89="","",IF(M89=0,"",M89))</f>
        <v/>
      </c>
      <c r="P89" s="461">
        <f>IF(A89="","",IF(O89="",0,IF(ISNUMBER(O89),O89,0)))</f>
        <v/>
      </c>
      <c r="Q89" s="48">
        <f>IF(A89="","",IF(Exogena_RAW!$C$4="","BLOQUEADO: FALTA AÑO",IF(Exogena_RAW!$K$10&lt;&gt;Reglas!$B$5,"BLOQUEADO: AÑO",IF(IF(K89&lt;&gt;"",K89,J89)="",IF(S89&gt;1,"REQUIERE ASIGNACIÓN MANUAL (VARIAS CASILLAS)","INFORMATIVO (sin casilla — no se declara)"),IF(COUNTIFS(Reglas!$I$5:$I$118,IF(K89&lt;&gt;"",K89,J89),Reglas!$J$5:$J$118,"Sí")=0,"BLOQUEADO: CASILLA NO DIRECTA",IF(O89="","EXCLUIDO (valor borrado por el usuario)",IF(_xlfn.ISFORMULA(O89),IF(W89&lt;&gt;"","BORRADOR — VALOR SUGERIDO DIAN ⚠ VER ALERTA","BORRADOR — VALOR SUGERIDO DIAN"),IF(W89&lt;&gt;"","ACEPTADO ⚠ VER ALERTA","ACEPTADO"))))))))</f>
        <v/>
      </c>
      <c r="R89" s="218" t="n"/>
      <c r="S89" s="58">
        <f>IF(A89="","",IFERROR(--ISNUMBER(SEARCH("R28",G89)),0)+IFERROR(--ISNUMBER(SEARCH("R29",G89)),0)+IFERROR(--ISNUMBER(SEARCH("R30",G89)),0)+IFERROR(--ISNUMBER(SEARCH("R31",G89)),0)+IFERROR(--ISNUMBER(SEARCH("R32",G89)),0)+IFERROR(--ISNUMBER(SEARCH("R33",G89)),0)+IFERROR(--ISNUMBER(SEARCH("R34",G89)),0)+IFERROR(--ISNUMBER(SEARCH("R35",G89)),0)+IFERROR(--ISNUMBER(SEARCH("R36",G89)),0)+IFERROR(--ISNUMBER(SEARCH("R37",G89)),0)+IFERROR(--ISNUMBER(SEARCH("R38",G89)),0)+IFERROR(--ISNUMBER(SEARCH("R39",G89)),0)+IFERROR(--ISNUMBER(SEARCH("R40",G89)),0)+IFERROR(--ISNUMBER(SEARCH("R41",G89)),0)+IFERROR(--ISNUMBER(SEARCH("R42",G89)),0)+IFERROR(--ISNUMBER(SEARCH("R43",G89)),0)+IFERROR(--ISNUMBER(SEARCH("R44",G89)),0)+IFERROR(--ISNUMBER(SEARCH("R45",G89)),0)+IFERROR(--ISNUMBER(SEARCH("R46",G89)),0)+IFERROR(--ISNUMBER(SEARCH("R47",G89)),0)+IFERROR(--ISNUMBER(SEARCH("R48",G89)),0)+IFERROR(--ISNUMBER(SEARCH("R49",G89)),0)+IFERROR(--ISNUMBER(SEARCH("R50",G89)),0)+IFERROR(--ISNUMBER(SEARCH("R51",G89)),0)+IFERROR(--ISNUMBER(SEARCH("R52",G89)),0)+IFERROR(--ISNUMBER(SEARCH("R53",G89)),0)+IFERROR(--ISNUMBER(SEARCH("R54",G89)),0)+IFERROR(--ISNUMBER(SEARCH("R55",G89)),0)+IFERROR(--ISNUMBER(SEARCH("R56",G89)),0)+IFERROR(--ISNUMBER(SEARCH("R57",G89)),0)+IFERROR(--ISNUMBER(SEARCH("R58",G89)),0)+IFERROR(--ISNUMBER(SEARCH("R59",G89)),0)+IFERROR(--ISNUMBER(SEARCH("R60",G89)),0)+IFERROR(--ISNUMBER(SEARCH("R61",G89)),0)+IFERROR(--ISNUMBER(SEARCH("R62",G89)),0)+IFERROR(--ISNUMBER(SEARCH("R63",G89)),0)+IFERROR(--ISNUMBER(SEARCH("R64",G89)),0)+IFERROR(--ISNUMBER(SEARCH("R65",G89)),0)+IFERROR(--ISNUMBER(SEARCH("R66",G89)),0)+IFERROR(--ISNUMBER(SEARCH("R67",G89)),0)+IFERROR(--ISNUMBER(SEARCH("R68",G89)),0)+IFERROR(--ISNUMBER(SEARCH("R69",G89)),0)+IFERROR(--ISNUMBER(SEARCH("R70",G89)),0)+IFERROR(--ISNUMBER(SEARCH("R71",G89)),0)+IFERROR(--ISNUMBER(SEARCH("R72",G89)),0)+IFERROR(--ISNUMBER(SEARCH("R73",G89)),0)+IFERROR(--ISNUMBER(SEARCH("R74",G89)),0)+IFERROR(--ISNUMBER(SEARCH("R75",G89)),0)+IFERROR(--ISNUMBER(SEARCH("R76",G89)),0)+IFERROR(--ISNUMBER(SEARCH("R77",G89)),0)+IFERROR(--ISNUMBER(SEARCH("R78",G89)),0)+IFERROR(--ISNUMBER(SEARCH("R79",G89)),0)+IFERROR(--ISNUMBER(SEARCH("R80",G89)),0)+IFERROR(--ISNUMBER(SEARCH("R81",G89)),0)+IFERROR(--ISNUMBER(SEARCH("R82",G89)),0)+IFERROR(--ISNUMBER(SEARCH("R83",G89)),0)+IFERROR(--ISNUMBER(SEARCH("R84",G89)),0)+IFERROR(--ISNUMBER(SEARCH("R85",G89)),0)+IFERROR(--ISNUMBER(SEARCH("R86",G89)),0)+IFERROR(--ISNUMBER(SEARCH("R87",G89)),0)+IFERROR(--ISNUMBER(SEARCH("R88",G89)),0)+IFERROR(--ISNUMBER(SEARCH("R89",G89)),0)+IFERROR(--ISNUMBER(SEARCH("R90",G89)),0)+IFERROR(--ISNUMBER(SEARCH("R91",G89)),0)+IFERROR(--ISNUMBER(SEARCH("R92",G89)),0)+IFERROR(--ISNUMBER(SEARCH("R93",G89)),0)+IFERROR(--ISNUMBER(SEARCH("R94",G89)),0)+IFERROR(--ISNUMBER(SEARCH("R95",G89)),0)+IFERROR(--ISNUMBER(SEARCH("R96",G89)),0)+IFERROR(--ISNUMBER(SEARCH("R97",G89)),0)+IFERROR(--ISNUMBER(SEARCH("R98",G89)),0)+IFERROR(--ISNUMBER(SEARCH("R99",G89)),0)+IFERROR(--ISNUMBER(SEARCH("R100",G89)),0)+IFERROR(--ISNUMBER(SEARCH("R101",G89)),0)+IFERROR(--ISNUMBER(SEARCH("R102",G89)),0)+IFERROR(--ISNUMBER(SEARCH("R103",G89)),0)+IFERROR(--ISNUMBER(SEARCH("R104",G89)),0)+IFERROR(--ISNUMBER(SEARCH("R105",G89)),0)+IFERROR(--ISNUMBER(SEARCH("R106",G89)),0)+IFERROR(--ISNUMBER(SEARCH("R107",G89)),0)+IFERROR(--ISNUMBER(SEARCH("R108",G89)),0)+IFERROR(--ISNUMBER(SEARCH("R109",G89)),0)+IFERROR(--ISNUMBER(SEARCH("R110",G89)),0)+IFERROR(--ISNUMBER(SEARCH("R111",G89)),0)+IFERROR(--ISNUMBER(SEARCH("R112",G89)),0)+IFERROR(--ISNUMBER(SEARCH("R113",G89)),0)+IFERROR(--ISNUMBER(SEARCH("R114",G89)),0)+IFERROR(--ISNUMBER(SEARCH("R115",G89)),0)+IFERROR(--ISNUMBER(SEARCH("R116",G89)),0)+IFERROR(--ISNUMBER(SEARCH("R117",G89)),0)+IFERROR(--ISNUMBER(SEARCH("R118",G89)),0)+IFERROR(--ISNUMBER(SEARCH("R119",G89)),0)+IFERROR(--ISNUMBER(SEARCH("R120",G89)),0)+IFERROR(--ISNUMBER(SEARCH("R121",G89)),0)+IFERROR(--ISNUMBER(SEARCH("R122",G89)),0)+IFERROR(--ISNUMBER(SEARCH("R123",G89)),0)+IFERROR(--ISNUMBER(SEARCH("R124",G89)),0)+IFERROR(--ISNUMBER(SEARCH("R125",G89)),0)+IFERROR(--ISNUMBER(SEARCH("R126",G89)),0)+IFERROR(--ISNUMBER(SEARCH("R127",G89)),0)+IFERROR(--ISNUMBER(SEARCH("R128",G89)),0)+IFERROR(--ISNUMBER(SEARCH("R129",G89)),0)+IFERROR(--ISNUMBER(SEARCH("R130",G89)),0)+IFERROR(--ISNUMBER(SEARCH("R131",G89)),0)+IFERROR(--ISNUMBER(SEARCH("R132",G89)),0)+IFERROR(--ISNUMBER(SEARCH("R133",G89)),0)+IFERROR(--ISNUMBER(SEARCH("R134",G89)),0)+IFERROR(--ISNUMBER(SEARCH("R135",G89)),0)+IFERROR(--ISNUMBER(SEARCH("R136",G89)),0)+IFERROR(--ISNUMBER(SEARCH("R137",G89)),0)+IFERROR(--ISNUMBER(SEARCH("R138",G89)),0)+IFERROR(--ISNUMBER(SEARCH("R139",G89)),0)+IFERROR(--ISNUMBER(SEARCH("R140",G89)),0)+IFERROR(--ISNUMBER(SEARCH("R141",G89)),0))</f>
        <v/>
      </c>
      <c r="T89" s="58">
        <f>IF(A89="","",IFERROR(--ISNUMBER(SEARCH("R28",G89)),0)+IFERROR(--ISNUMBER(SEARCH("R29",G89)),0)+IFERROR(--ISNUMBER(SEARCH("R30",G89)),0)+IFERROR(--ISNUMBER(SEARCH("R32",G89)),0)+IFERROR(--ISNUMBER(SEARCH("R33",G89)),0)+IFERROR(--ISNUMBER(SEARCH("R35",G89)),0)+IFERROR(--ISNUMBER(SEARCH("R36",G89)),0)+IFERROR(--ISNUMBER(SEARCH("R38",G89)),0)+IFERROR(--ISNUMBER(SEARCH("R39",G89)),0)+IFERROR(--ISNUMBER(SEARCH("R43",G89)),0)+IFERROR(--ISNUMBER(SEARCH("R44",G89)),0)+IFERROR(--ISNUMBER(SEARCH("R45",G89)),0)+IFERROR(--ISNUMBER(SEARCH("R47",G89)),0)+IFERROR(--ISNUMBER(SEARCH("R48",G89)),0)+IFERROR(--ISNUMBER(SEARCH("R50",G89)),0)+IFERROR(--ISNUMBER(SEARCH("R51",G89)),0)+IFERROR(--ISNUMBER(SEARCH("R56",G89)),0)+IFERROR(--ISNUMBER(SEARCH("R58",G89)),0)+IFERROR(--ISNUMBER(SEARCH("R59",G89)),0)+IFERROR(--ISNUMBER(SEARCH("R60",G89)),0)+IFERROR(--ISNUMBER(SEARCH("R62",G89)),0)+IFERROR(--ISNUMBER(SEARCH("R63",G89)),0)+IFERROR(--ISNUMBER(SEARCH("R64",G89)),0)+IFERROR(--ISNUMBER(SEARCH("R66",G89)),0)+IFERROR(--ISNUMBER(SEARCH("R67",G89)),0)+IFERROR(--ISNUMBER(SEARCH("R72",G89)),0)+IFERROR(--ISNUMBER(SEARCH("R74",G89)),0)+IFERROR(--ISNUMBER(SEARCH("R75",G89)),0)+IFERROR(--ISNUMBER(SEARCH("R76",G89)),0)+IFERROR(--ISNUMBER(SEARCH("R77",G89)),0)+IFERROR(--ISNUMBER(SEARCH("R79",G89)),0)+IFERROR(--ISNUMBER(SEARCH("R80",G89)),0)+IFERROR(--ISNUMBER(SEARCH("R81",G89)),0)+IFERROR(--ISNUMBER(SEARCH("R83",G89)),0)+IFERROR(--ISNUMBER(SEARCH("R84",G89)),0)+IFERROR(--ISNUMBER(SEARCH("R89",G89)),0)+IFERROR(--ISNUMBER(SEARCH("R94",G89)),0)+IFERROR(--ISNUMBER(SEARCH("R95",G89)),0)+IFERROR(--ISNUMBER(SEARCH("R96",G89)),0)+IFERROR(--ISNUMBER(SEARCH("R98",G89)),0)+IFERROR(--ISNUMBER(SEARCH("R99",G89)),0)+IFERROR(--ISNUMBER(SEARCH("R100",G89)),0)+IFERROR(--ISNUMBER(SEARCH("R104",G89)),0)+IFERROR(--ISNUMBER(SEARCH("R105",G89)),0)+IFERROR(--ISNUMBER(SEARCH("R107",G89)),0)+IFERROR(--ISNUMBER(SEARCH("R108",G89)),0)+IFERROR(--ISNUMBER(SEARCH("R109",G89)),0)+IFERROR(--ISNUMBER(SEARCH("R110",G89)),0)+IFERROR(--ISNUMBER(SEARCH("R112",G89)),0)+IFERROR(--ISNUMBER(SEARCH("R113",G89)),0)+IFERROR(--ISNUMBER(SEARCH("R114",G89)),0)+IFERROR(--ISNUMBER(SEARCH("R118",G89)),0)+IFERROR(--ISNUMBER(SEARCH("R119",G89)),0)+IFERROR(--ISNUMBER(SEARCH("R120",G89)),0)+IFERROR(--ISNUMBER(SEARCH("R122",G89)),0)+IFERROR(--ISNUMBER(SEARCH("R123",G89)),0)+IFERROR(--ISNUMBER(SEARCH("R124",G89)),0)+IFERROR(--ISNUMBER(SEARCH("R128",G89)),0)+IFERROR(--ISNUMBER(SEARCH("R130",G89)),0)+IFERROR(--ISNUMBER(SEARCH("R131",G89)),0)+IFERROR(--ISNUMBER(SEARCH("R132",G89)),0)+IFERROR(--ISNUMBER(SEARCH("R135",G89)),0)+IFERROR(--ISNUMBER(SEARCH("R138",G89)),0)+IFERROR(--ISNUMBER(SEARCH("R141",G89)),0))</f>
        <v/>
      </c>
      <c r="U89" s="58">
        <f>IF(A89="","",IFERROR(--ISNUMBER(SEARCH("R28",G89))*28,0)+IFERROR(--ISNUMBER(SEARCH("R29",G89))*29,0)+IFERROR(--ISNUMBER(SEARCH("R30",G89))*30,0)+IFERROR(--ISNUMBER(SEARCH("R31",G89))*31,0)+IFERROR(--ISNUMBER(SEARCH("R32",G89))*32,0)+IFERROR(--ISNUMBER(SEARCH("R33",G89))*33,0)+IFERROR(--ISNUMBER(SEARCH("R34",G89))*34,0)+IFERROR(--ISNUMBER(SEARCH("R35",G89))*35,0)+IFERROR(--ISNUMBER(SEARCH("R36",G89))*36,0)+IFERROR(--ISNUMBER(SEARCH("R37",G89))*37,0)+IFERROR(--ISNUMBER(SEARCH("R38",G89))*38,0)+IFERROR(--ISNUMBER(SEARCH("R39",G89))*39,0)+IFERROR(--ISNUMBER(SEARCH("R40",G89))*40,0)+IFERROR(--ISNUMBER(SEARCH("R41",G89))*41,0)+IFERROR(--ISNUMBER(SEARCH("R42",G89))*42,0)+IFERROR(--ISNUMBER(SEARCH("R43",G89))*43,0)+IFERROR(--ISNUMBER(SEARCH("R44",G89))*44,0)+IFERROR(--ISNUMBER(SEARCH("R45",G89))*45,0)+IFERROR(--ISNUMBER(SEARCH("R46",G89))*46,0)+IFERROR(--ISNUMBER(SEARCH("R47",G89))*47,0)+IFERROR(--ISNUMBER(SEARCH("R48",G89))*48,0)+IFERROR(--ISNUMBER(SEARCH("R49",G89))*49,0)+IFERROR(--ISNUMBER(SEARCH("R50",G89))*50,0)+IFERROR(--ISNUMBER(SEARCH("R51",G89))*51,0)+IFERROR(--ISNUMBER(SEARCH("R52",G89))*52,0)+IFERROR(--ISNUMBER(SEARCH("R53",G89))*53,0)+IFERROR(--ISNUMBER(SEARCH("R54",G89))*54,0)+IFERROR(--ISNUMBER(SEARCH("R55",G89))*55,0)+IFERROR(--ISNUMBER(SEARCH("R56",G89))*56,0)+IFERROR(--ISNUMBER(SEARCH("R57",G89))*57,0)+IFERROR(--ISNUMBER(SEARCH("R58",G89))*58,0)+IFERROR(--ISNUMBER(SEARCH("R59",G89))*59,0)+IFERROR(--ISNUMBER(SEARCH("R60",G89))*60,0)+IFERROR(--ISNUMBER(SEARCH("R61",G89))*61,0)+IFERROR(--ISNUMBER(SEARCH("R62",G89))*62,0)+IFERROR(--ISNUMBER(SEARCH("R63",G89))*63,0)+IFERROR(--ISNUMBER(SEARCH("R64",G89))*64,0)+IFERROR(--ISNUMBER(SEARCH("R65",G89))*65,0)+IFERROR(--ISNUMBER(SEARCH("R66",G89))*66,0)+IFERROR(--ISNUMBER(SEARCH("R67",G89))*67,0)+IFERROR(--ISNUMBER(SEARCH("R68",G89))*68,0)+IFERROR(--ISNUMBER(SEARCH("R69",G89))*69,0)+IFERROR(--ISNUMBER(SEARCH("R70",G89))*70,0)+IFERROR(--ISNUMBER(SEARCH("R71",G89))*71,0)+IFERROR(--ISNUMBER(SEARCH("R72",G89))*72,0)+IFERROR(--ISNUMBER(SEARCH("R73",G89))*73,0)+IFERROR(--ISNUMBER(SEARCH("R74",G89))*74,0)+IFERROR(--ISNUMBER(SEARCH("R75",G89))*75,0)+IFERROR(--ISNUMBER(SEARCH("R76",G89))*76,0)+IFERROR(--ISNUMBER(SEARCH("R77",G89))*77,0)+IFERROR(--ISNUMBER(SEARCH("R78",G89))*78,0)+IFERROR(--ISNUMBER(SEARCH("R79",G89))*79,0)+IFERROR(--ISNUMBER(SEARCH("R80",G89))*80,0)+IFERROR(--ISNUMBER(SEARCH("R81",G89))*81,0)+IFERROR(--ISNUMBER(SEARCH("R82",G89))*82,0)+IFERROR(--ISNUMBER(SEARCH("R83",G89))*83,0)+IFERROR(--ISNUMBER(SEARCH("R84",G89))*84,0)+IFERROR(--ISNUMBER(SEARCH("R85",G89))*85,0)+IFERROR(--ISNUMBER(SEARCH("R86",G89))*86,0)+IFERROR(--ISNUMBER(SEARCH("R87",G89))*87,0)+IFERROR(--ISNUMBER(SEARCH("R88",G89))*88,0)+IFERROR(--ISNUMBER(SEARCH("R89",G89))*89,0)+IFERROR(--ISNUMBER(SEARCH("R90",G89))*90,0)+IFERROR(--ISNUMBER(SEARCH("R91",G89))*91,0)+IFERROR(--ISNUMBER(SEARCH("R92",G89))*92,0)+IFERROR(--ISNUMBER(SEARCH("R93",G89))*93,0)+IFERROR(--ISNUMBER(SEARCH("R94",G89))*94,0)+IFERROR(--ISNUMBER(SEARCH("R95",G89))*95,0)+IFERROR(--ISNUMBER(SEARCH("R96",G89))*96,0)+IFERROR(--ISNUMBER(SEARCH("R97",G89))*97,0)+IFERROR(--ISNUMBER(SEARCH("R98",G89))*98,0)+IFERROR(--ISNUMBER(SEARCH("R99",G89))*99,0)+IFERROR(--ISNUMBER(SEARCH("R100",G89))*100,0)+IFERROR(--ISNUMBER(SEARCH("R101",G89))*101,0)+IFERROR(--ISNUMBER(SEARCH("R102",G89))*102,0)+IFERROR(--ISNUMBER(SEARCH("R103",G89))*103,0)+IFERROR(--ISNUMBER(SEARCH("R104",G89))*104,0)+IFERROR(--ISNUMBER(SEARCH("R105",G89))*105,0)+IFERROR(--ISNUMBER(SEARCH("R106",G89))*106,0)+IFERROR(--ISNUMBER(SEARCH("R107",G89))*107,0)+IFERROR(--ISNUMBER(SEARCH("R108",G89))*108,0)+IFERROR(--ISNUMBER(SEARCH("R109",G89))*109,0)+IFERROR(--ISNUMBER(SEARCH("R110",G89))*110,0)+IFERROR(--ISNUMBER(SEARCH("R111",G89))*111,0)+IFERROR(--ISNUMBER(SEARCH("R112",G89))*112,0)+IFERROR(--ISNUMBER(SEARCH("R113",G89))*113,0)+IFERROR(--ISNUMBER(SEARCH("R114",G89))*114,0)+IFERROR(--ISNUMBER(SEARCH("R115",G89))*115,0)+IFERROR(--ISNUMBER(SEARCH("R116",G89))*116,0)+IFERROR(--ISNUMBER(SEARCH("R117",G89))*117,0)+IFERROR(--ISNUMBER(SEARCH("R118",G89))*118,0)+IFERROR(--ISNUMBER(SEARCH("R119",G89))*119,0)+IFERROR(--ISNUMBER(SEARCH("R120",G89))*120,0)+IFERROR(--ISNUMBER(SEARCH("R121",G89))*121,0)+IFERROR(--ISNUMBER(SEARCH("R122",G89))*122,0)+IFERROR(--ISNUMBER(SEARCH("R123",G89))*123,0)+IFERROR(--ISNUMBER(SEARCH("R124",G89))*124,0)+IFERROR(--ISNUMBER(SEARCH("R125",G89))*125,0)+IFERROR(--ISNUMBER(SEARCH("R126",G89))*126,0)+IFERROR(--ISNUMBER(SEARCH("R127",G89))*127,0)+IFERROR(--ISNUMBER(SEARCH("R128",G89))*128,0)+IFERROR(--ISNUMBER(SEARCH("R129",G89))*129,0)+IFERROR(--ISNUMBER(SEARCH("R130",G89))*130,0)+IFERROR(--ISNUMBER(SEARCH("R131",G89))*131,0)+IFERROR(--ISNUMBER(SEARCH("R132",G89))*132,0)+IFERROR(--ISNUMBER(SEARCH("R133",G89))*133,0)+IFERROR(--ISNUMBER(SEARCH("R134",G89))*134,0)+IFERROR(--ISNUMBER(SEARCH("R135",G89))*135,0)+IFERROR(--ISNUMBER(SEARCH("R136",G89))*136,0)+IFERROR(--ISNUMBER(SEARCH("R137",G89))*137,0)+IFERROR(--ISNUMBER(SEARCH("R138",G89))*138,0)+IFERROR(--ISNUMBER(SEARCH("R139",G89))*139,0)+IFERROR(--ISNUMBER(SEARCH("R140",G89))*140,0)+IFERROR(--ISNUMBER(SEARCH("R141",G89))*141,0))</f>
        <v/>
      </c>
      <c r="V89" s="59">
        <f>IF(A89="","",IF(K89&lt;&gt;"",K89,J89))</f>
        <v/>
      </c>
      <c r="W89" s="59">
        <f>IF(A89="","",IF(AND(V89=29,O89&lt;&gt;"",COUNTIFS($V$6:$V$505,29,$F$6:$F$505,F89,$C$6:$C$505,C89,$O$6:$O$505,"&lt;&gt;")&gt;1),IF(COUNTIFS($V$6:V89,29,$F$6:F89,F89,$C$6:C89,C89,$O$6:O89,"&lt;&gt;")=1,"Esta es la fila que se debe CONSERVAR (aparición 1 de "&amp;COUNTIFS($V$6:$V$505,29,$F$6:$F$505,F89,$C$6:$C$505,C89,$O$6:$O$505,"&lt;&gt;")&amp;" con el mismo tercero y valor, casilla 29). Si hay más filas iguales, bórreles el valor a ELLAS, no a esta.","DUPLICADO — ya existe otra fila con el mismo tercero y valor para casilla 29 (aparición "&amp;COUNTIFS($V$6:V89,29,$F$6:F89,F89,$C$6:C89,C89,$O$6:O89,"&lt;&gt;")&amp;" de "&amp;COUNTIFS($V$6:$V$505,29,$F$6:$F$505,F89,$C$6:$C$505,C89,$O$6:$O$505,"&lt;&gt;")&amp;"). Para resolverlo: seleccione la celda O"&amp;ROW()&amp;" (columna Valor a declarar de ESTA fila) y presione Supr."),""))</f>
        <v/>
      </c>
      <c r="X89" s="463">
        <f>IF(A89="","",F89)</f>
        <v/>
      </c>
      <c r="Y89" s="463">
        <f>IF(A89="","",SUMIF(Entrada_Manual!$I$88:$I$187,A89,Entrada_Manual!$F$88:$F$187))</f>
        <v/>
      </c>
      <c r="Z89" s="463">
        <f>IF(A89="","",X89-Y89)</f>
        <v/>
      </c>
      <c r="AA89">
        <f>IF(A89="","",SUMPRODUCT((Entrada_Manual!$I$88:$I$187=A89)*1))</f>
        <v/>
      </c>
      <c r="AB89">
        <f>IF(A89="","",IF(S89&lt;=1,"",IF(AA89=0,"PENDIENTE — SIN ASIGNAR",IF(Z89=0,"RESUELTO","PARCIAL — DIFERENCIA "&amp;TEXT(Z89,"#,##0")))))</f>
        <v/>
      </c>
    </row>
    <row r="90" ht="14.25" customHeight="1" s="235">
      <c r="A90" s="47">
        <f>IF(Exogena_RAW!E99&lt;&gt;"",ROW()-5,"")</f>
        <v/>
      </c>
      <c r="B90" s="48">
        <f>IF(A90="","",99)</f>
        <v/>
      </c>
      <c r="C90" s="48">
        <f>IF(A90="","",IFERROR(Exogena_RAW!A99,""))</f>
        <v/>
      </c>
      <c r="D90" s="48">
        <f>IF(A90="","",IFERROR(Exogena_RAW!B99,""))</f>
        <v/>
      </c>
      <c r="E90" s="48">
        <f>IF(A90="","",Exogena_RAW!E99)</f>
        <v/>
      </c>
      <c r="F90" s="461">
        <f>IF(A90="","",Exogena_RAW!F99)</f>
        <v/>
      </c>
      <c r="G90" s="48">
        <f>IF(A90="","",IFERROR(Exogena_RAW!G99,""))</f>
        <v/>
      </c>
      <c r="H90" s="48">
        <f>IF(A90="","",IFERROR(Exogena_RAW!H99,""))</f>
        <v/>
      </c>
      <c r="I90" s="48">
        <f>IF(A90="","",IFERROR(IF(S90&gt;1,"VARIAS CASILLAS",IF(S90=1,IF(T90=1,"PROPUESTA DE CASILLA","REVISIÓN: CASILLA NO DIRECTA"),IF(OR(ISNUMBER(SEARCH("TOPE",UPPER(E90))),ISNUMBER(SEARCH("TOPE",UPPER(G90)))),"SOLO CONTROL",IF(ISNUMBER(SEARCH("RETEN",UPPER(E90))),"RETENCIÓN","REVISAR")))),"REVISAR"))</f>
        <v/>
      </c>
      <c r="J90" s="48">
        <f>IF(A90="","",IF(ISNUMBER(SEARCH("ingreso laboral promedio de los últimos seis meses",E90)),"",IFERROR(IF(AND(S90=1,T90=1),U90,""),"")))</f>
        <v/>
      </c>
      <c r="K90" s="216" t="n"/>
      <c r="L90" s="48">
        <f>IF(A90="","",IFERROR(IF(K90&lt;&gt;"","Casilla elegida por usuario",IF(S90&gt;1,"Varias casillas — elegir en K",IF(J90&lt;&gt;"","Sugerencia directa",IF(S90=1,"No trasladar directo — revisar",IF(OR(ISNUMBER(SEARCH("TOPE",UPPER(E90))),ISNUMBER(SEARCH("TOPE",UPPER(G90)))),"Solo control","Revisar manualmente"))))),"Revisar manualmente"))</f>
        <v/>
      </c>
      <c r="M90" s="461">
        <f>IF(A90="","",IF(IF(K90&lt;&gt;"",K90,J90)="",0,IF(COUNTIFS(Reglas!$I$5:$I$118,IF(K90&lt;&gt;"",K90,J90),Reglas!$J$5:$J$118,"Sí")=1,F90,0)))</f>
        <v/>
      </c>
      <c r="N90" s="56" t="n"/>
      <c r="O90" s="462">
        <f>IF(A90="","",IF(M90=0,"",M90))</f>
        <v/>
      </c>
      <c r="P90" s="461">
        <f>IF(A90="","",IF(O90="",0,IF(ISNUMBER(O90),O90,0)))</f>
        <v/>
      </c>
      <c r="Q90" s="48">
        <f>IF(A90="","",IF(Exogena_RAW!$C$4="","BLOQUEADO: FALTA AÑO",IF(Exogena_RAW!$K$10&lt;&gt;Reglas!$B$5,"BLOQUEADO: AÑO",IF(IF(K90&lt;&gt;"",K90,J90)="",IF(S90&gt;1,"REQUIERE ASIGNACIÓN MANUAL (VARIAS CASILLAS)","INFORMATIVO (sin casilla — no se declara)"),IF(COUNTIFS(Reglas!$I$5:$I$118,IF(K90&lt;&gt;"",K90,J90),Reglas!$J$5:$J$118,"Sí")=0,"BLOQUEADO: CASILLA NO DIRECTA",IF(O90="","EXCLUIDO (valor borrado por el usuario)",IF(_xlfn.ISFORMULA(O90),IF(W90&lt;&gt;"","BORRADOR — VALOR SUGERIDO DIAN ⚠ VER ALERTA","BORRADOR — VALOR SUGERIDO DIAN"),IF(W90&lt;&gt;"","ACEPTADO ⚠ VER ALERTA","ACEPTADO"))))))))</f>
        <v/>
      </c>
      <c r="R90" s="218" t="n"/>
      <c r="S90" s="58">
        <f>IF(A90="","",IFERROR(--ISNUMBER(SEARCH("R28",G90)),0)+IFERROR(--ISNUMBER(SEARCH("R29",G90)),0)+IFERROR(--ISNUMBER(SEARCH("R30",G90)),0)+IFERROR(--ISNUMBER(SEARCH("R31",G90)),0)+IFERROR(--ISNUMBER(SEARCH("R32",G90)),0)+IFERROR(--ISNUMBER(SEARCH("R33",G90)),0)+IFERROR(--ISNUMBER(SEARCH("R34",G90)),0)+IFERROR(--ISNUMBER(SEARCH("R35",G90)),0)+IFERROR(--ISNUMBER(SEARCH("R36",G90)),0)+IFERROR(--ISNUMBER(SEARCH("R37",G90)),0)+IFERROR(--ISNUMBER(SEARCH("R38",G90)),0)+IFERROR(--ISNUMBER(SEARCH("R39",G90)),0)+IFERROR(--ISNUMBER(SEARCH("R40",G90)),0)+IFERROR(--ISNUMBER(SEARCH("R41",G90)),0)+IFERROR(--ISNUMBER(SEARCH("R42",G90)),0)+IFERROR(--ISNUMBER(SEARCH("R43",G90)),0)+IFERROR(--ISNUMBER(SEARCH("R44",G90)),0)+IFERROR(--ISNUMBER(SEARCH("R45",G90)),0)+IFERROR(--ISNUMBER(SEARCH("R46",G90)),0)+IFERROR(--ISNUMBER(SEARCH("R47",G90)),0)+IFERROR(--ISNUMBER(SEARCH("R48",G90)),0)+IFERROR(--ISNUMBER(SEARCH("R49",G90)),0)+IFERROR(--ISNUMBER(SEARCH("R50",G90)),0)+IFERROR(--ISNUMBER(SEARCH("R51",G90)),0)+IFERROR(--ISNUMBER(SEARCH("R52",G90)),0)+IFERROR(--ISNUMBER(SEARCH("R53",G90)),0)+IFERROR(--ISNUMBER(SEARCH("R54",G90)),0)+IFERROR(--ISNUMBER(SEARCH("R55",G90)),0)+IFERROR(--ISNUMBER(SEARCH("R56",G90)),0)+IFERROR(--ISNUMBER(SEARCH("R57",G90)),0)+IFERROR(--ISNUMBER(SEARCH("R58",G90)),0)+IFERROR(--ISNUMBER(SEARCH("R59",G90)),0)+IFERROR(--ISNUMBER(SEARCH("R60",G90)),0)+IFERROR(--ISNUMBER(SEARCH("R61",G90)),0)+IFERROR(--ISNUMBER(SEARCH("R62",G90)),0)+IFERROR(--ISNUMBER(SEARCH("R63",G90)),0)+IFERROR(--ISNUMBER(SEARCH("R64",G90)),0)+IFERROR(--ISNUMBER(SEARCH("R65",G90)),0)+IFERROR(--ISNUMBER(SEARCH("R66",G90)),0)+IFERROR(--ISNUMBER(SEARCH("R67",G90)),0)+IFERROR(--ISNUMBER(SEARCH("R68",G90)),0)+IFERROR(--ISNUMBER(SEARCH("R69",G90)),0)+IFERROR(--ISNUMBER(SEARCH("R70",G90)),0)+IFERROR(--ISNUMBER(SEARCH("R71",G90)),0)+IFERROR(--ISNUMBER(SEARCH("R72",G90)),0)+IFERROR(--ISNUMBER(SEARCH("R73",G90)),0)+IFERROR(--ISNUMBER(SEARCH("R74",G90)),0)+IFERROR(--ISNUMBER(SEARCH("R75",G90)),0)+IFERROR(--ISNUMBER(SEARCH("R76",G90)),0)+IFERROR(--ISNUMBER(SEARCH("R77",G90)),0)+IFERROR(--ISNUMBER(SEARCH("R78",G90)),0)+IFERROR(--ISNUMBER(SEARCH("R79",G90)),0)+IFERROR(--ISNUMBER(SEARCH("R80",G90)),0)+IFERROR(--ISNUMBER(SEARCH("R81",G90)),0)+IFERROR(--ISNUMBER(SEARCH("R82",G90)),0)+IFERROR(--ISNUMBER(SEARCH("R83",G90)),0)+IFERROR(--ISNUMBER(SEARCH("R84",G90)),0)+IFERROR(--ISNUMBER(SEARCH("R85",G90)),0)+IFERROR(--ISNUMBER(SEARCH("R86",G90)),0)+IFERROR(--ISNUMBER(SEARCH("R87",G90)),0)+IFERROR(--ISNUMBER(SEARCH("R88",G90)),0)+IFERROR(--ISNUMBER(SEARCH("R89",G90)),0)+IFERROR(--ISNUMBER(SEARCH("R90",G90)),0)+IFERROR(--ISNUMBER(SEARCH("R91",G90)),0)+IFERROR(--ISNUMBER(SEARCH("R92",G90)),0)+IFERROR(--ISNUMBER(SEARCH("R93",G90)),0)+IFERROR(--ISNUMBER(SEARCH("R94",G90)),0)+IFERROR(--ISNUMBER(SEARCH("R95",G90)),0)+IFERROR(--ISNUMBER(SEARCH("R96",G90)),0)+IFERROR(--ISNUMBER(SEARCH("R97",G90)),0)+IFERROR(--ISNUMBER(SEARCH("R98",G90)),0)+IFERROR(--ISNUMBER(SEARCH("R99",G90)),0)+IFERROR(--ISNUMBER(SEARCH("R100",G90)),0)+IFERROR(--ISNUMBER(SEARCH("R101",G90)),0)+IFERROR(--ISNUMBER(SEARCH("R102",G90)),0)+IFERROR(--ISNUMBER(SEARCH("R103",G90)),0)+IFERROR(--ISNUMBER(SEARCH("R104",G90)),0)+IFERROR(--ISNUMBER(SEARCH("R105",G90)),0)+IFERROR(--ISNUMBER(SEARCH("R106",G90)),0)+IFERROR(--ISNUMBER(SEARCH("R107",G90)),0)+IFERROR(--ISNUMBER(SEARCH("R108",G90)),0)+IFERROR(--ISNUMBER(SEARCH("R109",G90)),0)+IFERROR(--ISNUMBER(SEARCH("R110",G90)),0)+IFERROR(--ISNUMBER(SEARCH("R111",G90)),0)+IFERROR(--ISNUMBER(SEARCH("R112",G90)),0)+IFERROR(--ISNUMBER(SEARCH("R113",G90)),0)+IFERROR(--ISNUMBER(SEARCH("R114",G90)),0)+IFERROR(--ISNUMBER(SEARCH("R115",G90)),0)+IFERROR(--ISNUMBER(SEARCH("R116",G90)),0)+IFERROR(--ISNUMBER(SEARCH("R117",G90)),0)+IFERROR(--ISNUMBER(SEARCH("R118",G90)),0)+IFERROR(--ISNUMBER(SEARCH("R119",G90)),0)+IFERROR(--ISNUMBER(SEARCH("R120",G90)),0)+IFERROR(--ISNUMBER(SEARCH("R121",G90)),0)+IFERROR(--ISNUMBER(SEARCH("R122",G90)),0)+IFERROR(--ISNUMBER(SEARCH("R123",G90)),0)+IFERROR(--ISNUMBER(SEARCH("R124",G90)),0)+IFERROR(--ISNUMBER(SEARCH("R125",G90)),0)+IFERROR(--ISNUMBER(SEARCH("R126",G90)),0)+IFERROR(--ISNUMBER(SEARCH("R127",G90)),0)+IFERROR(--ISNUMBER(SEARCH("R128",G90)),0)+IFERROR(--ISNUMBER(SEARCH("R129",G90)),0)+IFERROR(--ISNUMBER(SEARCH("R130",G90)),0)+IFERROR(--ISNUMBER(SEARCH("R131",G90)),0)+IFERROR(--ISNUMBER(SEARCH("R132",G90)),0)+IFERROR(--ISNUMBER(SEARCH("R133",G90)),0)+IFERROR(--ISNUMBER(SEARCH("R134",G90)),0)+IFERROR(--ISNUMBER(SEARCH("R135",G90)),0)+IFERROR(--ISNUMBER(SEARCH("R136",G90)),0)+IFERROR(--ISNUMBER(SEARCH("R137",G90)),0)+IFERROR(--ISNUMBER(SEARCH("R138",G90)),0)+IFERROR(--ISNUMBER(SEARCH("R139",G90)),0)+IFERROR(--ISNUMBER(SEARCH("R140",G90)),0)+IFERROR(--ISNUMBER(SEARCH("R141",G90)),0))</f>
        <v/>
      </c>
      <c r="T90" s="58">
        <f>IF(A90="","",IFERROR(--ISNUMBER(SEARCH("R28",G90)),0)+IFERROR(--ISNUMBER(SEARCH("R29",G90)),0)+IFERROR(--ISNUMBER(SEARCH("R30",G90)),0)+IFERROR(--ISNUMBER(SEARCH("R32",G90)),0)+IFERROR(--ISNUMBER(SEARCH("R33",G90)),0)+IFERROR(--ISNUMBER(SEARCH("R35",G90)),0)+IFERROR(--ISNUMBER(SEARCH("R36",G90)),0)+IFERROR(--ISNUMBER(SEARCH("R38",G90)),0)+IFERROR(--ISNUMBER(SEARCH("R39",G90)),0)+IFERROR(--ISNUMBER(SEARCH("R43",G90)),0)+IFERROR(--ISNUMBER(SEARCH("R44",G90)),0)+IFERROR(--ISNUMBER(SEARCH("R45",G90)),0)+IFERROR(--ISNUMBER(SEARCH("R47",G90)),0)+IFERROR(--ISNUMBER(SEARCH("R48",G90)),0)+IFERROR(--ISNUMBER(SEARCH("R50",G90)),0)+IFERROR(--ISNUMBER(SEARCH("R51",G90)),0)+IFERROR(--ISNUMBER(SEARCH("R56",G90)),0)+IFERROR(--ISNUMBER(SEARCH("R58",G90)),0)+IFERROR(--ISNUMBER(SEARCH("R59",G90)),0)+IFERROR(--ISNUMBER(SEARCH("R60",G90)),0)+IFERROR(--ISNUMBER(SEARCH("R62",G90)),0)+IFERROR(--ISNUMBER(SEARCH("R63",G90)),0)+IFERROR(--ISNUMBER(SEARCH("R64",G90)),0)+IFERROR(--ISNUMBER(SEARCH("R66",G90)),0)+IFERROR(--ISNUMBER(SEARCH("R67",G90)),0)+IFERROR(--ISNUMBER(SEARCH("R72",G90)),0)+IFERROR(--ISNUMBER(SEARCH("R74",G90)),0)+IFERROR(--ISNUMBER(SEARCH("R75",G90)),0)+IFERROR(--ISNUMBER(SEARCH("R76",G90)),0)+IFERROR(--ISNUMBER(SEARCH("R77",G90)),0)+IFERROR(--ISNUMBER(SEARCH("R79",G90)),0)+IFERROR(--ISNUMBER(SEARCH("R80",G90)),0)+IFERROR(--ISNUMBER(SEARCH("R81",G90)),0)+IFERROR(--ISNUMBER(SEARCH("R83",G90)),0)+IFERROR(--ISNUMBER(SEARCH("R84",G90)),0)+IFERROR(--ISNUMBER(SEARCH("R89",G90)),0)+IFERROR(--ISNUMBER(SEARCH("R94",G90)),0)+IFERROR(--ISNUMBER(SEARCH("R95",G90)),0)+IFERROR(--ISNUMBER(SEARCH("R96",G90)),0)+IFERROR(--ISNUMBER(SEARCH("R98",G90)),0)+IFERROR(--ISNUMBER(SEARCH("R99",G90)),0)+IFERROR(--ISNUMBER(SEARCH("R100",G90)),0)+IFERROR(--ISNUMBER(SEARCH("R104",G90)),0)+IFERROR(--ISNUMBER(SEARCH("R105",G90)),0)+IFERROR(--ISNUMBER(SEARCH("R107",G90)),0)+IFERROR(--ISNUMBER(SEARCH("R108",G90)),0)+IFERROR(--ISNUMBER(SEARCH("R109",G90)),0)+IFERROR(--ISNUMBER(SEARCH("R110",G90)),0)+IFERROR(--ISNUMBER(SEARCH("R112",G90)),0)+IFERROR(--ISNUMBER(SEARCH("R113",G90)),0)+IFERROR(--ISNUMBER(SEARCH("R114",G90)),0)+IFERROR(--ISNUMBER(SEARCH("R118",G90)),0)+IFERROR(--ISNUMBER(SEARCH("R119",G90)),0)+IFERROR(--ISNUMBER(SEARCH("R120",G90)),0)+IFERROR(--ISNUMBER(SEARCH("R122",G90)),0)+IFERROR(--ISNUMBER(SEARCH("R123",G90)),0)+IFERROR(--ISNUMBER(SEARCH("R124",G90)),0)+IFERROR(--ISNUMBER(SEARCH("R128",G90)),0)+IFERROR(--ISNUMBER(SEARCH("R130",G90)),0)+IFERROR(--ISNUMBER(SEARCH("R131",G90)),0)+IFERROR(--ISNUMBER(SEARCH("R132",G90)),0)+IFERROR(--ISNUMBER(SEARCH("R135",G90)),0)+IFERROR(--ISNUMBER(SEARCH("R138",G90)),0)+IFERROR(--ISNUMBER(SEARCH("R141",G90)),0))</f>
        <v/>
      </c>
      <c r="U90" s="58">
        <f>IF(A90="","",IFERROR(--ISNUMBER(SEARCH("R28",G90))*28,0)+IFERROR(--ISNUMBER(SEARCH("R29",G90))*29,0)+IFERROR(--ISNUMBER(SEARCH("R30",G90))*30,0)+IFERROR(--ISNUMBER(SEARCH("R31",G90))*31,0)+IFERROR(--ISNUMBER(SEARCH("R32",G90))*32,0)+IFERROR(--ISNUMBER(SEARCH("R33",G90))*33,0)+IFERROR(--ISNUMBER(SEARCH("R34",G90))*34,0)+IFERROR(--ISNUMBER(SEARCH("R35",G90))*35,0)+IFERROR(--ISNUMBER(SEARCH("R36",G90))*36,0)+IFERROR(--ISNUMBER(SEARCH("R37",G90))*37,0)+IFERROR(--ISNUMBER(SEARCH("R38",G90))*38,0)+IFERROR(--ISNUMBER(SEARCH("R39",G90))*39,0)+IFERROR(--ISNUMBER(SEARCH("R40",G90))*40,0)+IFERROR(--ISNUMBER(SEARCH("R41",G90))*41,0)+IFERROR(--ISNUMBER(SEARCH("R42",G90))*42,0)+IFERROR(--ISNUMBER(SEARCH("R43",G90))*43,0)+IFERROR(--ISNUMBER(SEARCH("R44",G90))*44,0)+IFERROR(--ISNUMBER(SEARCH("R45",G90))*45,0)+IFERROR(--ISNUMBER(SEARCH("R46",G90))*46,0)+IFERROR(--ISNUMBER(SEARCH("R47",G90))*47,0)+IFERROR(--ISNUMBER(SEARCH("R48",G90))*48,0)+IFERROR(--ISNUMBER(SEARCH("R49",G90))*49,0)+IFERROR(--ISNUMBER(SEARCH("R50",G90))*50,0)+IFERROR(--ISNUMBER(SEARCH("R51",G90))*51,0)+IFERROR(--ISNUMBER(SEARCH("R52",G90))*52,0)+IFERROR(--ISNUMBER(SEARCH("R53",G90))*53,0)+IFERROR(--ISNUMBER(SEARCH("R54",G90))*54,0)+IFERROR(--ISNUMBER(SEARCH("R55",G90))*55,0)+IFERROR(--ISNUMBER(SEARCH("R56",G90))*56,0)+IFERROR(--ISNUMBER(SEARCH("R57",G90))*57,0)+IFERROR(--ISNUMBER(SEARCH("R58",G90))*58,0)+IFERROR(--ISNUMBER(SEARCH("R59",G90))*59,0)+IFERROR(--ISNUMBER(SEARCH("R60",G90))*60,0)+IFERROR(--ISNUMBER(SEARCH("R61",G90))*61,0)+IFERROR(--ISNUMBER(SEARCH("R62",G90))*62,0)+IFERROR(--ISNUMBER(SEARCH("R63",G90))*63,0)+IFERROR(--ISNUMBER(SEARCH("R64",G90))*64,0)+IFERROR(--ISNUMBER(SEARCH("R65",G90))*65,0)+IFERROR(--ISNUMBER(SEARCH("R66",G90))*66,0)+IFERROR(--ISNUMBER(SEARCH("R67",G90))*67,0)+IFERROR(--ISNUMBER(SEARCH("R68",G90))*68,0)+IFERROR(--ISNUMBER(SEARCH("R69",G90))*69,0)+IFERROR(--ISNUMBER(SEARCH("R70",G90))*70,0)+IFERROR(--ISNUMBER(SEARCH("R71",G90))*71,0)+IFERROR(--ISNUMBER(SEARCH("R72",G90))*72,0)+IFERROR(--ISNUMBER(SEARCH("R73",G90))*73,0)+IFERROR(--ISNUMBER(SEARCH("R74",G90))*74,0)+IFERROR(--ISNUMBER(SEARCH("R75",G90))*75,0)+IFERROR(--ISNUMBER(SEARCH("R76",G90))*76,0)+IFERROR(--ISNUMBER(SEARCH("R77",G90))*77,0)+IFERROR(--ISNUMBER(SEARCH("R78",G90))*78,0)+IFERROR(--ISNUMBER(SEARCH("R79",G90))*79,0)+IFERROR(--ISNUMBER(SEARCH("R80",G90))*80,0)+IFERROR(--ISNUMBER(SEARCH("R81",G90))*81,0)+IFERROR(--ISNUMBER(SEARCH("R82",G90))*82,0)+IFERROR(--ISNUMBER(SEARCH("R83",G90))*83,0)+IFERROR(--ISNUMBER(SEARCH("R84",G90))*84,0)+IFERROR(--ISNUMBER(SEARCH("R85",G90))*85,0)+IFERROR(--ISNUMBER(SEARCH("R86",G90))*86,0)+IFERROR(--ISNUMBER(SEARCH("R87",G90))*87,0)+IFERROR(--ISNUMBER(SEARCH("R88",G90))*88,0)+IFERROR(--ISNUMBER(SEARCH("R89",G90))*89,0)+IFERROR(--ISNUMBER(SEARCH("R90",G90))*90,0)+IFERROR(--ISNUMBER(SEARCH("R91",G90))*91,0)+IFERROR(--ISNUMBER(SEARCH("R92",G90))*92,0)+IFERROR(--ISNUMBER(SEARCH("R93",G90))*93,0)+IFERROR(--ISNUMBER(SEARCH("R94",G90))*94,0)+IFERROR(--ISNUMBER(SEARCH("R95",G90))*95,0)+IFERROR(--ISNUMBER(SEARCH("R96",G90))*96,0)+IFERROR(--ISNUMBER(SEARCH("R97",G90))*97,0)+IFERROR(--ISNUMBER(SEARCH("R98",G90))*98,0)+IFERROR(--ISNUMBER(SEARCH("R99",G90))*99,0)+IFERROR(--ISNUMBER(SEARCH("R100",G90))*100,0)+IFERROR(--ISNUMBER(SEARCH("R101",G90))*101,0)+IFERROR(--ISNUMBER(SEARCH("R102",G90))*102,0)+IFERROR(--ISNUMBER(SEARCH("R103",G90))*103,0)+IFERROR(--ISNUMBER(SEARCH("R104",G90))*104,0)+IFERROR(--ISNUMBER(SEARCH("R105",G90))*105,0)+IFERROR(--ISNUMBER(SEARCH("R106",G90))*106,0)+IFERROR(--ISNUMBER(SEARCH("R107",G90))*107,0)+IFERROR(--ISNUMBER(SEARCH("R108",G90))*108,0)+IFERROR(--ISNUMBER(SEARCH("R109",G90))*109,0)+IFERROR(--ISNUMBER(SEARCH("R110",G90))*110,0)+IFERROR(--ISNUMBER(SEARCH("R111",G90))*111,0)+IFERROR(--ISNUMBER(SEARCH("R112",G90))*112,0)+IFERROR(--ISNUMBER(SEARCH("R113",G90))*113,0)+IFERROR(--ISNUMBER(SEARCH("R114",G90))*114,0)+IFERROR(--ISNUMBER(SEARCH("R115",G90))*115,0)+IFERROR(--ISNUMBER(SEARCH("R116",G90))*116,0)+IFERROR(--ISNUMBER(SEARCH("R117",G90))*117,0)+IFERROR(--ISNUMBER(SEARCH("R118",G90))*118,0)+IFERROR(--ISNUMBER(SEARCH("R119",G90))*119,0)+IFERROR(--ISNUMBER(SEARCH("R120",G90))*120,0)+IFERROR(--ISNUMBER(SEARCH("R121",G90))*121,0)+IFERROR(--ISNUMBER(SEARCH("R122",G90))*122,0)+IFERROR(--ISNUMBER(SEARCH("R123",G90))*123,0)+IFERROR(--ISNUMBER(SEARCH("R124",G90))*124,0)+IFERROR(--ISNUMBER(SEARCH("R125",G90))*125,0)+IFERROR(--ISNUMBER(SEARCH("R126",G90))*126,0)+IFERROR(--ISNUMBER(SEARCH("R127",G90))*127,0)+IFERROR(--ISNUMBER(SEARCH("R128",G90))*128,0)+IFERROR(--ISNUMBER(SEARCH("R129",G90))*129,0)+IFERROR(--ISNUMBER(SEARCH("R130",G90))*130,0)+IFERROR(--ISNUMBER(SEARCH("R131",G90))*131,0)+IFERROR(--ISNUMBER(SEARCH("R132",G90))*132,0)+IFERROR(--ISNUMBER(SEARCH("R133",G90))*133,0)+IFERROR(--ISNUMBER(SEARCH("R134",G90))*134,0)+IFERROR(--ISNUMBER(SEARCH("R135",G90))*135,0)+IFERROR(--ISNUMBER(SEARCH("R136",G90))*136,0)+IFERROR(--ISNUMBER(SEARCH("R137",G90))*137,0)+IFERROR(--ISNUMBER(SEARCH("R138",G90))*138,0)+IFERROR(--ISNUMBER(SEARCH("R139",G90))*139,0)+IFERROR(--ISNUMBER(SEARCH("R140",G90))*140,0)+IFERROR(--ISNUMBER(SEARCH("R141",G90))*141,0))</f>
        <v/>
      </c>
      <c r="V90" s="59">
        <f>IF(A90="","",IF(K90&lt;&gt;"",K90,J90))</f>
        <v/>
      </c>
      <c r="W90" s="59">
        <f>IF(A90="","",IF(AND(V90=29,O90&lt;&gt;"",COUNTIFS($V$6:$V$505,29,$F$6:$F$505,F90,$C$6:$C$505,C90,$O$6:$O$505,"&lt;&gt;")&gt;1),IF(COUNTIFS($V$6:V90,29,$F$6:F90,F90,$C$6:C90,C90,$O$6:O90,"&lt;&gt;")=1,"Esta es la fila que se debe CONSERVAR (aparición 1 de "&amp;COUNTIFS($V$6:$V$505,29,$F$6:$F$505,F90,$C$6:$C$505,C90,$O$6:$O$505,"&lt;&gt;")&amp;" con el mismo tercero y valor, casilla 29). Si hay más filas iguales, bórreles el valor a ELLAS, no a esta.","DUPLICADO — ya existe otra fila con el mismo tercero y valor para casilla 29 (aparición "&amp;COUNTIFS($V$6:V90,29,$F$6:F90,F90,$C$6:C90,C90,$O$6:O90,"&lt;&gt;")&amp;" de "&amp;COUNTIFS($V$6:$V$505,29,$F$6:$F$505,F90,$C$6:$C$505,C90,$O$6:$O$505,"&lt;&gt;")&amp;"). Para resolverlo: seleccione la celda O"&amp;ROW()&amp;" (columna Valor a declarar de ESTA fila) y presione Supr."),""))</f>
        <v/>
      </c>
      <c r="X90" s="463">
        <f>IF(A90="","",F90)</f>
        <v/>
      </c>
      <c r="Y90" s="463">
        <f>IF(A90="","",SUMIF(Entrada_Manual!$I$88:$I$187,A90,Entrada_Manual!$F$88:$F$187))</f>
        <v/>
      </c>
      <c r="Z90" s="463">
        <f>IF(A90="","",X90-Y90)</f>
        <v/>
      </c>
      <c r="AA90">
        <f>IF(A90="","",SUMPRODUCT((Entrada_Manual!$I$88:$I$187=A90)*1))</f>
        <v/>
      </c>
      <c r="AB90">
        <f>IF(A90="","",IF(S90&lt;=1,"",IF(AA90=0,"PENDIENTE — SIN ASIGNAR",IF(Z90=0,"RESUELTO","PARCIAL — DIFERENCIA "&amp;TEXT(Z90,"#,##0")))))</f>
        <v/>
      </c>
    </row>
    <row r="91" ht="14.25" customHeight="1" s="235">
      <c r="A91" s="47">
        <f>IF(Exogena_RAW!E100&lt;&gt;"",ROW()-5,"")</f>
        <v/>
      </c>
      <c r="B91" s="48">
        <f>IF(A91="","",100)</f>
        <v/>
      </c>
      <c r="C91" s="48">
        <f>IF(A91="","",IFERROR(Exogena_RAW!A100,""))</f>
        <v/>
      </c>
      <c r="D91" s="48">
        <f>IF(A91="","",IFERROR(Exogena_RAW!B100,""))</f>
        <v/>
      </c>
      <c r="E91" s="48">
        <f>IF(A91="","",Exogena_RAW!E100)</f>
        <v/>
      </c>
      <c r="F91" s="461">
        <f>IF(A91="","",Exogena_RAW!F100)</f>
        <v/>
      </c>
      <c r="G91" s="48">
        <f>IF(A91="","",IFERROR(Exogena_RAW!G100,""))</f>
        <v/>
      </c>
      <c r="H91" s="48">
        <f>IF(A91="","",IFERROR(Exogena_RAW!H100,""))</f>
        <v/>
      </c>
      <c r="I91" s="48">
        <f>IF(A91="","",IFERROR(IF(S91&gt;1,"VARIAS CASILLAS",IF(S91=1,IF(T91=1,"PROPUESTA DE CASILLA","REVISIÓN: CASILLA NO DIRECTA"),IF(OR(ISNUMBER(SEARCH("TOPE",UPPER(E91))),ISNUMBER(SEARCH("TOPE",UPPER(G91)))),"SOLO CONTROL",IF(ISNUMBER(SEARCH("RETEN",UPPER(E91))),"RETENCIÓN","REVISAR")))),"REVISAR"))</f>
        <v/>
      </c>
      <c r="J91" s="48">
        <f>IF(A91="","",IF(ISNUMBER(SEARCH("ingreso laboral promedio de los últimos seis meses",E91)),"",IFERROR(IF(AND(S91=1,T91=1),U91,""),"")))</f>
        <v/>
      </c>
      <c r="K91" s="216" t="n"/>
      <c r="L91" s="48">
        <f>IF(A91="","",IFERROR(IF(K91&lt;&gt;"","Casilla elegida por usuario",IF(S91&gt;1,"Varias casillas — elegir en K",IF(J91&lt;&gt;"","Sugerencia directa",IF(S91=1,"No trasladar directo — revisar",IF(OR(ISNUMBER(SEARCH("TOPE",UPPER(E91))),ISNUMBER(SEARCH("TOPE",UPPER(G91)))),"Solo control","Revisar manualmente"))))),"Revisar manualmente"))</f>
        <v/>
      </c>
      <c r="M91" s="461">
        <f>IF(A91="","",IF(IF(K91&lt;&gt;"",K91,J91)="",0,IF(COUNTIFS(Reglas!$I$5:$I$118,IF(K91&lt;&gt;"",K91,J91),Reglas!$J$5:$J$118,"Sí")=1,F91,0)))</f>
        <v/>
      </c>
      <c r="N91" s="56" t="n"/>
      <c r="O91" s="462">
        <f>IF(A91="","",IF(M91=0,"",M91))</f>
        <v/>
      </c>
      <c r="P91" s="461">
        <f>IF(A91="","",IF(O91="",0,IF(ISNUMBER(O91),O91,0)))</f>
        <v/>
      </c>
      <c r="Q91" s="48">
        <f>IF(A91="","",IF(Exogena_RAW!$C$4="","BLOQUEADO: FALTA AÑO",IF(Exogena_RAW!$K$10&lt;&gt;Reglas!$B$5,"BLOQUEADO: AÑO",IF(IF(K91&lt;&gt;"",K91,J91)="",IF(S91&gt;1,"REQUIERE ASIGNACIÓN MANUAL (VARIAS CASILLAS)","INFORMATIVO (sin casilla — no se declara)"),IF(COUNTIFS(Reglas!$I$5:$I$118,IF(K91&lt;&gt;"",K91,J91),Reglas!$J$5:$J$118,"Sí")=0,"BLOQUEADO: CASILLA NO DIRECTA",IF(O91="","EXCLUIDO (valor borrado por el usuario)",IF(_xlfn.ISFORMULA(O91),IF(W91&lt;&gt;"","BORRADOR — VALOR SUGERIDO DIAN ⚠ VER ALERTA","BORRADOR — VALOR SUGERIDO DIAN"),IF(W91&lt;&gt;"","ACEPTADO ⚠ VER ALERTA","ACEPTADO"))))))))</f>
        <v/>
      </c>
      <c r="R91" s="218" t="n"/>
      <c r="S91" s="58">
        <f>IF(A91="","",IFERROR(--ISNUMBER(SEARCH("R28",G91)),0)+IFERROR(--ISNUMBER(SEARCH("R29",G91)),0)+IFERROR(--ISNUMBER(SEARCH("R30",G91)),0)+IFERROR(--ISNUMBER(SEARCH("R31",G91)),0)+IFERROR(--ISNUMBER(SEARCH("R32",G91)),0)+IFERROR(--ISNUMBER(SEARCH("R33",G91)),0)+IFERROR(--ISNUMBER(SEARCH("R34",G91)),0)+IFERROR(--ISNUMBER(SEARCH("R35",G91)),0)+IFERROR(--ISNUMBER(SEARCH("R36",G91)),0)+IFERROR(--ISNUMBER(SEARCH("R37",G91)),0)+IFERROR(--ISNUMBER(SEARCH("R38",G91)),0)+IFERROR(--ISNUMBER(SEARCH("R39",G91)),0)+IFERROR(--ISNUMBER(SEARCH("R40",G91)),0)+IFERROR(--ISNUMBER(SEARCH("R41",G91)),0)+IFERROR(--ISNUMBER(SEARCH("R42",G91)),0)+IFERROR(--ISNUMBER(SEARCH("R43",G91)),0)+IFERROR(--ISNUMBER(SEARCH("R44",G91)),0)+IFERROR(--ISNUMBER(SEARCH("R45",G91)),0)+IFERROR(--ISNUMBER(SEARCH("R46",G91)),0)+IFERROR(--ISNUMBER(SEARCH("R47",G91)),0)+IFERROR(--ISNUMBER(SEARCH("R48",G91)),0)+IFERROR(--ISNUMBER(SEARCH("R49",G91)),0)+IFERROR(--ISNUMBER(SEARCH("R50",G91)),0)+IFERROR(--ISNUMBER(SEARCH("R51",G91)),0)+IFERROR(--ISNUMBER(SEARCH("R52",G91)),0)+IFERROR(--ISNUMBER(SEARCH("R53",G91)),0)+IFERROR(--ISNUMBER(SEARCH("R54",G91)),0)+IFERROR(--ISNUMBER(SEARCH("R55",G91)),0)+IFERROR(--ISNUMBER(SEARCH("R56",G91)),0)+IFERROR(--ISNUMBER(SEARCH("R57",G91)),0)+IFERROR(--ISNUMBER(SEARCH("R58",G91)),0)+IFERROR(--ISNUMBER(SEARCH("R59",G91)),0)+IFERROR(--ISNUMBER(SEARCH("R60",G91)),0)+IFERROR(--ISNUMBER(SEARCH("R61",G91)),0)+IFERROR(--ISNUMBER(SEARCH("R62",G91)),0)+IFERROR(--ISNUMBER(SEARCH("R63",G91)),0)+IFERROR(--ISNUMBER(SEARCH("R64",G91)),0)+IFERROR(--ISNUMBER(SEARCH("R65",G91)),0)+IFERROR(--ISNUMBER(SEARCH("R66",G91)),0)+IFERROR(--ISNUMBER(SEARCH("R67",G91)),0)+IFERROR(--ISNUMBER(SEARCH("R68",G91)),0)+IFERROR(--ISNUMBER(SEARCH("R69",G91)),0)+IFERROR(--ISNUMBER(SEARCH("R70",G91)),0)+IFERROR(--ISNUMBER(SEARCH("R71",G91)),0)+IFERROR(--ISNUMBER(SEARCH("R72",G91)),0)+IFERROR(--ISNUMBER(SEARCH("R73",G91)),0)+IFERROR(--ISNUMBER(SEARCH("R74",G91)),0)+IFERROR(--ISNUMBER(SEARCH("R75",G91)),0)+IFERROR(--ISNUMBER(SEARCH("R76",G91)),0)+IFERROR(--ISNUMBER(SEARCH("R77",G91)),0)+IFERROR(--ISNUMBER(SEARCH("R78",G91)),0)+IFERROR(--ISNUMBER(SEARCH("R79",G91)),0)+IFERROR(--ISNUMBER(SEARCH("R80",G91)),0)+IFERROR(--ISNUMBER(SEARCH("R81",G91)),0)+IFERROR(--ISNUMBER(SEARCH("R82",G91)),0)+IFERROR(--ISNUMBER(SEARCH("R83",G91)),0)+IFERROR(--ISNUMBER(SEARCH("R84",G91)),0)+IFERROR(--ISNUMBER(SEARCH("R85",G91)),0)+IFERROR(--ISNUMBER(SEARCH("R86",G91)),0)+IFERROR(--ISNUMBER(SEARCH("R87",G91)),0)+IFERROR(--ISNUMBER(SEARCH("R88",G91)),0)+IFERROR(--ISNUMBER(SEARCH("R89",G91)),0)+IFERROR(--ISNUMBER(SEARCH("R90",G91)),0)+IFERROR(--ISNUMBER(SEARCH("R91",G91)),0)+IFERROR(--ISNUMBER(SEARCH("R92",G91)),0)+IFERROR(--ISNUMBER(SEARCH("R93",G91)),0)+IFERROR(--ISNUMBER(SEARCH("R94",G91)),0)+IFERROR(--ISNUMBER(SEARCH("R95",G91)),0)+IFERROR(--ISNUMBER(SEARCH("R96",G91)),0)+IFERROR(--ISNUMBER(SEARCH("R97",G91)),0)+IFERROR(--ISNUMBER(SEARCH("R98",G91)),0)+IFERROR(--ISNUMBER(SEARCH("R99",G91)),0)+IFERROR(--ISNUMBER(SEARCH("R100",G91)),0)+IFERROR(--ISNUMBER(SEARCH("R101",G91)),0)+IFERROR(--ISNUMBER(SEARCH("R102",G91)),0)+IFERROR(--ISNUMBER(SEARCH("R103",G91)),0)+IFERROR(--ISNUMBER(SEARCH("R104",G91)),0)+IFERROR(--ISNUMBER(SEARCH("R105",G91)),0)+IFERROR(--ISNUMBER(SEARCH("R106",G91)),0)+IFERROR(--ISNUMBER(SEARCH("R107",G91)),0)+IFERROR(--ISNUMBER(SEARCH("R108",G91)),0)+IFERROR(--ISNUMBER(SEARCH("R109",G91)),0)+IFERROR(--ISNUMBER(SEARCH("R110",G91)),0)+IFERROR(--ISNUMBER(SEARCH("R111",G91)),0)+IFERROR(--ISNUMBER(SEARCH("R112",G91)),0)+IFERROR(--ISNUMBER(SEARCH("R113",G91)),0)+IFERROR(--ISNUMBER(SEARCH("R114",G91)),0)+IFERROR(--ISNUMBER(SEARCH("R115",G91)),0)+IFERROR(--ISNUMBER(SEARCH("R116",G91)),0)+IFERROR(--ISNUMBER(SEARCH("R117",G91)),0)+IFERROR(--ISNUMBER(SEARCH("R118",G91)),0)+IFERROR(--ISNUMBER(SEARCH("R119",G91)),0)+IFERROR(--ISNUMBER(SEARCH("R120",G91)),0)+IFERROR(--ISNUMBER(SEARCH("R121",G91)),0)+IFERROR(--ISNUMBER(SEARCH("R122",G91)),0)+IFERROR(--ISNUMBER(SEARCH("R123",G91)),0)+IFERROR(--ISNUMBER(SEARCH("R124",G91)),0)+IFERROR(--ISNUMBER(SEARCH("R125",G91)),0)+IFERROR(--ISNUMBER(SEARCH("R126",G91)),0)+IFERROR(--ISNUMBER(SEARCH("R127",G91)),0)+IFERROR(--ISNUMBER(SEARCH("R128",G91)),0)+IFERROR(--ISNUMBER(SEARCH("R129",G91)),0)+IFERROR(--ISNUMBER(SEARCH("R130",G91)),0)+IFERROR(--ISNUMBER(SEARCH("R131",G91)),0)+IFERROR(--ISNUMBER(SEARCH("R132",G91)),0)+IFERROR(--ISNUMBER(SEARCH("R133",G91)),0)+IFERROR(--ISNUMBER(SEARCH("R134",G91)),0)+IFERROR(--ISNUMBER(SEARCH("R135",G91)),0)+IFERROR(--ISNUMBER(SEARCH("R136",G91)),0)+IFERROR(--ISNUMBER(SEARCH("R137",G91)),0)+IFERROR(--ISNUMBER(SEARCH("R138",G91)),0)+IFERROR(--ISNUMBER(SEARCH("R139",G91)),0)+IFERROR(--ISNUMBER(SEARCH("R140",G91)),0)+IFERROR(--ISNUMBER(SEARCH("R141",G91)),0))</f>
        <v/>
      </c>
      <c r="T91" s="58">
        <f>IF(A91="","",IFERROR(--ISNUMBER(SEARCH("R28",G91)),0)+IFERROR(--ISNUMBER(SEARCH("R29",G91)),0)+IFERROR(--ISNUMBER(SEARCH("R30",G91)),0)+IFERROR(--ISNUMBER(SEARCH("R32",G91)),0)+IFERROR(--ISNUMBER(SEARCH("R33",G91)),0)+IFERROR(--ISNUMBER(SEARCH("R35",G91)),0)+IFERROR(--ISNUMBER(SEARCH("R36",G91)),0)+IFERROR(--ISNUMBER(SEARCH("R38",G91)),0)+IFERROR(--ISNUMBER(SEARCH("R39",G91)),0)+IFERROR(--ISNUMBER(SEARCH("R43",G91)),0)+IFERROR(--ISNUMBER(SEARCH("R44",G91)),0)+IFERROR(--ISNUMBER(SEARCH("R45",G91)),0)+IFERROR(--ISNUMBER(SEARCH("R47",G91)),0)+IFERROR(--ISNUMBER(SEARCH("R48",G91)),0)+IFERROR(--ISNUMBER(SEARCH("R50",G91)),0)+IFERROR(--ISNUMBER(SEARCH("R51",G91)),0)+IFERROR(--ISNUMBER(SEARCH("R56",G91)),0)+IFERROR(--ISNUMBER(SEARCH("R58",G91)),0)+IFERROR(--ISNUMBER(SEARCH("R59",G91)),0)+IFERROR(--ISNUMBER(SEARCH("R60",G91)),0)+IFERROR(--ISNUMBER(SEARCH("R62",G91)),0)+IFERROR(--ISNUMBER(SEARCH("R63",G91)),0)+IFERROR(--ISNUMBER(SEARCH("R64",G91)),0)+IFERROR(--ISNUMBER(SEARCH("R66",G91)),0)+IFERROR(--ISNUMBER(SEARCH("R67",G91)),0)+IFERROR(--ISNUMBER(SEARCH("R72",G91)),0)+IFERROR(--ISNUMBER(SEARCH("R74",G91)),0)+IFERROR(--ISNUMBER(SEARCH("R75",G91)),0)+IFERROR(--ISNUMBER(SEARCH("R76",G91)),0)+IFERROR(--ISNUMBER(SEARCH("R77",G91)),0)+IFERROR(--ISNUMBER(SEARCH("R79",G91)),0)+IFERROR(--ISNUMBER(SEARCH("R80",G91)),0)+IFERROR(--ISNUMBER(SEARCH("R81",G91)),0)+IFERROR(--ISNUMBER(SEARCH("R83",G91)),0)+IFERROR(--ISNUMBER(SEARCH("R84",G91)),0)+IFERROR(--ISNUMBER(SEARCH("R89",G91)),0)+IFERROR(--ISNUMBER(SEARCH("R94",G91)),0)+IFERROR(--ISNUMBER(SEARCH("R95",G91)),0)+IFERROR(--ISNUMBER(SEARCH("R96",G91)),0)+IFERROR(--ISNUMBER(SEARCH("R98",G91)),0)+IFERROR(--ISNUMBER(SEARCH("R99",G91)),0)+IFERROR(--ISNUMBER(SEARCH("R100",G91)),0)+IFERROR(--ISNUMBER(SEARCH("R104",G91)),0)+IFERROR(--ISNUMBER(SEARCH("R105",G91)),0)+IFERROR(--ISNUMBER(SEARCH("R107",G91)),0)+IFERROR(--ISNUMBER(SEARCH("R108",G91)),0)+IFERROR(--ISNUMBER(SEARCH("R109",G91)),0)+IFERROR(--ISNUMBER(SEARCH("R110",G91)),0)+IFERROR(--ISNUMBER(SEARCH("R112",G91)),0)+IFERROR(--ISNUMBER(SEARCH("R113",G91)),0)+IFERROR(--ISNUMBER(SEARCH("R114",G91)),0)+IFERROR(--ISNUMBER(SEARCH("R118",G91)),0)+IFERROR(--ISNUMBER(SEARCH("R119",G91)),0)+IFERROR(--ISNUMBER(SEARCH("R120",G91)),0)+IFERROR(--ISNUMBER(SEARCH("R122",G91)),0)+IFERROR(--ISNUMBER(SEARCH("R123",G91)),0)+IFERROR(--ISNUMBER(SEARCH("R124",G91)),0)+IFERROR(--ISNUMBER(SEARCH("R128",G91)),0)+IFERROR(--ISNUMBER(SEARCH("R130",G91)),0)+IFERROR(--ISNUMBER(SEARCH("R131",G91)),0)+IFERROR(--ISNUMBER(SEARCH("R132",G91)),0)+IFERROR(--ISNUMBER(SEARCH("R135",G91)),0)+IFERROR(--ISNUMBER(SEARCH("R138",G91)),0)+IFERROR(--ISNUMBER(SEARCH("R141",G91)),0))</f>
        <v/>
      </c>
      <c r="U91" s="58">
        <f>IF(A91="","",IFERROR(--ISNUMBER(SEARCH("R28",G91))*28,0)+IFERROR(--ISNUMBER(SEARCH("R29",G91))*29,0)+IFERROR(--ISNUMBER(SEARCH("R30",G91))*30,0)+IFERROR(--ISNUMBER(SEARCH("R31",G91))*31,0)+IFERROR(--ISNUMBER(SEARCH("R32",G91))*32,0)+IFERROR(--ISNUMBER(SEARCH("R33",G91))*33,0)+IFERROR(--ISNUMBER(SEARCH("R34",G91))*34,0)+IFERROR(--ISNUMBER(SEARCH("R35",G91))*35,0)+IFERROR(--ISNUMBER(SEARCH("R36",G91))*36,0)+IFERROR(--ISNUMBER(SEARCH("R37",G91))*37,0)+IFERROR(--ISNUMBER(SEARCH("R38",G91))*38,0)+IFERROR(--ISNUMBER(SEARCH("R39",G91))*39,0)+IFERROR(--ISNUMBER(SEARCH("R40",G91))*40,0)+IFERROR(--ISNUMBER(SEARCH("R41",G91))*41,0)+IFERROR(--ISNUMBER(SEARCH("R42",G91))*42,0)+IFERROR(--ISNUMBER(SEARCH("R43",G91))*43,0)+IFERROR(--ISNUMBER(SEARCH("R44",G91))*44,0)+IFERROR(--ISNUMBER(SEARCH("R45",G91))*45,0)+IFERROR(--ISNUMBER(SEARCH("R46",G91))*46,0)+IFERROR(--ISNUMBER(SEARCH("R47",G91))*47,0)+IFERROR(--ISNUMBER(SEARCH("R48",G91))*48,0)+IFERROR(--ISNUMBER(SEARCH("R49",G91))*49,0)+IFERROR(--ISNUMBER(SEARCH("R50",G91))*50,0)+IFERROR(--ISNUMBER(SEARCH("R51",G91))*51,0)+IFERROR(--ISNUMBER(SEARCH("R52",G91))*52,0)+IFERROR(--ISNUMBER(SEARCH("R53",G91))*53,0)+IFERROR(--ISNUMBER(SEARCH("R54",G91))*54,0)+IFERROR(--ISNUMBER(SEARCH("R55",G91))*55,0)+IFERROR(--ISNUMBER(SEARCH("R56",G91))*56,0)+IFERROR(--ISNUMBER(SEARCH("R57",G91))*57,0)+IFERROR(--ISNUMBER(SEARCH("R58",G91))*58,0)+IFERROR(--ISNUMBER(SEARCH("R59",G91))*59,0)+IFERROR(--ISNUMBER(SEARCH("R60",G91))*60,0)+IFERROR(--ISNUMBER(SEARCH("R61",G91))*61,0)+IFERROR(--ISNUMBER(SEARCH("R62",G91))*62,0)+IFERROR(--ISNUMBER(SEARCH("R63",G91))*63,0)+IFERROR(--ISNUMBER(SEARCH("R64",G91))*64,0)+IFERROR(--ISNUMBER(SEARCH("R65",G91))*65,0)+IFERROR(--ISNUMBER(SEARCH("R66",G91))*66,0)+IFERROR(--ISNUMBER(SEARCH("R67",G91))*67,0)+IFERROR(--ISNUMBER(SEARCH("R68",G91))*68,0)+IFERROR(--ISNUMBER(SEARCH("R69",G91))*69,0)+IFERROR(--ISNUMBER(SEARCH("R70",G91))*70,0)+IFERROR(--ISNUMBER(SEARCH("R71",G91))*71,0)+IFERROR(--ISNUMBER(SEARCH("R72",G91))*72,0)+IFERROR(--ISNUMBER(SEARCH("R73",G91))*73,0)+IFERROR(--ISNUMBER(SEARCH("R74",G91))*74,0)+IFERROR(--ISNUMBER(SEARCH("R75",G91))*75,0)+IFERROR(--ISNUMBER(SEARCH("R76",G91))*76,0)+IFERROR(--ISNUMBER(SEARCH("R77",G91))*77,0)+IFERROR(--ISNUMBER(SEARCH("R78",G91))*78,0)+IFERROR(--ISNUMBER(SEARCH("R79",G91))*79,0)+IFERROR(--ISNUMBER(SEARCH("R80",G91))*80,0)+IFERROR(--ISNUMBER(SEARCH("R81",G91))*81,0)+IFERROR(--ISNUMBER(SEARCH("R82",G91))*82,0)+IFERROR(--ISNUMBER(SEARCH("R83",G91))*83,0)+IFERROR(--ISNUMBER(SEARCH("R84",G91))*84,0)+IFERROR(--ISNUMBER(SEARCH("R85",G91))*85,0)+IFERROR(--ISNUMBER(SEARCH("R86",G91))*86,0)+IFERROR(--ISNUMBER(SEARCH("R87",G91))*87,0)+IFERROR(--ISNUMBER(SEARCH("R88",G91))*88,0)+IFERROR(--ISNUMBER(SEARCH("R89",G91))*89,0)+IFERROR(--ISNUMBER(SEARCH("R90",G91))*90,0)+IFERROR(--ISNUMBER(SEARCH("R91",G91))*91,0)+IFERROR(--ISNUMBER(SEARCH("R92",G91))*92,0)+IFERROR(--ISNUMBER(SEARCH("R93",G91))*93,0)+IFERROR(--ISNUMBER(SEARCH("R94",G91))*94,0)+IFERROR(--ISNUMBER(SEARCH("R95",G91))*95,0)+IFERROR(--ISNUMBER(SEARCH("R96",G91))*96,0)+IFERROR(--ISNUMBER(SEARCH("R97",G91))*97,0)+IFERROR(--ISNUMBER(SEARCH("R98",G91))*98,0)+IFERROR(--ISNUMBER(SEARCH("R99",G91))*99,0)+IFERROR(--ISNUMBER(SEARCH("R100",G91))*100,0)+IFERROR(--ISNUMBER(SEARCH("R101",G91))*101,0)+IFERROR(--ISNUMBER(SEARCH("R102",G91))*102,0)+IFERROR(--ISNUMBER(SEARCH("R103",G91))*103,0)+IFERROR(--ISNUMBER(SEARCH("R104",G91))*104,0)+IFERROR(--ISNUMBER(SEARCH("R105",G91))*105,0)+IFERROR(--ISNUMBER(SEARCH("R106",G91))*106,0)+IFERROR(--ISNUMBER(SEARCH("R107",G91))*107,0)+IFERROR(--ISNUMBER(SEARCH("R108",G91))*108,0)+IFERROR(--ISNUMBER(SEARCH("R109",G91))*109,0)+IFERROR(--ISNUMBER(SEARCH("R110",G91))*110,0)+IFERROR(--ISNUMBER(SEARCH("R111",G91))*111,0)+IFERROR(--ISNUMBER(SEARCH("R112",G91))*112,0)+IFERROR(--ISNUMBER(SEARCH("R113",G91))*113,0)+IFERROR(--ISNUMBER(SEARCH("R114",G91))*114,0)+IFERROR(--ISNUMBER(SEARCH("R115",G91))*115,0)+IFERROR(--ISNUMBER(SEARCH("R116",G91))*116,0)+IFERROR(--ISNUMBER(SEARCH("R117",G91))*117,0)+IFERROR(--ISNUMBER(SEARCH("R118",G91))*118,0)+IFERROR(--ISNUMBER(SEARCH("R119",G91))*119,0)+IFERROR(--ISNUMBER(SEARCH("R120",G91))*120,0)+IFERROR(--ISNUMBER(SEARCH("R121",G91))*121,0)+IFERROR(--ISNUMBER(SEARCH("R122",G91))*122,0)+IFERROR(--ISNUMBER(SEARCH("R123",G91))*123,0)+IFERROR(--ISNUMBER(SEARCH("R124",G91))*124,0)+IFERROR(--ISNUMBER(SEARCH("R125",G91))*125,0)+IFERROR(--ISNUMBER(SEARCH("R126",G91))*126,0)+IFERROR(--ISNUMBER(SEARCH("R127",G91))*127,0)+IFERROR(--ISNUMBER(SEARCH("R128",G91))*128,0)+IFERROR(--ISNUMBER(SEARCH("R129",G91))*129,0)+IFERROR(--ISNUMBER(SEARCH("R130",G91))*130,0)+IFERROR(--ISNUMBER(SEARCH("R131",G91))*131,0)+IFERROR(--ISNUMBER(SEARCH("R132",G91))*132,0)+IFERROR(--ISNUMBER(SEARCH("R133",G91))*133,0)+IFERROR(--ISNUMBER(SEARCH("R134",G91))*134,0)+IFERROR(--ISNUMBER(SEARCH("R135",G91))*135,0)+IFERROR(--ISNUMBER(SEARCH("R136",G91))*136,0)+IFERROR(--ISNUMBER(SEARCH("R137",G91))*137,0)+IFERROR(--ISNUMBER(SEARCH("R138",G91))*138,0)+IFERROR(--ISNUMBER(SEARCH("R139",G91))*139,0)+IFERROR(--ISNUMBER(SEARCH("R140",G91))*140,0)+IFERROR(--ISNUMBER(SEARCH("R141",G91))*141,0))</f>
        <v/>
      </c>
      <c r="V91" s="59">
        <f>IF(A91="","",IF(K91&lt;&gt;"",K91,J91))</f>
        <v/>
      </c>
      <c r="W91" s="59">
        <f>IF(A91="","",IF(AND(V91=29,O91&lt;&gt;"",COUNTIFS($V$6:$V$505,29,$F$6:$F$505,F91,$C$6:$C$505,C91,$O$6:$O$505,"&lt;&gt;")&gt;1),IF(COUNTIFS($V$6:V91,29,$F$6:F91,F91,$C$6:C91,C91,$O$6:O91,"&lt;&gt;")=1,"Esta es la fila que se debe CONSERVAR (aparición 1 de "&amp;COUNTIFS($V$6:$V$505,29,$F$6:$F$505,F91,$C$6:$C$505,C91,$O$6:$O$505,"&lt;&gt;")&amp;" con el mismo tercero y valor, casilla 29). Si hay más filas iguales, bórreles el valor a ELLAS, no a esta.","DUPLICADO — ya existe otra fila con el mismo tercero y valor para casilla 29 (aparición "&amp;COUNTIFS($V$6:V91,29,$F$6:F91,F91,$C$6:C91,C91,$O$6:O91,"&lt;&gt;")&amp;" de "&amp;COUNTIFS($V$6:$V$505,29,$F$6:$F$505,F91,$C$6:$C$505,C91,$O$6:$O$505,"&lt;&gt;")&amp;"). Para resolverlo: seleccione la celda O"&amp;ROW()&amp;" (columna Valor a declarar de ESTA fila) y presione Supr."),""))</f>
        <v/>
      </c>
      <c r="X91" s="463">
        <f>IF(A91="","",F91)</f>
        <v/>
      </c>
      <c r="Y91" s="463">
        <f>IF(A91="","",SUMIF(Entrada_Manual!$I$88:$I$187,A91,Entrada_Manual!$F$88:$F$187))</f>
        <v/>
      </c>
      <c r="Z91" s="463">
        <f>IF(A91="","",X91-Y91)</f>
        <v/>
      </c>
      <c r="AA91">
        <f>IF(A91="","",SUMPRODUCT((Entrada_Manual!$I$88:$I$187=A91)*1))</f>
        <v/>
      </c>
      <c r="AB91">
        <f>IF(A91="","",IF(S91&lt;=1,"",IF(AA91=0,"PENDIENTE — SIN ASIGNAR",IF(Z91=0,"RESUELTO","PARCIAL — DIFERENCIA "&amp;TEXT(Z91,"#,##0")))))</f>
        <v/>
      </c>
    </row>
    <row r="92" ht="14.25" customHeight="1" s="235">
      <c r="A92" s="47">
        <f>IF(Exogena_RAW!E101&lt;&gt;"",ROW()-5,"")</f>
        <v/>
      </c>
      <c r="B92" s="48">
        <f>IF(A92="","",101)</f>
        <v/>
      </c>
      <c r="C92" s="48">
        <f>IF(A92="","",IFERROR(Exogena_RAW!A101,""))</f>
        <v/>
      </c>
      <c r="D92" s="48">
        <f>IF(A92="","",IFERROR(Exogena_RAW!B101,""))</f>
        <v/>
      </c>
      <c r="E92" s="48">
        <f>IF(A92="","",Exogena_RAW!E101)</f>
        <v/>
      </c>
      <c r="F92" s="461">
        <f>IF(A92="","",Exogena_RAW!F101)</f>
        <v/>
      </c>
      <c r="G92" s="48">
        <f>IF(A92="","",IFERROR(Exogena_RAW!G101,""))</f>
        <v/>
      </c>
      <c r="H92" s="48">
        <f>IF(A92="","",IFERROR(Exogena_RAW!H101,""))</f>
        <v/>
      </c>
      <c r="I92" s="48">
        <f>IF(A92="","",IFERROR(IF(S92&gt;1,"VARIAS CASILLAS",IF(S92=1,IF(T92=1,"PROPUESTA DE CASILLA","REVISIÓN: CASILLA NO DIRECTA"),IF(OR(ISNUMBER(SEARCH("TOPE",UPPER(E92))),ISNUMBER(SEARCH("TOPE",UPPER(G92)))),"SOLO CONTROL",IF(ISNUMBER(SEARCH("RETEN",UPPER(E92))),"RETENCIÓN","REVISAR")))),"REVISAR"))</f>
        <v/>
      </c>
      <c r="J92" s="48">
        <f>IF(A92="","",IF(ISNUMBER(SEARCH("ingreso laboral promedio de los últimos seis meses",E92)),"",IFERROR(IF(AND(S92=1,T92=1),U92,""),"")))</f>
        <v/>
      </c>
      <c r="K92" s="216" t="n"/>
      <c r="L92" s="48">
        <f>IF(A92="","",IFERROR(IF(K92&lt;&gt;"","Casilla elegida por usuario",IF(S92&gt;1,"Varias casillas — elegir en K",IF(J92&lt;&gt;"","Sugerencia directa",IF(S92=1,"No trasladar directo — revisar",IF(OR(ISNUMBER(SEARCH("TOPE",UPPER(E92))),ISNUMBER(SEARCH("TOPE",UPPER(G92)))),"Solo control","Revisar manualmente"))))),"Revisar manualmente"))</f>
        <v/>
      </c>
      <c r="M92" s="461">
        <f>IF(A92="","",IF(IF(K92&lt;&gt;"",K92,J92)="",0,IF(COUNTIFS(Reglas!$I$5:$I$118,IF(K92&lt;&gt;"",K92,J92),Reglas!$J$5:$J$118,"Sí")=1,F92,0)))</f>
        <v/>
      </c>
      <c r="N92" s="56" t="n"/>
      <c r="O92" s="462">
        <f>IF(A92="","",IF(M92=0,"",M92))</f>
        <v/>
      </c>
      <c r="P92" s="461">
        <f>IF(A92="","",IF(O92="",0,IF(ISNUMBER(O92),O92,0)))</f>
        <v/>
      </c>
      <c r="Q92" s="48">
        <f>IF(A92="","",IF(Exogena_RAW!$C$4="","BLOQUEADO: FALTA AÑO",IF(Exogena_RAW!$K$10&lt;&gt;Reglas!$B$5,"BLOQUEADO: AÑO",IF(IF(K92&lt;&gt;"",K92,J92)="",IF(S92&gt;1,"REQUIERE ASIGNACIÓN MANUAL (VARIAS CASILLAS)","INFORMATIVO (sin casilla — no se declara)"),IF(COUNTIFS(Reglas!$I$5:$I$118,IF(K92&lt;&gt;"",K92,J92),Reglas!$J$5:$J$118,"Sí")=0,"BLOQUEADO: CASILLA NO DIRECTA",IF(O92="","EXCLUIDO (valor borrado por el usuario)",IF(_xlfn.ISFORMULA(O92),IF(W92&lt;&gt;"","BORRADOR — VALOR SUGERIDO DIAN ⚠ VER ALERTA","BORRADOR — VALOR SUGERIDO DIAN"),IF(W92&lt;&gt;"","ACEPTADO ⚠ VER ALERTA","ACEPTADO"))))))))</f>
        <v/>
      </c>
      <c r="R92" s="218" t="n"/>
      <c r="S92" s="58">
        <f>IF(A92="","",IFERROR(--ISNUMBER(SEARCH("R28",G92)),0)+IFERROR(--ISNUMBER(SEARCH("R29",G92)),0)+IFERROR(--ISNUMBER(SEARCH("R30",G92)),0)+IFERROR(--ISNUMBER(SEARCH("R31",G92)),0)+IFERROR(--ISNUMBER(SEARCH("R32",G92)),0)+IFERROR(--ISNUMBER(SEARCH("R33",G92)),0)+IFERROR(--ISNUMBER(SEARCH("R34",G92)),0)+IFERROR(--ISNUMBER(SEARCH("R35",G92)),0)+IFERROR(--ISNUMBER(SEARCH("R36",G92)),0)+IFERROR(--ISNUMBER(SEARCH("R37",G92)),0)+IFERROR(--ISNUMBER(SEARCH("R38",G92)),0)+IFERROR(--ISNUMBER(SEARCH("R39",G92)),0)+IFERROR(--ISNUMBER(SEARCH("R40",G92)),0)+IFERROR(--ISNUMBER(SEARCH("R41",G92)),0)+IFERROR(--ISNUMBER(SEARCH("R42",G92)),0)+IFERROR(--ISNUMBER(SEARCH("R43",G92)),0)+IFERROR(--ISNUMBER(SEARCH("R44",G92)),0)+IFERROR(--ISNUMBER(SEARCH("R45",G92)),0)+IFERROR(--ISNUMBER(SEARCH("R46",G92)),0)+IFERROR(--ISNUMBER(SEARCH("R47",G92)),0)+IFERROR(--ISNUMBER(SEARCH("R48",G92)),0)+IFERROR(--ISNUMBER(SEARCH("R49",G92)),0)+IFERROR(--ISNUMBER(SEARCH("R50",G92)),0)+IFERROR(--ISNUMBER(SEARCH("R51",G92)),0)+IFERROR(--ISNUMBER(SEARCH("R52",G92)),0)+IFERROR(--ISNUMBER(SEARCH("R53",G92)),0)+IFERROR(--ISNUMBER(SEARCH("R54",G92)),0)+IFERROR(--ISNUMBER(SEARCH("R55",G92)),0)+IFERROR(--ISNUMBER(SEARCH("R56",G92)),0)+IFERROR(--ISNUMBER(SEARCH("R57",G92)),0)+IFERROR(--ISNUMBER(SEARCH("R58",G92)),0)+IFERROR(--ISNUMBER(SEARCH("R59",G92)),0)+IFERROR(--ISNUMBER(SEARCH("R60",G92)),0)+IFERROR(--ISNUMBER(SEARCH("R61",G92)),0)+IFERROR(--ISNUMBER(SEARCH("R62",G92)),0)+IFERROR(--ISNUMBER(SEARCH("R63",G92)),0)+IFERROR(--ISNUMBER(SEARCH("R64",G92)),0)+IFERROR(--ISNUMBER(SEARCH("R65",G92)),0)+IFERROR(--ISNUMBER(SEARCH("R66",G92)),0)+IFERROR(--ISNUMBER(SEARCH("R67",G92)),0)+IFERROR(--ISNUMBER(SEARCH("R68",G92)),0)+IFERROR(--ISNUMBER(SEARCH("R69",G92)),0)+IFERROR(--ISNUMBER(SEARCH("R70",G92)),0)+IFERROR(--ISNUMBER(SEARCH("R71",G92)),0)+IFERROR(--ISNUMBER(SEARCH("R72",G92)),0)+IFERROR(--ISNUMBER(SEARCH("R73",G92)),0)+IFERROR(--ISNUMBER(SEARCH("R74",G92)),0)+IFERROR(--ISNUMBER(SEARCH("R75",G92)),0)+IFERROR(--ISNUMBER(SEARCH("R76",G92)),0)+IFERROR(--ISNUMBER(SEARCH("R77",G92)),0)+IFERROR(--ISNUMBER(SEARCH("R78",G92)),0)+IFERROR(--ISNUMBER(SEARCH("R79",G92)),0)+IFERROR(--ISNUMBER(SEARCH("R80",G92)),0)+IFERROR(--ISNUMBER(SEARCH("R81",G92)),0)+IFERROR(--ISNUMBER(SEARCH("R82",G92)),0)+IFERROR(--ISNUMBER(SEARCH("R83",G92)),0)+IFERROR(--ISNUMBER(SEARCH("R84",G92)),0)+IFERROR(--ISNUMBER(SEARCH("R85",G92)),0)+IFERROR(--ISNUMBER(SEARCH("R86",G92)),0)+IFERROR(--ISNUMBER(SEARCH("R87",G92)),0)+IFERROR(--ISNUMBER(SEARCH("R88",G92)),0)+IFERROR(--ISNUMBER(SEARCH("R89",G92)),0)+IFERROR(--ISNUMBER(SEARCH("R90",G92)),0)+IFERROR(--ISNUMBER(SEARCH("R91",G92)),0)+IFERROR(--ISNUMBER(SEARCH("R92",G92)),0)+IFERROR(--ISNUMBER(SEARCH("R93",G92)),0)+IFERROR(--ISNUMBER(SEARCH("R94",G92)),0)+IFERROR(--ISNUMBER(SEARCH("R95",G92)),0)+IFERROR(--ISNUMBER(SEARCH("R96",G92)),0)+IFERROR(--ISNUMBER(SEARCH("R97",G92)),0)+IFERROR(--ISNUMBER(SEARCH("R98",G92)),0)+IFERROR(--ISNUMBER(SEARCH("R99",G92)),0)+IFERROR(--ISNUMBER(SEARCH("R100",G92)),0)+IFERROR(--ISNUMBER(SEARCH("R101",G92)),0)+IFERROR(--ISNUMBER(SEARCH("R102",G92)),0)+IFERROR(--ISNUMBER(SEARCH("R103",G92)),0)+IFERROR(--ISNUMBER(SEARCH("R104",G92)),0)+IFERROR(--ISNUMBER(SEARCH("R105",G92)),0)+IFERROR(--ISNUMBER(SEARCH("R106",G92)),0)+IFERROR(--ISNUMBER(SEARCH("R107",G92)),0)+IFERROR(--ISNUMBER(SEARCH("R108",G92)),0)+IFERROR(--ISNUMBER(SEARCH("R109",G92)),0)+IFERROR(--ISNUMBER(SEARCH("R110",G92)),0)+IFERROR(--ISNUMBER(SEARCH("R111",G92)),0)+IFERROR(--ISNUMBER(SEARCH("R112",G92)),0)+IFERROR(--ISNUMBER(SEARCH("R113",G92)),0)+IFERROR(--ISNUMBER(SEARCH("R114",G92)),0)+IFERROR(--ISNUMBER(SEARCH("R115",G92)),0)+IFERROR(--ISNUMBER(SEARCH("R116",G92)),0)+IFERROR(--ISNUMBER(SEARCH("R117",G92)),0)+IFERROR(--ISNUMBER(SEARCH("R118",G92)),0)+IFERROR(--ISNUMBER(SEARCH("R119",G92)),0)+IFERROR(--ISNUMBER(SEARCH("R120",G92)),0)+IFERROR(--ISNUMBER(SEARCH("R121",G92)),0)+IFERROR(--ISNUMBER(SEARCH("R122",G92)),0)+IFERROR(--ISNUMBER(SEARCH("R123",G92)),0)+IFERROR(--ISNUMBER(SEARCH("R124",G92)),0)+IFERROR(--ISNUMBER(SEARCH("R125",G92)),0)+IFERROR(--ISNUMBER(SEARCH("R126",G92)),0)+IFERROR(--ISNUMBER(SEARCH("R127",G92)),0)+IFERROR(--ISNUMBER(SEARCH("R128",G92)),0)+IFERROR(--ISNUMBER(SEARCH("R129",G92)),0)+IFERROR(--ISNUMBER(SEARCH("R130",G92)),0)+IFERROR(--ISNUMBER(SEARCH("R131",G92)),0)+IFERROR(--ISNUMBER(SEARCH("R132",G92)),0)+IFERROR(--ISNUMBER(SEARCH("R133",G92)),0)+IFERROR(--ISNUMBER(SEARCH("R134",G92)),0)+IFERROR(--ISNUMBER(SEARCH("R135",G92)),0)+IFERROR(--ISNUMBER(SEARCH("R136",G92)),0)+IFERROR(--ISNUMBER(SEARCH("R137",G92)),0)+IFERROR(--ISNUMBER(SEARCH("R138",G92)),0)+IFERROR(--ISNUMBER(SEARCH("R139",G92)),0)+IFERROR(--ISNUMBER(SEARCH("R140",G92)),0)+IFERROR(--ISNUMBER(SEARCH("R141",G92)),0))</f>
        <v/>
      </c>
      <c r="T92" s="58">
        <f>IF(A92="","",IFERROR(--ISNUMBER(SEARCH("R28",G92)),0)+IFERROR(--ISNUMBER(SEARCH("R29",G92)),0)+IFERROR(--ISNUMBER(SEARCH("R30",G92)),0)+IFERROR(--ISNUMBER(SEARCH("R32",G92)),0)+IFERROR(--ISNUMBER(SEARCH("R33",G92)),0)+IFERROR(--ISNUMBER(SEARCH("R35",G92)),0)+IFERROR(--ISNUMBER(SEARCH("R36",G92)),0)+IFERROR(--ISNUMBER(SEARCH("R38",G92)),0)+IFERROR(--ISNUMBER(SEARCH("R39",G92)),0)+IFERROR(--ISNUMBER(SEARCH("R43",G92)),0)+IFERROR(--ISNUMBER(SEARCH("R44",G92)),0)+IFERROR(--ISNUMBER(SEARCH("R45",G92)),0)+IFERROR(--ISNUMBER(SEARCH("R47",G92)),0)+IFERROR(--ISNUMBER(SEARCH("R48",G92)),0)+IFERROR(--ISNUMBER(SEARCH("R50",G92)),0)+IFERROR(--ISNUMBER(SEARCH("R51",G92)),0)+IFERROR(--ISNUMBER(SEARCH("R56",G92)),0)+IFERROR(--ISNUMBER(SEARCH("R58",G92)),0)+IFERROR(--ISNUMBER(SEARCH("R59",G92)),0)+IFERROR(--ISNUMBER(SEARCH("R60",G92)),0)+IFERROR(--ISNUMBER(SEARCH("R62",G92)),0)+IFERROR(--ISNUMBER(SEARCH("R63",G92)),0)+IFERROR(--ISNUMBER(SEARCH("R64",G92)),0)+IFERROR(--ISNUMBER(SEARCH("R66",G92)),0)+IFERROR(--ISNUMBER(SEARCH("R67",G92)),0)+IFERROR(--ISNUMBER(SEARCH("R72",G92)),0)+IFERROR(--ISNUMBER(SEARCH("R74",G92)),0)+IFERROR(--ISNUMBER(SEARCH("R75",G92)),0)+IFERROR(--ISNUMBER(SEARCH("R76",G92)),0)+IFERROR(--ISNUMBER(SEARCH("R77",G92)),0)+IFERROR(--ISNUMBER(SEARCH("R79",G92)),0)+IFERROR(--ISNUMBER(SEARCH("R80",G92)),0)+IFERROR(--ISNUMBER(SEARCH("R81",G92)),0)+IFERROR(--ISNUMBER(SEARCH("R83",G92)),0)+IFERROR(--ISNUMBER(SEARCH("R84",G92)),0)+IFERROR(--ISNUMBER(SEARCH("R89",G92)),0)+IFERROR(--ISNUMBER(SEARCH("R94",G92)),0)+IFERROR(--ISNUMBER(SEARCH("R95",G92)),0)+IFERROR(--ISNUMBER(SEARCH("R96",G92)),0)+IFERROR(--ISNUMBER(SEARCH("R98",G92)),0)+IFERROR(--ISNUMBER(SEARCH("R99",G92)),0)+IFERROR(--ISNUMBER(SEARCH("R100",G92)),0)+IFERROR(--ISNUMBER(SEARCH("R104",G92)),0)+IFERROR(--ISNUMBER(SEARCH("R105",G92)),0)+IFERROR(--ISNUMBER(SEARCH("R107",G92)),0)+IFERROR(--ISNUMBER(SEARCH("R108",G92)),0)+IFERROR(--ISNUMBER(SEARCH("R109",G92)),0)+IFERROR(--ISNUMBER(SEARCH("R110",G92)),0)+IFERROR(--ISNUMBER(SEARCH("R112",G92)),0)+IFERROR(--ISNUMBER(SEARCH("R113",G92)),0)+IFERROR(--ISNUMBER(SEARCH("R114",G92)),0)+IFERROR(--ISNUMBER(SEARCH("R118",G92)),0)+IFERROR(--ISNUMBER(SEARCH("R119",G92)),0)+IFERROR(--ISNUMBER(SEARCH("R120",G92)),0)+IFERROR(--ISNUMBER(SEARCH("R122",G92)),0)+IFERROR(--ISNUMBER(SEARCH("R123",G92)),0)+IFERROR(--ISNUMBER(SEARCH("R124",G92)),0)+IFERROR(--ISNUMBER(SEARCH("R128",G92)),0)+IFERROR(--ISNUMBER(SEARCH("R130",G92)),0)+IFERROR(--ISNUMBER(SEARCH("R131",G92)),0)+IFERROR(--ISNUMBER(SEARCH("R132",G92)),0)+IFERROR(--ISNUMBER(SEARCH("R135",G92)),0)+IFERROR(--ISNUMBER(SEARCH("R138",G92)),0)+IFERROR(--ISNUMBER(SEARCH("R141",G92)),0))</f>
        <v/>
      </c>
      <c r="U92" s="58">
        <f>IF(A92="","",IFERROR(--ISNUMBER(SEARCH("R28",G92))*28,0)+IFERROR(--ISNUMBER(SEARCH("R29",G92))*29,0)+IFERROR(--ISNUMBER(SEARCH("R30",G92))*30,0)+IFERROR(--ISNUMBER(SEARCH("R31",G92))*31,0)+IFERROR(--ISNUMBER(SEARCH("R32",G92))*32,0)+IFERROR(--ISNUMBER(SEARCH("R33",G92))*33,0)+IFERROR(--ISNUMBER(SEARCH("R34",G92))*34,0)+IFERROR(--ISNUMBER(SEARCH("R35",G92))*35,0)+IFERROR(--ISNUMBER(SEARCH("R36",G92))*36,0)+IFERROR(--ISNUMBER(SEARCH("R37",G92))*37,0)+IFERROR(--ISNUMBER(SEARCH("R38",G92))*38,0)+IFERROR(--ISNUMBER(SEARCH("R39",G92))*39,0)+IFERROR(--ISNUMBER(SEARCH("R40",G92))*40,0)+IFERROR(--ISNUMBER(SEARCH("R41",G92))*41,0)+IFERROR(--ISNUMBER(SEARCH("R42",G92))*42,0)+IFERROR(--ISNUMBER(SEARCH("R43",G92))*43,0)+IFERROR(--ISNUMBER(SEARCH("R44",G92))*44,0)+IFERROR(--ISNUMBER(SEARCH("R45",G92))*45,0)+IFERROR(--ISNUMBER(SEARCH("R46",G92))*46,0)+IFERROR(--ISNUMBER(SEARCH("R47",G92))*47,0)+IFERROR(--ISNUMBER(SEARCH("R48",G92))*48,0)+IFERROR(--ISNUMBER(SEARCH("R49",G92))*49,0)+IFERROR(--ISNUMBER(SEARCH("R50",G92))*50,0)+IFERROR(--ISNUMBER(SEARCH("R51",G92))*51,0)+IFERROR(--ISNUMBER(SEARCH("R52",G92))*52,0)+IFERROR(--ISNUMBER(SEARCH("R53",G92))*53,0)+IFERROR(--ISNUMBER(SEARCH("R54",G92))*54,0)+IFERROR(--ISNUMBER(SEARCH("R55",G92))*55,0)+IFERROR(--ISNUMBER(SEARCH("R56",G92))*56,0)+IFERROR(--ISNUMBER(SEARCH("R57",G92))*57,0)+IFERROR(--ISNUMBER(SEARCH("R58",G92))*58,0)+IFERROR(--ISNUMBER(SEARCH("R59",G92))*59,0)+IFERROR(--ISNUMBER(SEARCH("R60",G92))*60,0)+IFERROR(--ISNUMBER(SEARCH("R61",G92))*61,0)+IFERROR(--ISNUMBER(SEARCH("R62",G92))*62,0)+IFERROR(--ISNUMBER(SEARCH("R63",G92))*63,0)+IFERROR(--ISNUMBER(SEARCH("R64",G92))*64,0)+IFERROR(--ISNUMBER(SEARCH("R65",G92))*65,0)+IFERROR(--ISNUMBER(SEARCH("R66",G92))*66,0)+IFERROR(--ISNUMBER(SEARCH("R67",G92))*67,0)+IFERROR(--ISNUMBER(SEARCH("R68",G92))*68,0)+IFERROR(--ISNUMBER(SEARCH("R69",G92))*69,0)+IFERROR(--ISNUMBER(SEARCH("R70",G92))*70,0)+IFERROR(--ISNUMBER(SEARCH("R71",G92))*71,0)+IFERROR(--ISNUMBER(SEARCH("R72",G92))*72,0)+IFERROR(--ISNUMBER(SEARCH("R73",G92))*73,0)+IFERROR(--ISNUMBER(SEARCH("R74",G92))*74,0)+IFERROR(--ISNUMBER(SEARCH("R75",G92))*75,0)+IFERROR(--ISNUMBER(SEARCH("R76",G92))*76,0)+IFERROR(--ISNUMBER(SEARCH("R77",G92))*77,0)+IFERROR(--ISNUMBER(SEARCH("R78",G92))*78,0)+IFERROR(--ISNUMBER(SEARCH("R79",G92))*79,0)+IFERROR(--ISNUMBER(SEARCH("R80",G92))*80,0)+IFERROR(--ISNUMBER(SEARCH("R81",G92))*81,0)+IFERROR(--ISNUMBER(SEARCH("R82",G92))*82,0)+IFERROR(--ISNUMBER(SEARCH("R83",G92))*83,0)+IFERROR(--ISNUMBER(SEARCH("R84",G92))*84,0)+IFERROR(--ISNUMBER(SEARCH("R85",G92))*85,0)+IFERROR(--ISNUMBER(SEARCH("R86",G92))*86,0)+IFERROR(--ISNUMBER(SEARCH("R87",G92))*87,0)+IFERROR(--ISNUMBER(SEARCH("R88",G92))*88,0)+IFERROR(--ISNUMBER(SEARCH("R89",G92))*89,0)+IFERROR(--ISNUMBER(SEARCH("R90",G92))*90,0)+IFERROR(--ISNUMBER(SEARCH("R91",G92))*91,0)+IFERROR(--ISNUMBER(SEARCH("R92",G92))*92,0)+IFERROR(--ISNUMBER(SEARCH("R93",G92))*93,0)+IFERROR(--ISNUMBER(SEARCH("R94",G92))*94,0)+IFERROR(--ISNUMBER(SEARCH("R95",G92))*95,0)+IFERROR(--ISNUMBER(SEARCH("R96",G92))*96,0)+IFERROR(--ISNUMBER(SEARCH("R97",G92))*97,0)+IFERROR(--ISNUMBER(SEARCH("R98",G92))*98,0)+IFERROR(--ISNUMBER(SEARCH("R99",G92))*99,0)+IFERROR(--ISNUMBER(SEARCH("R100",G92))*100,0)+IFERROR(--ISNUMBER(SEARCH("R101",G92))*101,0)+IFERROR(--ISNUMBER(SEARCH("R102",G92))*102,0)+IFERROR(--ISNUMBER(SEARCH("R103",G92))*103,0)+IFERROR(--ISNUMBER(SEARCH("R104",G92))*104,0)+IFERROR(--ISNUMBER(SEARCH("R105",G92))*105,0)+IFERROR(--ISNUMBER(SEARCH("R106",G92))*106,0)+IFERROR(--ISNUMBER(SEARCH("R107",G92))*107,0)+IFERROR(--ISNUMBER(SEARCH("R108",G92))*108,0)+IFERROR(--ISNUMBER(SEARCH("R109",G92))*109,0)+IFERROR(--ISNUMBER(SEARCH("R110",G92))*110,0)+IFERROR(--ISNUMBER(SEARCH("R111",G92))*111,0)+IFERROR(--ISNUMBER(SEARCH("R112",G92))*112,0)+IFERROR(--ISNUMBER(SEARCH("R113",G92))*113,0)+IFERROR(--ISNUMBER(SEARCH("R114",G92))*114,0)+IFERROR(--ISNUMBER(SEARCH("R115",G92))*115,0)+IFERROR(--ISNUMBER(SEARCH("R116",G92))*116,0)+IFERROR(--ISNUMBER(SEARCH("R117",G92))*117,0)+IFERROR(--ISNUMBER(SEARCH("R118",G92))*118,0)+IFERROR(--ISNUMBER(SEARCH("R119",G92))*119,0)+IFERROR(--ISNUMBER(SEARCH("R120",G92))*120,0)+IFERROR(--ISNUMBER(SEARCH("R121",G92))*121,0)+IFERROR(--ISNUMBER(SEARCH("R122",G92))*122,0)+IFERROR(--ISNUMBER(SEARCH("R123",G92))*123,0)+IFERROR(--ISNUMBER(SEARCH("R124",G92))*124,0)+IFERROR(--ISNUMBER(SEARCH("R125",G92))*125,0)+IFERROR(--ISNUMBER(SEARCH("R126",G92))*126,0)+IFERROR(--ISNUMBER(SEARCH("R127",G92))*127,0)+IFERROR(--ISNUMBER(SEARCH("R128",G92))*128,0)+IFERROR(--ISNUMBER(SEARCH("R129",G92))*129,0)+IFERROR(--ISNUMBER(SEARCH("R130",G92))*130,0)+IFERROR(--ISNUMBER(SEARCH("R131",G92))*131,0)+IFERROR(--ISNUMBER(SEARCH("R132",G92))*132,0)+IFERROR(--ISNUMBER(SEARCH("R133",G92))*133,0)+IFERROR(--ISNUMBER(SEARCH("R134",G92))*134,0)+IFERROR(--ISNUMBER(SEARCH("R135",G92))*135,0)+IFERROR(--ISNUMBER(SEARCH("R136",G92))*136,0)+IFERROR(--ISNUMBER(SEARCH("R137",G92))*137,0)+IFERROR(--ISNUMBER(SEARCH("R138",G92))*138,0)+IFERROR(--ISNUMBER(SEARCH("R139",G92))*139,0)+IFERROR(--ISNUMBER(SEARCH("R140",G92))*140,0)+IFERROR(--ISNUMBER(SEARCH("R141",G92))*141,0))</f>
        <v/>
      </c>
      <c r="V92" s="59">
        <f>IF(A92="","",IF(K92&lt;&gt;"",K92,J92))</f>
        <v/>
      </c>
      <c r="W92" s="59">
        <f>IF(A92="","",IF(AND(V92=29,O92&lt;&gt;"",COUNTIFS($V$6:$V$505,29,$F$6:$F$505,F92,$C$6:$C$505,C92,$O$6:$O$505,"&lt;&gt;")&gt;1),IF(COUNTIFS($V$6:V92,29,$F$6:F92,F92,$C$6:C92,C92,$O$6:O92,"&lt;&gt;")=1,"Esta es la fila que se debe CONSERVAR (aparición 1 de "&amp;COUNTIFS($V$6:$V$505,29,$F$6:$F$505,F92,$C$6:$C$505,C92,$O$6:$O$505,"&lt;&gt;")&amp;" con el mismo tercero y valor, casilla 29). Si hay más filas iguales, bórreles el valor a ELLAS, no a esta.","DUPLICADO — ya existe otra fila con el mismo tercero y valor para casilla 29 (aparición "&amp;COUNTIFS($V$6:V92,29,$F$6:F92,F92,$C$6:C92,C92,$O$6:O92,"&lt;&gt;")&amp;" de "&amp;COUNTIFS($V$6:$V$505,29,$F$6:$F$505,F92,$C$6:$C$505,C92,$O$6:$O$505,"&lt;&gt;")&amp;"). Para resolverlo: seleccione la celda O"&amp;ROW()&amp;" (columna Valor a declarar de ESTA fila) y presione Supr."),""))</f>
        <v/>
      </c>
      <c r="X92" s="463">
        <f>IF(A92="","",F92)</f>
        <v/>
      </c>
      <c r="Y92" s="463">
        <f>IF(A92="","",SUMIF(Entrada_Manual!$I$88:$I$187,A92,Entrada_Manual!$F$88:$F$187))</f>
        <v/>
      </c>
      <c r="Z92" s="463">
        <f>IF(A92="","",X92-Y92)</f>
        <v/>
      </c>
      <c r="AA92">
        <f>IF(A92="","",SUMPRODUCT((Entrada_Manual!$I$88:$I$187=A92)*1))</f>
        <v/>
      </c>
      <c r="AB92">
        <f>IF(A92="","",IF(S92&lt;=1,"",IF(AA92=0,"PENDIENTE — SIN ASIGNAR",IF(Z92=0,"RESUELTO","PARCIAL — DIFERENCIA "&amp;TEXT(Z92,"#,##0")))))</f>
        <v/>
      </c>
    </row>
    <row r="93" ht="14.25" customHeight="1" s="235">
      <c r="A93" s="47">
        <f>IF(Exogena_RAW!E102&lt;&gt;"",ROW()-5,"")</f>
        <v/>
      </c>
      <c r="B93" s="48">
        <f>IF(A93="","",102)</f>
        <v/>
      </c>
      <c r="C93" s="48">
        <f>IF(A93="","",IFERROR(Exogena_RAW!A102,""))</f>
        <v/>
      </c>
      <c r="D93" s="48">
        <f>IF(A93="","",IFERROR(Exogena_RAW!B102,""))</f>
        <v/>
      </c>
      <c r="E93" s="48">
        <f>IF(A93="","",Exogena_RAW!E102)</f>
        <v/>
      </c>
      <c r="F93" s="461">
        <f>IF(A93="","",Exogena_RAW!F102)</f>
        <v/>
      </c>
      <c r="G93" s="48">
        <f>IF(A93="","",IFERROR(Exogena_RAW!G102,""))</f>
        <v/>
      </c>
      <c r="H93" s="48">
        <f>IF(A93="","",IFERROR(Exogena_RAW!H102,""))</f>
        <v/>
      </c>
      <c r="I93" s="48">
        <f>IF(A93="","",IFERROR(IF(S93&gt;1,"VARIAS CASILLAS",IF(S93=1,IF(T93=1,"PROPUESTA DE CASILLA","REVISIÓN: CASILLA NO DIRECTA"),IF(OR(ISNUMBER(SEARCH("TOPE",UPPER(E93))),ISNUMBER(SEARCH("TOPE",UPPER(G93)))),"SOLO CONTROL",IF(ISNUMBER(SEARCH("RETEN",UPPER(E93))),"RETENCIÓN","REVISAR")))),"REVISAR"))</f>
        <v/>
      </c>
      <c r="J93" s="48">
        <f>IF(A93="","",IF(ISNUMBER(SEARCH("ingreso laboral promedio de los últimos seis meses",E93)),"",IFERROR(IF(AND(S93=1,T93=1),U93,""),"")))</f>
        <v/>
      </c>
      <c r="K93" s="216" t="n"/>
      <c r="L93" s="48">
        <f>IF(A93="","",IFERROR(IF(K93&lt;&gt;"","Casilla elegida por usuario",IF(S93&gt;1,"Varias casillas — elegir en K",IF(J93&lt;&gt;"","Sugerencia directa",IF(S93=1,"No trasladar directo — revisar",IF(OR(ISNUMBER(SEARCH("TOPE",UPPER(E93))),ISNUMBER(SEARCH("TOPE",UPPER(G93)))),"Solo control","Revisar manualmente"))))),"Revisar manualmente"))</f>
        <v/>
      </c>
      <c r="M93" s="461">
        <f>IF(A93="","",IF(IF(K93&lt;&gt;"",K93,J93)="",0,IF(COUNTIFS(Reglas!$I$5:$I$118,IF(K93&lt;&gt;"",K93,J93),Reglas!$J$5:$J$118,"Sí")=1,F93,0)))</f>
        <v/>
      </c>
      <c r="N93" s="56" t="n"/>
      <c r="O93" s="462">
        <f>IF(A93="","",IF(M93=0,"",M93))</f>
        <v/>
      </c>
      <c r="P93" s="461">
        <f>IF(A93="","",IF(O93="",0,IF(ISNUMBER(O93),O93,0)))</f>
        <v/>
      </c>
      <c r="Q93" s="48">
        <f>IF(A93="","",IF(Exogena_RAW!$C$4="","BLOQUEADO: FALTA AÑO",IF(Exogena_RAW!$K$10&lt;&gt;Reglas!$B$5,"BLOQUEADO: AÑO",IF(IF(K93&lt;&gt;"",K93,J93)="",IF(S93&gt;1,"REQUIERE ASIGNACIÓN MANUAL (VARIAS CASILLAS)","INFORMATIVO (sin casilla — no se declara)"),IF(COUNTIFS(Reglas!$I$5:$I$118,IF(K93&lt;&gt;"",K93,J93),Reglas!$J$5:$J$118,"Sí")=0,"BLOQUEADO: CASILLA NO DIRECTA",IF(O93="","EXCLUIDO (valor borrado por el usuario)",IF(_xlfn.ISFORMULA(O93),IF(W93&lt;&gt;"","BORRADOR — VALOR SUGERIDO DIAN ⚠ VER ALERTA","BORRADOR — VALOR SUGERIDO DIAN"),IF(W93&lt;&gt;"","ACEPTADO ⚠ VER ALERTA","ACEPTADO"))))))))</f>
        <v/>
      </c>
      <c r="R93" s="218" t="n"/>
      <c r="S93" s="58">
        <f>IF(A93="","",IFERROR(--ISNUMBER(SEARCH("R28",G93)),0)+IFERROR(--ISNUMBER(SEARCH("R29",G93)),0)+IFERROR(--ISNUMBER(SEARCH("R30",G93)),0)+IFERROR(--ISNUMBER(SEARCH("R31",G93)),0)+IFERROR(--ISNUMBER(SEARCH("R32",G93)),0)+IFERROR(--ISNUMBER(SEARCH("R33",G93)),0)+IFERROR(--ISNUMBER(SEARCH("R34",G93)),0)+IFERROR(--ISNUMBER(SEARCH("R35",G93)),0)+IFERROR(--ISNUMBER(SEARCH("R36",G93)),0)+IFERROR(--ISNUMBER(SEARCH("R37",G93)),0)+IFERROR(--ISNUMBER(SEARCH("R38",G93)),0)+IFERROR(--ISNUMBER(SEARCH("R39",G93)),0)+IFERROR(--ISNUMBER(SEARCH("R40",G93)),0)+IFERROR(--ISNUMBER(SEARCH("R41",G93)),0)+IFERROR(--ISNUMBER(SEARCH("R42",G93)),0)+IFERROR(--ISNUMBER(SEARCH("R43",G93)),0)+IFERROR(--ISNUMBER(SEARCH("R44",G93)),0)+IFERROR(--ISNUMBER(SEARCH("R45",G93)),0)+IFERROR(--ISNUMBER(SEARCH("R46",G93)),0)+IFERROR(--ISNUMBER(SEARCH("R47",G93)),0)+IFERROR(--ISNUMBER(SEARCH("R48",G93)),0)+IFERROR(--ISNUMBER(SEARCH("R49",G93)),0)+IFERROR(--ISNUMBER(SEARCH("R50",G93)),0)+IFERROR(--ISNUMBER(SEARCH("R51",G93)),0)+IFERROR(--ISNUMBER(SEARCH("R52",G93)),0)+IFERROR(--ISNUMBER(SEARCH("R53",G93)),0)+IFERROR(--ISNUMBER(SEARCH("R54",G93)),0)+IFERROR(--ISNUMBER(SEARCH("R55",G93)),0)+IFERROR(--ISNUMBER(SEARCH("R56",G93)),0)+IFERROR(--ISNUMBER(SEARCH("R57",G93)),0)+IFERROR(--ISNUMBER(SEARCH("R58",G93)),0)+IFERROR(--ISNUMBER(SEARCH("R59",G93)),0)+IFERROR(--ISNUMBER(SEARCH("R60",G93)),0)+IFERROR(--ISNUMBER(SEARCH("R61",G93)),0)+IFERROR(--ISNUMBER(SEARCH("R62",G93)),0)+IFERROR(--ISNUMBER(SEARCH("R63",G93)),0)+IFERROR(--ISNUMBER(SEARCH("R64",G93)),0)+IFERROR(--ISNUMBER(SEARCH("R65",G93)),0)+IFERROR(--ISNUMBER(SEARCH("R66",G93)),0)+IFERROR(--ISNUMBER(SEARCH("R67",G93)),0)+IFERROR(--ISNUMBER(SEARCH("R68",G93)),0)+IFERROR(--ISNUMBER(SEARCH("R69",G93)),0)+IFERROR(--ISNUMBER(SEARCH("R70",G93)),0)+IFERROR(--ISNUMBER(SEARCH("R71",G93)),0)+IFERROR(--ISNUMBER(SEARCH("R72",G93)),0)+IFERROR(--ISNUMBER(SEARCH("R73",G93)),0)+IFERROR(--ISNUMBER(SEARCH("R74",G93)),0)+IFERROR(--ISNUMBER(SEARCH("R75",G93)),0)+IFERROR(--ISNUMBER(SEARCH("R76",G93)),0)+IFERROR(--ISNUMBER(SEARCH("R77",G93)),0)+IFERROR(--ISNUMBER(SEARCH("R78",G93)),0)+IFERROR(--ISNUMBER(SEARCH("R79",G93)),0)+IFERROR(--ISNUMBER(SEARCH("R80",G93)),0)+IFERROR(--ISNUMBER(SEARCH("R81",G93)),0)+IFERROR(--ISNUMBER(SEARCH("R82",G93)),0)+IFERROR(--ISNUMBER(SEARCH("R83",G93)),0)+IFERROR(--ISNUMBER(SEARCH("R84",G93)),0)+IFERROR(--ISNUMBER(SEARCH("R85",G93)),0)+IFERROR(--ISNUMBER(SEARCH("R86",G93)),0)+IFERROR(--ISNUMBER(SEARCH("R87",G93)),0)+IFERROR(--ISNUMBER(SEARCH("R88",G93)),0)+IFERROR(--ISNUMBER(SEARCH("R89",G93)),0)+IFERROR(--ISNUMBER(SEARCH("R90",G93)),0)+IFERROR(--ISNUMBER(SEARCH("R91",G93)),0)+IFERROR(--ISNUMBER(SEARCH("R92",G93)),0)+IFERROR(--ISNUMBER(SEARCH("R93",G93)),0)+IFERROR(--ISNUMBER(SEARCH("R94",G93)),0)+IFERROR(--ISNUMBER(SEARCH("R95",G93)),0)+IFERROR(--ISNUMBER(SEARCH("R96",G93)),0)+IFERROR(--ISNUMBER(SEARCH("R97",G93)),0)+IFERROR(--ISNUMBER(SEARCH("R98",G93)),0)+IFERROR(--ISNUMBER(SEARCH("R99",G93)),0)+IFERROR(--ISNUMBER(SEARCH("R100",G93)),0)+IFERROR(--ISNUMBER(SEARCH("R101",G93)),0)+IFERROR(--ISNUMBER(SEARCH("R102",G93)),0)+IFERROR(--ISNUMBER(SEARCH("R103",G93)),0)+IFERROR(--ISNUMBER(SEARCH("R104",G93)),0)+IFERROR(--ISNUMBER(SEARCH("R105",G93)),0)+IFERROR(--ISNUMBER(SEARCH("R106",G93)),0)+IFERROR(--ISNUMBER(SEARCH("R107",G93)),0)+IFERROR(--ISNUMBER(SEARCH("R108",G93)),0)+IFERROR(--ISNUMBER(SEARCH("R109",G93)),0)+IFERROR(--ISNUMBER(SEARCH("R110",G93)),0)+IFERROR(--ISNUMBER(SEARCH("R111",G93)),0)+IFERROR(--ISNUMBER(SEARCH("R112",G93)),0)+IFERROR(--ISNUMBER(SEARCH("R113",G93)),0)+IFERROR(--ISNUMBER(SEARCH("R114",G93)),0)+IFERROR(--ISNUMBER(SEARCH("R115",G93)),0)+IFERROR(--ISNUMBER(SEARCH("R116",G93)),0)+IFERROR(--ISNUMBER(SEARCH("R117",G93)),0)+IFERROR(--ISNUMBER(SEARCH("R118",G93)),0)+IFERROR(--ISNUMBER(SEARCH("R119",G93)),0)+IFERROR(--ISNUMBER(SEARCH("R120",G93)),0)+IFERROR(--ISNUMBER(SEARCH("R121",G93)),0)+IFERROR(--ISNUMBER(SEARCH("R122",G93)),0)+IFERROR(--ISNUMBER(SEARCH("R123",G93)),0)+IFERROR(--ISNUMBER(SEARCH("R124",G93)),0)+IFERROR(--ISNUMBER(SEARCH("R125",G93)),0)+IFERROR(--ISNUMBER(SEARCH("R126",G93)),0)+IFERROR(--ISNUMBER(SEARCH("R127",G93)),0)+IFERROR(--ISNUMBER(SEARCH("R128",G93)),0)+IFERROR(--ISNUMBER(SEARCH("R129",G93)),0)+IFERROR(--ISNUMBER(SEARCH("R130",G93)),0)+IFERROR(--ISNUMBER(SEARCH("R131",G93)),0)+IFERROR(--ISNUMBER(SEARCH("R132",G93)),0)+IFERROR(--ISNUMBER(SEARCH("R133",G93)),0)+IFERROR(--ISNUMBER(SEARCH("R134",G93)),0)+IFERROR(--ISNUMBER(SEARCH("R135",G93)),0)+IFERROR(--ISNUMBER(SEARCH("R136",G93)),0)+IFERROR(--ISNUMBER(SEARCH("R137",G93)),0)+IFERROR(--ISNUMBER(SEARCH("R138",G93)),0)+IFERROR(--ISNUMBER(SEARCH("R139",G93)),0)+IFERROR(--ISNUMBER(SEARCH("R140",G93)),0)+IFERROR(--ISNUMBER(SEARCH("R141",G93)),0))</f>
        <v/>
      </c>
      <c r="T93" s="58">
        <f>IF(A93="","",IFERROR(--ISNUMBER(SEARCH("R28",G93)),0)+IFERROR(--ISNUMBER(SEARCH("R29",G93)),0)+IFERROR(--ISNUMBER(SEARCH("R30",G93)),0)+IFERROR(--ISNUMBER(SEARCH("R32",G93)),0)+IFERROR(--ISNUMBER(SEARCH("R33",G93)),0)+IFERROR(--ISNUMBER(SEARCH("R35",G93)),0)+IFERROR(--ISNUMBER(SEARCH("R36",G93)),0)+IFERROR(--ISNUMBER(SEARCH("R38",G93)),0)+IFERROR(--ISNUMBER(SEARCH("R39",G93)),0)+IFERROR(--ISNUMBER(SEARCH("R43",G93)),0)+IFERROR(--ISNUMBER(SEARCH("R44",G93)),0)+IFERROR(--ISNUMBER(SEARCH("R45",G93)),0)+IFERROR(--ISNUMBER(SEARCH("R47",G93)),0)+IFERROR(--ISNUMBER(SEARCH("R48",G93)),0)+IFERROR(--ISNUMBER(SEARCH("R50",G93)),0)+IFERROR(--ISNUMBER(SEARCH("R51",G93)),0)+IFERROR(--ISNUMBER(SEARCH("R56",G93)),0)+IFERROR(--ISNUMBER(SEARCH("R58",G93)),0)+IFERROR(--ISNUMBER(SEARCH("R59",G93)),0)+IFERROR(--ISNUMBER(SEARCH("R60",G93)),0)+IFERROR(--ISNUMBER(SEARCH("R62",G93)),0)+IFERROR(--ISNUMBER(SEARCH("R63",G93)),0)+IFERROR(--ISNUMBER(SEARCH("R64",G93)),0)+IFERROR(--ISNUMBER(SEARCH("R66",G93)),0)+IFERROR(--ISNUMBER(SEARCH("R67",G93)),0)+IFERROR(--ISNUMBER(SEARCH("R72",G93)),0)+IFERROR(--ISNUMBER(SEARCH("R74",G93)),0)+IFERROR(--ISNUMBER(SEARCH("R75",G93)),0)+IFERROR(--ISNUMBER(SEARCH("R76",G93)),0)+IFERROR(--ISNUMBER(SEARCH("R77",G93)),0)+IFERROR(--ISNUMBER(SEARCH("R79",G93)),0)+IFERROR(--ISNUMBER(SEARCH("R80",G93)),0)+IFERROR(--ISNUMBER(SEARCH("R81",G93)),0)+IFERROR(--ISNUMBER(SEARCH("R83",G93)),0)+IFERROR(--ISNUMBER(SEARCH("R84",G93)),0)+IFERROR(--ISNUMBER(SEARCH("R89",G93)),0)+IFERROR(--ISNUMBER(SEARCH("R94",G93)),0)+IFERROR(--ISNUMBER(SEARCH("R95",G93)),0)+IFERROR(--ISNUMBER(SEARCH("R96",G93)),0)+IFERROR(--ISNUMBER(SEARCH("R98",G93)),0)+IFERROR(--ISNUMBER(SEARCH("R99",G93)),0)+IFERROR(--ISNUMBER(SEARCH("R100",G93)),0)+IFERROR(--ISNUMBER(SEARCH("R104",G93)),0)+IFERROR(--ISNUMBER(SEARCH("R105",G93)),0)+IFERROR(--ISNUMBER(SEARCH("R107",G93)),0)+IFERROR(--ISNUMBER(SEARCH("R108",G93)),0)+IFERROR(--ISNUMBER(SEARCH("R109",G93)),0)+IFERROR(--ISNUMBER(SEARCH("R110",G93)),0)+IFERROR(--ISNUMBER(SEARCH("R112",G93)),0)+IFERROR(--ISNUMBER(SEARCH("R113",G93)),0)+IFERROR(--ISNUMBER(SEARCH("R114",G93)),0)+IFERROR(--ISNUMBER(SEARCH("R118",G93)),0)+IFERROR(--ISNUMBER(SEARCH("R119",G93)),0)+IFERROR(--ISNUMBER(SEARCH("R120",G93)),0)+IFERROR(--ISNUMBER(SEARCH("R122",G93)),0)+IFERROR(--ISNUMBER(SEARCH("R123",G93)),0)+IFERROR(--ISNUMBER(SEARCH("R124",G93)),0)+IFERROR(--ISNUMBER(SEARCH("R128",G93)),0)+IFERROR(--ISNUMBER(SEARCH("R130",G93)),0)+IFERROR(--ISNUMBER(SEARCH("R131",G93)),0)+IFERROR(--ISNUMBER(SEARCH("R132",G93)),0)+IFERROR(--ISNUMBER(SEARCH("R135",G93)),0)+IFERROR(--ISNUMBER(SEARCH("R138",G93)),0)+IFERROR(--ISNUMBER(SEARCH("R141",G93)),0))</f>
        <v/>
      </c>
      <c r="U93" s="58">
        <f>IF(A93="","",IFERROR(--ISNUMBER(SEARCH("R28",G93))*28,0)+IFERROR(--ISNUMBER(SEARCH("R29",G93))*29,0)+IFERROR(--ISNUMBER(SEARCH("R30",G93))*30,0)+IFERROR(--ISNUMBER(SEARCH("R31",G93))*31,0)+IFERROR(--ISNUMBER(SEARCH("R32",G93))*32,0)+IFERROR(--ISNUMBER(SEARCH("R33",G93))*33,0)+IFERROR(--ISNUMBER(SEARCH("R34",G93))*34,0)+IFERROR(--ISNUMBER(SEARCH("R35",G93))*35,0)+IFERROR(--ISNUMBER(SEARCH("R36",G93))*36,0)+IFERROR(--ISNUMBER(SEARCH("R37",G93))*37,0)+IFERROR(--ISNUMBER(SEARCH("R38",G93))*38,0)+IFERROR(--ISNUMBER(SEARCH("R39",G93))*39,0)+IFERROR(--ISNUMBER(SEARCH("R40",G93))*40,0)+IFERROR(--ISNUMBER(SEARCH("R41",G93))*41,0)+IFERROR(--ISNUMBER(SEARCH("R42",G93))*42,0)+IFERROR(--ISNUMBER(SEARCH("R43",G93))*43,0)+IFERROR(--ISNUMBER(SEARCH("R44",G93))*44,0)+IFERROR(--ISNUMBER(SEARCH("R45",G93))*45,0)+IFERROR(--ISNUMBER(SEARCH("R46",G93))*46,0)+IFERROR(--ISNUMBER(SEARCH("R47",G93))*47,0)+IFERROR(--ISNUMBER(SEARCH("R48",G93))*48,0)+IFERROR(--ISNUMBER(SEARCH("R49",G93))*49,0)+IFERROR(--ISNUMBER(SEARCH("R50",G93))*50,0)+IFERROR(--ISNUMBER(SEARCH("R51",G93))*51,0)+IFERROR(--ISNUMBER(SEARCH("R52",G93))*52,0)+IFERROR(--ISNUMBER(SEARCH("R53",G93))*53,0)+IFERROR(--ISNUMBER(SEARCH("R54",G93))*54,0)+IFERROR(--ISNUMBER(SEARCH("R55",G93))*55,0)+IFERROR(--ISNUMBER(SEARCH("R56",G93))*56,0)+IFERROR(--ISNUMBER(SEARCH("R57",G93))*57,0)+IFERROR(--ISNUMBER(SEARCH("R58",G93))*58,0)+IFERROR(--ISNUMBER(SEARCH("R59",G93))*59,0)+IFERROR(--ISNUMBER(SEARCH("R60",G93))*60,0)+IFERROR(--ISNUMBER(SEARCH("R61",G93))*61,0)+IFERROR(--ISNUMBER(SEARCH("R62",G93))*62,0)+IFERROR(--ISNUMBER(SEARCH("R63",G93))*63,0)+IFERROR(--ISNUMBER(SEARCH("R64",G93))*64,0)+IFERROR(--ISNUMBER(SEARCH("R65",G93))*65,0)+IFERROR(--ISNUMBER(SEARCH("R66",G93))*66,0)+IFERROR(--ISNUMBER(SEARCH("R67",G93))*67,0)+IFERROR(--ISNUMBER(SEARCH("R68",G93))*68,0)+IFERROR(--ISNUMBER(SEARCH("R69",G93))*69,0)+IFERROR(--ISNUMBER(SEARCH("R70",G93))*70,0)+IFERROR(--ISNUMBER(SEARCH("R71",G93))*71,0)+IFERROR(--ISNUMBER(SEARCH("R72",G93))*72,0)+IFERROR(--ISNUMBER(SEARCH("R73",G93))*73,0)+IFERROR(--ISNUMBER(SEARCH("R74",G93))*74,0)+IFERROR(--ISNUMBER(SEARCH("R75",G93))*75,0)+IFERROR(--ISNUMBER(SEARCH("R76",G93))*76,0)+IFERROR(--ISNUMBER(SEARCH("R77",G93))*77,0)+IFERROR(--ISNUMBER(SEARCH("R78",G93))*78,0)+IFERROR(--ISNUMBER(SEARCH("R79",G93))*79,0)+IFERROR(--ISNUMBER(SEARCH("R80",G93))*80,0)+IFERROR(--ISNUMBER(SEARCH("R81",G93))*81,0)+IFERROR(--ISNUMBER(SEARCH("R82",G93))*82,0)+IFERROR(--ISNUMBER(SEARCH("R83",G93))*83,0)+IFERROR(--ISNUMBER(SEARCH("R84",G93))*84,0)+IFERROR(--ISNUMBER(SEARCH("R85",G93))*85,0)+IFERROR(--ISNUMBER(SEARCH("R86",G93))*86,0)+IFERROR(--ISNUMBER(SEARCH("R87",G93))*87,0)+IFERROR(--ISNUMBER(SEARCH("R88",G93))*88,0)+IFERROR(--ISNUMBER(SEARCH("R89",G93))*89,0)+IFERROR(--ISNUMBER(SEARCH("R90",G93))*90,0)+IFERROR(--ISNUMBER(SEARCH("R91",G93))*91,0)+IFERROR(--ISNUMBER(SEARCH("R92",G93))*92,0)+IFERROR(--ISNUMBER(SEARCH("R93",G93))*93,0)+IFERROR(--ISNUMBER(SEARCH("R94",G93))*94,0)+IFERROR(--ISNUMBER(SEARCH("R95",G93))*95,0)+IFERROR(--ISNUMBER(SEARCH("R96",G93))*96,0)+IFERROR(--ISNUMBER(SEARCH("R97",G93))*97,0)+IFERROR(--ISNUMBER(SEARCH("R98",G93))*98,0)+IFERROR(--ISNUMBER(SEARCH("R99",G93))*99,0)+IFERROR(--ISNUMBER(SEARCH("R100",G93))*100,0)+IFERROR(--ISNUMBER(SEARCH("R101",G93))*101,0)+IFERROR(--ISNUMBER(SEARCH("R102",G93))*102,0)+IFERROR(--ISNUMBER(SEARCH("R103",G93))*103,0)+IFERROR(--ISNUMBER(SEARCH("R104",G93))*104,0)+IFERROR(--ISNUMBER(SEARCH("R105",G93))*105,0)+IFERROR(--ISNUMBER(SEARCH("R106",G93))*106,0)+IFERROR(--ISNUMBER(SEARCH("R107",G93))*107,0)+IFERROR(--ISNUMBER(SEARCH("R108",G93))*108,0)+IFERROR(--ISNUMBER(SEARCH("R109",G93))*109,0)+IFERROR(--ISNUMBER(SEARCH("R110",G93))*110,0)+IFERROR(--ISNUMBER(SEARCH("R111",G93))*111,0)+IFERROR(--ISNUMBER(SEARCH("R112",G93))*112,0)+IFERROR(--ISNUMBER(SEARCH("R113",G93))*113,0)+IFERROR(--ISNUMBER(SEARCH("R114",G93))*114,0)+IFERROR(--ISNUMBER(SEARCH("R115",G93))*115,0)+IFERROR(--ISNUMBER(SEARCH("R116",G93))*116,0)+IFERROR(--ISNUMBER(SEARCH("R117",G93))*117,0)+IFERROR(--ISNUMBER(SEARCH("R118",G93))*118,0)+IFERROR(--ISNUMBER(SEARCH("R119",G93))*119,0)+IFERROR(--ISNUMBER(SEARCH("R120",G93))*120,0)+IFERROR(--ISNUMBER(SEARCH("R121",G93))*121,0)+IFERROR(--ISNUMBER(SEARCH("R122",G93))*122,0)+IFERROR(--ISNUMBER(SEARCH("R123",G93))*123,0)+IFERROR(--ISNUMBER(SEARCH("R124",G93))*124,0)+IFERROR(--ISNUMBER(SEARCH("R125",G93))*125,0)+IFERROR(--ISNUMBER(SEARCH("R126",G93))*126,0)+IFERROR(--ISNUMBER(SEARCH("R127",G93))*127,0)+IFERROR(--ISNUMBER(SEARCH("R128",G93))*128,0)+IFERROR(--ISNUMBER(SEARCH("R129",G93))*129,0)+IFERROR(--ISNUMBER(SEARCH("R130",G93))*130,0)+IFERROR(--ISNUMBER(SEARCH("R131",G93))*131,0)+IFERROR(--ISNUMBER(SEARCH("R132",G93))*132,0)+IFERROR(--ISNUMBER(SEARCH("R133",G93))*133,0)+IFERROR(--ISNUMBER(SEARCH("R134",G93))*134,0)+IFERROR(--ISNUMBER(SEARCH("R135",G93))*135,0)+IFERROR(--ISNUMBER(SEARCH("R136",G93))*136,0)+IFERROR(--ISNUMBER(SEARCH("R137",G93))*137,0)+IFERROR(--ISNUMBER(SEARCH("R138",G93))*138,0)+IFERROR(--ISNUMBER(SEARCH("R139",G93))*139,0)+IFERROR(--ISNUMBER(SEARCH("R140",G93))*140,0)+IFERROR(--ISNUMBER(SEARCH("R141",G93))*141,0))</f>
        <v/>
      </c>
      <c r="V93" s="59">
        <f>IF(A93="","",IF(K93&lt;&gt;"",K93,J93))</f>
        <v/>
      </c>
      <c r="W93" s="59">
        <f>IF(A93="","",IF(AND(V93=29,O93&lt;&gt;"",COUNTIFS($V$6:$V$505,29,$F$6:$F$505,F93,$C$6:$C$505,C93,$O$6:$O$505,"&lt;&gt;")&gt;1),IF(COUNTIFS($V$6:V93,29,$F$6:F93,F93,$C$6:C93,C93,$O$6:O93,"&lt;&gt;")=1,"Esta es la fila que se debe CONSERVAR (aparición 1 de "&amp;COUNTIFS($V$6:$V$505,29,$F$6:$F$505,F93,$C$6:$C$505,C93,$O$6:$O$505,"&lt;&gt;")&amp;" con el mismo tercero y valor, casilla 29). Si hay más filas iguales, bórreles el valor a ELLAS, no a esta.","DUPLICADO — ya existe otra fila con el mismo tercero y valor para casilla 29 (aparición "&amp;COUNTIFS($V$6:V93,29,$F$6:F93,F93,$C$6:C93,C93,$O$6:O93,"&lt;&gt;")&amp;" de "&amp;COUNTIFS($V$6:$V$505,29,$F$6:$F$505,F93,$C$6:$C$505,C93,$O$6:$O$505,"&lt;&gt;")&amp;"). Para resolverlo: seleccione la celda O"&amp;ROW()&amp;" (columna Valor a declarar de ESTA fila) y presione Supr."),""))</f>
        <v/>
      </c>
      <c r="X93" s="463">
        <f>IF(A93="","",F93)</f>
        <v/>
      </c>
      <c r="Y93" s="463">
        <f>IF(A93="","",SUMIF(Entrada_Manual!$I$88:$I$187,A93,Entrada_Manual!$F$88:$F$187))</f>
        <v/>
      </c>
      <c r="Z93" s="463">
        <f>IF(A93="","",X93-Y93)</f>
        <v/>
      </c>
      <c r="AA93">
        <f>IF(A93="","",SUMPRODUCT((Entrada_Manual!$I$88:$I$187=A93)*1))</f>
        <v/>
      </c>
      <c r="AB93">
        <f>IF(A93="","",IF(S93&lt;=1,"",IF(AA93=0,"PENDIENTE — SIN ASIGNAR",IF(Z93=0,"RESUELTO","PARCIAL — DIFERENCIA "&amp;TEXT(Z93,"#,##0")))))</f>
        <v/>
      </c>
    </row>
    <row r="94" ht="14.25" customHeight="1" s="235">
      <c r="A94" s="47">
        <f>IF(Exogena_RAW!E103&lt;&gt;"",ROW()-5,"")</f>
        <v/>
      </c>
      <c r="B94" s="48">
        <f>IF(A94="","",103)</f>
        <v/>
      </c>
      <c r="C94" s="48">
        <f>IF(A94="","",IFERROR(Exogena_RAW!A103,""))</f>
        <v/>
      </c>
      <c r="D94" s="48">
        <f>IF(A94="","",IFERROR(Exogena_RAW!B103,""))</f>
        <v/>
      </c>
      <c r="E94" s="48">
        <f>IF(A94="","",Exogena_RAW!E103)</f>
        <v/>
      </c>
      <c r="F94" s="461">
        <f>IF(A94="","",Exogena_RAW!F103)</f>
        <v/>
      </c>
      <c r="G94" s="48">
        <f>IF(A94="","",IFERROR(Exogena_RAW!G103,""))</f>
        <v/>
      </c>
      <c r="H94" s="48">
        <f>IF(A94="","",IFERROR(Exogena_RAW!H103,""))</f>
        <v/>
      </c>
      <c r="I94" s="48">
        <f>IF(A94="","",IFERROR(IF(S94&gt;1,"VARIAS CASILLAS",IF(S94=1,IF(T94=1,"PROPUESTA DE CASILLA","REVISIÓN: CASILLA NO DIRECTA"),IF(OR(ISNUMBER(SEARCH("TOPE",UPPER(E94))),ISNUMBER(SEARCH("TOPE",UPPER(G94)))),"SOLO CONTROL",IF(ISNUMBER(SEARCH("RETEN",UPPER(E94))),"RETENCIÓN","REVISAR")))),"REVISAR"))</f>
        <v/>
      </c>
      <c r="J94" s="48">
        <f>IF(A94="","",IF(ISNUMBER(SEARCH("ingreso laboral promedio de los últimos seis meses",E94)),"",IFERROR(IF(AND(S94=1,T94=1),U94,""),"")))</f>
        <v/>
      </c>
      <c r="K94" s="216" t="n"/>
      <c r="L94" s="48">
        <f>IF(A94="","",IFERROR(IF(K94&lt;&gt;"","Casilla elegida por usuario",IF(S94&gt;1,"Varias casillas — elegir en K",IF(J94&lt;&gt;"","Sugerencia directa",IF(S94=1,"No trasladar directo — revisar",IF(OR(ISNUMBER(SEARCH("TOPE",UPPER(E94))),ISNUMBER(SEARCH("TOPE",UPPER(G94)))),"Solo control","Revisar manualmente"))))),"Revisar manualmente"))</f>
        <v/>
      </c>
      <c r="M94" s="461">
        <f>IF(A94="","",IF(IF(K94&lt;&gt;"",K94,J94)="",0,IF(COUNTIFS(Reglas!$I$5:$I$118,IF(K94&lt;&gt;"",K94,J94),Reglas!$J$5:$J$118,"Sí")=1,F94,0)))</f>
        <v/>
      </c>
      <c r="N94" s="56" t="n"/>
      <c r="O94" s="462">
        <f>IF(A94="","",IF(M94=0,"",M94))</f>
        <v/>
      </c>
      <c r="P94" s="461">
        <f>IF(A94="","",IF(O94="",0,IF(ISNUMBER(O94),O94,0)))</f>
        <v/>
      </c>
      <c r="Q94" s="48">
        <f>IF(A94="","",IF(Exogena_RAW!$C$4="","BLOQUEADO: FALTA AÑO",IF(Exogena_RAW!$K$10&lt;&gt;Reglas!$B$5,"BLOQUEADO: AÑO",IF(IF(K94&lt;&gt;"",K94,J94)="",IF(S94&gt;1,"REQUIERE ASIGNACIÓN MANUAL (VARIAS CASILLAS)","INFORMATIVO (sin casilla — no se declara)"),IF(COUNTIFS(Reglas!$I$5:$I$118,IF(K94&lt;&gt;"",K94,J94),Reglas!$J$5:$J$118,"Sí")=0,"BLOQUEADO: CASILLA NO DIRECTA",IF(O94="","EXCLUIDO (valor borrado por el usuario)",IF(_xlfn.ISFORMULA(O94),IF(W94&lt;&gt;"","BORRADOR — VALOR SUGERIDO DIAN ⚠ VER ALERTA","BORRADOR — VALOR SUGERIDO DIAN"),IF(W94&lt;&gt;"","ACEPTADO ⚠ VER ALERTA","ACEPTADO"))))))))</f>
        <v/>
      </c>
      <c r="R94" s="218" t="n"/>
      <c r="S94" s="58">
        <f>IF(A94="","",IFERROR(--ISNUMBER(SEARCH("R28",G94)),0)+IFERROR(--ISNUMBER(SEARCH("R29",G94)),0)+IFERROR(--ISNUMBER(SEARCH("R30",G94)),0)+IFERROR(--ISNUMBER(SEARCH("R31",G94)),0)+IFERROR(--ISNUMBER(SEARCH("R32",G94)),0)+IFERROR(--ISNUMBER(SEARCH("R33",G94)),0)+IFERROR(--ISNUMBER(SEARCH("R34",G94)),0)+IFERROR(--ISNUMBER(SEARCH("R35",G94)),0)+IFERROR(--ISNUMBER(SEARCH("R36",G94)),0)+IFERROR(--ISNUMBER(SEARCH("R37",G94)),0)+IFERROR(--ISNUMBER(SEARCH("R38",G94)),0)+IFERROR(--ISNUMBER(SEARCH("R39",G94)),0)+IFERROR(--ISNUMBER(SEARCH("R40",G94)),0)+IFERROR(--ISNUMBER(SEARCH("R41",G94)),0)+IFERROR(--ISNUMBER(SEARCH("R42",G94)),0)+IFERROR(--ISNUMBER(SEARCH("R43",G94)),0)+IFERROR(--ISNUMBER(SEARCH("R44",G94)),0)+IFERROR(--ISNUMBER(SEARCH("R45",G94)),0)+IFERROR(--ISNUMBER(SEARCH("R46",G94)),0)+IFERROR(--ISNUMBER(SEARCH("R47",G94)),0)+IFERROR(--ISNUMBER(SEARCH("R48",G94)),0)+IFERROR(--ISNUMBER(SEARCH("R49",G94)),0)+IFERROR(--ISNUMBER(SEARCH("R50",G94)),0)+IFERROR(--ISNUMBER(SEARCH("R51",G94)),0)+IFERROR(--ISNUMBER(SEARCH("R52",G94)),0)+IFERROR(--ISNUMBER(SEARCH("R53",G94)),0)+IFERROR(--ISNUMBER(SEARCH("R54",G94)),0)+IFERROR(--ISNUMBER(SEARCH("R55",G94)),0)+IFERROR(--ISNUMBER(SEARCH("R56",G94)),0)+IFERROR(--ISNUMBER(SEARCH("R57",G94)),0)+IFERROR(--ISNUMBER(SEARCH("R58",G94)),0)+IFERROR(--ISNUMBER(SEARCH("R59",G94)),0)+IFERROR(--ISNUMBER(SEARCH("R60",G94)),0)+IFERROR(--ISNUMBER(SEARCH("R61",G94)),0)+IFERROR(--ISNUMBER(SEARCH("R62",G94)),0)+IFERROR(--ISNUMBER(SEARCH("R63",G94)),0)+IFERROR(--ISNUMBER(SEARCH("R64",G94)),0)+IFERROR(--ISNUMBER(SEARCH("R65",G94)),0)+IFERROR(--ISNUMBER(SEARCH("R66",G94)),0)+IFERROR(--ISNUMBER(SEARCH("R67",G94)),0)+IFERROR(--ISNUMBER(SEARCH("R68",G94)),0)+IFERROR(--ISNUMBER(SEARCH("R69",G94)),0)+IFERROR(--ISNUMBER(SEARCH("R70",G94)),0)+IFERROR(--ISNUMBER(SEARCH("R71",G94)),0)+IFERROR(--ISNUMBER(SEARCH("R72",G94)),0)+IFERROR(--ISNUMBER(SEARCH("R73",G94)),0)+IFERROR(--ISNUMBER(SEARCH("R74",G94)),0)+IFERROR(--ISNUMBER(SEARCH("R75",G94)),0)+IFERROR(--ISNUMBER(SEARCH("R76",G94)),0)+IFERROR(--ISNUMBER(SEARCH("R77",G94)),0)+IFERROR(--ISNUMBER(SEARCH("R78",G94)),0)+IFERROR(--ISNUMBER(SEARCH("R79",G94)),0)+IFERROR(--ISNUMBER(SEARCH("R80",G94)),0)+IFERROR(--ISNUMBER(SEARCH("R81",G94)),0)+IFERROR(--ISNUMBER(SEARCH("R82",G94)),0)+IFERROR(--ISNUMBER(SEARCH("R83",G94)),0)+IFERROR(--ISNUMBER(SEARCH("R84",G94)),0)+IFERROR(--ISNUMBER(SEARCH("R85",G94)),0)+IFERROR(--ISNUMBER(SEARCH("R86",G94)),0)+IFERROR(--ISNUMBER(SEARCH("R87",G94)),0)+IFERROR(--ISNUMBER(SEARCH("R88",G94)),0)+IFERROR(--ISNUMBER(SEARCH("R89",G94)),0)+IFERROR(--ISNUMBER(SEARCH("R90",G94)),0)+IFERROR(--ISNUMBER(SEARCH("R91",G94)),0)+IFERROR(--ISNUMBER(SEARCH("R92",G94)),0)+IFERROR(--ISNUMBER(SEARCH("R93",G94)),0)+IFERROR(--ISNUMBER(SEARCH("R94",G94)),0)+IFERROR(--ISNUMBER(SEARCH("R95",G94)),0)+IFERROR(--ISNUMBER(SEARCH("R96",G94)),0)+IFERROR(--ISNUMBER(SEARCH("R97",G94)),0)+IFERROR(--ISNUMBER(SEARCH("R98",G94)),0)+IFERROR(--ISNUMBER(SEARCH("R99",G94)),0)+IFERROR(--ISNUMBER(SEARCH("R100",G94)),0)+IFERROR(--ISNUMBER(SEARCH("R101",G94)),0)+IFERROR(--ISNUMBER(SEARCH("R102",G94)),0)+IFERROR(--ISNUMBER(SEARCH("R103",G94)),0)+IFERROR(--ISNUMBER(SEARCH("R104",G94)),0)+IFERROR(--ISNUMBER(SEARCH("R105",G94)),0)+IFERROR(--ISNUMBER(SEARCH("R106",G94)),0)+IFERROR(--ISNUMBER(SEARCH("R107",G94)),0)+IFERROR(--ISNUMBER(SEARCH("R108",G94)),0)+IFERROR(--ISNUMBER(SEARCH("R109",G94)),0)+IFERROR(--ISNUMBER(SEARCH("R110",G94)),0)+IFERROR(--ISNUMBER(SEARCH("R111",G94)),0)+IFERROR(--ISNUMBER(SEARCH("R112",G94)),0)+IFERROR(--ISNUMBER(SEARCH("R113",G94)),0)+IFERROR(--ISNUMBER(SEARCH("R114",G94)),0)+IFERROR(--ISNUMBER(SEARCH("R115",G94)),0)+IFERROR(--ISNUMBER(SEARCH("R116",G94)),0)+IFERROR(--ISNUMBER(SEARCH("R117",G94)),0)+IFERROR(--ISNUMBER(SEARCH("R118",G94)),0)+IFERROR(--ISNUMBER(SEARCH("R119",G94)),0)+IFERROR(--ISNUMBER(SEARCH("R120",G94)),0)+IFERROR(--ISNUMBER(SEARCH("R121",G94)),0)+IFERROR(--ISNUMBER(SEARCH("R122",G94)),0)+IFERROR(--ISNUMBER(SEARCH("R123",G94)),0)+IFERROR(--ISNUMBER(SEARCH("R124",G94)),0)+IFERROR(--ISNUMBER(SEARCH("R125",G94)),0)+IFERROR(--ISNUMBER(SEARCH("R126",G94)),0)+IFERROR(--ISNUMBER(SEARCH("R127",G94)),0)+IFERROR(--ISNUMBER(SEARCH("R128",G94)),0)+IFERROR(--ISNUMBER(SEARCH("R129",G94)),0)+IFERROR(--ISNUMBER(SEARCH("R130",G94)),0)+IFERROR(--ISNUMBER(SEARCH("R131",G94)),0)+IFERROR(--ISNUMBER(SEARCH("R132",G94)),0)+IFERROR(--ISNUMBER(SEARCH("R133",G94)),0)+IFERROR(--ISNUMBER(SEARCH("R134",G94)),0)+IFERROR(--ISNUMBER(SEARCH("R135",G94)),0)+IFERROR(--ISNUMBER(SEARCH("R136",G94)),0)+IFERROR(--ISNUMBER(SEARCH("R137",G94)),0)+IFERROR(--ISNUMBER(SEARCH("R138",G94)),0)+IFERROR(--ISNUMBER(SEARCH("R139",G94)),0)+IFERROR(--ISNUMBER(SEARCH("R140",G94)),0)+IFERROR(--ISNUMBER(SEARCH("R141",G94)),0))</f>
        <v/>
      </c>
      <c r="T94" s="58">
        <f>IF(A94="","",IFERROR(--ISNUMBER(SEARCH("R28",G94)),0)+IFERROR(--ISNUMBER(SEARCH("R29",G94)),0)+IFERROR(--ISNUMBER(SEARCH("R30",G94)),0)+IFERROR(--ISNUMBER(SEARCH("R32",G94)),0)+IFERROR(--ISNUMBER(SEARCH("R33",G94)),0)+IFERROR(--ISNUMBER(SEARCH("R35",G94)),0)+IFERROR(--ISNUMBER(SEARCH("R36",G94)),0)+IFERROR(--ISNUMBER(SEARCH("R38",G94)),0)+IFERROR(--ISNUMBER(SEARCH("R39",G94)),0)+IFERROR(--ISNUMBER(SEARCH("R43",G94)),0)+IFERROR(--ISNUMBER(SEARCH("R44",G94)),0)+IFERROR(--ISNUMBER(SEARCH("R45",G94)),0)+IFERROR(--ISNUMBER(SEARCH("R47",G94)),0)+IFERROR(--ISNUMBER(SEARCH("R48",G94)),0)+IFERROR(--ISNUMBER(SEARCH("R50",G94)),0)+IFERROR(--ISNUMBER(SEARCH("R51",G94)),0)+IFERROR(--ISNUMBER(SEARCH("R56",G94)),0)+IFERROR(--ISNUMBER(SEARCH("R58",G94)),0)+IFERROR(--ISNUMBER(SEARCH("R59",G94)),0)+IFERROR(--ISNUMBER(SEARCH("R60",G94)),0)+IFERROR(--ISNUMBER(SEARCH("R62",G94)),0)+IFERROR(--ISNUMBER(SEARCH("R63",G94)),0)+IFERROR(--ISNUMBER(SEARCH("R64",G94)),0)+IFERROR(--ISNUMBER(SEARCH("R66",G94)),0)+IFERROR(--ISNUMBER(SEARCH("R67",G94)),0)+IFERROR(--ISNUMBER(SEARCH("R72",G94)),0)+IFERROR(--ISNUMBER(SEARCH("R74",G94)),0)+IFERROR(--ISNUMBER(SEARCH("R75",G94)),0)+IFERROR(--ISNUMBER(SEARCH("R76",G94)),0)+IFERROR(--ISNUMBER(SEARCH("R77",G94)),0)+IFERROR(--ISNUMBER(SEARCH("R79",G94)),0)+IFERROR(--ISNUMBER(SEARCH("R80",G94)),0)+IFERROR(--ISNUMBER(SEARCH("R81",G94)),0)+IFERROR(--ISNUMBER(SEARCH("R83",G94)),0)+IFERROR(--ISNUMBER(SEARCH("R84",G94)),0)+IFERROR(--ISNUMBER(SEARCH("R89",G94)),0)+IFERROR(--ISNUMBER(SEARCH("R94",G94)),0)+IFERROR(--ISNUMBER(SEARCH("R95",G94)),0)+IFERROR(--ISNUMBER(SEARCH("R96",G94)),0)+IFERROR(--ISNUMBER(SEARCH("R98",G94)),0)+IFERROR(--ISNUMBER(SEARCH("R99",G94)),0)+IFERROR(--ISNUMBER(SEARCH("R100",G94)),0)+IFERROR(--ISNUMBER(SEARCH("R104",G94)),0)+IFERROR(--ISNUMBER(SEARCH("R105",G94)),0)+IFERROR(--ISNUMBER(SEARCH("R107",G94)),0)+IFERROR(--ISNUMBER(SEARCH("R108",G94)),0)+IFERROR(--ISNUMBER(SEARCH("R109",G94)),0)+IFERROR(--ISNUMBER(SEARCH("R110",G94)),0)+IFERROR(--ISNUMBER(SEARCH("R112",G94)),0)+IFERROR(--ISNUMBER(SEARCH("R113",G94)),0)+IFERROR(--ISNUMBER(SEARCH("R114",G94)),0)+IFERROR(--ISNUMBER(SEARCH("R118",G94)),0)+IFERROR(--ISNUMBER(SEARCH("R119",G94)),0)+IFERROR(--ISNUMBER(SEARCH("R120",G94)),0)+IFERROR(--ISNUMBER(SEARCH("R122",G94)),0)+IFERROR(--ISNUMBER(SEARCH("R123",G94)),0)+IFERROR(--ISNUMBER(SEARCH("R124",G94)),0)+IFERROR(--ISNUMBER(SEARCH("R128",G94)),0)+IFERROR(--ISNUMBER(SEARCH("R130",G94)),0)+IFERROR(--ISNUMBER(SEARCH("R131",G94)),0)+IFERROR(--ISNUMBER(SEARCH("R132",G94)),0)+IFERROR(--ISNUMBER(SEARCH("R135",G94)),0)+IFERROR(--ISNUMBER(SEARCH("R138",G94)),0)+IFERROR(--ISNUMBER(SEARCH("R141",G94)),0))</f>
        <v/>
      </c>
      <c r="U94" s="58">
        <f>IF(A94="","",IFERROR(--ISNUMBER(SEARCH("R28",G94))*28,0)+IFERROR(--ISNUMBER(SEARCH("R29",G94))*29,0)+IFERROR(--ISNUMBER(SEARCH("R30",G94))*30,0)+IFERROR(--ISNUMBER(SEARCH("R31",G94))*31,0)+IFERROR(--ISNUMBER(SEARCH("R32",G94))*32,0)+IFERROR(--ISNUMBER(SEARCH("R33",G94))*33,0)+IFERROR(--ISNUMBER(SEARCH("R34",G94))*34,0)+IFERROR(--ISNUMBER(SEARCH("R35",G94))*35,0)+IFERROR(--ISNUMBER(SEARCH("R36",G94))*36,0)+IFERROR(--ISNUMBER(SEARCH("R37",G94))*37,0)+IFERROR(--ISNUMBER(SEARCH("R38",G94))*38,0)+IFERROR(--ISNUMBER(SEARCH("R39",G94))*39,0)+IFERROR(--ISNUMBER(SEARCH("R40",G94))*40,0)+IFERROR(--ISNUMBER(SEARCH("R41",G94))*41,0)+IFERROR(--ISNUMBER(SEARCH("R42",G94))*42,0)+IFERROR(--ISNUMBER(SEARCH("R43",G94))*43,0)+IFERROR(--ISNUMBER(SEARCH("R44",G94))*44,0)+IFERROR(--ISNUMBER(SEARCH("R45",G94))*45,0)+IFERROR(--ISNUMBER(SEARCH("R46",G94))*46,0)+IFERROR(--ISNUMBER(SEARCH("R47",G94))*47,0)+IFERROR(--ISNUMBER(SEARCH("R48",G94))*48,0)+IFERROR(--ISNUMBER(SEARCH("R49",G94))*49,0)+IFERROR(--ISNUMBER(SEARCH("R50",G94))*50,0)+IFERROR(--ISNUMBER(SEARCH("R51",G94))*51,0)+IFERROR(--ISNUMBER(SEARCH("R52",G94))*52,0)+IFERROR(--ISNUMBER(SEARCH("R53",G94))*53,0)+IFERROR(--ISNUMBER(SEARCH("R54",G94))*54,0)+IFERROR(--ISNUMBER(SEARCH("R55",G94))*55,0)+IFERROR(--ISNUMBER(SEARCH("R56",G94))*56,0)+IFERROR(--ISNUMBER(SEARCH("R57",G94))*57,0)+IFERROR(--ISNUMBER(SEARCH("R58",G94))*58,0)+IFERROR(--ISNUMBER(SEARCH("R59",G94))*59,0)+IFERROR(--ISNUMBER(SEARCH("R60",G94))*60,0)+IFERROR(--ISNUMBER(SEARCH("R61",G94))*61,0)+IFERROR(--ISNUMBER(SEARCH("R62",G94))*62,0)+IFERROR(--ISNUMBER(SEARCH("R63",G94))*63,0)+IFERROR(--ISNUMBER(SEARCH("R64",G94))*64,0)+IFERROR(--ISNUMBER(SEARCH("R65",G94))*65,0)+IFERROR(--ISNUMBER(SEARCH("R66",G94))*66,0)+IFERROR(--ISNUMBER(SEARCH("R67",G94))*67,0)+IFERROR(--ISNUMBER(SEARCH("R68",G94))*68,0)+IFERROR(--ISNUMBER(SEARCH("R69",G94))*69,0)+IFERROR(--ISNUMBER(SEARCH("R70",G94))*70,0)+IFERROR(--ISNUMBER(SEARCH("R71",G94))*71,0)+IFERROR(--ISNUMBER(SEARCH("R72",G94))*72,0)+IFERROR(--ISNUMBER(SEARCH("R73",G94))*73,0)+IFERROR(--ISNUMBER(SEARCH("R74",G94))*74,0)+IFERROR(--ISNUMBER(SEARCH("R75",G94))*75,0)+IFERROR(--ISNUMBER(SEARCH("R76",G94))*76,0)+IFERROR(--ISNUMBER(SEARCH("R77",G94))*77,0)+IFERROR(--ISNUMBER(SEARCH("R78",G94))*78,0)+IFERROR(--ISNUMBER(SEARCH("R79",G94))*79,0)+IFERROR(--ISNUMBER(SEARCH("R80",G94))*80,0)+IFERROR(--ISNUMBER(SEARCH("R81",G94))*81,0)+IFERROR(--ISNUMBER(SEARCH("R82",G94))*82,0)+IFERROR(--ISNUMBER(SEARCH("R83",G94))*83,0)+IFERROR(--ISNUMBER(SEARCH("R84",G94))*84,0)+IFERROR(--ISNUMBER(SEARCH("R85",G94))*85,0)+IFERROR(--ISNUMBER(SEARCH("R86",G94))*86,0)+IFERROR(--ISNUMBER(SEARCH("R87",G94))*87,0)+IFERROR(--ISNUMBER(SEARCH("R88",G94))*88,0)+IFERROR(--ISNUMBER(SEARCH("R89",G94))*89,0)+IFERROR(--ISNUMBER(SEARCH("R90",G94))*90,0)+IFERROR(--ISNUMBER(SEARCH("R91",G94))*91,0)+IFERROR(--ISNUMBER(SEARCH("R92",G94))*92,0)+IFERROR(--ISNUMBER(SEARCH("R93",G94))*93,0)+IFERROR(--ISNUMBER(SEARCH("R94",G94))*94,0)+IFERROR(--ISNUMBER(SEARCH("R95",G94))*95,0)+IFERROR(--ISNUMBER(SEARCH("R96",G94))*96,0)+IFERROR(--ISNUMBER(SEARCH("R97",G94))*97,0)+IFERROR(--ISNUMBER(SEARCH("R98",G94))*98,0)+IFERROR(--ISNUMBER(SEARCH("R99",G94))*99,0)+IFERROR(--ISNUMBER(SEARCH("R100",G94))*100,0)+IFERROR(--ISNUMBER(SEARCH("R101",G94))*101,0)+IFERROR(--ISNUMBER(SEARCH("R102",G94))*102,0)+IFERROR(--ISNUMBER(SEARCH("R103",G94))*103,0)+IFERROR(--ISNUMBER(SEARCH("R104",G94))*104,0)+IFERROR(--ISNUMBER(SEARCH("R105",G94))*105,0)+IFERROR(--ISNUMBER(SEARCH("R106",G94))*106,0)+IFERROR(--ISNUMBER(SEARCH("R107",G94))*107,0)+IFERROR(--ISNUMBER(SEARCH("R108",G94))*108,0)+IFERROR(--ISNUMBER(SEARCH("R109",G94))*109,0)+IFERROR(--ISNUMBER(SEARCH("R110",G94))*110,0)+IFERROR(--ISNUMBER(SEARCH("R111",G94))*111,0)+IFERROR(--ISNUMBER(SEARCH("R112",G94))*112,0)+IFERROR(--ISNUMBER(SEARCH("R113",G94))*113,0)+IFERROR(--ISNUMBER(SEARCH("R114",G94))*114,0)+IFERROR(--ISNUMBER(SEARCH("R115",G94))*115,0)+IFERROR(--ISNUMBER(SEARCH("R116",G94))*116,0)+IFERROR(--ISNUMBER(SEARCH("R117",G94))*117,0)+IFERROR(--ISNUMBER(SEARCH("R118",G94))*118,0)+IFERROR(--ISNUMBER(SEARCH("R119",G94))*119,0)+IFERROR(--ISNUMBER(SEARCH("R120",G94))*120,0)+IFERROR(--ISNUMBER(SEARCH("R121",G94))*121,0)+IFERROR(--ISNUMBER(SEARCH("R122",G94))*122,0)+IFERROR(--ISNUMBER(SEARCH("R123",G94))*123,0)+IFERROR(--ISNUMBER(SEARCH("R124",G94))*124,0)+IFERROR(--ISNUMBER(SEARCH("R125",G94))*125,0)+IFERROR(--ISNUMBER(SEARCH("R126",G94))*126,0)+IFERROR(--ISNUMBER(SEARCH("R127",G94))*127,0)+IFERROR(--ISNUMBER(SEARCH("R128",G94))*128,0)+IFERROR(--ISNUMBER(SEARCH("R129",G94))*129,0)+IFERROR(--ISNUMBER(SEARCH("R130",G94))*130,0)+IFERROR(--ISNUMBER(SEARCH("R131",G94))*131,0)+IFERROR(--ISNUMBER(SEARCH("R132",G94))*132,0)+IFERROR(--ISNUMBER(SEARCH("R133",G94))*133,0)+IFERROR(--ISNUMBER(SEARCH("R134",G94))*134,0)+IFERROR(--ISNUMBER(SEARCH("R135",G94))*135,0)+IFERROR(--ISNUMBER(SEARCH("R136",G94))*136,0)+IFERROR(--ISNUMBER(SEARCH("R137",G94))*137,0)+IFERROR(--ISNUMBER(SEARCH("R138",G94))*138,0)+IFERROR(--ISNUMBER(SEARCH("R139",G94))*139,0)+IFERROR(--ISNUMBER(SEARCH("R140",G94))*140,0)+IFERROR(--ISNUMBER(SEARCH("R141",G94))*141,0))</f>
        <v/>
      </c>
      <c r="V94" s="59">
        <f>IF(A94="","",IF(K94&lt;&gt;"",K94,J94))</f>
        <v/>
      </c>
      <c r="W94" s="59">
        <f>IF(A94="","",IF(AND(V94=29,O94&lt;&gt;"",COUNTIFS($V$6:$V$505,29,$F$6:$F$505,F94,$C$6:$C$505,C94,$O$6:$O$505,"&lt;&gt;")&gt;1),IF(COUNTIFS($V$6:V94,29,$F$6:F94,F94,$C$6:C94,C94,$O$6:O94,"&lt;&gt;")=1,"Esta es la fila que se debe CONSERVAR (aparición 1 de "&amp;COUNTIFS($V$6:$V$505,29,$F$6:$F$505,F94,$C$6:$C$505,C94,$O$6:$O$505,"&lt;&gt;")&amp;" con el mismo tercero y valor, casilla 29). Si hay más filas iguales, bórreles el valor a ELLAS, no a esta.","DUPLICADO — ya existe otra fila con el mismo tercero y valor para casilla 29 (aparición "&amp;COUNTIFS($V$6:V94,29,$F$6:F94,F94,$C$6:C94,C94,$O$6:O94,"&lt;&gt;")&amp;" de "&amp;COUNTIFS($V$6:$V$505,29,$F$6:$F$505,F94,$C$6:$C$505,C94,$O$6:$O$505,"&lt;&gt;")&amp;"). Para resolverlo: seleccione la celda O"&amp;ROW()&amp;" (columna Valor a declarar de ESTA fila) y presione Supr."),""))</f>
        <v/>
      </c>
      <c r="X94" s="463">
        <f>IF(A94="","",F94)</f>
        <v/>
      </c>
      <c r="Y94" s="463">
        <f>IF(A94="","",SUMIF(Entrada_Manual!$I$88:$I$187,A94,Entrada_Manual!$F$88:$F$187))</f>
        <v/>
      </c>
      <c r="Z94" s="463">
        <f>IF(A94="","",X94-Y94)</f>
        <v/>
      </c>
      <c r="AA94">
        <f>IF(A94="","",SUMPRODUCT((Entrada_Manual!$I$88:$I$187=A94)*1))</f>
        <v/>
      </c>
      <c r="AB94">
        <f>IF(A94="","",IF(S94&lt;=1,"",IF(AA94=0,"PENDIENTE — SIN ASIGNAR",IF(Z94=0,"RESUELTO","PARCIAL — DIFERENCIA "&amp;TEXT(Z94,"#,##0")))))</f>
        <v/>
      </c>
    </row>
    <row r="95" ht="14.25" customHeight="1" s="235">
      <c r="A95" s="47">
        <f>IF(Exogena_RAW!E104&lt;&gt;"",ROW()-5,"")</f>
        <v/>
      </c>
      <c r="B95" s="48">
        <f>IF(A95="","",104)</f>
        <v/>
      </c>
      <c r="C95" s="48">
        <f>IF(A95="","",IFERROR(Exogena_RAW!A104,""))</f>
        <v/>
      </c>
      <c r="D95" s="48">
        <f>IF(A95="","",IFERROR(Exogena_RAW!B104,""))</f>
        <v/>
      </c>
      <c r="E95" s="48">
        <f>IF(A95="","",Exogena_RAW!E104)</f>
        <v/>
      </c>
      <c r="F95" s="461">
        <f>IF(A95="","",Exogena_RAW!F104)</f>
        <v/>
      </c>
      <c r="G95" s="48">
        <f>IF(A95="","",IFERROR(Exogena_RAW!G104,""))</f>
        <v/>
      </c>
      <c r="H95" s="48">
        <f>IF(A95="","",IFERROR(Exogena_RAW!H104,""))</f>
        <v/>
      </c>
      <c r="I95" s="48">
        <f>IF(A95="","",IFERROR(IF(S95&gt;1,"VARIAS CASILLAS",IF(S95=1,IF(T95=1,"PROPUESTA DE CASILLA","REVISIÓN: CASILLA NO DIRECTA"),IF(OR(ISNUMBER(SEARCH("TOPE",UPPER(E95))),ISNUMBER(SEARCH("TOPE",UPPER(G95)))),"SOLO CONTROL",IF(ISNUMBER(SEARCH("RETEN",UPPER(E95))),"RETENCIÓN","REVISAR")))),"REVISAR"))</f>
        <v/>
      </c>
      <c r="J95" s="48">
        <f>IF(A95="","",IF(ISNUMBER(SEARCH("ingreso laboral promedio de los últimos seis meses",E95)),"",IFERROR(IF(AND(S95=1,T95=1),U95,""),"")))</f>
        <v/>
      </c>
      <c r="K95" s="216" t="n"/>
      <c r="L95" s="48">
        <f>IF(A95="","",IFERROR(IF(K95&lt;&gt;"","Casilla elegida por usuario",IF(S95&gt;1,"Varias casillas — elegir en K",IF(J95&lt;&gt;"","Sugerencia directa",IF(S95=1,"No trasladar directo — revisar",IF(OR(ISNUMBER(SEARCH("TOPE",UPPER(E95))),ISNUMBER(SEARCH("TOPE",UPPER(G95)))),"Solo control","Revisar manualmente"))))),"Revisar manualmente"))</f>
        <v/>
      </c>
      <c r="M95" s="461">
        <f>IF(A95="","",IF(IF(K95&lt;&gt;"",K95,J95)="",0,IF(COUNTIFS(Reglas!$I$5:$I$118,IF(K95&lt;&gt;"",K95,J95),Reglas!$J$5:$J$118,"Sí")=1,F95,0)))</f>
        <v/>
      </c>
      <c r="N95" s="56" t="n"/>
      <c r="O95" s="462">
        <f>IF(A95="","",IF(M95=0,"",M95))</f>
        <v/>
      </c>
      <c r="P95" s="461">
        <f>IF(A95="","",IF(O95="",0,IF(ISNUMBER(O95),O95,0)))</f>
        <v/>
      </c>
      <c r="Q95" s="48">
        <f>IF(A95="","",IF(Exogena_RAW!$C$4="","BLOQUEADO: FALTA AÑO",IF(Exogena_RAW!$K$10&lt;&gt;Reglas!$B$5,"BLOQUEADO: AÑO",IF(IF(K95&lt;&gt;"",K95,J95)="",IF(S95&gt;1,"REQUIERE ASIGNACIÓN MANUAL (VARIAS CASILLAS)","INFORMATIVO (sin casilla — no se declara)"),IF(COUNTIFS(Reglas!$I$5:$I$118,IF(K95&lt;&gt;"",K95,J95),Reglas!$J$5:$J$118,"Sí")=0,"BLOQUEADO: CASILLA NO DIRECTA",IF(O95="","EXCLUIDO (valor borrado por el usuario)",IF(_xlfn.ISFORMULA(O95),IF(W95&lt;&gt;"","BORRADOR — VALOR SUGERIDO DIAN ⚠ VER ALERTA","BORRADOR — VALOR SUGERIDO DIAN"),IF(W95&lt;&gt;"","ACEPTADO ⚠ VER ALERTA","ACEPTADO"))))))))</f>
        <v/>
      </c>
      <c r="R95" s="218" t="n"/>
      <c r="S95" s="58">
        <f>IF(A95="","",IFERROR(--ISNUMBER(SEARCH("R28",G95)),0)+IFERROR(--ISNUMBER(SEARCH("R29",G95)),0)+IFERROR(--ISNUMBER(SEARCH("R30",G95)),0)+IFERROR(--ISNUMBER(SEARCH("R31",G95)),0)+IFERROR(--ISNUMBER(SEARCH("R32",G95)),0)+IFERROR(--ISNUMBER(SEARCH("R33",G95)),0)+IFERROR(--ISNUMBER(SEARCH("R34",G95)),0)+IFERROR(--ISNUMBER(SEARCH("R35",G95)),0)+IFERROR(--ISNUMBER(SEARCH("R36",G95)),0)+IFERROR(--ISNUMBER(SEARCH("R37",G95)),0)+IFERROR(--ISNUMBER(SEARCH("R38",G95)),0)+IFERROR(--ISNUMBER(SEARCH("R39",G95)),0)+IFERROR(--ISNUMBER(SEARCH("R40",G95)),0)+IFERROR(--ISNUMBER(SEARCH("R41",G95)),0)+IFERROR(--ISNUMBER(SEARCH("R42",G95)),0)+IFERROR(--ISNUMBER(SEARCH("R43",G95)),0)+IFERROR(--ISNUMBER(SEARCH("R44",G95)),0)+IFERROR(--ISNUMBER(SEARCH("R45",G95)),0)+IFERROR(--ISNUMBER(SEARCH("R46",G95)),0)+IFERROR(--ISNUMBER(SEARCH("R47",G95)),0)+IFERROR(--ISNUMBER(SEARCH("R48",G95)),0)+IFERROR(--ISNUMBER(SEARCH("R49",G95)),0)+IFERROR(--ISNUMBER(SEARCH("R50",G95)),0)+IFERROR(--ISNUMBER(SEARCH("R51",G95)),0)+IFERROR(--ISNUMBER(SEARCH("R52",G95)),0)+IFERROR(--ISNUMBER(SEARCH("R53",G95)),0)+IFERROR(--ISNUMBER(SEARCH("R54",G95)),0)+IFERROR(--ISNUMBER(SEARCH("R55",G95)),0)+IFERROR(--ISNUMBER(SEARCH("R56",G95)),0)+IFERROR(--ISNUMBER(SEARCH("R57",G95)),0)+IFERROR(--ISNUMBER(SEARCH("R58",G95)),0)+IFERROR(--ISNUMBER(SEARCH("R59",G95)),0)+IFERROR(--ISNUMBER(SEARCH("R60",G95)),0)+IFERROR(--ISNUMBER(SEARCH("R61",G95)),0)+IFERROR(--ISNUMBER(SEARCH("R62",G95)),0)+IFERROR(--ISNUMBER(SEARCH("R63",G95)),0)+IFERROR(--ISNUMBER(SEARCH("R64",G95)),0)+IFERROR(--ISNUMBER(SEARCH("R65",G95)),0)+IFERROR(--ISNUMBER(SEARCH("R66",G95)),0)+IFERROR(--ISNUMBER(SEARCH("R67",G95)),0)+IFERROR(--ISNUMBER(SEARCH("R68",G95)),0)+IFERROR(--ISNUMBER(SEARCH("R69",G95)),0)+IFERROR(--ISNUMBER(SEARCH("R70",G95)),0)+IFERROR(--ISNUMBER(SEARCH("R71",G95)),0)+IFERROR(--ISNUMBER(SEARCH("R72",G95)),0)+IFERROR(--ISNUMBER(SEARCH("R73",G95)),0)+IFERROR(--ISNUMBER(SEARCH("R74",G95)),0)+IFERROR(--ISNUMBER(SEARCH("R75",G95)),0)+IFERROR(--ISNUMBER(SEARCH("R76",G95)),0)+IFERROR(--ISNUMBER(SEARCH("R77",G95)),0)+IFERROR(--ISNUMBER(SEARCH("R78",G95)),0)+IFERROR(--ISNUMBER(SEARCH("R79",G95)),0)+IFERROR(--ISNUMBER(SEARCH("R80",G95)),0)+IFERROR(--ISNUMBER(SEARCH("R81",G95)),0)+IFERROR(--ISNUMBER(SEARCH("R82",G95)),0)+IFERROR(--ISNUMBER(SEARCH("R83",G95)),0)+IFERROR(--ISNUMBER(SEARCH("R84",G95)),0)+IFERROR(--ISNUMBER(SEARCH("R85",G95)),0)+IFERROR(--ISNUMBER(SEARCH("R86",G95)),0)+IFERROR(--ISNUMBER(SEARCH("R87",G95)),0)+IFERROR(--ISNUMBER(SEARCH("R88",G95)),0)+IFERROR(--ISNUMBER(SEARCH("R89",G95)),0)+IFERROR(--ISNUMBER(SEARCH("R90",G95)),0)+IFERROR(--ISNUMBER(SEARCH("R91",G95)),0)+IFERROR(--ISNUMBER(SEARCH("R92",G95)),0)+IFERROR(--ISNUMBER(SEARCH("R93",G95)),0)+IFERROR(--ISNUMBER(SEARCH("R94",G95)),0)+IFERROR(--ISNUMBER(SEARCH("R95",G95)),0)+IFERROR(--ISNUMBER(SEARCH("R96",G95)),0)+IFERROR(--ISNUMBER(SEARCH("R97",G95)),0)+IFERROR(--ISNUMBER(SEARCH("R98",G95)),0)+IFERROR(--ISNUMBER(SEARCH("R99",G95)),0)+IFERROR(--ISNUMBER(SEARCH("R100",G95)),0)+IFERROR(--ISNUMBER(SEARCH("R101",G95)),0)+IFERROR(--ISNUMBER(SEARCH("R102",G95)),0)+IFERROR(--ISNUMBER(SEARCH("R103",G95)),0)+IFERROR(--ISNUMBER(SEARCH("R104",G95)),0)+IFERROR(--ISNUMBER(SEARCH("R105",G95)),0)+IFERROR(--ISNUMBER(SEARCH("R106",G95)),0)+IFERROR(--ISNUMBER(SEARCH("R107",G95)),0)+IFERROR(--ISNUMBER(SEARCH("R108",G95)),0)+IFERROR(--ISNUMBER(SEARCH("R109",G95)),0)+IFERROR(--ISNUMBER(SEARCH("R110",G95)),0)+IFERROR(--ISNUMBER(SEARCH("R111",G95)),0)+IFERROR(--ISNUMBER(SEARCH("R112",G95)),0)+IFERROR(--ISNUMBER(SEARCH("R113",G95)),0)+IFERROR(--ISNUMBER(SEARCH("R114",G95)),0)+IFERROR(--ISNUMBER(SEARCH("R115",G95)),0)+IFERROR(--ISNUMBER(SEARCH("R116",G95)),0)+IFERROR(--ISNUMBER(SEARCH("R117",G95)),0)+IFERROR(--ISNUMBER(SEARCH("R118",G95)),0)+IFERROR(--ISNUMBER(SEARCH("R119",G95)),0)+IFERROR(--ISNUMBER(SEARCH("R120",G95)),0)+IFERROR(--ISNUMBER(SEARCH("R121",G95)),0)+IFERROR(--ISNUMBER(SEARCH("R122",G95)),0)+IFERROR(--ISNUMBER(SEARCH("R123",G95)),0)+IFERROR(--ISNUMBER(SEARCH("R124",G95)),0)+IFERROR(--ISNUMBER(SEARCH("R125",G95)),0)+IFERROR(--ISNUMBER(SEARCH("R126",G95)),0)+IFERROR(--ISNUMBER(SEARCH("R127",G95)),0)+IFERROR(--ISNUMBER(SEARCH("R128",G95)),0)+IFERROR(--ISNUMBER(SEARCH("R129",G95)),0)+IFERROR(--ISNUMBER(SEARCH("R130",G95)),0)+IFERROR(--ISNUMBER(SEARCH("R131",G95)),0)+IFERROR(--ISNUMBER(SEARCH("R132",G95)),0)+IFERROR(--ISNUMBER(SEARCH("R133",G95)),0)+IFERROR(--ISNUMBER(SEARCH("R134",G95)),0)+IFERROR(--ISNUMBER(SEARCH("R135",G95)),0)+IFERROR(--ISNUMBER(SEARCH("R136",G95)),0)+IFERROR(--ISNUMBER(SEARCH("R137",G95)),0)+IFERROR(--ISNUMBER(SEARCH("R138",G95)),0)+IFERROR(--ISNUMBER(SEARCH("R139",G95)),0)+IFERROR(--ISNUMBER(SEARCH("R140",G95)),0)+IFERROR(--ISNUMBER(SEARCH("R141",G95)),0))</f>
        <v/>
      </c>
      <c r="T95" s="58">
        <f>IF(A95="","",IFERROR(--ISNUMBER(SEARCH("R28",G95)),0)+IFERROR(--ISNUMBER(SEARCH("R29",G95)),0)+IFERROR(--ISNUMBER(SEARCH("R30",G95)),0)+IFERROR(--ISNUMBER(SEARCH("R32",G95)),0)+IFERROR(--ISNUMBER(SEARCH("R33",G95)),0)+IFERROR(--ISNUMBER(SEARCH("R35",G95)),0)+IFERROR(--ISNUMBER(SEARCH("R36",G95)),0)+IFERROR(--ISNUMBER(SEARCH("R38",G95)),0)+IFERROR(--ISNUMBER(SEARCH("R39",G95)),0)+IFERROR(--ISNUMBER(SEARCH("R43",G95)),0)+IFERROR(--ISNUMBER(SEARCH("R44",G95)),0)+IFERROR(--ISNUMBER(SEARCH("R45",G95)),0)+IFERROR(--ISNUMBER(SEARCH("R47",G95)),0)+IFERROR(--ISNUMBER(SEARCH("R48",G95)),0)+IFERROR(--ISNUMBER(SEARCH("R50",G95)),0)+IFERROR(--ISNUMBER(SEARCH("R51",G95)),0)+IFERROR(--ISNUMBER(SEARCH("R56",G95)),0)+IFERROR(--ISNUMBER(SEARCH("R58",G95)),0)+IFERROR(--ISNUMBER(SEARCH("R59",G95)),0)+IFERROR(--ISNUMBER(SEARCH("R60",G95)),0)+IFERROR(--ISNUMBER(SEARCH("R62",G95)),0)+IFERROR(--ISNUMBER(SEARCH("R63",G95)),0)+IFERROR(--ISNUMBER(SEARCH("R64",G95)),0)+IFERROR(--ISNUMBER(SEARCH("R66",G95)),0)+IFERROR(--ISNUMBER(SEARCH("R67",G95)),0)+IFERROR(--ISNUMBER(SEARCH("R72",G95)),0)+IFERROR(--ISNUMBER(SEARCH("R74",G95)),0)+IFERROR(--ISNUMBER(SEARCH("R75",G95)),0)+IFERROR(--ISNUMBER(SEARCH("R76",G95)),0)+IFERROR(--ISNUMBER(SEARCH("R77",G95)),0)+IFERROR(--ISNUMBER(SEARCH("R79",G95)),0)+IFERROR(--ISNUMBER(SEARCH("R80",G95)),0)+IFERROR(--ISNUMBER(SEARCH("R81",G95)),0)+IFERROR(--ISNUMBER(SEARCH("R83",G95)),0)+IFERROR(--ISNUMBER(SEARCH("R84",G95)),0)+IFERROR(--ISNUMBER(SEARCH("R89",G95)),0)+IFERROR(--ISNUMBER(SEARCH("R94",G95)),0)+IFERROR(--ISNUMBER(SEARCH("R95",G95)),0)+IFERROR(--ISNUMBER(SEARCH("R96",G95)),0)+IFERROR(--ISNUMBER(SEARCH("R98",G95)),0)+IFERROR(--ISNUMBER(SEARCH("R99",G95)),0)+IFERROR(--ISNUMBER(SEARCH("R100",G95)),0)+IFERROR(--ISNUMBER(SEARCH("R104",G95)),0)+IFERROR(--ISNUMBER(SEARCH("R105",G95)),0)+IFERROR(--ISNUMBER(SEARCH("R107",G95)),0)+IFERROR(--ISNUMBER(SEARCH("R108",G95)),0)+IFERROR(--ISNUMBER(SEARCH("R109",G95)),0)+IFERROR(--ISNUMBER(SEARCH("R110",G95)),0)+IFERROR(--ISNUMBER(SEARCH("R112",G95)),0)+IFERROR(--ISNUMBER(SEARCH("R113",G95)),0)+IFERROR(--ISNUMBER(SEARCH("R114",G95)),0)+IFERROR(--ISNUMBER(SEARCH("R118",G95)),0)+IFERROR(--ISNUMBER(SEARCH("R119",G95)),0)+IFERROR(--ISNUMBER(SEARCH("R120",G95)),0)+IFERROR(--ISNUMBER(SEARCH("R122",G95)),0)+IFERROR(--ISNUMBER(SEARCH("R123",G95)),0)+IFERROR(--ISNUMBER(SEARCH("R124",G95)),0)+IFERROR(--ISNUMBER(SEARCH("R128",G95)),0)+IFERROR(--ISNUMBER(SEARCH("R130",G95)),0)+IFERROR(--ISNUMBER(SEARCH("R131",G95)),0)+IFERROR(--ISNUMBER(SEARCH("R132",G95)),0)+IFERROR(--ISNUMBER(SEARCH("R135",G95)),0)+IFERROR(--ISNUMBER(SEARCH("R138",G95)),0)+IFERROR(--ISNUMBER(SEARCH("R141",G95)),0))</f>
        <v/>
      </c>
      <c r="U95" s="58">
        <f>IF(A95="","",IFERROR(--ISNUMBER(SEARCH("R28",G95))*28,0)+IFERROR(--ISNUMBER(SEARCH("R29",G95))*29,0)+IFERROR(--ISNUMBER(SEARCH("R30",G95))*30,0)+IFERROR(--ISNUMBER(SEARCH("R31",G95))*31,0)+IFERROR(--ISNUMBER(SEARCH("R32",G95))*32,0)+IFERROR(--ISNUMBER(SEARCH("R33",G95))*33,0)+IFERROR(--ISNUMBER(SEARCH("R34",G95))*34,0)+IFERROR(--ISNUMBER(SEARCH("R35",G95))*35,0)+IFERROR(--ISNUMBER(SEARCH("R36",G95))*36,0)+IFERROR(--ISNUMBER(SEARCH("R37",G95))*37,0)+IFERROR(--ISNUMBER(SEARCH("R38",G95))*38,0)+IFERROR(--ISNUMBER(SEARCH("R39",G95))*39,0)+IFERROR(--ISNUMBER(SEARCH("R40",G95))*40,0)+IFERROR(--ISNUMBER(SEARCH("R41",G95))*41,0)+IFERROR(--ISNUMBER(SEARCH("R42",G95))*42,0)+IFERROR(--ISNUMBER(SEARCH("R43",G95))*43,0)+IFERROR(--ISNUMBER(SEARCH("R44",G95))*44,0)+IFERROR(--ISNUMBER(SEARCH("R45",G95))*45,0)+IFERROR(--ISNUMBER(SEARCH("R46",G95))*46,0)+IFERROR(--ISNUMBER(SEARCH("R47",G95))*47,0)+IFERROR(--ISNUMBER(SEARCH("R48",G95))*48,0)+IFERROR(--ISNUMBER(SEARCH("R49",G95))*49,0)+IFERROR(--ISNUMBER(SEARCH("R50",G95))*50,0)+IFERROR(--ISNUMBER(SEARCH("R51",G95))*51,0)+IFERROR(--ISNUMBER(SEARCH("R52",G95))*52,0)+IFERROR(--ISNUMBER(SEARCH("R53",G95))*53,0)+IFERROR(--ISNUMBER(SEARCH("R54",G95))*54,0)+IFERROR(--ISNUMBER(SEARCH("R55",G95))*55,0)+IFERROR(--ISNUMBER(SEARCH("R56",G95))*56,0)+IFERROR(--ISNUMBER(SEARCH("R57",G95))*57,0)+IFERROR(--ISNUMBER(SEARCH("R58",G95))*58,0)+IFERROR(--ISNUMBER(SEARCH("R59",G95))*59,0)+IFERROR(--ISNUMBER(SEARCH("R60",G95))*60,0)+IFERROR(--ISNUMBER(SEARCH("R61",G95))*61,0)+IFERROR(--ISNUMBER(SEARCH("R62",G95))*62,0)+IFERROR(--ISNUMBER(SEARCH("R63",G95))*63,0)+IFERROR(--ISNUMBER(SEARCH("R64",G95))*64,0)+IFERROR(--ISNUMBER(SEARCH("R65",G95))*65,0)+IFERROR(--ISNUMBER(SEARCH("R66",G95))*66,0)+IFERROR(--ISNUMBER(SEARCH("R67",G95))*67,0)+IFERROR(--ISNUMBER(SEARCH("R68",G95))*68,0)+IFERROR(--ISNUMBER(SEARCH("R69",G95))*69,0)+IFERROR(--ISNUMBER(SEARCH("R70",G95))*70,0)+IFERROR(--ISNUMBER(SEARCH("R71",G95))*71,0)+IFERROR(--ISNUMBER(SEARCH("R72",G95))*72,0)+IFERROR(--ISNUMBER(SEARCH("R73",G95))*73,0)+IFERROR(--ISNUMBER(SEARCH("R74",G95))*74,0)+IFERROR(--ISNUMBER(SEARCH("R75",G95))*75,0)+IFERROR(--ISNUMBER(SEARCH("R76",G95))*76,0)+IFERROR(--ISNUMBER(SEARCH("R77",G95))*77,0)+IFERROR(--ISNUMBER(SEARCH("R78",G95))*78,0)+IFERROR(--ISNUMBER(SEARCH("R79",G95))*79,0)+IFERROR(--ISNUMBER(SEARCH("R80",G95))*80,0)+IFERROR(--ISNUMBER(SEARCH("R81",G95))*81,0)+IFERROR(--ISNUMBER(SEARCH("R82",G95))*82,0)+IFERROR(--ISNUMBER(SEARCH("R83",G95))*83,0)+IFERROR(--ISNUMBER(SEARCH("R84",G95))*84,0)+IFERROR(--ISNUMBER(SEARCH("R85",G95))*85,0)+IFERROR(--ISNUMBER(SEARCH("R86",G95))*86,0)+IFERROR(--ISNUMBER(SEARCH("R87",G95))*87,0)+IFERROR(--ISNUMBER(SEARCH("R88",G95))*88,0)+IFERROR(--ISNUMBER(SEARCH("R89",G95))*89,0)+IFERROR(--ISNUMBER(SEARCH("R90",G95))*90,0)+IFERROR(--ISNUMBER(SEARCH("R91",G95))*91,0)+IFERROR(--ISNUMBER(SEARCH("R92",G95))*92,0)+IFERROR(--ISNUMBER(SEARCH("R93",G95))*93,0)+IFERROR(--ISNUMBER(SEARCH("R94",G95))*94,0)+IFERROR(--ISNUMBER(SEARCH("R95",G95))*95,0)+IFERROR(--ISNUMBER(SEARCH("R96",G95))*96,0)+IFERROR(--ISNUMBER(SEARCH("R97",G95))*97,0)+IFERROR(--ISNUMBER(SEARCH("R98",G95))*98,0)+IFERROR(--ISNUMBER(SEARCH("R99",G95))*99,0)+IFERROR(--ISNUMBER(SEARCH("R100",G95))*100,0)+IFERROR(--ISNUMBER(SEARCH("R101",G95))*101,0)+IFERROR(--ISNUMBER(SEARCH("R102",G95))*102,0)+IFERROR(--ISNUMBER(SEARCH("R103",G95))*103,0)+IFERROR(--ISNUMBER(SEARCH("R104",G95))*104,0)+IFERROR(--ISNUMBER(SEARCH("R105",G95))*105,0)+IFERROR(--ISNUMBER(SEARCH("R106",G95))*106,0)+IFERROR(--ISNUMBER(SEARCH("R107",G95))*107,0)+IFERROR(--ISNUMBER(SEARCH("R108",G95))*108,0)+IFERROR(--ISNUMBER(SEARCH("R109",G95))*109,0)+IFERROR(--ISNUMBER(SEARCH("R110",G95))*110,0)+IFERROR(--ISNUMBER(SEARCH("R111",G95))*111,0)+IFERROR(--ISNUMBER(SEARCH("R112",G95))*112,0)+IFERROR(--ISNUMBER(SEARCH("R113",G95))*113,0)+IFERROR(--ISNUMBER(SEARCH("R114",G95))*114,0)+IFERROR(--ISNUMBER(SEARCH("R115",G95))*115,0)+IFERROR(--ISNUMBER(SEARCH("R116",G95))*116,0)+IFERROR(--ISNUMBER(SEARCH("R117",G95))*117,0)+IFERROR(--ISNUMBER(SEARCH("R118",G95))*118,0)+IFERROR(--ISNUMBER(SEARCH("R119",G95))*119,0)+IFERROR(--ISNUMBER(SEARCH("R120",G95))*120,0)+IFERROR(--ISNUMBER(SEARCH("R121",G95))*121,0)+IFERROR(--ISNUMBER(SEARCH("R122",G95))*122,0)+IFERROR(--ISNUMBER(SEARCH("R123",G95))*123,0)+IFERROR(--ISNUMBER(SEARCH("R124",G95))*124,0)+IFERROR(--ISNUMBER(SEARCH("R125",G95))*125,0)+IFERROR(--ISNUMBER(SEARCH("R126",G95))*126,0)+IFERROR(--ISNUMBER(SEARCH("R127",G95))*127,0)+IFERROR(--ISNUMBER(SEARCH("R128",G95))*128,0)+IFERROR(--ISNUMBER(SEARCH("R129",G95))*129,0)+IFERROR(--ISNUMBER(SEARCH("R130",G95))*130,0)+IFERROR(--ISNUMBER(SEARCH("R131",G95))*131,0)+IFERROR(--ISNUMBER(SEARCH("R132",G95))*132,0)+IFERROR(--ISNUMBER(SEARCH("R133",G95))*133,0)+IFERROR(--ISNUMBER(SEARCH("R134",G95))*134,0)+IFERROR(--ISNUMBER(SEARCH("R135",G95))*135,0)+IFERROR(--ISNUMBER(SEARCH("R136",G95))*136,0)+IFERROR(--ISNUMBER(SEARCH("R137",G95))*137,0)+IFERROR(--ISNUMBER(SEARCH("R138",G95))*138,0)+IFERROR(--ISNUMBER(SEARCH("R139",G95))*139,0)+IFERROR(--ISNUMBER(SEARCH("R140",G95))*140,0)+IFERROR(--ISNUMBER(SEARCH("R141",G95))*141,0))</f>
        <v/>
      </c>
      <c r="V95" s="59">
        <f>IF(A95="","",IF(K95&lt;&gt;"",K95,J95))</f>
        <v/>
      </c>
      <c r="W95" s="59">
        <f>IF(A95="","",IF(AND(V95=29,O95&lt;&gt;"",COUNTIFS($V$6:$V$505,29,$F$6:$F$505,F95,$C$6:$C$505,C95,$O$6:$O$505,"&lt;&gt;")&gt;1),IF(COUNTIFS($V$6:V95,29,$F$6:F95,F95,$C$6:C95,C95,$O$6:O95,"&lt;&gt;")=1,"Esta es la fila que se debe CONSERVAR (aparición 1 de "&amp;COUNTIFS($V$6:$V$505,29,$F$6:$F$505,F95,$C$6:$C$505,C95,$O$6:$O$505,"&lt;&gt;")&amp;" con el mismo tercero y valor, casilla 29). Si hay más filas iguales, bórreles el valor a ELLAS, no a esta.","DUPLICADO — ya existe otra fila con el mismo tercero y valor para casilla 29 (aparición "&amp;COUNTIFS($V$6:V95,29,$F$6:F95,F95,$C$6:C95,C95,$O$6:O95,"&lt;&gt;")&amp;" de "&amp;COUNTIFS($V$6:$V$505,29,$F$6:$F$505,F95,$C$6:$C$505,C95,$O$6:$O$505,"&lt;&gt;")&amp;"). Para resolverlo: seleccione la celda O"&amp;ROW()&amp;" (columna Valor a declarar de ESTA fila) y presione Supr."),""))</f>
        <v/>
      </c>
      <c r="X95" s="463">
        <f>IF(A95="","",F95)</f>
        <v/>
      </c>
      <c r="Y95" s="463">
        <f>IF(A95="","",SUMIF(Entrada_Manual!$I$88:$I$187,A95,Entrada_Manual!$F$88:$F$187))</f>
        <v/>
      </c>
      <c r="Z95" s="463">
        <f>IF(A95="","",X95-Y95)</f>
        <v/>
      </c>
      <c r="AA95">
        <f>IF(A95="","",SUMPRODUCT((Entrada_Manual!$I$88:$I$187=A95)*1))</f>
        <v/>
      </c>
      <c r="AB95">
        <f>IF(A95="","",IF(S95&lt;=1,"",IF(AA95=0,"PENDIENTE — SIN ASIGNAR",IF(Z95=0,"RESUELTO","PARCIAL — DIFERENCIA "&amp;TEXT(Z95,"#,##0")))))</f>
        <v/>
      </c>
    </row>
    <row r="96" ht="14.25" customHeight="1" s="235">
      <c r="A96" s="47">
        <f>IF(Exogena_RAW!E105&lt;&gt;"",ROW()-5,"")</f>
        <v/>
      </c>
      <c r="B96" s="48">
        <f>IF(A96="","",105)</f>
        <v/>
      </c>
      <c r="C96" s="48">
        <f>IF(A96="","",IFERROR(Exogena_RAW!A105,""))</f>
        <v/>
      </c>
      <c r="D96" s="48">
        <f>IF(A96="","",IFERROR(Exogena_RAW!B105,""))</f>
        <v/>
      </c>
      <c r="E96" s="48">
        <f>IF(A96="","",Exogena_RAW!E105)</f>
        <v/>
      </c>
      <c r="F96" s="461">
        <f>IF(A96="","",Exogena_RAW!F105)</f>
        <v/>
      </c>
      <c r="G96" s="48">
        <f>IF(A96="","",IFERROR(Exogena_RAW!G105,""))</f>
        <v/>
      </c>
      <c r="H96" s="48">
        <f>IF(A96="","",IFERROR(Exogena_RAW!H105,""))</f>
        <v/>
      </c>
      <c r="I96" s="48">
        <f>IF(A96="","",IFERROR(IF(S96&gt;1,"VARIAS CASILLAS",IF(S96=1,IF(T96=1,"PROPUESTA DE CASILLA","REVISIÓN: CASILLA NO DIRECTA"),IF(OR(ISNUMBER(SEARCH("TOPE",UPPER(E96))),ISNUMBER(SEARCH("TOPE",UPPER(G96)))),"SOLO CONTROL",IF(ISNUMBER(SEARCH("RETEN",UPPER(E96))),"RETENCIÓN","REVISAR")))),"REVISAR"))</f>
        <v/>
      </c>
      <c r="J96" s="48">
        <f>IF(A96="","",IF(ISNUMBER(SEARCH("ingreso laboral promedio de los últimos seis meses",E96)),"",IFERROR(IF(AND(S96=1,T96=1),U96,""),"")))</f>
        <v/>
      </c>
      <c r="K96" s="216" t="n"/>
      <c r="L96" s="48">
        <f>IF(A96="","",IFERROR(IF(K96&lt;&gt;"","Casilla elegida por usuario",IF(S96&gt;1,"Varias casillas — elegir en K",IF(J96&lt;&gt;"","Sugerencia directa",IF(S96=1,"No trasladar directo — revisar",IF(OR(ISNUMBER(SEARCH("TOPE",UPPER(E96))),ISNUMBER(SEARCH("TOPE",UPPER(G96)))),"Solo control","Revisar manualmente"))))),"Revisar manualmente"))</f>
        <v/>
      </c>
      <c r="M96" s="461">
        <f>IF(A96="","",IF(IF(K96&lt;&gt;"",K96,J96)="",0,IF(COUNTIFS(Reglas!$I$5:$I$118,IF(K96&lt;&gt;"",K96,J96),Reglas!$J$5:$J$118,"Sí")=1,F96,0)))</f>
        <v/>
      </c>
      <c r="N96" s="56" t="n"/>
      <c r="O96" s="462">
        <f>IF(A96="","",IF(M96=0,"",M96))</f>
        <v/>
      </c>
      <c r="P96" s="461">
        <f>IF(A96="","",IF(O96="",0,IF(ISNUMBER(O96),O96,0)))</f>
        <v/>
      </c>
      <c r="Q96" s="48">
        <f>IF(A96="","",IF(Exogena_RAW!$C$4="","BLOQUEADO: FALTA AÑO",IF(Exogena_RAW!$K$10&lt;&gt;Reglas!$B$5,"BLOQUEADO: AÑO",IF(IF(K96&lt;&gt;"",K96,J96)="",IF(S96&gt;1,"REQUIERE ASIGNACIÓN MANUAL (VARIAS CASILLAS)","INFORMATIVO (sin casilla — no se declara)"),IF(COUNTIFS(Reglas!$I$5:$I$118,IF(K96&lt;&gt;"",K96,J96),Reglas!$J$5:$J$118,"Sí")=0,"BLOQUEADO: CASILLA NO DIRECTA",IF(O96="","EXCLUIDO (valor borrado por el usuario)",IF(_xlfn.ISFORMULA(O96),IF(W96&lt;&gt;"","BORRADOR — VALOR SUGERIDO DIAN ⚠ VER ALERTA","BORRADOR — VALOR SUGERIDO DIAN"),IF(W96&lt;&gt;"","ACEPTADO ⚠ VER ALERTA","ACEPTADO"))))))))</f>
        <v/>
      </c>
      <c r="R96" s="218" t="n"/>
      <c r="S96" s="58">
        <f>IF(A96="","",IFERROR(--ISNUMBER(SEARCH("R28",G96)),0)+IFERROR(--ISNUMBER(SEARCH("R29",G96)),0)+IFERROR(--ISNUMBER(SEARCH("R30",G96)),0)+IFERROR(--ISNUMBER(SEARCH("R31",G96)),0)+IFERROR(--ISNUMBER(SEARCH("R32",G96)),0)+IFERROR(--ISNUMBER(SEARCH("R33",G96)),0)+IFERROR(--ISNUMBER(SEARCH("R34",G96)),0)+IFERROR(--ISNUMBER(SEARCH("R35",G96)),0)+IFERROR(--ISNUMBER(SEARCH("R36",G96)),0)+IFERROR(--ISNUMBER(SEARCH("R37",G96)),0)+IFERROR(--ISNUMBER(SEARCH("R38",G96)),0)+IFERROR(--ISNUMBER(SEARCH("R39",G96)),0)+IFERROR(--ISNUMBER(SEARCH("R40",G96)),0)+IFERROR(--ISNUMBER(SEARCH("R41",G96)),0)+IFERROR(--ISNUMBER(SEARCH("R42",G96)),0)+IFERROR(--ISNUMBER(SEARCH("R43",G96)),0)+IFERROR(--ISNUMBER(SEARCH("R44",G96)),0)+IFERROR(--ISNUMBER(SEARCH("R45",G96)),0)+IFERROR(--ISNUMBER(SEARCH("R46",G96)),0)+IFERROR(--ISNUMBER(SEARCH("R47",G96)),0)+IFERROR(--ISNUMBER(SEARCH("R48",G96)),0)+IFERROR(--ISNUMBER(SEARCH("R49",G96)),0)+IFERROR(--ISNUMBER(SEARCH("R50",G96)),0)+IFERROR(--ISNUMBER(SEARCH("R51",G96)),0)+IFERROR(--ISNUMBER(SEARCH("R52",G96)),0)+IFERROR(--ISNUMBER(SEARCH("R53",G96)),0)+IFERROR(--ISNUMBER(SEARCH("R54",G96)),0)+IFERROR(--ISNUMBER(SEARCH("R55",G96)),0)+IFERROR(--ISNUMBER(SEARCH("R56",G96)),0)+IFERROR(--ISNUMBER(SEARCH("R57",G96)),0)+IFERROR(--ISNUMBER(SEARCH("R58",G96)),0)+IFERROR(--ISNUMBER(SEARCH("R59",G96)),0)+IFERROR(--ISNUMBER(SEARCH("R60",G96)),0)+IFERROR(--ISNUMBER(SEARCH("R61",G96)),0)+IFERROR(--ISNUMBER(SEARCH("R62",G96)),0)+IFERROR(--ISNUMBER(SEARCH("R63",G96)),0)+IFERROR(--ISNUMBER(SEARCH("R64",G96)),0)+IFERROR(--ISNUMBER(SEARCH("R65",G96)),0)+IFERROR(--ISNUMBER(SEARCH("R66",G96)),0)+IFERROR(--ISNUMBER(SEARCH("R67",G96)),0)+IFERROR(--ISNUMBER(SEARCH("R68",G96)),0)+IFERROR(--ISNUMBER(SEARCH("R69",G96)),0)+IFERROR(--ISNUMBER(SEARCH("R70",G96)),0)+IFERROR(--ISNUMBER(SEARCH("R71",G96)),0)+IFERROR(--ISNUMBER(SEARCH("R72",G96)),0)+IFERROR(--ISNUMBER(SEARCH("R73",G96)),0)+IFERROR(--ISNUMBER(SEARCH("R74",G96)),0)+IFERROR(--ISNUMBER(SEARCH("R75",G96)),0)+IFERROR(--ISNUMBER(SEARCH("R76",G96)),0)+IFERROR(--ISNUMBER(SEARCH("R77",G96)),0)+IFERROR(--ISNUMBER(SEARCH("R78",G96)),0)+IFERROR(--ISNUMBER(SEARCH("R79",G96)),0)+IFERROR(--ISNUMBER(SEARCH("R80",G96)),0)+IFERROR(--ISNUMBER(SEARCH("R81",G96)),0)+IFERROR(--ISNUMBER(SEARCH("R82",G96)),0)+IFERROR(--ISNUMBER(SEARCH("R83",G96)),0)+IFERROR(--ISNUMBER(SEARCH("R84",G96)),0)+IFERROR(--ISNUMBER(SEARCH("R85",G96)),0)+IFERROR(--ISNUMBER(SEARCH("R86",G96)),0)+IFERROR(--ISNUMBER(SEARCH("R87",G96)),0)+IFERROR(--ISNUMBER(SEARCH("R88",G96)),0)+IFERROR(--ISNUMBER(SEARCH("R89",G96)),0)+IFERROR(--ISNUMBER(SEARCH("R90",G96)),0)+IFERROR(--ISNUMBER(SEARCH("R91",G96)),0)+IFERROR(--ISNUMBER(SEARCH("R92",G96)),0)+IFERROR(--ISNUMBER(SEARCH("R93",G96)),0)+IFERROR(--ISNUMBER(SEARCH("R94",G96)),0)+IFERROR(--ISNUMBER(SEARCH("R95",G96)),0)+IFERROR(--ISNUMBER(SEARCH("R96",G96)),0)+IFERROR(--ISNUMBER(SEARCH("R97",G96)),0)+IFERROR(--ISNUMBER(SEARCH("R98",G96)),0)+IFERROR(--ISNUMBER(SEARCH("R99",G96)),0)+IFERROR(--ISNUMBER(SEARCH("R100",G96)),0)+IFERROR(--ISNUMBER(SEARCH("R101",G96)),0)+IFERROR(--ISNUMBER(SEARCH("R102",G96)),0)+IFERROR(--ISNUMBER(SEARCH("R103",G96)),0)+IFERROR(--ISNUMBER(SEARCH("R104",G96)),0)+IFERROR(--ISNUMBER(SEARCH("R105",G96)),0)+IFERROR(--ISNUMBER(SEARCH("R106",G96)),0)+IFERROR(--ISNUMBER(SEARCH("R107",G96)),0)+IFERROR(--ISNUMBER(SEARCH("R108",G96)),0)+IFERROR(--ISNUMBER(SEARCH("R109",G96)),0)+IFERROR(--ISNUMBER(SEARCH("R110",G96)),0)+IFERROR(--ISNUMBER(SEARCH("R111",G96)),0)+IFERROR(--ISNUMBER(SEARCH("R112",G96)),0)+IFERROR(--ISNUMBER(SEARCH("R113",G96)),0)+IFERROR(--ISNUMBER(SEARCH("R114",G96)),0)+IFERROR(--ISNUMBER(SEARCH("R115",G96)),0)+IFERROR(--ISNUMBER(SEARCH("R116",G96)),0)+IFERROR(--ISNUMBER(SEARCH("R117",G96)),0)+IFERROR(--ISNUMBER(SEARCH("R118",G96)),0)+IFERROR(--ISNUMBER(SEARCH("R119",G96)),0)+IFERROR(--ISNUMBER(SEARCH("R120",G96)),0)+IFERROR(--ISNUMBER(SEARCH("R121",G96)),0)+IFERROR(--ISNUMBER(SEARCH("R122",G96)),0)+IFERROR(--ISNUMBER(SEARCH("R123",G96)),0)+IFERROR(--ISNUMBER(SEARCH("R124",G96)),0)+IFERROR(--ISNUMBER(SEARCH("R125",G96)),0)+IFERROR(--ISNUMBER(SEARCH("R126",G96)),0)+IFERROR(--ISNUMBER(SEARCH("R127",G96)),0)+IFERROR(--ISNUMBER(SEARCH("R128",G96)),0)+IFERROR(--ISNUMBER(SEARCH("R129",G96)),0)+IFERROR(--ISNUMBER(SEARCH("R130",G96)),0)+IFERROR(--ISNUMBER(SEARCH("R131",G96)),0)+IFERROR(--ISNUMBER(SEARCH("R132",G96)),0)+IFERROR(--ISNUMBER(SEARCH("R133",G96)),0)+IFERROR(--ISNUMBER(SEARCH("R134",G96)),0)+IFERROR(--ISNUMBER(SEARCH("R135",G96)),0)+IFERROR(--ISNUMBER(SEARCH("R136",G96)),0)+IFERROR(--ISNUMBER(SEARCH("R137",G96)),0)+IFERROR(--ISNUMBER(SEARCH("R138",G96)),0)+IFERROR(--ISNUMBER(SEARCH("R139",G96)),0)+IFERROR(--ISNUMBER(SEARCH("R140",G96)),0)+IFERROR(--ISNUMBER(SEARCH("R141",G96)),0))</f>
        <v/>
      </c>
      <c r="T96" s="58">
        <f>IF(A96="","",IFERROR(--ISNUMBER(SEARCH("R28",G96)),0)+IFERROR(--ISNUMBER(SEARCH("R29",G96)),0)+IFERROR(--ISNUMBER(SEARCH("R30",G96)),0)+IFERROR(--ISNUMBER(SEARCH("R32",G96)),0)+IFERROR(--ISNUMBER(SEARCH("R33",G96)),0)+IFERROR(--ISNUMBER(SEARCH("R35",G96)),0)+IFERROR(--ISNUMBER(SEARCH("R36",G96)),0)+IFERROR(--ISNUMBER(SEARCH("R38",G96)),0)+IFERROR(--ISNUMBER(SEARCH("R39",G96)),0)+IFERROR(--ISNUMBER(SEARCH("R43",G96)),0)+IFERROR(--ISNUMBER(SEARCH("R44",G96)),0)+IFERROR(--ISNUMBER(SEARCH("R45",G96)),0)+IFERROR(--ISNUMBER(SEARCH("R47",G96)),0)+IFERROR(--ISNUMBER(SEARCH("R48",G96)),0)+IFERROR(--ISNUMBER(SEARCH("R50",G96)),0)+IFERROR(--ISNUMBER(SEARCH("R51",G96)),0)+IFERROR(--ISNUMBER(SEARCH("R56",G96)),0)+IFERROR(--ISNUMBER(SEARCH("R58",G96)),0)+IFERROR(--ISNUMBER(SEARCH("R59",G96)),0)+IFERROR(--ISNUMBER(SEARCH("R60",G96)),0)+IFERROR(--ISNUMBER(SEARCH("R62",G96)),0)+IFERROR(--ISNUMBER(SEARCH("R63",G96)),0)+IFERROR(--ISNUMBER(SEARCH("R64",G96)),0)+IFERROR(--ISNUMBER(SEARCH("R66",G96)),0)+IFERROR(--ISNUMBER(SEARCH("R67",G96)),0)+IFERROR(--ISNUMBER(SEARCH("R72",G96)),0)+IFERROR(--ISNUMBER(SEARCH("R74",G96)),0)+IFERROR(--ISNUMBER(SEARCH("R75",G96)),0)+IFERROR(--ISNUMBER(SEARCH("R76",G96)),0)+IFERROR(--ISNUMBER(SEARCH("R77",G96)),0)+IFERROR(--ISNUMBER(SEARCH("R79",G96)),0)+IFERROR(--ISNUMBER(SEARCH("R80",G96)),0)+IFERROR(--ISNUMBER(SEARCH("R81",G96)),0)+IFERROR(--ISNUMBER(SEARCH("R83",G96)),0)+IFERROR(--ISNUMBER(SEARCH("R84",G96)),0)+IFERROR(--ISNUMBER(SEARCH("R89",G96)),0)+IFERROR(--ISNUMBER(SEARCH("R94",G96)),0)+IFERROR(--ISNUMBER(SEARCH("R95",G96)),0)+IFERROR(--ISNUMBER(SEARCH("R96",G96)),0)+IFERROR(--ISNUMBER(SEARCH("R98",G96)),0)+IFERROR(--ISNUMBER(SEARCH("R99",G96)),0)+IFERROR(--ISNUMBER(SEARCH("R100",G96)),0)+IFERROR(--ISNUMBER(SEARCH("R104",G96)),0)+IFERROR(--ISNUMBER(SEARCH("R105",G96)),0)+IFERROR(--ISNUMBER(SEARCH("R107",G96)),0)+IFERROR(--ISNUMBER(SEARCH("R108",G96)),0)+IFERROR(--ISNUMBER(SEARCH("R109",G96)),0)+IFERROR(--ISNUMBER(SEARCH("R110",G96)),0)+IFERROR(--ISNUMBER(SEARCH("R112",G96)),0)+IFERROR(--ISNUMBER(SEARCH("R113",G96)),0)+IFERROR(--ISNUMBER(SEARCH("R114",G96)),0)+IFERROR(--ISNUMBER(SEARCH("R118",G96)),0)+IFERROR(--ISNUMBER(SEARCH("R119",G96)),0)+IFERROR(--ISNUMBER(SEARCH("R120",G96)),0)+IFERROR(--ISNUMBER(SEARCH("R122",G96)),0)+IFERROR(--ISNUMBER(SEARCH("R123",G96)),0)+IFERROR(--ISNUMBER(SEARCH("R124",G96)),0)+IFERROR(--ISNUMBER(SEARCH("R128",G96)),0)+IFERROR(--ISNUMBER(SEARCH("R130",G96)),0)+IFERROR(--ISNUMBER(SEARCH("R131",G96)),0)+IFERROR(--ISNUMBER(SEARCH("R132",G96)),0)+IFERROR(--ISNUMBER(SEARCH("R135",G96)),0)+IFERROR(--ISNUMBER(SEARCH("R138",G96)),0)+IFERROR(--ISNUMBER(SEARCH("R141",G96)),0))</f>
        <v/>
      </c>
      <c r="U96" s="58">
        <f>IF(A96="","",IFERROR(--ISNUMBER(SEARCH("R28",G96))*28,0)+IFERROR(--ISNUMBER(SEARCH("R29",G96))*29,0)+IFERROR(--ISNUMBER(SEARCH("R30",G96))*30,0)+IFERROR(--ISNUMBER(SEARCH("R31",G96))*31,0)+IFERROR(--ISNUMBER(SEARCH("R32",G96))*32,0)+IFERROR(--ISNUMBER(SEARCH("R33",G96))*33,0)+IFERROR(--ISNUMBER(SEARCH("R34",G96))*34,0)+IFERROR(--ISNUMBER(SEARCH("R35",G96))*35,0)+IFERROR(--ISNUMBER(SEARCH("R36",G96))*36,0)+IFERROR(--ISNUMBER(SEARCH("R37",G96))*37,0)+IFERROR(--ISNUMBER(SEARCH("R38",G96))*38,0)+IFERROR(--ISNUMBER(SEARCH("R39",G96))*39,0)+IFERROR(--ISNUMBER(SEARCH("R40",G96))*40,0)+IFERROR(--ISNUMBER(SEARCH("R41",G96))*41,0)+IFERROR(--ISNUMBER(SEARCH("R42",G96))*42,0)+IFERROR(--ISNUMBER(SEARCH("R43",G96))*43,0)+IFERROR(--ISNUMBER(SEARCH("R44",G96))*44,0)+IFERROR(--ISNUMBER(SEARCH("R45",G96))*45,0)+IFERROR(--ISNUMBER(SEARCH("R46",G96))*46,0)+IFERROR(--ISNUMBER(SEARCH("R47",G96))*47,0)+IFERROR(--ISNUMBER(SEARCH("R48",G96))*48,0)+IFERROR(--ISNUMBER(SEARCH("R49",G96))*49,0)+IFERROR(--ISNUMBER(SEARCH("R50",G96))*50,0)+IFERROR(--ISNUMBER(SEARCH("R51",G96))*51,0)+IFERROR(--ISNUMBER(SEARCH("R52",G96))*52,0)+IFERROR(--ISNUMBER(SEARCH("R53",G96))*53,0)+IFERROR(--ISNUMBER(SEARCH("R54",G96))*54,0)+IFERROR(--ISNUMBER(SEARCH("R55",G96))*55,0)+IFERROR(--ISNUMBER(SEARCH("R56",G96))*56,0)+IFERROR(--ISNUMBER(SEARCH("R57",G96))*57,0)+IFERROR(--ISNUMBER(SEARCH("R58",G96))*58,0)+IFERROR(--ISNUMBER(SEARCH("R59",G96))*59,0)+IFERROR(--ISNUMBER(SEARCH("R60",G96))*60,0)+IFERROR(--ISNUMBER(SEARCH("R61",G96))*61,0)+IFERROR(--ISNUMBER(SEARCH("R62",G96))*62,0)+IFERROR(--ISNUMBER(SEARCH("R63",G96))*63,0)+IFERROR(--ISNUMBER(SEARCH("R64",G96))*64,0)+IFERROR(--ISNUMBER(SEARCH("R65",G96))*65,0)+IFERROR(--ISNUMBER(SEARCH("R66",G96))*66,0)+IFERROR(--ISNUMBER(SEARCH("R67",G96))*67,0)+IFERROR(--ISNUMBER(SEARCH("R68",G96))*68,0)+IFERROR(--ISNUMBER(SEARCH("R69",G96))*69,0)+IFERROR(--ISNUMBER(SEARCH("R70",G96))*70,0)+IFERROR(--ISNUMBER(SEARCH("R71",G96))*71,0)+IFERROR(--ISNUMBER(SEARCH("R72",G96))*72,0)+IFERROR(--ISNUMBER(SEARCH("R73",G96))*73,0)+IFERROR(--ISNUMBER(SEARCH("R74",G96))*74,0)+IFERROR(--ISNUMBER(SEARCH("R75",G96))*75,0)+IFERROR(--ISNUMBER(SEARCH("R76",G96))*76,0)+IFERROR(--ISNUMBER(SEARCH("R77",G96))*77,0)+IFERROR(--ISNUMBER(SEARCH("R78",G96))*78,0)+IFERROR(--ISNUMBER(SEARCH("R79",G96))*79,0)+IFERROR(--ISNUMBER(SEARCH("R80",G96))*80,0)+IFERROR(--ISNUMBER(SEARCH("R81",G96))*81,0)+IFERROR(--ISNUMBER(SEARCH("R82",G96))*82,0)+IFERROR(--ISNUMBER(SEARCH("R83",G96))*83,0)+IFERROR(--ISNUMBER(SEARCH("R84",G96))*84,0)+IFERROR(--ISNUMBER(SEARCH("R85",G96))*85,0)+IFERROR(--ISNUMBER(SEARCH("R86",G96))*86,0)+IFERROR(--ISNUMBER(SEARCH("R87",G96))*87,0)+IFERROR(--ISNUMBER(SEARCH("R88",G96))*88,0)+IFERROR(--ISNUMBER(SEARCH("R89",G96))*89,0)+IFERROR(--ISNUMBER(SEARCH("R90",G96))*90,0)+IFERROR(--ISNUMBER(SEARCH("R91",G96))*91,0)+IFERROR(--ISNUMBER(SEARCH("R92",G96))*92,0)+IFERROR(--ISNUMBER(SEARCH("R93",G96))*93,0)+IFERROR(--ISNUMBER(SEARCH("R94",G96))*94,0)+IFERROR(--ISNUMBER(SEARCH("R95",G96))*95,0)+IFERROR(--ISNUMBER(SEARCH("R96",G96))*96,0)+IFERROR(--ISNUMBER(SEARCH("R97",G96))*97,0)+IFERROR(--ISNUMBER(SEARCH("R98",G96))*98,0)+IFERROR(--ISNUMBER(SEARCH("R99",G96))*99,0)+IFERROR(--ISNUMBER(SEARCH("R100",G96))*100,0)+IFERROR(--ISNUMBER(SEARCH("R101",G96))*101,0)+IFERROR(--ISNUMBER(SEARCH("R102",G96))*102,0)+IFERROR(--ISNUMBER(SEARCH("R103",G96))*103,0)+IFERROR(--ISNUMBER(SEARCH("R104",G96))*104,0)+IFERROR(--ISNUMBER(SEARCH("R105",G96))*105,0)+IFERROR(--ISNUMBER(SEARCH("R106",G96))*106,0)+IFERROR(--ISNUMBER(SEARCH("R107",G96))*107,0)+IFERROR(--ISNUMBER(SEARCH("R108",G96))*108,0)+IFERROR(--ISNUMBER(SEARCH("R109",G96))*109,0)+IFERROR(--ISNUMBER(SEARCH("R110",G96))*110,0)+IFERROR(--ISNUMBER(SEARCH("R111",G96))*111,0)+IFERROR(--ISNUMBER(SEARCH("R112",G96))*112,0)+IFERROR(--ISNUMBER(SEARCH("R113",G96))*113,0)+IFERROR(--ISNUMBER(SEARCH("R114",G96))*114,0)+IFERROR(--ISNUMBER(SEARCH("R115",G96))*115,0)+IFERROR(--ISNUMBER(SEARCH("R116",G96))*116,0)+IFERROR(--ISNUMBER(SEARCH("R117",G96))*117,0)+IFERROR(--ISNUMBER(SEARCH("R118",G96))*118,0)+IFERROR(--ISNUMBER(SEARCH("R119",G96))*119,0)+IFERROR(--ISNUMBER(SEARCH("R120",G96))*120,0)+IFERROR(--ISNUMBER(SEARCH("R121",G96))*121,0)+IFERROR(--ISNUMBER(SEARCH("R122",G96))*122,0)+IFERROR(--ISNUMBER(SEARCH("R123",G96))*123,0)+IFERROR(--ISNUMBER(SEARCH("R124",G96))*124,0)+IFERROR(--ISNUMBER(SEARCH("R125",G96))*125,0)+IFERROR(--ISNUMBER(SEARCH("R126",G96))*126,0)+IFERROR(--ISNUMBER(SEARCH("R127",G96))*127,0)+IFERROR(--ISNUMBER(SEARCH("R128",G96))*128,0)+IFERROR(--ISNUMBER(SEARCH("R129",G96))*129,0)+IFERROR(--ISNUMBER(SEARCH("R130",G96))*130,0)+IFERROR(--ISNUMBER(SEARCH("R131",G96))*131,0)+IFERROR(--ISNUMBER(SEARCH("R132",G96))*132,0)+IFERROR(--ISNUMBER(SEARCH("R133",G96))*133,0)+IFERROR(--ISNUMBER(SEARCH("R134",G96))*134,0)+IFERROR(--ISNUMBER(SEARCH("R135",G96))*135,0)+IFERROR(--ISNUMBER(SEARCH("R136",G96))*136,0)+IFERROR(--ISNUMBER(SEARCH("R137",G96))*137,0)+IFERROR(--ISNUMBER(SEARCH("R138",G96))*138,0)+IFERROR(--ISNUMBER(SEARCH("R139",G96))*139,0)+IFERROR(--ISNUMBER(SEARCH("R140",G96))*140,0)+IFERROR(--ISNUMBER(SEARCH("R141",G96))*141,0))</f>
        <v/>
      </c>
      <c r="V96" s="59">
        <f>IF(A96="","",IF(K96&lt;&gt;"",K96,J96))</f>
        <v/>
      </c>
      <c r="W96" s="59">
        <f>IF(A96="","",IF(AND(V96=29,O96&lt;&gt;"",COUNTIFS($V$6:$V$505,29,$F$6:$F$505,F96,$C$6:$C$505,C96,$O$6:$O$505,"&lt;&gt;")&gt;1),IF(COUNTIFS($V$6:V96,29,$F$6:F96,F96,$C$6:C96,C96,$O$6:O96,"&lt;&gt;")=1,"Esta es la fila que se debe CONSERVAR (aparición 1 de "&amp;COUNTIFS($V$6:$V$505,29,$F$6:$F$505,F96,$C$6:$C$505,C96,$O$6:$O$505,"&lt;&gt;")&amp;" con el mismo tercero y valor, casilla 29). Si hay más filas iguales, bórreles el valor a ELLAS, no a esta.","DUPLICADO — ya existe otra fila con el mismo tercero y valor para casilla 29 (aparición "&amp;COUNTIFS($V$6:V96,29,$F$6:F96,F96,$C$6:C96,C96,$O$6:O96,"&lt;&gt;")&amp;" de "&amp;COUNTIFS($V$6:$V$505,29,$F$6:$F$505,F96,$C$6:$C$505,C96,$O$6:$O$505,"&lt;&gt;")&amp;"). Para resolverlo: seleccione la celda O"&amp;ROW()&amp;" (columna Valor a declarar de ESTA fila) y presione Supr."),""))</f>
        <v/>
      </c>
      <c r="X96" s="463">
        <f>IF(A96="","",F96)</f>
        <v/>
      </c>
      <c r="Y96" s="463">
        <f>IF(A96="","",SUMIF(Entrada_Manual!$I$88:$I$187,A96,Entrada_Manual!$F$88:$F$187))</f>
        <v/>
      </c>
      <c r="Z96" s="463">
        <f>IF(A96="","",X96-Y96)</f>
        <v/>
      </c>
      <c r="AA96">
        <f>IF(A96="","",SUMPRODUCT((Entrada_Manual!$I$88:$I$187=A96)*1))</f>
        <v/>
      </c>
      <c r="AB96">
        <f>IF(A96="","",IF(S96&lt;=1,"",IF(AA96=0,"PENDIENTE — SIN ASIGNAR",IF(Z96=0,"RESUELTO","PARCIAL — DIFERENCIA "&amp;TEXT(Z96,"#,##0")))))</f>
        <v/>
      </c>
    </row>
    <row r="97" ht="14.25" customHeight="1" s="235">
      <c r="A97" s="47">
        <f>IF(Exogena_RAW!E106&lt;&gt;"",ROW()-5,"")</f>
        <v/>
      </c>
      <c r="B97" s="48">
        <f>IF(A97="","",106)</f>
        <v/>
      </c>
      <c r="C97" s="48">
        <f>IF(A97="","",IFERROR(Exogena_RAW!A106,""))</f>
        <v/>
      </c>
      <c r="D97" s="48">
        <f>IF(A97="","",IFERROR(Exogena_RAW!B106,""))</f>
        <v/>
      </c>
      <c r="E97" s="48">
        <f>IF(A97="","",Exogena_RAW!E106)</f>
        <v/>
      </c>
      <c r="F97" s="461">
        <f>IF(A97="","",Exogena_RAW!F106)</f>
        <v/>
      </c>
      <c r="G97" s="48">
        <f>IF(A97="","",IFERROR(Exogena_RAW!G106,""))</f>
        <v/>
      </c>
      <c r="H97" s="48">
        <f>IF(A97="","",IFERROR(Exogena_RAW!H106,""))</f>
        <v/>
      </c>
      <c r="I97" s="48">
        <f>IF(A97="","",IFERROR(IF(S97&gt;1,"VARIAS CASILLAS",IF(S97=1,IF(T97=1,"PROPUESTA DE CASILLA","REVISIÓN: CASILLA NO DIRECTA"),IF(OR(ISNUMBER(SEARCH("TOPE",UPPER(E97))),ISNUMBER(SEARCH("TOPE",UPPER(G97)))),"SOLO CONTROL",IF(ISNUMBER(SEARCH("RETEN",UPPER(E97))),"RETENCIÓN","REVISAR")))),"REVISAR"))</f>
        <v/>
      </c>
      <c r="J97" s="48">
        <f>IF(A97="","",IF(ISNUMBER(SEARCH("ingreso laboral promedio de los últimos seis meses",E97)),"",IFERROR(IF(AND(S97=1,T97=1),U97,""),"")))</f>
        <v/>
      </c>
      <c r="K97" s="216" t="n"/>
      <c r="L97" s="48">
        <f>IF(A97="","",IFERROR(IF(K97&lt;&gt;"","Casilla elegida por usuario",IF(S97&gt;1,"Varias casillas — elegir en K",IF(J97&lt;&gt;"","Sugerencia directa",IF(S97=1,"No trasladar directo — revisar",IF(OR(ISNUMBER(SEARCH("TOPE",UPPER(E97))),ISNUMBER(SEARCH("TOPE",UPPER(G97)))),"Solo control","Revisar manualmente"))))),"Revisar manualmente"))</f>
        <v/>
      </c>
      <c r="M97" s="461">
        <f>IF(A97="","",IF(IF(K97&lt;&gt;"",K97,J97)="",0,IF(COUNTIFS(Reglas!$I$5:$I$118,IF(K97&lt;&gt;"",K97,J97),Reglas!$J$5:$J$118,"Sí")=1,F97,0)))</f>
        <v/>
      </c>
      <c r="N97" s="56" t="n"/>
      <c r="O97" s="462">
        <f>IF(A97="","",IF(M97=0,"",M97))</f>
        <v/>
      </c>
      <c r="P97" s="461">
        <f>IF(A97="","",IF(O97="",0,IF(ISNUMBER(O97),O97,0)))</f>
        <v/>
      </c>
      <c r="Q97" s="48">
        <f>IF(A97="","",IF(Exogena_RAW!$C$4="","BLOQUEADO: FALTA AÑO",IF(Exogena_RAW!$K$10&lt;&gt;Reglas!$B$5,"BLOQUEADO: AÑO",IF(IF(K97&lt;&gt;"",K97,J97)="",IF(S97&gt;1,"REQUIERE ASIGNACIÓN MANUAL (VARIAS CASILLAS)","INFORMATIVO (sin casilla — no se declara)"),IF(COUNTIFS(Reglas!$I$5:$I$118,IF(K97&lt;&gt;"",K97,J97),Reglas!$J$5:$J$118,"Sí")=0,"BLOQUEADO: CASILLA NO DIRECTA",IF(O97="","EXCLUIDO (valor borrado por el usuario)",IF(_xlfn.ISFORMULA(O97),IF(W97&lt;&gt;"","BORRADOR — VALOR SUGERIDO DIAN ⚠ VER ALERTA","BORRADOR — VALOR SUGERIDO DIAN"),IF(W97&lt;&gt;"","ACEPTADO ⚠ VER ALERTA","ACEPTADO"))))))))</f>
        <v/>
      </c>
      <c r="R97" s="218" t="n"/>
      <c r="S97" s="58">
        <f>IF(A97="","",IFERROR(--ISNUMBER(SEARCH("R28",G97)),0)+IFERROR(--ISNUMBER(SEARCH("R29",G97)),0)+IFERROR(--ISNUMBER(SEARCH("R30",G97)),0)+IFERROR(--ISNUMBER(SEARCH("R31",G97)),0)+IFERROR(--ISNUMBER(SEARCH("R32",G97)),0)+IFERROR(--ISNUMBER(SEARCH("R33",G97)),0)+IFERROR(--ISNUMBER(SEARCH("R34",G97)),0)+IFERROR(--ISNUMBER(SEARCH("R35",G97)),0)+IFERROR(--ISNUMBER(SEARCH("R36",G97)),0)+IFERROR(--ISNUMBER(SEARCH("R37",G97)),0)+IFERROR(--ISNUMBER(SEARCH("R38",G97)),0)+IFERROR(--ISNUMBER(SEARCH("R39",G97)),0)+IFERROR(--ISNUMBER(SEARCH("R40",G97)),0)+IFERROR(--ISNUMBER(SEARCH("R41",G97)),0)+IFERROR(--ISNUMBER(SEARCH("R42",G97)),0)+IFERROR(--ISNUMBER(SEARCH("R43",G97)),0)+IFERROR(--ISNUMBER(SEARCH("R44",G97)),0)+IFERROR(--ISNUMBER(SEARCH("R45",G97)),0)+IFERROR(--ISNUMBER(SEARCH("R46",G97)),0)+IFERROR(--ISNUMBER(SEARCH("R47",G97)),0)+IFERROR(--ISNUMBER(SEARCH("R48",G97)),0)+IFERROR(--ISNUMBER(SEARCH("R49",G97)),0)+IFERROR(--ISNUMBER(SEARCH("R50",G97)),0)+IFERROR(--ISNUMBER(SEARCH("R51",G97)),0)+IFERROR(--ISNUMBER(SEARCH("R52",G97)),0)+IFERROR(--ISNUMBER(SEARCH("R53",G97)),0)+IFERROR(--ISNUMBER(SEARCH("R54",G97)),0)+IFERROR(--ISNUMBER(SEARCH("R55",G97)),0)+IFERROR(--ISNUMBER(SEARCH("R56",G97)),0)+IFERROR(--ISNUMBER(SEARCH("R57",G97)),0)+IFERROR(--ISNUMBER(SEARCH("R58",G97)),0)+IFERROR(--ISNUMBER(SEARCH("R59",G97)),0)+IFERROR(--ISNUMBER(SEARCH("R60",G97)),0)+IFERROR(--ISNUMBER(SEARCH("R61",G97)),0)+IFERROR(--ISNUMBER(SEARCH("R62",G97)),0)+IFERROR(--ISNUMBER(SEARCH("R63",G97)),0)+IFERROR(--ISNUMBER(SEARCH("R64",G97)),0)+IFERROR(--ISNUMBER(SEARCH("R65",G97)),0)+IFERROR(--ISNUMBER(SEARCH("R66",G97)),0)+IFERROR(--ISNUMBER(SEARCH("R67",G97)),0)+IFERROR(--ISNUMBER(SEARCH("R68",G97)),0)+IFERROR(--ISNUMBER(SEARCH("R69",G97)),0)+IFERROR(--ISNUMBER(SEARCH("R70",G97)),0)+IFERROR(--ISNUMBER(SEARCH("R71",G97)),0)+IFERROR(--ISNUMBER(SEARCH("R72",G97)),0)+IFERROR(--ISNUMBER(SEARCH("R73",G97)),0)+IFERROR(--ISNUMBER(SEARCH("R74",G97)),0)+IFERROR(--ISNUMBER(SEARCH("R75",G97)),0)+IFERROR(--ISNUMBER(SEARCH("R76",G97)),0)+IFERROR(--ISNUMBER(SEARCH("R77",G97)),0)+IFERROR(--ISNUMBER(SEARCH("R78",G97)),0)+IFERROR(--ISNUMBER(SEARCH("R79",G97)),0)+IFERROR(--ISNUMBER(SEARCH("R80",G97)),0)+IFERROR(--ISNUMBER(SEARCH("R81",G97)),0)+IFERROR(--ISNUMBER(SEARCH("R82",G97)),0)+IFERROR(--ISNUMBER(SEARCH("R83",G97)),0)+IFERROR(--ISNUMBER(SEARCH("R84",G97)),0)+IFERROR(--ISNUMBER(SEARCH("R85",G97)),0)+IFERROR(--ISNUMBER(SEARCH("R86",G97)),0)+IFERROR(--ISNUMBER(SEARCH("R87",G97)),0)+IFERROR(--ISNUMBER(SEARCH("R88",G97)),0)+IFERROR(--ISNUMBER(SEARCH("R89",G97)),0)+IFERROR(--ISNUMBER(SEARCH("R90",G97)),0)+IFERROR(--ISNUMBER(SEARCH("R91",G97)),0)+IFERROR(--ISNUMBER(SEARCH("R92",G97)),0)+IFERROR(--ISNUMBER(SEARCH("R93",G97)),0)+IFERROR(--ISNUMBER(SEARCH("R94",G97)),0)+IFERROR(--ISNUMBER(SEARCH("R95",G97)),0)+IFERROR(--ISNUMBER(SEARCH("R96",G97)),0)+IFERROR(--ISNUMBER(SEARCH("R97",G97)),0)+IFERROR(--ISNUMBER(SEARCH("R98",G97)),0)+IFERROR(--ISNUMBER(SEARCH("R99",G97)),0)+IFERROR(--ISNUMBER(SEARCH("R100",G97)),0)+IFERROR(--ISNUMBER(SEARCH("R101",G97)),0)+IFERROR(--ISNUMBER(SEARCH("R102",G97)),0)+IFERROR(--ISNUMBER(SEARCH("R103",G97)),0)+IFERROR(--ISNUMBER(SEARCH("R104",G97)),0)+IFERROR(--ISNUMBER(SEARCH("R105",G97)),0)+IFERROR(--ISNUMBER(SEARCH("R106",G97)),0)+IFERROR(--ISNUMBER(SEARCH("R107",G97)),0)+IFERROR(--ISNUMBER(SEARCH("R108",G97)),0)+IFERROR(--ISNUMBER(SEARCH("R109",G97)),0)+IFERROR(--ISNUMBER(SEARCH("R110",G97)),0)+IFERROR(--ISNUMBER(SEARCH("R111",G97)),0)+IFERROR(--ISNUMBER(SEARCH("R112",G97)),0)+IFERROR(--ISNUMBER(SEARCH("R113",G97)),0)+IFERROR(--ISNUMBER(SEARCH("R114",G97)),0)+IFERROR(--ISNUMBER(SEARCH("R115",G97)),0)+IFERROR(--ISNUMBER(SEARCH("R116",G97)),0)+IFERROR(--ISNUMBER(SEARCH("R117",G97)),0)+IFERROR(--ISNUMBER(SEARCH("R118",G97)),0)+IFERROR(--ISNUMBER(SEARCH("R119",G97)),0)+IFERROR(--ISNUMBER(SEARCH("R120",G97)),0)+IFERROR(--ISNUMBER(SEARCH("R121",G97)),0)+IFERROR(--ISNUMBER(SEARCH("R122",G97)),0)+IFERROR(--ISNUMBER(SEARCH("R123",G97)),0)+IFERROR(--ISNUMBER(SEARCH("R124",G97)),0)+IFERROR(--ISNUMBER(SEARCH("R125",G97)),0)+IFERROR(--ISNUMBER(SEARCH("R126",G97)),0)+IFERROR(--ISNUMBER(SEARCH("R127",G97)),0)+IFERROR(--ISNUMBER(SEARCH("R128",G97)),0)+IFERROR(--ISNUMBER(SEARCH("R129",G97)),0)+IFERROR(--ISNUMBER(SEARCH("R130",G97)),0)+IFERROR(--ISNUMBER(SEARCH("R131",G97)),0)+IFERROR(--ISNUMBER(SEARCH("R132",G97)),0)+IFERROR(--ISNUMBER(SEARCH("R133",G97)),0)+IFERROR(--ISNUMBER(SEARCH("R134",G97)),0)+IFERROR(--ISNUMBER(SEARCH("R135",G97)),0)+IFERROR(--ISNUMBER(SEARCH("R136",G97)),0)+IFERROR(--ISNUMBER(SEARCH("R137",G97)),0)+IFERROR(--ISNUMBER(SEARCH("R138",G97)),0)+IFERROR(--ISNUMBER(SEARCH("R139",G97)),0)+IFERROR(--ISNUMBER(SEARCH("R140",G97)),0)+IFERROR(--ISNUMBER(SEARCH("R141",G97)),0))</f>
        <v/>
      </c>
      <c r="T97" s="58">
        <f>IF(A97="","",IFERROR(--ISNUMBER(SEARCH("R28",G97)),0)+IFERROR(--ISNUMBER(SEARCH("R29",G97)),0)+IFERROR(--ISNUMBER(SEARCH("R30",G97)),0)+IFERROR(--ISNUMBER(SEARCH("R32",G97)),0)+IFERROR(--ISNUMBER(SEARCH("R33",G97)),0)+IFERROR(--ISNUMBER(SEARCH("R35",G97)),0)+IFERROR(--ISNUMBER(SEARCH("R36",G97)),0)+IFERROR(--ISNUMBER(SEARCH("R38",G97)),0)+IFERROR(--ISNUMBER(SEARCH("R39",G97)),0)+IFERROR(--ISNUMBER(SEARCH("R43",G97)),0)+IFERROR(--ISNUMBER(SEARCH("R44",G97)),0)+IFERROR(--ISNUMBER(SEARCH("R45",G97)),0)+IFERROR(--ISNUMBER(SEARCH("R47",G97)),0)+IFERROR(--ISNUMBER(SEARCH("R48",G97)),0)+IFERROR(--ISNUMBER(SEARCH("R50",G97)),0)+IFERROR(--ISNUMBER(SEARCH("R51",G97)),0)+IFERROR(--ISNUMBER(SEARCH("R56",G97)),0)+IFERROR(--ISNUMBER(SEARCH("R58",G97)),0)+IFERROR(--ISNUMBER(SEARCH("R59",G97)),0)+IFERROR(--ISNUMBER(SEARCH("R60",G97)),0)+IFERROR(--ISNUMBER(SEARCH("R62",G97)),0)+IFERROR(--ISNUMBER(SEARCH("R63",G97)),0)+IFERROR(--ISNUMBER(SEARCH("R64",G97)),0)+IFERROR(--ISNUMBER(SEARCH("R66",G97)),0)+IFERROR(--ISNUMBER(SEARCH("R67",G97)),0)+IFERROR(--ISNUMBER(SEARCH("R72",G97)),0)+IFERROR(--ISNUMBER(SEARCH("R74",G97)),0)+IFERROR(--ISNUMBER(SEARCH("R75",G97)),0)+IFERROR(--ISNUMBER(SEARCH("R76",G97)),0)+IFERROR(--ISNUMBER(SEARCH("R77",G97)),0)+IFERROR(--ISNUMBER(SEARCH("R79",G97)),0)+IFERROR(--ISNUMBER(SEARCH("R80",G97)),0)+IFERROR(--ISNUMBER(SEARCH("R81",G97)),0)+IFERROR(--ISNUMBER(SEARCH("R83",G97)),0)+IFERROR(--ISNUMBER(SEARCH("R84",G97)),0)+IFERROR(--ISNUMBER(SEARCH("R89",G97)),0)+IFERROR(--ISNUMBER(SEARCH("R94",G97)),0)+IFERROR(--ISNUMBER(SEARCH("R95",G97)),0)+IFERROR(--ISNUMBER(SEARCH("R96",G97)),0)+IFERROR(--ISNUMBER(SEARCH("R98",G97)),0)+IFERROR(--ISNUMBER(SEARCH("R99",G97)),0)+IFERROR(--ISNUMBER(SEARCH("R100",G97)),0)+IFERROR(--ISNUMBER(SEARCH("R104",G97)),0)+IFERROR(--ISNUMBER(SEARCH("R105",G97)),0)+IFERROR(--ISNUMBER(SEARCH("R107",G97)),0)+IFERROR(--ISNUMBER(SEARCH("R108",G97)),0)+IFERROR(--ISNUMBER(SEARCH("R109",G97)),0)+IFERROR(--ISNUMBER(SEARCH("R110",G97)),0)+IFERROR(--ISNUMBER(SEARCH("R112",G97)),0)+IFERROR(--ISNUMBER(SEARCH("R113",G97)),0)+IFERROR(--ISNUMBER(SEARCH("R114",G97)),0)+IFERROR(--ISNUMBER(SEARCH("R118",G97)),0)+IFERROR(--ISNUMBER(SEARCH("R119",G97)),0)+IFERROR(--ISNUMBER(SEARCH("R120",G97)),0)+IFERROR(--ISNUMBER(SEARCH("R122",G97)),0)+IFERROR(--ISNUMBER(SEARCH("R123",G97)),0)+IFERROR(--ISNUMBER(SEARCH("R124",G97)),0)+IFERROR(--ISNUMBER(SEARCH("R128",G97)),0)+IFERROR(--ISNUMBER(SEARCH("R130",G97)),0)+IFERROR(--ISNUMBER(SEARCH("R131",G97)),0)+IFERROR(--ISNUMBER(SEARCH("R132",G97)),0)+IFERROR(--ISNUMBER(SEARCH("R135",G97)),0)+IFERROR(--ISNUMBER(SEARCH("R138",G97)),0)+IFERROR(--ISNUMBER(SEARCH("R141",G97)),0))</f>
        <v/>
      </c>
      <c r="U97" s="58">
        <f>IF(A97="","",IFERROR(--ISNUMBER(SEARCH("R28",G97))*28,0)+IFERROR(--ISNUMBER(SEARCH("R29",G97))*29,0)+IFERROR(--ISNUMBER(SEARCH("R30",G97))*30,0)+IFERROR(--ISNUMBER(SEARCH("R31",G97))*31,0)+IFERROR(--ISNUMBER(SEARCH("R32",G97))*32,0)+IFERROR(--ISNUMBER(SEARCH("R33",G97))*33,0)+IFERROR(--ISNUMBER(SEARCH("R34",G97))*34,0)+IFERROR(--ISNUMBER(SEARCH("R35",G97))*35,0)+IFERROR(--ISNUMBER(SEARCH("R36",G97))*36,0)+IFERROR(--ISNUMBER(SEARCH("R37",G97))*37,0)+IFERROR(--ISNUMBER(SEARCH("R38",G97))*38,0)+IFERROR(--ISNUMBER(SEARCH("R39",G97))*39,0)+IFERROR(--ISNUMBER(SEARCH("R40",G97))*40,0)+IFERROR(--ISNUMBER(SEARCH("R41",G97))*41,0)+IFERROR(--ISNUMBER(SEARCH("R42",G97))*42,0)+IFERROR(--ISNUMBER(SEARCH("R43",G97))*43,0)+IFERROR(--ISNUMBER(SEARCH("R44",G97))*44,0)+IFERROR(--ISNUMBER(SEARCH("R45",G97))*45,0)+IFERROR(--ISNUMBER(SEARCH("R46",G97))*46,0)+IFERROR(--ISNUMBER(SEARCH("R47",G97))*47,0)+IFERROR(--ISNUMBER(SEARCH("R48",G97))*48,0)+IFERROR(--ISNUMBER(SEARCH("R49",G97))*49,0)+IFERROR(--ISNUMBER(SEARCH("R50",G97))*50,0)+IFERROR(--ISNUMBER(SEARCH("R51",G97))*51,0)+IFERROR(--ISNUMBER(SEARCH("R52",G97))*52,0)+IFERROR(--ISNUMBER(SEARCH("R53",G97))*53,0)+IFERROR(--ISNUMBER(SEARCH("R54",G97))*54,0)+IFERROR(--ISNUMBER(SEARCH("R55",G97))*55,0)+IFERROR(--ISNUMBER(SEARCH("R56",G97))*56,0)+IFERROR(--ISNUMBER(SEARCH("R57",G97))*57,0)+IFERROR(--ISNUMBER(SEARCH("R58",G97))*58,0)+IFERROR(--ISNUMBER(SEARCH("R59",G97))*59,0)+IFERROR(--ISNUMBER(SEARCH("R60",G97))*60,0)+IFERROR(--ISNUMBER(SEARCH("R61",G97))*61,0)+IFERROR(--ISNUMBER(SEARCH("R62",G97))*62,0)+IFERROR(--ISNUMBER(SEARCH("R63",G97))*63,0)+IFERROR(--ISNUMBER(SEARCH("R64",G97))*64,0)+IFERROR(--ISNUMBER(SEARCH("R65",G97))*65,0)+IFERROR(--ISNUMBER(SEARCH("R66",G97))*66,0)+IFERROR(--ISNUMBER(SEARCH("R67",G97))*67,0)+IFERROR(--ISNUMBER(SEARCH("R68",G97))*68,0)+IFERROR(--ISNUMBER(SEARCH("R69",G97))*69,0)+IFERROR(--ISNUMBER(SEARCH("R70",G97))*70,0)+IFERROR(--ISNUMBER(SEARCH("R71",G97))*71,0)+IFERROR(--ISNUMBER(SEARCH("R72",G97))*72,0)+IFERROR(--ISNUMBER(SEARCH("R73",G97))*73,0)+IFERROR(--ISNUMBER(SEARCH("R74",G97))*74,0)+IFERROR(--ISNUMBER(SEARCH("R75",G97))*75,0)+IFERROR(--ISNUMBER(SEARCH("R76",G97))*76,0)+IFERROR(--ISNUMBER(SEARCH("R77",G97))*77,0)+IFERROR(--ISNUMBER(SEARCH("R78",G97))*78,0)+IFERROR(--ISNUMBER(SEARCH("R79",G97))*79,0)+IFERROR(--ISNUMBER(SEARCH("R80",G97))*80,0)+IFERROR(--ISNUMBER(SEARCH("R81",G97))*81,0)+IFERROR(--ISNUMBER(SEARCH("R82",G97))*82,0)+IFERROR(--ISNUMBER(SEARCH("R83",G97))*83,0)+IFERROR(--ISNUMBER(SEARCH("R84",G97))*84,0)+IFERROR(--ISNUMBER(SEARCH("R85",G97))*85,0)+IFERROR(--ISNUMBER(SEARCH("R86",G97))*86,0)+IFERROR(--ISNUMBER(SEARCH("R87",G97))*87,0)+IFERROR(--ISNUMBER(SEARCH("R88",G97))*88,0)+IFERROR(--ISNUMBER(SEARCH("R89",G97))*89,0)+IFERROR(--ISNUMBER(SEARCH("R90",G97))*90,0)+IFERROR(--ISNUMBER(SEARCH("R91",G97))*91,0)+IFERROR(--ISNUMBER(SEARCH("R92",G97))*92,0)+IFERROR(--ISNUMBER(SEARCH("R93",G97))*93,0)+IFERROR(--ISNUMBER(SEARCH("R94",G97))*94,0)+IFERROR(--ISNUMBER(SEARCH("R95",G97))*95,0)+IFERROR(--ISNUMBER(SEARCH("R96",G97))*96,0)+IFERROR(--ISNUMBER(SEARCH("R97",G97))*97,0)+IFERROR(--ISNUMBER(SEARCH("R98",G97))*98,0)+IFERROR(--ISNUMBER(SEARCH("R99",G97))*99,0)+IFERROR(--ISNUMBER(SEARCH("R100",G97))*100,0)+IFERROR(--ISNUMBER(SEARCH("R101",G97))*101,0)+IFERROR(--ISNUMBER(SEARCH("R102",G97))*102,0)+IFERROR(--ISNUMBER(SEARCH("R103",G97))*103,0)+IFERROR(--ISNUMBER(SEARCH("R104",G97))*104,0)+IFERROR(--ISNUMBER(SEARCH("R105",G97))*105,0)+IFERROR(--ISNUMBER(SEARCH("R106",G97))*106,0)+IFERROR(--ISNUMBER(SEARCH("R107",G97))*107,0)+IFERROR(--ISNUMBER(SEARCH("R108",G97))*108,0)+IFERROR(--ISNUMBER(SEARCH("R109",G97))*109,0)+IFERROR(--ISNUMBER(SEARCH("R110",G97))*110,0)+IFERROR(--ISNUMBER(SEARCH("R111",G97))*111,0)+IFERROR(--ISNUMBER(SEARCH("R112",G97))*112,0)+IFERROR(--ISNUMBER(SEARCH("R113",G97))*113,0)+IFERROR(--ISNUMBER(SEARCH("R114",G97))*114,0)+IFERROR(--ISNUMBER(SEARCH("R115",G97))*115,0)+IFERROR(--ISNUMBER(SEARCH("R116",G97))*116,0)+IFERROR(--ISNUMBER(SEARCH("R117",G97))*117,0)+IFERROR(--ISNUMBER(SEARCH("R118",G97))*118,0)+IFERROR(--ISNUMBER(SEARCH("R119",G97))*119,0)+IFERROR(--ISNUMBER(SEARCH("R120",G97))*120,0)+IFERROR(--ISNUMBER(SEARCH("R121",G97))*121,0)+IFERROR(--ISNUMBER(SEARCH("R122",G97))*122,0)+IFERROR(--ISNUMBER(SEARCH("R123",G97))*123,0)+IFERROR(--ISNUMBER(SEARCH("R124",G97))*124,0)+IFERROR(--ISNUMBER(SEARCH("R125",G97))*125,0)+IFERROR(--ISNUMBER(SEARCH("R126",G97))*126,0)+IFERROR(--ISNUMBER(SEARCH("R127",G97))*127,0)+IFERROR(--ISNUMBER(SEARCH("R128",G97))*128,0)+IFERROR(--ISNUMBER(SEARCH("R129",G97))*129,0)+IFERROR(--ISNUMBER(SEARCH("R130",G97))*130,0)+IFERROR(--ISNUMBER(SEARCH("R131",G97))*131,0)+IFERROR(--ISNUMBER(SEARCH("R132",G97))*132,0)+IFERROR(--ISNUMBER(SEARCH("R133",G97))*133,0)+IFERROR(--ISNUMBER(SEARCH("R134",G97))*134,0)+IFERROR(--ISNUMBER(SEARCH("R135",G97))*135,0)+IFERROR(--ISNUMBER(SEARCH("R136",G97))*136,0)+IFERROR(--ISNUMBER(SEARCH("R137",G97))*137,0)+IFERROR(--ISNUMBER(SEARCH("R138",G97))*138,0)+IFERROR(--ISNUMBER(SEARCH("R139",G97))*139,0)+IFERROR(--ISNUMBER(SEARCH("R140",G97))*140,0)+IFERROR(--ISNUMBER(SEARCH("R141",G97))*141,0))</f>
        <v/>
      </c>
      <c r="V97" s="59">
        <f>IF(A97="","",IF(K97&lt;&gt;"",K97,J97))</f>
        <v/>
      </c>
      <c r="W97" s="59">
        <f>IF(A97="","",IF(AND(V97=29,O97&lt;&gt;"",COUNTIFS($V$6:$V$505,29,$F$6:$F$505,F97,$C$6:$C$505,C97,$O$6:$O$505,"&lt;&gt;")&gt;1),IF(COUNTIFS($V$6:V97,29,$F$6:F97,F97,$C$6:C97,C97,$O$6:O97,"&lt;&gt;")=1,"Esta es la fila que se debe CONSERVAR (aparición 1 de "&amp;COUNTIFS($V$6:$V$505,29,$F$6:$F$505,F97,$C$6:$C$505,C97,$O$6:$O$505,"&lt;&gt;")&amp;" con el mismo tercero y valor, casilla 29). Si hay más filas iguales, bórreles el valor a ELLAS, no a esta.","DUPLICADO — ya existe otra fila con el mismo tercero y valor para casilla 29 (aparición "&amp;COUNTIFS($V$6:V97,29,$F$6:F97,F97,$C$6:C97,C97,$O$6:O97,"&lt;&gt;")&amp;" de "&amp;COUNTIFS($V$6:$V$505,29,$F$6:$F$505,F97,$C$6:$C$505,C97,$O$6:$O$505,"&lt;&gt;")&amp;"). Para resolverlo: seleccione la celda O"&amp;ROW()&amp;" (columna Valor a declarar de ESTA fila) y presione Supr."),""))</f>
        <v/>
      </c>
      <c r="X97" s="463">
        <f>IF(A97="","",F97)</f>
        <v/>
      </c>
      <c r="Y97" s="463">
        <f>IF(A97="","",SUMIF(Entrada_Manual!$I$88:$I$187,A97,Entrada_Manual!$F$88:$F$187))</f>
        <v/>
      </c>
      <c r="Z97" s="463">
        <f>IF(A97="","",X97-Y97)</f>
        <v/>
      </c>
      <c r="AA97">
        <f>IF(A97="","",SUMPRODUCT((Entrada_Manual!$I$88:$I$187=A97)*1))</f>
        <v/>
      </c>
      <c r="AB97">
        <f>IF(A97="","",IF(S97&lt;=1,"",IF(AA97=0,"PENDIENTE — SIN ASIGNAR",IF(Z97=0,"RESUELTO","PARCIAL — DIFERENCIA "&amp;TEXT(Z97,"#,##0")))))</f>
        <v/>
      </c>
    </row>
    <row r="98" ht="14.25" customHeight="1" s="235">
      <c r="A98" s="47">
        <f>IF(Exogena_RAW!E107&lt;&gt;"",ROW()-5,"")</f>
        <v/>
      </c>
      <c r="B98" s="48">
        <f>IF(A98="","",107)</f>
        <v/>
      </c>
      <c r="C98" s="48">
        <f>IF(A98="","",IFERROR(Exogena_RAW!A107,""))</f>
        <v/>
      </c>
      <c r="D98" s="48">
        <f>IF(A98="","",IFERROR(Exogena_RAW!B107,""))</f>
        <v/>
      </c>
      <c r="E98" s="48">
        <f>IF(A98="","",Exogena_RAW!E107)</f>
        <v/>
      </c>
      <c r="F98" s="461">
        <f>IF(A98="","",Exogena_RAW!F107)</f>
        <v/>
      </c>
      <c r="G98" s="48">
        <f>IF(A98="","",IFERROR(Exogena_RAW!G107,""))</f>
        <v/>
      </c>
      <c r="H98" s="48">
        <f>IF(A98="","",IFERROR(Exogena_RAW!H107,""))</f>
        <v/>
      </c>
      <c r="I98" s="48">
        <f>IF(A98="","",IFERROR(IF(S98&gt;1,"VARIAS CASILLAS",IF(S98=1,IF(T98=1,"PROPUESTA DE CASILLA","REVISIÓN: CASILLA NO DIRECTA"),IF(OR(ISNUMBER(SEARCH("TOPE",UPPER(E98))),ISNUMBER(SEARCH("TOPE",UPPER(G98)))),"SOLO CONTROL",IF(ISNUMBER(SEARCH("RETEN",UPPER(E98))),"RETENCIÓN","REVISAR")))),"REVISAR"))</f>
        <v/>
      </c>
      <c r="J98" s="48">
        <f>IF(A98="","",IF(ISNUMBER(SEARCH("ingreso laboral promedio de los últimos seis meses",E98)),"",IFERROR(IF(AND(S98=1,T98=1),U98,""),"")))</f>
        <v/>
      </c>
      <c r="K98" s="216" t="n"/>
      <c r="L98" s="48">
        <f>IF(A98="","",IFERROR(IF(K98&lt;&gt;"","Casilla elegida por usuario",IF(S98&gt;1,"Varias casillas — elegir en K",IF(J98&lt;&gt;"","Sugerencia directa",IF(S98=1,"No trasladar directo — revisar",IF(OR(ISNUMBER(SEARCH("TOPE",UPPER(E98))),ISNUMBER(SEARCH("TOPE",UPPER(G98)))),"Solo control","Revisar manualmente"))))),"Revisar manualmente"))</f>
        <v/>
      </c>
      <c r="M98" s="461">
        <f>IF(A98="","",IF(IF(K98&lt;&gt;"",K98,J98)="",0,IF(COUNTIFS(Reglas!$I$5:$I$118,IF(K98&lt;&gt;"",K98,J98),Reglas!$J$5:$J$118,"Sí")=1,F98,0)))</f>
        <v/>
      </c>
      <c r="N98" s="56" t="n"/>
      <c r="O98" s="462">
        <f>IF(A98="","",IF(M98=0,"",M98))</f>
        <v/>
      </c>
      <c r="P98" s="461">
        <f>IF(A98="","",IF(O98="",0,IF(ISNUMBER(O98),O98,0)))</f>
        <v/>
      </c>
      <c r="Q98" s="48">
        <f>IF(A98="","",IF(Exogena_RAW!$C$4="","BLOQUEADO: FALTA AÑO",IF(Exogena_RAW!$K$10&lt;&gt;Reglas!$B$5,"BLOQUEADO: AÑO",IF(IF(K98&lt;&gt;"",K98,J98)="",IF(S98&gt;1,"REQUIERE ASIGNACIÓN MANUAL (VARIAS CASILLAS)","INFORMATIVO (sin casilla — no se declara)"),IF(COUNTIFS(Reglas!$I$5:$I$118,IF(K98&lt;&gt;"",K98,J98),Reglas!$J$5:$J$118,"Sí")=0,"BLOQUEADO: CASILLA NO DIRECTA",IF(O98="","EXCLUIDO (valor borrado por el usuario)",IF(_xlfn.ISFORMULA(O98),IF(W98&lt;&gt;"","BORRADOR — VALOR SUGERIDO DIAN ⚠ VER ALERTA","BORRADOR — VALOR SUGERIDO DIAN"),IF(W98&lt;&gt;"","ACEPTADO ⚠ VER ALERTA","ACEPTADO"))))))))</f>
        <v/>
      </c>
      <c r="R98" s="218" t="n"/>
      <c r="S98" s="58">
        <f>IF(A98="","",IFERROR(--ISNUMBER(SEARCH("R28",G98)),0)+IFERROR(--ISNUMBER(SEARCH("R29",G98)),0)+IFERROR(--ISNUMBER(SEARCH("R30",G98)),0)+IFERROR(--ISNUMBER(SEARCH("R31",G98)),0)+IFERROR(--ISNUMBER(SEARCH("R32",G98)),0)+IFERROR(--ISNUMBER(SEARCH("R33",G98)),0)+IFERROR(--ISNUMBER(SEARCH("R34",G98)),0)+IFERROR(--ISNUMBER(SEARCH("R35",G98)),0)+IFERROR(--ISNUMBER(SEARCH("R36",G98)),0)+IFERROR(--ISNUMBER(SEARCH("R37",G98)),0)+IFERROR(--ISNUMBER(SEARCH("R38",G98)),0)+IFERROR(--ISNUMBER(SEARCH("R39",G98)),0)+IFERROR(--ISNUMBER(SEARCH("R40",G98)),0)+IFERROR(--ISNUMBER(SEARCH("R41",G98)),0)+IFERROR(--ISNUMBER(SEARCH("R42",G98)),0)+IFERROR(--ISNUMBER(SEARCH("R43",G98)),0)+IFERROR(--ISNUMBER(SEARCH("R44",G98)),0)+IFERROR(--ISNUMBER(SEARCH("R45",G98)),0)+IFERROR(--ISNUMBER(SEARCH("R46",G98)),0)+IFERROR(--ISNUMBER(SEARCH("R47",G98)),0)+IFERROR(--ISNUMBER(SEARCH("R48",G98)),0)+IFERROR(--ISNUMBER(SEARCH("R49",G98)),0)+IFERROR(--ISNUMBER(SEARCH("R50",G98)),0)+IFERROR(--ISNUMBER(SEARCH("R51",G98)),0)+IFERROR(--ISNUMBER(SEARCH("R52",G98)),0)+IFERROR(--ISNUMBER(SEARCH("R53",G98)),0)+IFERROR(--ISNUMBER(SEARCH("R54",G98)),0)+IFERROR(--ISNUMBER(SEARCH("R55",G98)),0)+IFERROR(--ISNUMBER(SEARCH("R56",G98)),0)+IFERROR(--ISNUMBER(SEARCH("R57",G98)),0)+IFERROR(--ISNUMBER(SEARCH("R58",G98)),0)+IFERROR(--ISNUMBER(SEARCH("R59",G98)),0)+IFERROR(--ISNUMBER(SEARCH("R60",G98)),0)+IFERROR(--ISNUMBER(SEARCH("R61",G98)),0)+IFERROR(--ISNUMBER(SEARCH("R62",G98)),0)+IFERROR(--ISNUMBER(SEARCH("R63",G98)),0)+IFERROR(--ISNUMBER(SEARCH("R64",G98)),0)+IFERROR(--ISNUMBER(SEARCH("R65",G98)),0)+IFERROR(--ISNUMBER(SEARCH("R66",G98)),0)+IFERROR(--ISNUMBER(SEARCH("R67",G98)),0)+IFERROR(--ISNUMBER(SEARCH("R68",G98)),0)+IFERROR(--ISNUMBER(SEARCH("R69",G98)),0)+IFERROR(--ISNUMBER(SEARCH("R70",G98)),0)+IFERROR(--ISNUMBER(SEARCH("R71",G98)),0)+IFERROR(--ISNUMBER(SEARCH("R72",G98)),0)+IFERROR(--ISNUMBER(SEARCH("R73",G98)),0)+IFERROR(--ISNUMBER(SEARCH("R74",G98)),0)+IFERROR(--ISNUMBER(SEARCH("R75",G98)),0)+IFERROR(--ISNUMBER(SEARCH("R76",G98)),0)+IFERROR(--ISNUMBER(SEARCH("R77",G98)),0)+IFERROR(--ISNUMBER(SEARCH("R78",G98)),0)+IFERROR(--ISNUMBER(SEARCH("R79",G98)),0)+IFERROR(--ISNUMBER(SEARCH("R80",G98)),0)+IFERROR(--ISNUMBER(SEARCH("R81",G98)),0)+IFERROR(--ISNUMBER(SEARCH("R82",G98)),0)+IFERROR(--ISNUMBER(SEARCH("R83",G98)),0)+IFERROR(--ISNUMBER(SEARCH("R84",G98)),0)+IFERROR(--ISNUMBER(SEARCH("R85",G98)),0)+IFERROR(--ISNUMBER(SEARCH("R86",G98)),0)+IFERROR(--ISNUMBER(SEARCH("R87",G98)),0)+IFERROR(--ISNUMBER(SEARCH("R88",G98)),0)+IFERROR(--ISNUMBER(SEARCH("R89",G98)),0)+IFERROR(--ISNUMBER(SEARCH("R90",G98)),0)+IFERROR(--ISNUMBER(SEARCH("R91",G98)),0)+IFERROR(--ISNUMBER(SEARCH("R92",G98)),0)+IFERROR(--ISNUMBER(SEARCH("R93",G98)),0)+IFERROR(--ISNUMBER(SEARCH("R94",G98)),0)+IFERROR(--ISNUMBER(SEARCH("R95",G98)),0)+IFERROR(--ISNUMBER(SEARCH("R96",G98)),0)+IFERROR(--ISNUMBER(SEARCH("R97",G98)),0)+IFERROR(--ISNUMBER(SEARCH("R98",G98)),0)+IFERROR(--ISNUMBER(SEARCH("R99",G98)),0)+IFERROR(--ISNUMBER(SEARCH("R100",G98)),0)+IFERROR(--ISNUMBER(SEARCH("R101",G98)),0)+IFERROR(--ISNUMBER(SEARCH("R102",G98)),0)+IFERROR(--ISNUMBER(SEARCH("R103",G98)),0)+IFERROR(--ISNUMBER(SEARCH("R104",G98)),0)+IFERROR(--ISNUMBER(SEARCH("R105",G98)),0)+IFERROR(--ISNUMBER(SEARCH("R106",G98)),0)+IFERROR(--ISNUMBER(SEARCH("R107",G98)),0)+IFERROR(--ISNUMBER(SEARCH("R108",G98)),0)+IFERROR(--ISNUMBER(SEARCH("R109",G98)),0)+IFERROR(--ISNUMBER(SEARCH("R110",G98)),0)+IFERROR(--ISNUMBER(SEARCH("R111",G98)),0)+IFERROR(--ISNUMBER(SEARCH("R112",G98)),0)+IFERROR(--ISNUMBER(SEARCH("R113",G98)),0)+IFERROR(--ISNUMBER(SEARCH("R114",G98)),0)+IFERROR(--ISNUMBER(SEARCH("R115",G98)),0)+IFERROR(--ISNUMBER(SEARCH("R116",G98)),0)+IFERROR(--ISNUMBER(SEARCH("R117",G98)),0)+IFERROR(--ISNUMBER(SEARCH("R118",G98)),0)+IFERROR(--ISNUMBER(SEARCH("R119",G98)),0)+IFERROR(--ISNUMBER(SEARCH("R120",G98)),0)+IFERROR(--ISNUMBER(SEARCH("R121",G98)),0)+IFERROR(--ISNUMBER(SEARCH("R122",G98)),0)+IFERROR(--ISNUMBER(SEARCH("R123",G98)),0)+IFERROR(--ISNUMBER(SEARCH("R124",G98)),0)+IFERROR(--ISNUMBER(SEARCH("R125",G98)),0)+IFERROR(--ISNUMBER(SEARCH("R126",G98)),0)+IFERROR(--ISNUMBER(SEARCH("R127",G98)),0)+IFERROR(--ISNUMBER(SEARCH("R128",G98)),0)+IFERROR(--ISNUMBER(SEARCH("R129",G98)),0)+IFERROR(--ISNUMBER(SEARCH("R130",G98)),0)+IFERROR(--ISNUMBER(SEARCH("R131",G98)),0)+IFERROR(--ISNUMBER(SEARCH("R132",G98)),0)+IFERROR(--ISNUMBER(SEARCH("R133",G98)),0)+IFERROR(--ISNUMBER(SEARCH("R134",G98)),0)+IFERROR(--ISNUMBER(SEARCH("R135",G98)),0)+IFERROR(--ISNUMBER(SEARCH("R136",G98)),0)+IFERROR(--ISNUMBER(SEARCH("R137",G98)),0)+IFERROR(--ISNUMBER(SEARCH("R138",G98)),0)+IFERROR(--ISNUMBER(SEARCH("R139",G98)),0)+IFERROR(--ISNUMBER(SEARCH("R140",G98)),0)+IFERROR(--ISNUMBER(SEARCH("R141",G98)),0))</f>
        <v/>
      </c>
      <c r="T98" s="58">
        <f>IF(A98="","",IFERROR(--ISNUMBER(SEARCH("R28",G98)),0)+IFERROR(--ISNUMBER(SEARCH("R29",G98)),0)+IFERROR(--ISNUMBER(SEARCH("R30",G98)),0)+IFERROR(--ISNUMBER(SEARCH("R32",G98)),0)+IFERROR(--ISNUMBER(SEARCH("R33",G98)),0)+IFERROR(--ISNUMBER(SEARCH("R35",G98)),0)+IFERROR(--ISNUMBER(SEARCH("R36",G98)),0)+IFERROR(--ISNUMBER(SEARCH("R38",G98)),0)+IFERROR(--ISNUMBER(SEARCH("R39",G98)),0)+IFERROR(--ISNUMBER(SEARCH("R43",G98)),0)+IFERROR(--ISNUMBER(SEARCH("R44",G98)),0)+IFERROR(--ISNUMBER(SEARCH("R45",G98)),0)+IFERROR(--ISNUMBER(SEARCH("R47",G98)),0)+IFERROR(--ISNUMBER(SEARCH("R48",G98)),0)+IFERROR(--ISNUMBER(SEARCH("R50",G98)),0)+IFERROR(--ISNUMBER(SEARCH("R51",G98)),0)+IFERROR(--ISNUMBER(SEARCH("R56",G98)),0)+IFERROR(--ISNUMBER(SEARCH("R58",G98)),0)+IFERROR(--ISNUMBER(SEARCH("R59",G98)),0)+IFERROR(--ISNUMBER(SEARCH("R60",G98)),0)+IFERROR(--ISNUMBER(SEARCH("R62",G98)),0)+IFERROR(--ISNUMBER(SEARCH("R63",G98)),0)+IFERROR(--ISNUMBER(SEARCH("R64",G98)),0)+IFERROR(--ISNUMBER(SEARCH("R66",G98)),0)+IFERROR(--ISNUMBER(SEARCH("R67",G98)),0)+IFERROR(--ISNUMBER(SEARCH("R72",G98)),0)+IFERROR(--ISNUMBER(SEARCH("R74",G98)),0)+IFERROR(--ISNUMBER(SEARCH("R75",G98)),0)+IFERROR(--ISNUMBER(SEARCH("R76",G98)),0)+IFERROR(--ISNUMBER(SEARCH("R77",G98)),0)+IFERROR(--ISNUMBER(SEARCH("R79",G98)),0)+IFERROR(--ISNUMBER(SEARCH("R80",G98)),0)+IFERROR(--ISNUMBER(SEARCH("R81",G98)),0)+IFERROR(--ISNUMBER(SEARCH("R83",G98)),0)+IFERROR(--ISNUMBER(SEARCH("R84",G98)),0)+IFERROR(--ISNUMBER(SEARCH("R89",G98)),0)+IFERROR(--ISNUMBER(SEARCH("R94",G98)),0)+IFERROR(--ISNUMBER(SEARCH("R95",G98)),0)+IFERROR(--ISNUMBER(SEARCH("R96",G98)),0)+IFERROR(--ISNUMBER(SEARCH("R98",G98)),0)+IFERROR(--ISNUMBER(SEARCH("R99",G98)),0)+IFERROR(--ISNUMBER(SEARCH("R100",G98)),0)+IFERROR(--ISNUMBER(SEARCH("R104",G98)),0)+IFERROR(--ISNUMBER(SEARCH("R105",G98)),0)+IFERROR(--ISNUMBER(SEARCH("R107",G98)),0)+IFERROR(--ISNUMBER(SEARCH("R108",G98)),0)+IFERROR(--ISNUMBER(SEARCH("R109",G98)),0)+IFERROR(--ISNUMBER(SEARCH("R110",G98)),0)+IFERROR(--ISNUMBER(SEARCH("R112",G98)),0)+IFERROR(--ISNUMBER(SEARCH("R113",G98)),0)+IFERROR(--ISNUMBER(SEARCH("R114",G98)),0)+IFERROR(--ISNUMBER(SEARCH("R118",G98)),0)+IFERROR(--ISNUMBER(SEARCH("R119",G98)),0)+IFERROR(--ISNUMBER(SEARCH("R120",G98)),0)+IFERROR(--ISNUMBER(SEARCH("R122",G98)),0)+IFERROR(--ISNUMBER(SEARCH("R123",G98)),0)+IFERROR(--ISNUMBER(SEARCH("R124",G98)),0)+IFERROR(--ISNUMBER(SEARCH("R128",G98)),0)+IFERROR(--ISNUMBER(SEARCH("R130",G98)),0)+IFERROR(--ISNUMBER(SEARCH("R131",G98)),0)+IFERROR(--ISNUMBER(SEARCH("R132",G98)),0)+IFERROR(--ISNUMBER(SEARCH("R135",G98)),0)+IFERROR(--ISNUMBER(SEARCH("R138",G98)),0)+IFERROR(--ISNUMBER(SEARCH("R141",G98)),0))</f>
        <v/>
      </c>
      <c r="U98" s="58">
        <f>IF(A98="","",IFERROR(--ISNUMBER(SEARCH("R28",G98))*28,0)+IFERROR(--ISNUMBER(SEARCH("R29",G98))*29,0)+IFERROR(--ISNUMBER(SEARCH("R30",G98))*30,0)+IFERROR(--ISNUMBER(SEARCH("R31",G98))*31,0)+IFERROR(--ISNUMBER(SEARCH("R32",G98))*32,0)+IFERROR(--ISNUMBER(SEARCH("R33",G98))*33,0)+IFERROR(--ISNUMBER(SEARCH("R34",G98))*34,0)+IFERROR(--ISNUMBER(SEARCH("R35",G98))*35,0)+IFERROR(--ISNUMBER(SEARCH("R36",G98))*36,0)+IFERROR(--ISNUMBER(SEARCH("R37",G98))*37,0)+IFERROR(--ISNUMBER(SEARCH("R38",G98))*38,0)+IFERROR(--ISNUMBER(SEARCH("R39",G98))*39,0)+IFERROR(--ISNUMBER(SEARCH("R40",G98))*40,0)+IFERROR(--ISNUMBER(SEARCH("R41",G98))*41,0)+IFERROR(--ISNUMBER(SEARCH("R42",G98))*42,0)+IFERROR(--ISNUMBER(SEARCH("R43",G98))*43,0)+IFERROR(--ISNUMBER(SEARCH("R44",G98))*44,0)+IFERROR(--ISNUMBER(SEARCH("R45",G98))*45,0)+IFERROR(--ISNUMBER(SEARCH("R46",G98))*46,0)+IFERROR(--ISNUMBER(SEARCH("R47",G98))*47,0)+IFERROR(--ISNUMBER(SEARCH("R48",G98))*48,0)+IFERROR(--ISNUMBER(SEARCH("R49",G98))*49,0)+IFERROR(--ISNUMBER(SEARCH("R50",G98))*50,0)+IFERROR(--ISNUMBER(SEARCH("R51",G98))*51,0)+IFERROR(--ISNUMBER(SEARCH("R52",G98))*52,0)+IFERROR(--ISNUMBER(SEARCH("R53",G98))*53,0)+IFERROR(--ISNUMBER(SEARCH("R54",G98))*54,0)+IFERROR(--ISNUMBER(SEARCH("R55",G98))*55,0)+IFERROR(--ISNUMBER(SEARCH("R56",G98))*56,0)+IFERROR(--ISNUMBER(SEARCH("R57",G98))*57,0)+IFERROR(--ISNUMBER(SEARCH("R58",G98))*58,0)+IFERROR(--ISNUMBER(SEARCH("R59",G98))*59,0)+IFERROR(--ISNUMBER(SEARCH("R60",G98))*60,0)+IFERROR(--ISNUMBER(SEARCH("R61",G98))*61,0)+IFERROR(--ISNUMBER(SEARCH("R62",G98))*62,0)+IFERROR(--ISNUMBER(SEARCH("R63",G98))*63,0)+IFERROR(--ISNUMBER(SEARCH("R64",G98))*64,0)+IFERROR(--ISNUMBER(SEARCH("R65",G98))*65,0)+IFERROR(--ISNUMBER(SEARCH("R66",G98))*66,0)+IFERROR(--ISNUMBER(SEARCH("R67",G98))*67,0)+IFERROR(--ISNUMBER(SEARCH("R68",G98))*68,0)+IFERROR(--ISNUMBER(SEARCH("R69",G98))*69,0)+IFERROR(--ISNUMBER(SEARCH("R70",G98))*70,0)+IFERROR(--ISNUMBER(SEARCH("R71",G98))*71,0)+IFERROR(--ISNUMBER(SEARCH("R72",G98))*72,0)+IFERROR(--ISNUMBER(SEARCH("R73",G98))*73,0)+IFERROR(--ISNUMBER(SEARCH("R74",G98))*74,0)+IFERROR(--ISNUMBER(SEARCH("R75",G98))*75,0)+IFERROR(--ISNUMBER(SEARCH("R76",G98))*76,0)+IFERROR(--ISNUMBER(SEARCH("R77",G98))*77,0)+IFERROR(--ISNUMBER(SEARCH("R78",G98))*78,0)+IFERROR(--ISNUMBER(SEARCH("R79",G98))*79,0)+IFERROR(--ISNUMBER(SEARCH("R80",G98))*80,0)+IFERROR(--ISNUMBER(SEARCH("R81",G98))*81,0)+IFERROR(--ISNUMBER(SEARCH("R82",G98))*82,0)+IFERROR(--ISNUMBER(SEARCH("R83",G98))*83,0)+IFERROR(--ISNUMBER(SEARCH("R84",G98))*84,0)+IFERROR(--ISNUMBER(SEARCH("R85",G98))*85,0)+IFERROR(--ISNUMBER(SEARCH("R86",G98))*86,0)+IFERROR(--ISNUMBER(SEARCH("R87",G98))*87,0)+IFERROR(--ISNUMBER(SEARCH("R88",G98))*88,0)+IFERROR(--ISNUMBER(SEARCH("R89",G98))*89,0)+IFERROR(--ISNUMBER(SEARCH("R90",G98))*90,0)+IFERROR(--ISNUMBER(SEARCH("R91",G98))*91,0)+IFERROR(--ISNUMBER(SEARCH("R92",G98))*92,0)+IFERROR(--ISNUMBER(SEARCH("R93",G98))*93,0)+IFERROR(--ISNUMBER(SEARCH("R94",G98))*94,0)+IFERROR(--ISNUMBER(SEARCH("R95",G98))*95,0)+IFERROR(--ISNUMBER(SEARCH("R96",G98))*96,0)+IFERROR(--ISNUMBER(SEARCH("R97",G98))*97,0)+IFERROR(--ISNUMBER(SEARCH("R98",G98))*98,0)+IFERROR(--ISNUMBER(SEARCH("R99",G98))*99,0)+IFERROR(--ISNUMBER(SEARCH("R100",G98))*100,0)+IFERROR(--ISNUMBER(SEARCH("R101",G98))*101,0)+IFERROR(--ISNUMBER(SEARCH("R102",G98))*102,0)+IFERROR(--ISNUMBER(SEARCH("R103",G98))*103,0)+IFERROR(--ISNUMBER(SEARCH("R104",G98))*104,0)+IFERROR(--ISNUMBER(SEARCH("R105",G98))*105,0)+IFERROR(--ISNUMBER(SEARCH("R106",G98))*106,0)+IFERROR(--ISNUMBER(SEARCH("R107",G98))*107,0)+IFERROR(--ISNUMBER(SEARCH("R108",G98))*108,0)+IFERROR(--ISNUMBER(SEARCH("R109",G98))*109,0)+IFERROR(--ISNUMBER(SEARCH("R110",G98))*110,0)+IFERROR(--ISNUMBER(SEARCH("R111",G98))*111,0)+IFERROR(--ISNUMBER(SEARCH("R112",G98))*112,0)+IFERROR(--ISNUMBER(SEARCH("R113",G98))*113,0)+IFERROR(--ISNUMBER(SEARCH("R114",G98))*114,0)+IFERROR(--ISNUMBER(SEARCH("R115",G98))*115,0)+IFERROR(--ISNUMBER(SEARCH("R116",G98))*116,0)+IFERROR(--ISNUMBER(SEARCH("R117",G98))*117,0)+IFERROR(--ISNUMBER(SEARCH("R118",G98))*118,0)+IFERROR(--ISNUMBER(SEARCH("R119",G98))*119,0)+IFERROR(--ISNUMBER(SEARCH("R120",G98))*120,0)+IFERROR(--ISNUMBER(SEARCH("R121",G98))*121,0)+IFERROR(--ISNUMBER(SEARCH("R122",G98))*122,0)+IFERROR(--ISNUMBER(SEARCH("R123",G98))*123,0)+IFERROR(--ISNUMBER(SEARCH("R124",G98))*124,0)+IFERROR(--ISNUMBER(SEARCH("R125",G98))*125,0)+IFERROR(--ISNUMBER(SEARCH("R126",G98))*126,0)+IFERROR(--ISNUMBER(SEARCH("R127",G98))*127,0)+IFERROR(--ISNUMBER(SEARCH("R128",G98))*128,0)+IFERROR(--ISNUMBER(SEARCH("R129",G98))*129,0)+IFERROR(--ISNUMBER(SEARCH("R130",G98))*130,0)+IFERROR(--ISNUMBER(SEARCH("R131",G98))*131,0)+IFERROR(--ISNUMBER(SEARCH("R132",G98))*132,0)+IFERROR(--ISNUMBER(SEARCH("R133",G98))*133,0)+IFERROR(--ISNUMBER(SEARCH("R134",G98))*134,0)+IFERROR(--ISNUMBER(SEARCH("R135",G98))*135,0)+IFERROR(--ISNUMBER(SEARCH("R136",G98))*136,0)+IFERROR(--ISNUMBER(SEARCH("R137",G98))*137,0)+IFERROR(--ISNUMBER(SEARCH("R138",G98))*138,0)+IFERROR(--ISNUMBER(SEARCH("R139",G98))*139,0)+IFERROR(--ISNUMBER(SEARCH("R140",G98))*140,0)+IFERROR(--ISNUMBER(SEARCH("R141",G98))*141,0))</f>
        <v/>
      </c>
      <c r="V98" s="59">
        <f>IF(A98="","",IF(K98&lt;&gt;"",K98,J98))</f>
        <v/>
      </c>
      <c r="W98" s="59">
        <f>IF(A98="","",IF(AND(V98=29,O98&lt;&gt;"",COUNTIFS($V$6:$V$505,29,$F$6:$F$505,F98,$C$6:$C$505,C98,$O$6:$O$505,"&lt;&gt;")&gt;1),IF(COUNTIFS($V$6:V98,29,$F$6:F98,F98,$C$6:C98,C98,$O$6:O98,"&lt;&gt;")=1,"Esta es la fila que se debe CONSERVAR (aparición 1 de "&amp;COUNTIFS($V$6:$V$505,29,$F$6:$F$505,F98,$C$6:$C$505,C98,$O$6:$O$505,"&lt;&gt;")&amp;" con el mismo tercero y valor, casilla 29). Si hay más filas iguales, bórreles el valor a ELLAS, no a esta.","DUPLICADO — ya existe otra fila con el mismo tercero y valor para casilla 29 (aparición "&amp;COUNTIFS($V$6:V98,29,$F$6:F98,F98,$C$6:C98,C98,$O$6:O98,"&lt;&gt;")&amp;" de "&amp;COUNTIFS($V$6:$V$505,29,$F$6:$F$505,F98,$C$6:$C$505,C98,$O$6:$O$505,"&lt;&gt;")&amp;"). Para resolverlo: seleccione la celda O"&amp;ROW()&amp;" (columna Valor a declarar de ESTA fila) y presione Supr."),""))</f>
        <v/>
      </c>
      <c r="X98" s="463">
        <f>IF(A98="","",F98)</f>
        <v/>
      </c>
      <c r="Y98" s="463">
        <f>IF(A98="","",SUMIF(Entrada_Manual!$I$88:$I$187,A98,Entrada_Manual!$F$88:$F$187))</f>
        <v/>
      </c>
      <c r="Z98" s="463">
        <f>IF(A98="","",X98-Y98)</f>
        <v/>
      </c>
      <c r="AA98">
        <f>IF(A98="","",SUMPRODUCT((Entrada_Manual!$I$88:$I$187=A98)*1))</f>
        <v/>
      </c>
      <c r="AB98">
        <f>IF(A98="","",IF(S98&lt;=1,"",IF(AA98=0,"PENDIENTE — SIN ASIGNAR",IF(Z98=0,"RESUELTO","PARCIAL — DIFERENCIA "&amp;TEXT(Z98,"#,##0")))))</f>
        <v/>
      </c>
    </row>
    <row r="99" ht="14.25" customHeight="1" s="235">
      <c r="A99" s="47">
        <f>IF(Exogena_RAW!E108&lt;&gt;"",ROW()-5,"")</f>
        <v/>
      </c>
      <c r="B99" s="48">
        <f>IF(A99="","",108)</f>
        <v/>
      </c>
      <c r="C99" s="48">
        <f>IF(A99="","",IFERROR(Exogena_RAW!A108,""))</f>
        <v/>
      </c>
      <c r="D99" s="48">
        <f>IF(A99="","",IFERROR(Exogena_RAW!B108,""))</f>
        <v/>
      </c>
      <c r="E99" s="48">
        <f>IF(A99="","",Exogena_RAW!E108)</f>
        <v/>
      </c>
      <c r="F99" s="461">
        <f>IF(A99="","",Exogena_RAW!F108)</f>
        <v/>
      </c>
      <c r="G99" s="48">
        <f>IF(A99="","",IFERROR(Exogena_RAW!G108,""))</f>
        <v/>
      </c>
      <c r="H99" s="48">
        <f>IF(A99="","",IFERROR(Exogena_RAW!H108,""))</f>
        <v/>
      </c>
      <c r="I99" s="48">
        <f>IF(A99="","",IFERROR(IF(S99&gt;1,"VARIAS CASILLAS",IF(S99=1,IF(T99=1,"PROPUESTA DE CASILLA","REVISIÓN: CASILLA NO DIRECTA"),IF(OR(ISNUMBER(SEARCH("TOPE",UPPER(E99))),ISNUMBER(SEARCH("TOPE",UPPER(G99)))),"SOLO CONTROL",IF(ISNUMBER(SEARCH("RETEN",UPPER(E99))),"RETENCIÓN","REVISAR")))),"REVISAR"))</f>
        <v/>
      </c>
      <c r="J99" s="48">
        <f>IF(A99="","",IF(ISNUMBER(SEARCH("ingreso laboral promedio de los últimos seis meses",E99)),"",IFERROR(IF(AND(S99=1,T99=1),U99,""),"")))</f>
        <v/>
      </c>
      <c r="K99" s="216" t="n"/>
      <c r="L99" s="48">
        <f>IF(A99="","",IFERROR(IF(K99&lt;&gt;"","Casilla elegida por usuario",IF(S99&gt;1,"Varias casillas — elegir en K",IF(J99&lt;&gt;"","Sugerencia directa",IF(S99=1,"No trasladar directo — revisar",IF(OR(ISNUMBER(SEARCH("TOPE",UPPER(E99))),ISNUMBER(SEARCH("TOPE",UPPER(G99)))),"Solo control","Revisar manualmente"))))),"Revisar manualmente"))</f>
        <v/>
      </c>
      <c r="M99" s="461">
        <f>IF(A99="","",IF(IF(K99&lt;&gt;"",K99,J99)="",0,IF(COUNTIFS(Reglas!$I$5:$I$118,IF(K99&lt;&gt;"",K99,J99),Reglas!$J$5:$J$118,"Sí")=1,F99,0)))</f>
        <v/>
      </c>
      <c r="N99" s="56" t="n"/>
      <c r="O99" s="462">
        <f>IF(A99="","",IF(M99=0,"",M99))</f>
        <v/>
      </c>
      <c r="P99" s="461">
        <f>IF(A99="","",IF(O99="",0,IF(ISNUMBER(O99),O99,0)))</f>
        <v/>
      </c>
      <c r="Q99" s="48">
        <f>IF(A99="","",IF(Exogena_RAW!$C$4="","BLOQUEADO: FALTA AÑO",IF(Exogena_RAW!$K$10&lt;&gt;Reglas!$B$5,"BLOQUEADO: AÑO",IF(IF(K99&lt;&gt;"",K99,J99)="",IF(S99&gt;1,"REQUIERE ASIGNACIÓN MANUAL (VARIAS CASILLAS)","INFORMATIVO (sin casilla — no se declara)"),IF(COUNTIFS(Reglas!$I$5:$I$118,IF(K99&lt;&gt;"",K99,J99),Reglas!$J$5:$J$118,"Sí")=0,"BLOQUEADO: CASILLA NO DIRECTA",IF(O99="","EXCLUIDO (valor borrado por el usuario)",IF(_xlfn.ISFORMULA(O99),IF(W99&lt;&gt;"","BORRADOR — VALOR SUGERIDO DIAN ⚠ VER ALERTA","BORRADOR — VALOR SUGERIDO DIAN"),IF(W99&lt;&gt;"","ACEPTADO ⚠ VER ALERTA","ACEPTADO"))))))))</f>
        <v/>
      </c>
      <c r="R99" s="218" t="n"/>
      <c r="S99" s="58">
        <f>IF(A99="","",IFERROR(--ISNUMBER(SEARCH("R28",G99)),0)+IFERROR(--ISNUMBER(SEARCH("R29",G99)),0)+IFERROR(--ISNUMBER(SEARCH("R30",G99)),0)+IFERROR(--ISNUMBER(SEARCH("R31",G99)),0)+IFERROR(--ISNUMBER(SEARCH("R32",G99)),0)+IFERROR(--ISNUMBER(SEARCH("R33",G99)),0)+IFERROR(--ISNUMBER(SEARCH("R34",G99)),0)+IFERROR(--ISNUMBER(SEARCH("R35",G99)),0)+IFERROR(--ISNUMBER(SEARCH("R36",G99)),0)+IFERROR(--ISNUMBER(SEARCH("R37",G99)),0)+IFERROR(--ISNUMBER(SEARCH("R38",G99)),0)+IFERROR(--ISNUMBER(SEARCH("R39",G99)),0)+IFERROR(--ISNUMBER(SEARCH("R40",G99)),0)+IFERROR(--ISNUMBER(SEARCH("R41",G99)),0)+IFERROR(--ISNUMBER(SEARCH("R42",G99)),0)+IFERROR(--ISNUMBER(SEARCH("R43",G99)),0)+IFERROR(--ISNUMBER(SEARCH("R44",G99)),0)+IFERROR(--ISNUMBER(SEARCH("R45",G99)),0)+IFERROR(--ISNUMBER(SEARCH("R46",G99)),0)+IFERROR(--ISNUMBER(SEARCH("R47",G99)),0)+IFERROR(--ISNUMBER(SEARCH("R48",G99)),0)+IFERROR(--ISNUMBER(SEARCH("R49",G99)),0)+IFERROR(--ISNUMBER(SEARCH("R50",G99)),0)+IFERROR(--ISNUMBER(SEARCH("R51",G99)),0)+IFERROR(--ISNUMBER(SEARCH("R52",G99)),0)+IFERROR(--ISNUMBER(SEARCH("R53",G99)),0)+IFERROR(--ISNUMBER(SEARCH("R54",G99)),0)+IFERROR(--ISNUMBER(SEARCH("R55",G99)),0)+IFERROR(--ISNUMBER(SEARCH("R56",G99)),0)+IFERROR(--ISNUMBER(SEARCH("R57",G99)),0)+IFERROR(--ISNUMBER(SEARCH("R58",G99)),0)+IFERROR(--ISNUMBER(SEARCH("R59",G99)),0)+IFERROR(--ISNUMBER(SEARCH("R60",G99)),0)+IFERROR(--ISNUMBER(SEARCH("R61",G99)),0)+IFERROR(--ISNUMBER(SEARCH("R62",G99)),0)+IFERROR(--ISNUMBER(SEARCH("R63",G99)),0)+IFERROR(--ISNUMBER(SEARCH("R64",G99)),0)+IFERROR(--ISNUMBER(SEARCH("R65",G99)),0)+IFERROR(--ISNUMBER(SEARCH("R66",G99)),0)+IFERROR(--ISNUMBER(SEARCH("R67",G99)),0)+IFERROR(--ISNUMBER(SEARCH("R68",G99)),0)+IFERROR(--ISNUMBER(SEARCH("R69",G99)),0)+IFERROR(--ISNUMBER(SEARCH("R70",G99)),0)+IFERROR(--ISNUMBER(SEARCH("R71",G99)),0)+IFERROR(--ISNUMBER(SEARCH("R72",G99)),0)+IFERROR(--ISNUMBER(SEARCH("R73",G99)),0)+IFERROR(--ISNUMBER(SEARCH("R74",G99)),0)+IFERROR(--ISNUMBER(SEARCH("R75",G99)),0)+IFERROR(--ISNUMBER(SEARCH("R76",G99)),0)+IFERROR(--ISNUMBER(SEARCH("R77",G99)),0)+IFERROR(--ISNUMBER(SEARCH("R78",G99)),0)+IFERROR(--ISNUMBER(SEARCH("R79",G99)),0)+IFERROR(--ISNUMBER(SEARCH("R80",G99)),0)+IFERROR(--ISNUMBER(SEARCH("R81",G99)),0)+IFERROR(--ISNUMBER(SEARCH("R82",G99)),0)+IFERROR(--ISNUMBER(SEARCH("R83",G99)),0)+IFERROR(--ISNUMBER(SEARCH("R84",G99)),0)+IFERROR(--ISNUMBER(SEARCH("R85",G99)),0)+IFERROR(--ISNUMBER(SEARCH("R86",G99)),0)+IFERROR(--ISNUMBER(SEARCH("R87",G99)),0)+IFERROR(--ISNUMBER(SEARCH("R88",G99)),0)+IFERROR(--ISNUMBER(SEARCH("R89",G99)),0)+IFERROR(--ISNUMBER(SEARCH("R90",G99)),0)+IFERROR(--ISNUMBER(SEARCH("R91",G99)),0)+IFERROR(--ISNUMBER(SEARCH("R92",G99)),0)+IFERROR(--ISNUMBER(SEARCH("R93",G99)),0)+IFERROR(--ISNUMBER(SEARCH("R94",G99)),0)+IFERROR(--ISNUMBER(SEARCH("R95",G99)),0)+IFERROR(--ISNUMBER(SEARCH("R96",G99)),0)+IFERROR(--ISNUMBER(SEARCH("R97",G99)),0)+IFERROR(--ISNUMBER(SEARCH("R98",G99)),0)+IFERROR(--ISNUMBER(SEARCH("R99",G99)),0)+IFERROR(--ISNUMBER(SEARCH("R100",G99)),0)+IFERROR(--ISNUMBER(SEARCH("R101",G99)),0)+IFERROR(--ISNUMBER(SEARCH("R102",G99)),0)+IFERROR(--ISNUMBER(SEARCH("R103",G99)),0)+IFERROR(--ISNUMBER(SEARCH("R104",G99)),0)+IFERROR(--ISNUMBER(SEARCH("R105",G99)),0)+IFERROR(--ISNUMBER(SEARCH("R106",G99)),0)+IFERROR(--ISNUMBER(SEARCH("R107",G99)),0)+IFERROR(--ISNUMBER(SEARCH("R108",G99)),0)+IFERROR(--ISNUMBER(SEARCH("R109",G99)),0)+IFERROR(--ISNUMBER(SEARCH("R110",G99)),0)+IFERROR(--ISNUMBER(SEARCH("R111",G99)),0)+IFERROR(--ISNUMBER(SEARCH("R112",G99)),0)+IFERROR(--ISNUMBER(SEARCH("R113",G99)),0)+IFERROR(--ISNUMBER(SEARCH("R114",G99)),0)+IFERROR(--ISNUMBER(SEARCH("R115",G99)),0)+IFERROR(--ISNUMBER(SEARCH("R116",G99)),0)+IFERROR(--ISNUMBER(SEARCH("R117",G99)),0)+IFERROR(--ISNUMBER(SEARCH("R118",G99)),0)+IFERROR(--ISNUMBER(SEARCH("R119",G99)),0)+IFERROR(--ISNUMBER(SEARCH("R120",G99)),0)+IFERROR(--ISNUMBER(SEARCH("R121",G99)),0)+IFERROR(--ISNUMBER(SEARCH("R122",G99)),0)+IFERROR(--ISNUMBER(SEARCH("R123",G99)),0)+IFERROR(--ISNUMBER(SEARCH("R124",G99)),0)+IFERROR(--ISNUMBER(SEARCH("R125",G99)),0)+IFERROR(--ISNUMBER(SEARCH("R126",G99)),0)+IFERROR(--ISNUMBER(SEARCH("R127",G99)),0)+IFERROR(--ISNUMBER(SEARCH("R128",G99)),0)+IFERROR(--ISNUMBER(SEARCH("R129",G99)),0)+IFERROR(--ISNUMBER(SEARCH("R130",G99)),0)+IFERROR(--ISNUMBER(SEARCH("R131",G99)),0)+IFERROR(--ISNUMBER(SEARCH("R132",G99)),0)+IFERROR(--ISNUMBER(SEARCH("R133",G99)),0)+IFERROR(--ISNUMBER(SEARCH("R134",G99)),0)+IFERROR(--ISNUMBER(SEARCH("R135",G99)),0)+IFERROR(--ISNUMBER(SEARCH("R136",G99)),0)+IFERROR(--ISNUMBER(SEARCH("R137",G99)),0)+IFERROR(--ISNUMBER(SEARCH("R138",G99)),0)+IFERROR(--ISNUMBER(SEARCH("R139",G99)),0)+IFERROR(--ISNUMBER(SEARCH("R140",G99)),0)+IFERROR(--ISNUMBER(SEARCH("R141",G99)),0))</f>
        <v/>
      </c>
      <c r="T99" s="58">
        <f>IF(A99="","",IFERROR(--ISNUMBER(SEARCH("R28",G99)),0)+IFERROR(--ISNUMBER(SEARCH("R29",G99)),0)+IFERROR(--ISNUMBER(SEARCH("R30",G99)),0)+IFERROR(--ISNUMBER(SEARCH("R32",G99)),0)+IFERROR(--ISNUMBER(SEARCH("R33",G99)),0)+IFERROR(--ISNUMBER(SEARCH("R35",G99)),0)+IFERROR(--ISNUMBER(SEARCH("R36",G99)),0)+IFERROR(--ISNUMBER(SEARCH("R38",G99)),0)+IFERROR(--ISNUMBER(SEARCH("R39",G99)),0)+IFERROR(--ISNUMBER(SEARCH("R43",G99)),0)+IFERROR(--ISNUMBER(SEARCH("R44",G99)),0)+IFERROR(--ISNUMBER(SEARCH("R45",G99)),0)+IFERROR(--ISNUMBER(SEARCH("R47",G99)),0)+IFERROR(--ISNUMBER(SEARCH("R48",G99)),0)+IFERROR(--ISNUMBER(SEARCH("R50",G99)),0)+IFERROR(--ISNUMBER(SEARCH("R51",G99)),0)+IFERROR(--ISNUMBER(SEARCH("R56",G99)),0)+IFERROR(--ISNUMBER(SEARCH("R58",G99)),0)+IFERROR(--ISNUMBER(SEARCH("R59",G99)),0)+IFERROR(--ISNUMBER(SEARCH("R60",G99)),0)+IFERROR(--ISNUMBER(SEARCH("R62",G99)),0)+IFERROR(--ISNUMBER(SEARCH("R63",G99)),0)+IFERROR(--ISNUMBER(SEARCH("R64",G99)),0)+IFERROR(--ISNUMBER(SEARCH("R66",G99)),0)+IFERROR(--ISNUMBER(SEARCH("R67",G99)),0)+IFERROR(--ISNUMBER(SEARCH("R72",G99)),0)+IFERROR(--ISNUMBER(SEARCH("R74",G99)),0)+IFERROR(--ISNUMBER(SEARCH("R75",G99)),0)+IFERROR(--ISNUMBER(SEARCH("R76",G99)),0)+IFERROR(--ISNUMBER(SEARCH("R77",G99)),0)+IFERROR(--ISNUMBER(SEARCH("R79",G99)),0)+IFERROR(--ISNUMBER(SEARCH("R80",G99)),0)+IFERROR(--ISNUMBER(SEARCH("R81",G99)),0)+IFERROR(--ISNUMBER(SEARCH("R83",G99)),0)+IFERROR(--ISNUMBER(SEARCH("R84",G99)),0)+IFERROR(--ISNUMBER(SEARCH("R89",G99)),0)+IFERROR(--ISNUMBER(SEARCH("R94",G99)),0)+IFERROR(--ISNUMBER(SEARCH("R95",G99)),0)+IFERROR(--ISNUMBER(SEARCH("R96",G99)),0)+IFERROR(--ISNUMBER(SEARCH("R98",G99)),0)+IFERROR(--ISNUMBER(SEARCH("R99",G99)),0)+IFERROR(--ISNUMBER(SEARCH("R100",G99)),0)+IFERROR(--ISNUMBER(SEARCH("R104",G99)),0)+IFERROR(--ISNUMBER(SEARCH("R105",G99)),0)+IFERROR(--ISNUMBER(SEARCH("R107",G99)),0)+IFERROR(--ISNUMBER(SEARCH("R108",G99)),0)+IFERROR(--ISNUMBER(SEARCH("R109",G99)),0)+IFERROR(--ISNUMBER(SEARCH("R110",G99)),0)+IFERROR(--ISNUMBER(SEARCH("R112",G99)),0)+IFERROR(--ISNUMBER(SEARCH("R113",G99)),0)+IFERROR(--ISNUMBER(SEARCH("R114",G99)),0)+IFERROR(--ISNUMBER(SEARCH("R118",G99)),0)+IFERROR(--ISNUMBER(SEARCH("R119",G99)),0)+IFERROR(--ISNUMBER(SEARCH("R120",G99)),0)+IFERROR(--ISNUMBER(SEARCH("R122",G99)),0)+IFERROR(--ISNUMBER(SEARCH("R123",G99)),0)+IFERROR(--ISNUMBER(SEARCH("R124",G99)),0)+IFERROR(--ISNUMBER(SEARCH("R128",G99)),0)+IFERROR(--ISNUMBER(SEARCH("R130",G99)),0)+IFERROR(--ISNUMBER(SEARCH("R131",G99)),0)+IFERROR(--ISNUMBER(SEARCH("R132",G99)),0)+IFERROR(--ISNUMBER(SEARCH("R135",G99)),0)+IFERROR(--ISNUMBER(SEARCH("R138",G99)),0)+IFERROR(--ISNUMBER(SEARCH("R141",G99)),0))</f>
        <v/>
      </c>
      <c r="U99" s="58">
        <f>IF(A99="","",IFERROR(--ISNUMBER(SEARCH("R28",G99))*28,0)+IFERROR(--ISNUMBER(SEARCH("R29",G99))*29,0)+IFERROR(--ISNUMBER(SEARCH("R30",G99))*30,0)+IFERROR(--ISNUMBER(SEARCH("R31",G99))*31,0)+IFERROR(--ISNUMBER(SEARCH("R32",G99))*32,0)+IFERROR(--ISNUMBER(SEARCH("R33",G99))*33,0)+IFERROR(--ISNUMBER(SEARCH("R34",G99))*34,0)+IFERROR(--ISNUMBER(SEARCH("R35",G99))*35,0)+IFERROR(--ISNUMBER(SEARCH("R36",G99))*36,0)+IFERROR(--ISNUMBER(SEARCH("R37",G99))*37,0)+IFERROR(--ISNUMBER(SEARCH("R38",G99))*38,0)+IFERROR(--ISNUMBER(SEARCH("R39",G99))*39,0)+IFERROR(--ISNUMBER(SEARCH("R40",G99))*40,0)+IFERROR(--ISNUMBER(SEARCH("R41",G99))*41,0)+IFERROR(--ISNUMBER(SEARCH("R42",G99))*42,0)+IFERROR(--ISNUMBER(SEARCH("R43",G99))*43,0)+IFERROR(--ISNUMBER(SEARCH("R44",G99))*44,0)+IFERROR(--ISNUMBER(SEARCH("R45",G99))*45,0)+IFERROR(--ISNUMBER(SEARCH("R46",G99))*46,0)+IFERROR(--ISNUMBER(SEARCH("R47",G99))*47,0)+IFERROR(--ISNUMBER(SEARCH("R48",G99))*48,0)+IFERROR(--ISNUMBER(SEARCH("R49",G99))*49,0)+IFERROR(--ISNUMBER(SEARCH("R50",G99))*50,0)+IFERROR(--ISNUMBER(SEARCH("R51",G99))*51,0)+IFERROR(--ISNUMBER(SEARCH("R52",G99))*52,0)+IFERROR(--ISNUMBER(SEARCH("R53",G99))*53,0)+IFERROR(--ISNUMBER(SEARCH("R54",G99))*54,0)+IFERROR(--ISNUMBER(SEARCH("R55",G99))*55,0)+IFERROR(--ISNUMBER(SEARCH("R56",G99))*56,0)+IFERROR(--ISNUMBER(SEARCH("R57",G99))*57,0)+IFERROR(--ISNUMBER(SEARCH("R58",G99))*58,0)+IFERROR(--ISNUMBER(SEARCH("R59",G99))*59,0)+IFERROR(--ISNUMBER(SEARCH("R60",G99))*60,0)+IFERROR(--ISNUMBER(SEARCH("R61",G99))*61,0)+IFERROR(--ISNUMBER(SEARCH("R62",G99))*62,0)+IFERROR(--ISNUMBER(SEARCH("R63",G99))*63,0)+IFERROR(--ISNUMBER(SEARCH("R64",G99))*64,0)+IFERROR(--ISNUMBER(SEARCH("R65",G99))*65,0)+IFERROR(--ISNUMBER(SEARCH("R66",G99))*66,0)+IFERROR(--ISNUMBER(SEARCH("R67",G99))*67,0)+IFERROR(--ISNUMBER(SEARCH("R68",G99))*68,0)+IFERROR(--ISNUMBER(SEARCH("R69",G99))*69,0)+IFERROR(--ISNUMBER(SEARCH("R70",G99))*70,0)+IFERROR(--ISNUMBER(SEARCH("R71",G99))*71,0)+IFERROR(--ISNUMBER(SEARCH("R72",G99))*72,0)+IFERROR(--ISNUMBER(SEARCH("R73",G99))*73,0)+IFERROR(--ISNUMBER(SEARCH("R74",G99))*74,0)+IFERROR(--ISNUMBER(SEARCH("R75",G99))*75,0)+IFERROR(--ISNUMBER(SEARCH("R76",G99))*76,0)+IFERROR(--ISNUMBER(SEARCH("R77",G99))*77,0)+IFERROR(--ISNUMBER(SEARCH("R78",G99))*78,0)+IFERROR(--ISNUMBER(SEARCH("R79",G99))*79,0)+IFERROR(--ISNUMBER(SEARCH("R80",G99))*80,0)+IFERROR(--ISNUMBER(SEARCH("R81",G99))*81,0)+IFERROR(--ISNUMBER(SEARCH("R82",G99))*82,0)+IFERROR(--ISNUMBER(SEARCH("R83",G99))*83,0)+IFERROR(--ISNUMBER(SEARCH("R84",G99))*84,0)+IFERROR(--ISNUMBER(SEARCH("R85",G99))*85,0)+IFERROR(--ISNUMBER(SEARCH("R86",G99))*86,0)+IFERROR(--ISNUMBER(SEARCH("R87",G99))*87,0)+IFERROR(--ISNUMBER(SEARCH("R88",G99))*88,0)+IFERROR(--ISNUMBER(SEARCH("R89",G99))*89,0)+IFERROR(--ISNUMBER(SEARCH("R90",G99))*90,0)+IFERROR(--ISNUMBER(SEARCH("R91",G99))*91,0)+IFERROR(--ISNUMBER(SEARCH("R92",G99))*92,0)+IFERROR(--ISNUMBER(SEARCH("R93",G99))*93,0)+IFERROR(--ISNUMBER(SEARCH("R94",G99))*94,0)+IFERROR(--ISNUMBER(SEARCH("R95",G99))*95,0)+IFERROR(--ISNUMBER(SEARCH("R96",G99))*96,0)+IFERROR(--ISNUMBER(SEARCH("R97",G99))*97,0)+IFERROR(--ISNUMBER(SEARCH("R98",G99))*98,0)+IFERROR(--ISNUMBER(SEARCH("R99",G99))*99,0)+IFERROR(--ISNUMBER(SEARCH("R100",G99))*100,0)+IFERROR(--ISNUMBER(SEARCH("R101",G99))*101,0)+IFERROR(--ISNUMBER(SEARCH("R102",G99))*102,0)+IFERROR(--ISNUMBER(SEARCH("R103",G99))*103,0)+IFERROR(--ISNUMBER(SEARCH("R104",G99))*104,0)+IFERROR(--ISNUMBER(SEARCH("R105",G99))*105,0)+IFERROR(--ISNUMBER(SEARCH("R106",G99))*106,0)+IFERROR(--ISNUMBER(SEARCH("R107",G99))*107,0)+IFERROR(--ISNUMBER(SEARCH("R108",G99))*108,0)+IFERROR(--ISNUMBER(SEARCH("R109",G99))*109,0)+IFERROR(--ISNUMBER(SEARCH("R110",G99))*110,0)+IFERROR(--ISNUMBER(SEARCH("R111",G99))*111,0)+IFERROR(--ISNUMBER(SEARCH("R112",G99))*112,0)+IFERROR(--ISNUMBER(SEARCH("R113",G99))*113,0)+IFERROR(--ISNUMBER(SEARCH("R114",G99))*114,0)+IFERROR(--ISNUMBER(SEARCH("R115",G99))*115,0)+IFERROR(--ISNUMBER(SEARCH("R116",G99))*116,0)+IFERROR(--ISNUMBER(SEARCH("R117",G99))*117,0)+IFERROR(--ISNUMBER(SEARCH("R118",G99))*118,0)+IFERROR(--ISNUMBER(SEARCH("R119",G99))*119,0)+IFERROR(--ISNUMBER(SEARCH("R120",G99))*120,0)+IFERROR(--ISNUMBER(SEARCH("R121",G99))*121,0)+IFERROR(--ISNUMBER(SEARCH("R122",G99))*122,0)+IFERROR(--ISNUMBER(SEARCH("R123",G99))*123,0)+IFERROR(--ISNUMBER(SEARCH("R124",G99))*124,0)+IFERROR(--ISNUMBER(SEARCH("R125",G99))*125,0)+IFERROR(--ISNUMBER(SEARCH("R126",G99))*126,0)+IFERROR(--ISNUMBER(SEARCH("R127",G99))*127,0)+IFERROR(--ISNUMBER(SEARCH("R128",G99))*128,0)+IFERROR(--ISNUMBER(SEARCH("R129",G99))*129,0)+IFERROR(--ISNUMBER(SEARCH("R130",G99))*130,0)+IFERROR(--ISNUMBER(SEARCH("R131",G99))*131,0)+IFERROR(--ISNUMBER(SEARCH("R132",G99))*132,0)+IFERROR(--ISNUMBER(SEARCH("R133",G99))*133,0)+IFERROR(--ISNUMBER(SEARCH("R134",G99))*134,0)+IFERROR(--ISNUMBER(SEARCH("R135",G99))*135,0)+IFERROR(--ISNUMBER(SEARCH("R136",G99))*136,0)+IFERROR(--ISNUMBER(SEARCH("R137",G99))*137,0)+IFERROR(--ISNUMBER(SEARCH("R138",G99))*138,0)+IFERROR(--ISNUMBER(SEARCH("R139",G99))*139,0)+IFERROR(--ISNUMBER(SEARCH("R140",G99))*140,0)+IFERROR(--ISNUMBER(SEARCH("R141",G99))*141,0))</f>
        <v/>
      </c>
      <c r="V99" s="59">
        <f>IF(A99="","",IF(K99&lt;&gt;"",K99,J99))</f>
        <v/>
      </c>
      <c r="W99" s="59">
        <f>IF(A99="","",IF(AND(V99=29,O99&lt;&gt;"",COUNTIFS($V$6:$V$505,29,$F$6:$F$505,F99,$C$6:$C$505,C99,$O$6:$O$505,"&lt;&gt;")&gt;1),IF(COUNTIFS($V$6:V99,29,$F$6:F99,F99,$C$6:C99,C99,$O$6:O99,"&lt;&gt;")=1,"Esta es la fila que se debe CONSERVAR (aparición 1 de "&amp;COUNTIFS($V$6:$V$505,29,$F$6:$F$505,F99,$C$6:$C$505,C99,$O$6:$O$505,"&lt;&gt;")&amp;" con el mismo tercero y valor, casilla 29). Si hay más filas iguales, bórreles el valor a ELLAS, no a esta.","DUPLICADO — ya existe otra fila con el mismo tercero y valor para casilla 29 (aparición "&amp;COUNTIFS($V$6:V99,29,$F$6:F99,F99,$C$6:C99,C99,$O$6:O99,"&lt;&gt;")&amp;" de "&amp;COUNTIFS($V$6:$V$505,29,$F$6:$F$505,F99,$C$6:$C$505,C99,$O$6:$O$505,"&lt;&gt;")&amp;"). Para resolverlo: seleccione la celda O"&amp;ROW()&amp;" (columna Valor a declarar de ESTA fila) y presione Supr."),""))</f>
        <v/>
      </c>
      <c r="X99" s="463">
        <f>IF(A99="","",F99)</f>
        <v/>
      </c>
      <c r="Y99" s="463">
        <f>IF(A99="","",SUMIF(Entrada_Manual!$I$88:$I$187,A99,Entrada_Manual!$F$88:$F$187))</f>
        <v/>
      </c>
      <c r="Z99" s="463">
        <f>IF(A99="","",X99-Y99)</f>
        <v/>
      </c>
      <c r="AA99">
        <f>IF(A99="","",SUMPRODUCT((Entrada_Manual!$I$88:$I$187=A99)*1))</f>
        <v/>
      </c>
      <c r="AB99">
        <f>IF(A99="","",IF(S99&lt;=1,"",IF(AA99=0,"PENDIENTE — SIN ASIGNAR",IF(Z99=0,"RESUELTO","PARCIAL — DIFERENCIA "&amp;TEXT(Z99,"#,##0")))))</f>
        <v/>
      </c>
    </row>
    <row r="100" ht="14.25" customHeight="1" s="235">
      <c r="A100" s="47">
        <f>IF(Exogena_RAW!E109&lt;&gt;"",ROW()-5,"")</f>
        <v/>
      </c>
      <c r="B100" s="48">
        <f>IF(A100="","",109)</f>
        <v/>
      </c>
      <c r="C100" s="48">
        <f>IF(A100="","",IFERROR(Exogena_RAW!A109,""))</f>
        <v/>
      </c>
      <c r="D100" s="48">
        <f>IF(A100="","",IFERROR(Exogena_RAW!B109,""))</f>
        <v/>
      </c>
      <c r="E100" s="48">
        <f>IF(A100="","",Exogena_RAW!E109)</f>
        <v/>
      </c>
      <c r="F100" s="461">
        <f>IF(A100="","",Exogena_RAW!F109)</f>
        <v/>
      </c>
      <c r="G100" s="48">
        <f>IF(A100="","",IFERROR(Exogena_RAW!G109,""))</f>
        <v/>
      </c>
      <c r="H100" s="48">
        <f>IF(A100="","",IFERROR(Exogena_RAW!H109,""))</f>
        <v/>
      </c>
      <c r="I100" s="48">
        <f>IF(A100="","",IFERROR(IF(S100&gt;1,"VARIAS CASILLAS",IF(S100=1,IF(T100=1,"PROPUESTA DE CASILLA","REVISIÓN: CASILLA NO DIRECTA"),IF(OR(ISNUMBER(SEARCH("TOPE",UPPER(E100))),ISNUMBER(SEARCH("TOPE",UPPER(G100)))),"SOLO CONTROL",IF(ISNUMBER(SEARCH("RETEN",UPPER(E100))),"RETENCIÓN","REVISAR")))),"REVISAR"))</f>
        <v/>
      </c>
      <c r="J100" s="48">
        <f>IF(A100="","",IF(ISNUMBER(SEARCH("ingreso laboral promedio de los últimos seis meses",E100)),"",IFERROR(IF(AND(S100=1,T100=1),U100,""),"")))</f>
        <v/>
      </c>
      <c r="K100" s="216" t="n"/>
      <c r="L100" s="48">
        <f>IF(A100="","",IFERROR(IF(K100&lt;&gt;"","Casilla elegida por usuario",IF(S100&gt;1,"Varias casillas — elegir en K",IF(J100&lt;&gt;"","Sugerencia directa",IF(S100=1,"No trasladar directo — revisar",IF(OR(ISNUMBER(SEARCH("TOPE",UPPER(E100))),ISNUMBER(SEARCH("TOPE",UPPER(G100)))),"Solo control","Revisar manualmente"))))),"Revisar manualmente"))</f>
        <v/>
      </c>
      <c r="M100" s="461">
        <f>IF(A100="","",IF(IF(K100&lt;&gt;"",K100,J100)="",0,IF(COUNTIFS(Reglas!$I$5:$I$118,IF(K100&lt;&gt;"",K100,J100),Reglas!$J$5:$J$118,"Sí")=1,F100,0)))</f>
        <v/>
      </c>
      <c r="N100" s="56" t="n"/>
      <c r="O100" s="462">
        <f>IF(A100="","",IF(M100=0,"",M100))</f>
        <v/>
      </c>
      <c r="P100" s="461">
        <f>IF(A100="","",IF(O100="",0,IF(ISNUMBER(O100),O100,0)))</f>
        <v/>
      </c>
      <c r="Q100" s="48">
        <f>IF(A100="","",IF(Exogena_RAW!$C$4="","BLOQUEADO: FALTA AÑO",IF(Exogena_RAW!$K$10&lt;&gt;Reglas!$B$5,"BLOQUEADO: AÑO",IF(IF(K100&lt;&gt;"",K100,J100)="",IF(S100&gt;1,"REQUIERE ASIGNACIÓN MANUAL (VARIAS CASILLAS)","INFORMATIVO (sin casilla — no se declara)"),IF(COUNTIFS(Reglas!$I$5:$I$118,IF(K100&lt;&gt;"",K100,J100),Reglas!$J$5:$J$118,"Sí")=0,"BLOQUEADO: CASILLA NO DIRECTA",IF(O100="","EXCLUIDO (valor borrado por el usuario)",IF(_xlfn.ISFORMULA(O100),IF(W100&lt;&gt;"","BORRADOR — VALOR SUGERIDO DIAN ⚠ VER ALERTA","BORRADOR — VALOR SUGERIDO DIAN"),IF(W100&lt;&gt;"","ACEPTADO ⚠ VER ALERTA","ACEPTADO"))))))))</f>
        <v/>
      </c>
      <c r="R100" s="218" t="n"/>
      <c r="S100" s="58">
        <f>IF(A100="","",IFERROR(--ISNUMBER(SEARCH("R28",G100)),0)+IFERROR(--ISNUMBER(SEARCH("R29",G100)),0)+IFERROR(--ISNUMBER(SEARCH("R30",G100)),0)+IFERROR(--ISNUMBER(SEARCH("R31",G100)),0)+IFERROR(--ISNUMBER(SEARCH("R32",G100)),0)+IFERROR(--ISNUMBER(SEARCH("R33",G100)),0)+IFERROR(--ISNUMBER(SEARCH("R34",G100)),0)+IFERROR(--ISNUMBER(SEARCH("R35",G100)),0)+IFERROR(--ISNUMBER(SEARCH("R36",G100)),0)+IFERROR(--ISNUMBER(SEARCH("R37",G100)),0)+IFERROR(--ISNUMBER(SEARCH("R38",G100)),0)+IFERROR(--ISNUMBER(SEARCH("R39",G100)),0)+IFERROR(--ISNUMBER(SEARCH("R40",G100)),0)+IFERROR(--ISNUMBER(SEARCH("R41",G100)),0)+IFERROR(--ISNUMBER(SEARCH("R42",G100)),0)+IFERROR(--ISNUMBER(SEARCH("R43",G100)),0)+IFERROR(--ISNUMBER(SEARCH("R44",G100)),0)+IFERROR(--ISNUMBER(SEARCH("R45",G100)),0)+IFERROR(--ISNUMBER(SEARCH("R46",G100)),0)+IFERROR(--ISNUMBER(SEARCH("R47",G100)),0)+IFERROR(--ISNUMBER(SEARCH("R48",G100)),0)+IFERROR(--ISNUMBER(SEARCH("R49",G100)),0)+IFERROR(--ISNUMBER(SEARCH("R50",G100)),0)+IFERROR(--ISNUMBER(SEARCH("R51",G100)),0)+IFERROR(--ISNUMBER(SEARCH("R52",G100)),0)+IFERROR(--ISNUMBER(SEARCH("R53",G100)),0)+IFERROR(--ISNUMBER(SEARCH("R54",G100)),0)+IFERROR(--ISNUMBER(SEARCH("R55",G100)),0)+IFERROR(--ISNUMBER(SEARCH("R56",G100)),0)+IFERROR(--ISNUMBER(SEARCH("R57",G100)),0)+IFERROR(--ISNUMBER(SEARCH("R58",G100)),0)+IFERROR(--ISNUMBER(SEARCH("R59",G100)),0)+IFERROR(--ISNUMBER(SEARCH("R60",G100)),0)+IFERROR(--ISNUMBER(SEARCH("R61",G100)),0)+IFERROR(--ISNUMBER(SEARCH("R62",G100)),0)+IFERROR(--ISNUMBER(SEARCH("R63",G100)),0)+IFERROR(--ISNUMBER(SEARCH("R64",G100)),0)+IFERROR(--ISNUMBER(SEARCH("R65",G100)),0)+IFERROR(--ISNUMBER(SEARCH("R66",G100)),0)+IFERROR(--ISNUMBER(SEARCH("R67",G100)),0)+IFERROR(--ISNUMBER(SEARCH("R68",G100)),0)+IFERROR(--ISNUMBER(SEARCH("R69",G100)),0)+IFERROR(--ISNUMBER(SEARCH("R70",G100)),0)+IFERROR(--ISNUMBER(SEARCH("R71",G100)),0)+IFERROR(--ISNUMBER(SEARCH("R72",G100)),0)+IFERROR(--ISNUMBER(SEARCH("R73",G100)),0)+IFERROR(--ISNUMBER(SEARCH("R74",G100)),0)+IFERROR(--ISNUMBER(SEARCH("R75",G100)),0)+IFERROR(--ISNUMBER(SEARCH("R76",G100)),0)+IFERROR(--ISNUMBER(SEARCH("R77",G100)),0)+IFERROR(--ISNUMBER(SEARCH("R78",G100)),0)+IFERROR(--ISNUMBER(SEARCH("R79",G100)),0)+IFERROR(--ISNUMBER(SEARCH("R80",G100)),0)+IFERROR(--ISNUMBER(SEARCH("R81",G100)),0)+IFERROR(--ISNUMBER(SEARCH("R82",G100)),0)+IFERROR(--ISNUMBER(SEARCH("R83",G100)),0)+IFERROR(--ISNUMBER(SEARCH("R84",G100)),0)+IFERROR(--ISNUMBER(SEARCH("R85",G100)),0)+IFERROR(--ISNUMBER(SEARCH("R86",G100)),0)+IFERROR(--ISNUMBER(SEARCH("R87",G100)),0)+IFERROR(--ISNUMBER(SEARCH("R88",G100)),0)+IFERROR(--ISNUMBER(SEARCH("R89",G100)),0)+IFERROR(--ISNUMBER(SEARCH("R90",G100)),0)+IFERROR(--ISNUMBER(SEARCH("R91",G100)),0)+IFERROR(--ISNUMBER(SEARCH("R92",G100)),0)+IFERROR(--ISNUMBER(SEARCH("R93",G100)),0)+IFERROR(--ISNUMBER(SEARCH("R94",G100)),0)+IFERROR(--ISNUMBER(SEARCH("R95",G100)),0)+IFERROR(--ISNUMBER(SEARCH("R96",G100)),0)+IFERROR(--ISNUMBER(SEARCH("R97",G100)),0)+IFERROR(--ISNUMBER(SEARCH("R98",G100)),0)+IFERROR(--ISNUMBER(SEARCH("R99",G100)),0)+IFERROR(--ISNUMBER(SEARCH("R100",G100)),0)+IFERROR(--ISNUMBER(SEARCH("R101",G100)),0)+IFERROR(--ISNUMBER(SEARCH("R102",G100)),0)+IFERROR(--ISNUMBER(SEARCH("R103",G100)),0)+IFERROR(--ISNUMBER(SEARCH("R104",G100)),0)+IFERROR(--ISNUMBER(SEARCH("R105",G100)),0)+IFERROR(--ISNUMBER(SEARCH("R106",G100)),0)+IFERROR(--ISNUMBER(SEARCH("R107",G100)),0)+IFERROR(--ISNUMBER(SEARCH("R108",G100)),0)+IFERROR(--ISNUMBER(SEARCH("R109",G100)),0)+IFERROR(--ISNUMBER(SEARCH("R110",G100)),0)+IFERROR(--ISNUMBER(SEARCH("R111",G100)),0)+IFERROR(--ISNUMBER(SEARCH("R112",G100)),0)+IFERROR(--ISNUMBER(SEARCH("R113",G100)),0)+IFERROR(--ISNUMBER(SEARCH("R114",G100)),0)+IFERROR(--ISNUMBER(SEARCH("R115",G100)),0)+IFERROR(--ISNUMBER(SEARCH("R116",G100)),0)+IFERROR(--ISNUMBER(SEARCH("R117",G100)),0)+IFERROR(--ISNUMBER(SEARCH("R118",G100)),0)+IFERROR(--ISNUMBER(SEARCH("R119",G100)),0)+IFERROR(--ISNUMBER(SEARCH("R120",G100)),0)+IFERROR(--ISNUMBER(SEARCH("R121",G100)),0)+IFERROR(--ISNUMBER(SEARCH("R122",G100)),0)+IFERROR(--ISNUMBER(SEARCH("R123",G100)),0)+IFERROR(--ISNUMBER(SEARCH("R124",G100)),0)+IFERROR(--ISNUMBER(SEARCH("R125",G100)),0)+IFERROR(--ISNUMBER(SEARCH("R126",G100)),0)+IFERROR(--ISNUMBER(SEARCH("R127",G100)),0)+IFERROR(--ISNUMBER(SEARCH("R128",G100)),0)+IFERROR(--ISNUMBER(SEARCH("R129",G100)),0)+IFERROR(--ISNUMBER(SEARCH("R130",G100)),0)+IFERROR(--ISNUMBER(SEARCH("R131",G100)),0)+IFERROR(--ISNUMBER(SEARCH("R132",G100)),0)+IFERROR(--ISNUMBER(SEARCH("R133",G100)),0)+IFERROR(--ISNUMBER(SEARCH("R134",G100)),0)+IFERROR(--ISNUMBER(SEARCH("R135",G100)),0)+IFERROR(--ISNUMBER(SEARCH("R136",G100)),0)+IFERROR(--ISNUMBER(SEARCH("R137",G100)),0)+IFERROR(--ISNUMBER(SEARCH("R138",G100)),0)+IFERROR(--ISNUMBER(SEARCH("R139",G100)),0)+IFERROR(--ISNUMBER(SEARCH("R140",G100)),0)+IFERROR(--ISNUMBER(SEARCH("R141",G100)),0))</f>
        <v/>
      </c>
      <c r="T100" s="58">
        <f>IF(A100="","",IFERROR(--ISNUMBER(SEARCH("R28",G100)),0)+IFERROR(--ISNUMBER(SEARCH("R29",G100)),0)+IFERROR(--ISNUMBER(SEARCH("R30",G100)),0)+IFERROR(--ISNUMBER(SEARCH("R32",G100)),0)+IFERROR(--ISNUMBER(SEARCH("R33",G100)),0)+IFERROR(--ISNUMBER(SEARCH("R35",G100)),0)+IFERROR(--ISNUMBER(SEARCH("R36",G100)),0)+IFERROR(--ISNUMBER(SEARCH("R38",G100)),0)+IFERROR(--ISNUMBER(SEARCH("R39",G100)),0)+IFERROR(--ISNUMBER(SEARCH("R43",G100)),0)+IFERROR(--ISNUMBER(SEARCH("R44",G100)),0)+IFERROR(--ISNUMBER(SEARCH("R45",G100)),0)+IFERROR(--ISNUMBER(SEARCH("R47",G100)),0)+IFERROR(--ISNUMBER(SEARCH("R48",G100)),0)+IFERROR(--ISNUMBER(SEARCH("R50",G100)),0)+IFERROR(--ISNUMBER(SEARCH("R51",G100)),0)+IFERROR(--ISNUMBER(SEARCH("R56",G100)),0)+IFERROR(--ISNUMBER(SEARCH("R58",G100)),0)+IFERROR(--ISNUMBER(SEARCH("R59",G100)),0)+IFERROR(--ISNUMBER(SEARCH("R60",G100)),0)+IFERROR(--ISNUMBER(SEARCH("R62",G100)),0)+IFERROR(--ISNUMBER(SEARCH("R63",G100)),0)+IFERROR(--ISNUMBER(SEARCH("R64",G100)),0)+IFERROR(--ISNUMBER(SEARCH("R66",G100)),0)+IFERROR(--ISNUMBER(SEARCH("R67",G100)),0)+IFERROR(--ISNUMBER(SEARCH("R72",G100)),0)+IFERROR(--ISNUMBER(SEARCH("R74",G100)),0)+IFERROR(--ISNUMBER(SEARCH("R75",G100)),0)+IFERROR(--ISNUMBER(SEARCH("R76",G100)),0)+IFERROR(--ISNUMBER(SEARCH("R77",G100)),0)+IFERROR(--ISNUMBER(SEARCH("R79",G100)),0)+IFERROR(--ISNUMBER(SEARCH("R80",G100)),0)+IFERROR(--ISNUMBER(SEARCH("R81",G100)),0)+IFERROR(--ISNUMBER(SEARCH("R83",G100)),0)+IFERROR(--ISNUMBER(SEARCH("R84",G100)),0)+IFERROR(--ISNUMBER(SEARCH("R89",G100)),0)+IFERROR(--ISNUMBER(SEARCH("R94",G100)),0)+IFERROR(--ISNUMBER(SEARCH("R95",G100)),0)+IFERROR(--ISNUMBER(SEARCH("R96",G100)),0)+IFERROR(--ISNUMBER(SEARCH("R98",G100)),0)+IFERROR(--ISNUMBER(SEARCH("R99",G100)),0)+IFERROR(--ISNUMBER(SEARCH("R100",G100)),0)+IFERROR(--ISNUMBER(SEARCH("R104",G100)),0)+IFERROR(--ISNUMBER(SEARCH("R105",G100)),0)+IFERROR(--ISNUMBER(SEARCH("R107",G100)),0)+IFERROR(--ISNUMBER(SEARCH("R108",G100)),0)+IFERROR(--ISNUMBER(SEARCH("R109",G100)),0)+IFERROR(--ISNUMBER(SEARCH("R110",G100)),0)+IFERROR(--ISNUMBER(SEARCH("R112",G100)),0)+IFERROR(--ISNUMBER(SEARCH("R113",G100)),0)+IFERROR(--ISNUMBER(SEARCH("R114",G100)),0)+IFERROR(--ISNUMBER(SEARCH("R118",G100)),0)+IFERROR(--ISNUMBER(SEARCH("R119",G100)),0)+IFERROR(--ISNUMBER(SEARCH("R120",G100)),0)+IFERROR(--ISNUMBER(SEARCH("R122",G100)),0)+IFERROR(--ISNUMBER(SEARCH("R123",G100)),0)+IFERROR(--ISNUMBER(SEARCH("R124",G100)),0)+IFERROR(--ISNUMBER(SEARCH("R128",G100)),0)+IFERROR(--ISNUMBER(SEARCH("R130",G100)),0)+IFERROR(--ISNUMBER(SEARCH("R131",G100)),0)+IFERROR(--ISNUMBER(SEARCH("R132",G100)),0)+IFERROR(--ISNUMBER(SEARCH("R135",G100)),0)+IFERROR(--ISNUMBER(SEARCH("R138",G100)),0)+IFERROR(--ISNUMBER(SEARCH("R141",G100)),0))</f>
        <v/>
      </c>
      <c r="U100" s="58">
        <f>IF(A100="","",IFERROR(--ISNUMBER(SEARCH("R28",G100))*28,0)+IFERROR(--ISNUMBER(SEARCH("R29",G100))*29,0)+IFERROR(--ISNUMBER(SEARCH("R30",G100))*30,0)+IFERROR(--ISNUMBER(SEARCH("R31",G100))*31,0)+IFERROR(--ISNUMBER(SEARCH("R32",G100))*32,0)+IFERROR(--ISNUMBER(SEARCH("R33",G100))*33,0)+IFERROR(--ISNUMBER(SEARCH("R34",G100))*34,0)+IFERROR(--ISNUMBER(SEARCH("R35",G100))*35,0)+IFERROR(--ISNUMBER(SEARCH("R36",G100))*36,0)+IFERROR(--ISNUMBER(SEARCH("R37",G100))*37,0)+IFERROR(--ISNUMBER(SEARCH("R38",G100))*38,0)+IFERROR(--ISNUMBER(SEARCH("R39",G100))*39,0)+IFERROR(--ISNUMBER(SEARCH("R40",G100))*40,0)+IFERROR(--ISNUMBER(SEARCH("R41",G100))*41,0)+IFERROR(--ISNUMBER(SEARCH("R42",G100))*42,0)+IFERROR(--ISNUMBER(SEARCH("R43",G100))*43,0)+IFERROR(--ISNUMBER(SEARCH("R44",G100))*44,0)+IFERROR(--ISNUMBER(SEARCH("R45",G100))*45,0)+IFERROR(--ISNUMBER(SEARCH("R46",G100))*46,0)+IFERROR(--ISNUMBER(SEARCH("R47",G100))*47,0)+IFERROR(--ISNUMBER(SEARCH("R48",G100))*48,0)+IFERROR(--ISNUMBER(SEARCH("R49",G100))*49,0)+IFERROR(--ISNUMBER(SEARCH("R50",G100))*50,0)+IFERROR(--ISNUMBER(SEARCH("R51",G100))*51,0)+IFERROR(--ISNUMBER(SEARCH("R52",G100))*52,0)+IFERROR(--ISNUMBER(SEARCH("R53",G100))*53,0)+IFERROR(--ISNUMBER(SEARCH("R54",G100))*54,0)+IFERROR(--ISNUMBER(SEARCH("R55",G100))*55,0)+IFERROR(--ISNUMBER(SEARCH("R56",G100))*56,0)+IFERROR(--ISNUMBER(SEARCH("R57",G100))*57,0)+IFERROR(--ISNUMBER(SEARCH("R58",G100))*58,0)+IFERROR(--ISNUMBER(SEARCH("R59",G100))*59,0)+IFERROR(--ISNUMBER(SEARCH("R60",G100))*60,0)+IFERROR(--ISNUMBER(SEARCH("R61",G100))*61,0)+IFERROR(--ISNUMBER(SEARCH("R62",G100))*62,0)+IFERROR(--ISNUMBER(SEARCH("R63",G100))*63,0)+IFERROR(--ISNUMBER(SEARCH("R64",G100))*64,0)+IFERROR(--ISNUMBER(SEARCH("R65",G100))*65,0)+IFERROR(--ISNUMBER(SEARCH("R66",G100))*66,0)+IFERROR(--ISNUMBER(SEARCH("R67",G100))*67,0)+IFERROR(--ISNUMBER(SEARCH("R68",G100))*68,0)+IFERROR(--ISNUMBER(SEARCH("R69",G100))*69,0)+IFERROR(--ISNUMBER(SEARCH("R70",G100))*70,0)+IFERROR(--ISNUMBER(SEARCH("R71",G100))*71,0)+IFERROR(--ISNUMBER(SEARCH("R72",G100))*72,0)+IFERROR(--ISNUMBER(SEARCH("R73",G100))*73,0)+IFERROR(--ISNUMBER(SEARCH("R74",G100))*74,0)+IFERROR(--ISNUMBER(SEARCH("R75",G100))*75,0)+IFERROR(--ISNUMBER(SEARCH("R76",G100))*76,0)+IFERROR(--ISNUMBER(SEARCH("R77",G100))*77,0)+IFERROR(--ISNUMBER(SEARCH("R78",G100))*78,0)+IFERROR(--ISNUMBER(SEARCH("R79",G100))*79,0)+IFERROR(--ISNUMBER(SEARCH("R80",G100))*80,0)+IFERROR(--ISNUMBER(SEARCH("R81",G100))*81,0)+IFERROR(--ISNUMBER(SEARCH("R82",G100))*82,0)+IFERROR(--ISNUMBER(SEARCH("R83",G100))*83,0)+IFERROR(--ISNUMBER(SEARCH("R84",G100))*84,0)+IFERROR(--ISNUMBER(SEARCH("R85",G100))*85,0)+IFERROR(--ISNUMBER(SEARCH("R86",G100))*86,0)+IFERROR(--ISNUMBER(SEARCH("R87",G100))*87,0)+IFERROR(--ISNUMBER(SEARCH("R88",G100))*88,0)+IFERROR(--ISNUMBER(SEARCH("R89",G100))*89,0)+IFERROR(--ISNUMBER(SEARCH("R90",G100))*90,0)+IFERROR(--ISNUMBER(SEARCH("R91",G100))*91,0)+IFERROR(--ISNUMBER(SEARCH("R92",G100))*92,0)+IFERROR(--ISNUMBER(SEARCH("R93",G100))*93,0)+IFERROR(--ISNUMBER(SEARCH("R94",G100))*94,0)+IFERROR(--ISNUMBER(SEARCH("R95",G100))*95,0)+IFERROR(--ISNUMBER(SEARCH("R96",G100))*96,0)+IFERROR(--ISNUMBER(SEARCH("R97",G100))*97,0)+IFERROR(--ISNUMBER(SEARCH("R98",G100))*98,0)+IFERROR(--ISNUMBER(SEARCH("R99",G100))*99,0)+IFERROR(--ISNUMBER(SEARCH("R100",G100))*100,0)+IFERROR(--ISNUMBER(SEARCH("R101",G100))*101,0)+IFERROR(--ISNUMBER(SEARCH("R102",G100))*102,0)+IFERROR(--ISNUMBER(SEARCH("R103",G100))*103,0)+IFERROR(--ISNUMBER(SEARCH("R104",G100))*104,0)+IFERROR(--ISNUMBER(SEARCH("R105",G100))*105,0)+IFERROR(--ISNUMBER(SEARCH("R106",G100))*106,0)+IFERROR(--ISNUMBER(SEARCH("R107",G100))*107,0)+IFERROR(--ISNUMBER(SEARCH("R108",G100))*108,0)+IFERROR(--ISNUMBER(SEARCH("R109",G100))*109,0)+IFERROR(--ISNUMBER(SEARCH("R110",G100))*110,0)+IFERROR(--ISNUMBER(SEARCH("R111",G100))*111,0)+IFERROR(--ISNUMBER(SEARCH("R112",G100))*112,0)+IFERROR(--ISNUMBER(SEARCH("R113",G100))*113,0)+IFERROR(--ISNUMBER(SEARCH("R114",G100))*114,0)+IFERROR(--ISNUMBER(SEARCH("R115",G100))*115,0)+IFERROR(--ISNUMBER(SEARCH("R116",G100))*116,0)+IFERROR(--ISNUMBER(SEARCH("R117",G100))*117,0)+IFERROR(--ISNUMBER(SEARCH("R118",G100))*118,0)+IFERROR(--ISNUMBER(SEARCH("R119",G100))*119,0)+IFERROR(--ISNUMBER(SEARCH("R120",G100))*120,0)+IFERROR(--ISNUMBER(SEARCH("R121",G100))*121,0)+IFERROR(--ISNUMBER(SEARCH("R122",G100))*122,0)+IFERROR(--ISNUMBER(SEARCH("R123",G100))*123,0)+IFERROR(--ISNUMBER(SEARCH("R124",G100))*124,0)+IFERROR(--ISNUMBER(SEARCH("R125",G100))*125,0)+IFERROR(--ISNUMBER(SEARCH("R126",G100))*126,0)+IFERROR(--ISNUMBER(SEARCH("R127",G100))*127,0)+IFERROR(--ISNUMBER(SEARCH("R128",G100))*128,0)+IFERROR(--ISNUMBER(SEARCH("R129",G100))*129,0)+IFERROR(--ISNUMBER(SEARCH("R130",G100))*130,0)+IFERROR(--ISNUMBER(SEARCH("R131",G100))*131,0)+IFERROR(--ISNUMBER(SEARCH("R132",G100))*132,0)+IFERROR(--ISNUMBER(SEARCH("R133",G100))*133,0)+IFERROR(--ISNUMBER(SEARCH("R134",G100))*134,0)+IFERROR(--ISNUMBER(SEARCH("R135",G100))*135,0)+IFERROR(--ISNUMBER(SEARCH("R136",G100))*136,0)+IFERROR(--ISNUMBER(SEARCH("R137",G100))*137,0)+IFERROR(--ISNUMBER(SEARCH("R138",G100))*138,0)+IFERROR(--ISNUMBER(SEARCH("R139",G100))*139,0)+IFERROR(--ISNUMBER(SEARCH("R140",G100))*140,0)+IFERROR(--ISNUMBER(SEARCH("R141",G100))*141,0))</f>
        <v/>
      </c>
      <c r="V100" s="59">
        <f>IF(A100="","",IF(K100&lt;&gt;"",K100,J100))</f>
        <v/>
      </c>
      <c r="W100" s="59">
        <f>IF(A100="","",IF(AND(V100=29,O100&lt;&gt;"",COUNTIFS($V$6:$V$505,29,$F$6:$F$505,F100,$C$6:$C$505,C100,$O$6:$O$505,"&lt;&gt;")&gt;1),IF(COUNTIFS($V$6:V100,29,$F$6:F100,F100,$C$6:C100,C100,$O$6:O100,"&lt;&gt;")=1,"Esta es la fila que se debe CONSERVAR (aparición 1 de "&amp;COUNTIFS($V$6:$V$505,29,$F$6:$F$505,F100,$C$6:$C$505,C100,$O$6:$O$505,"&lt;&gt;")&amp;" con el mismo tercero y valor, casilla 29). Si hay más filas iguales, bórreles el valor a ELLAS, no a esta.","DUPLICADO — ya existe otra fila con el mismo tercero y valor para casilla 29 (aparición "&amp;COUNTIFS($V$6:V100,29,$F$6:F100,F100,$C$6:C100,C100,$O$6:O100,"&lt;&gt;")&amp;" de "&amp;COUNTIFS($V$6:$V$505,29,$F$6:$F$505,F100,$C$6:$C$505,C100,$O$6:$O$505,"&lt;&gt;")&amp;"). Para resolverlo: seleccione la celda O"&amp;ROW()&amp;" (columna Valor a declarar de ESTA fila) y presione Supr."),""))</f>
        <v/>
      </c>
      <c r="X100" s="463">
        <f>IF(A100="","",F100)</f>
        <v/>
      </c>
      <c r="Y100" s="463">
        <f>IF(A100="","",SUMIF(Entrada_Manual!$I$88:$I$187,A100,Entrada_Manual!$F$88:$F$187))</f>
        <v/>
      </c>
      <c r="Z100" s="463">
        <f>IF(A100="","",X100-Y100)</f>
        <v/>
      </c>
      <c r="AA100">
        <f>IF(A100="","",SUMPRODUCT((Entrada_Manual!$I$88:$I$187=A100)*1))</f>
        <v/>
      </c>
      <c r="AB100">
        <f>IF(A100="","",IF(S100&lt;=1,"",IF(AA100=0,"PENDIENTE — SIN ASIGNAR",IF(Z100=0,"RESUELTO","PARCIAL — DIFERENCIA "&amp;TEXT(Z100,"#,##0")))))</f>
        <v/>
      </c>
    </row>
    <row r="101" ht="14.25" customHeight="1" s="235">
      <c r="A101" s="47">
        <f>IF(Exogena_RAW!E110&lt;&gt;"",ROW()-5,"")</f>
        <v/>
      </c>
      <c r="B101" s="48">
        <f>IF(A101="","",110)</f>
        <v/>
      </c>
      <c r="C101" s="48">
        <f>IF(A101="","",IFERROR(Exogena_RAW!A110,""))</f>
        <v/>
      </c>
      <c r="D101" s="48">
        <f>IF(A101="","",IFERROR(Exogena_RAW!B110,""))</f>
        <v/>
      </c>
      <c r="E101" s="48">
        <f>IF(A101="","",Exogena_RAW!E110)</f>
        <v/>
      </c>
      <c r="F101" s="461">
        <f>IF(A101="","",Exogena_RAW!F110)</f>
        <v/>
      </c>
      <c r="G101" s="48">
        <f>IF(A101="","",IFERROR(Exogena_RAW!G110,""))</f>
        <v/>
      </c>
      <c r="H101" s="48">
        <f>IF(A101="","",IFERROR(Exogena_RAW!H110,""))</f>
        <v/>
      </c>
      <c r="I101" s="48">
        <f>IF(A101="","",IFERROR(IF(S101&gt;1,"VARIAS CASILLAS",IF(S101=1,IF(T101=1,"PROPUESTA DE CASILLA","REVISIÓN: CASILLA NO DIRECTA"),IF(OR(ISNUMBER(SEARCH("TOPE",UPPER(E101))),ISNUMBER(SEARCH("TOPE",UPPER(G101)))),"SOLO CONTROL",IF(ISNUMBER(SEARCH("RETEN",UPPER(E101))),"RETENCIÓN","REVISAR")))),"REVISAR"))</f>
        <v/>
      </c>
      <c r="J101" s="48">
        <f>IF(A101="","",IF(ISNUMBER(SEARCH("ingreso laboral promedio de los últimos seis meses",E101)),"",IFERROR(IF(AND(S101=1,T101=1),U101,""),"")))</f>
        <v/>
      </c>
      <c r="K101" s="216" t="n"/>
      <c r="L101" s="48">
        <f>IF(A101="","",IFERROR(IF(K101&lt;&gt;"","Casilla elegida por usuario",IF(S101&gt;1,"Varias casillas — elegir en K",IF(J101&lt;&gt;"","Sugerencia directa",IF(S101=1,"No trasladar directo — revisar",IF(OR(ISNUMBER(SEARCH("TOPE",UPPER(E101))),ISNUMBER(SEARCH("TOPE",UPPER(G101)))),"Solo control","Revisar manualmente"))))),"Revisar manualmente"))</f>
        <v/>
      </c>
      <c r="M101" s="461">
        <f>IF(A101="","",IF(IF(K101&lt;&gt;"",K101,J101)="",0,IF(COUNTIFS(Reglas!$I$5:$I$118,IF(K101&lt;&gt;"",K101,J101),Reglas!$J$5:$J$118,"Sí")=1,F101,0)))</f>
        <v/>
      </c>
      <c r="N101" s="56" t="n"/>
      <c r="O101" s="462">
        <f>IF(A101="","",IF(M101=0,"",M101))</f>
        <v/>
      </c>
      <c r="P101" s="461">
        <f>IF(A101="","",IF(O101="",0,IF(ISNUMBER(O101),O101,0)))</f>
        <v/>
      </c>
      <c r="Q101" s="48">
        <f>IF(A101="","",IF(Exogena_RAW!$C$4="","BLOQUEADO: FALTA AÑO",IF(Exogena_RAW!$K$10&lt;&gt;Reglas!$B$5,"BLOQUEADO: AÑO",IF(IF(K101&lt;&gt;"",K101,J101)="",IF(S101&gt;1,"REQUIERE ASIGNACIÓN MANUAL (VARIAS CASILLAS)","INFORMATIVO (sin casilla — no se declara)"),IF(COUNTIFS(Reglas!$I$5:$I$118,IF(K101&lt;&gt;"",K101,J101),Reglas!$J$5:$J$118,"Sí")=0,"BLOQUEADO: CASILLA NO DIRECTA",IF(O101="","EXCLUIDO (valor borrado por el usuario)",IF(_xlfn.ISFORMULA(O101),IF(W101&lt;&gt;"","BORRADOR — VALOR SUGERIDO DIAN ⚠ VER ALERTA","BORRADOR — VALOR SUGERIDO DIAN"),IF(W101&lt;&gt;"","ACEPTADO ⚠ VER ALERTA","ACEPTADO"))))))))</f>
        <v/>
      </c>
      <c r="R101" s="218" t="n"/>
      <c r="S101" s="58">
        <f>IF(A101="","",IFERROR(--ISNUMBER(SEARCH("R28",G101)),0)+IFERROR(--ISNUMBER(SEARCH("R29",G101)),0)+IFERROR(--ISNUMBER(SEARCH("R30",G101)),0)+IFERROR(--ISNUMBER(SEARCH("R31",G101)),0)+IFERROR(--ISNUMBER(SEARCH("R32",G101)),0)+IFERROR(--ISNUMBER(SEARCH("R33",G101)),0)+IFERROR(--ISNUMBER(SEARCH("R34",G101)),0)+IFERROR(--ISNUMBER(SEARCH("R35",G101)),0)+IFERROR(--ISNUMBER(SEARCH("R36",G101)),0)+IFERROR(--ISNUMBER(SEARCH("R37",G101)),0)+IFERROR(--ISNUMBER(SEARCH("R38",G101)),0)+IFERROR(--ISNUMBER(SEARCH("R39",G101)),0)+IFERROR(--ISNUMBER(SEARCH("R40",G101)),0)+IFERROR(--ISNUMBER(SEARCH("R41",G101)),0)+IFERROR(--ISNUMBER(SEARCH("R42",G101)),0)+IFERROR(--ISNUMBER(SEARCH("R43",G101)),0)+IFERROR(--ISNUMBER(SEARCH("R44",G101)),0)+IFERROR(--ISNUMBER(SEARCH("R45",G101)),0)+IFERROR(--ISNUMBER(SEARCH("R46",G101)),0)+IFERROR(--ISNUMBER(SEARCH("R47",G101)),0)+IFERROR(--ISNUMBER(SEARCH("R48",G101)),0)+IFERROR(--ISNUMBER(SEARCH("R49",G101)),0)+IFERROR(--ISNUMBER(SEARCH("R50",G101)),0)+IFERROR(--ISNUMBER(SEARCH("R51",G101)),0)+IFERROR(--ISNUMBER(SEARCH("R52",G101)),0)+IFERROR(--ISNUMBER(SEARCH("R53",G101)),0)+IFERROR(--ISNUMBER(SEARCH("R54",G101)),0)+IFERROR(--ISNUMBER(SEARCH("R55",G101)),0)+IFERROR(--ISNUMBER(SEARCH("R56",G101)),0)+IFERROR(--ISNUMBER(SEARCH("R57",G101)),0)+IFERROR(--ISNUMBER(SEARCH("R58",G101)),0)+IFERROR(--ISNUMBER(SEARCH("R59",G101)),0)+IFERROR(--ISNUMBER(SEARCH("R60",G101)),0)+IFERROR(--ISNUMBER(SEARCH("R61",G101)),0)+IFERROR(--ISNUMBER(SEARCH("R62",G101)),0)+IFERROR(--ISNUMBER(SEARCH("R63",G101)),0)+IFERROR(--ISNUMBER(SEARCH("R64",G101)),0)+IFERROR(--ISNUMBER(SEARCH("R65",G101)),0)+IFERROR(--ISNUMBER(SEARCH("R66",G101)),0)+IFERROR(--ISNUMBER(SEARCH("R67",G101)),0)+IFERROR(--ISNUMBER(SEARCH("R68",G101)),0)+IFERROR(--ISNUMBER(SEARCH("R69",G101)),0)+IFERROR(--ISNUMBER(SEARCH("R70",G101)),0)+IFERROR(--ISNUMBER(SEARCH("R71",G101)),0)+IFERROR(--ISNUMBER(SEARCH("R72",G101)),0)+IFERROR(--ISNUMBER(SEARCH("R73",G101)),0)+IFERROR(--ISNUMBER(SEARCH("R74",G101)),0)+IFERROR(--ISNUMBER(SEARCH("R75",G101)),0)+IFERROR(--ISNUMBER(SEARCH("R76",G101)),0)+IFERROR(--ISNUMBER(SEARCH("R77",G101)),0)+IFERROR(--ISNUMBER(SEARCH("R78",G101)),0)+IFERROR(--ISNUMBER(SEARCH("R79",G101)),0)+IFERROR(--ISNUMBER(SEARCH("R80",G101)),0)+IFERROR(--ISNUMBER(SEARCH("R81",G101)),0)+IFERROR(--ISNUMBER(SEARCH("R82",G101)),0)+IFERROR(--ISNUMBER(SEARCH("R83",G101)),0)+IFERROR(--ISNUMBER(SEARCH("R84",G101)),0)+IFERROR(--ISNUMBER(SEARCH("R85",G101)),0)+IFERROR(--ISNUMBER(SEARCH("R86",G101)),0)+IFERROR(--ISNUMBER(SEARCH("R87",G101)),0)+IFERROR(--ISNUMBER(SEARCH("R88",G101)),0)+IFERROR(--ISNUMBER(SEARCH("R89",G101)),0)+IFERROR(--ISNUMBER(SEARCH("R90",G101)),0)+IFERROR(--ISNUMBER(SEARCH("R91",G101)),0)+IFERROR(--ISNUMBER(SEARCH("R92",G101)),0)+IFERROR(--ISNUMBER(SEARCH("R93",G101)),0)+IFERROR(--ISNUMBER(SEARCH("R94",G101)),0)+IFERROR(--ISNUMBER(SEARCH("R95",G101)),0)+IFERROR(--ISNUMBER(SEARCH("R96",G101)),0)+IFERROR(--ISNUMBER(SEARCH("R97",G101)),0)+IFERROR(--ISNUMBER(SEARCH("R98",G101)),0)+IFERROR(--ISNUMBER(SEARCH("R99",G101)),0)+IFERROR(--ISNUMBER(SEARCH("R100",G101)),0)+IFERROR(--ISNUMBER(SEARCH("R101",G101)),0)+IFERROR(--ISNUMBER(SEARCH("R102",G101)),0)+IFERROR(--ISNUMBER(SEARCH("R103",G101)),0)+IFERROR(--ISNUMBER(SEARCH("R104",G101)),0)+IFERROR(--ISNUMBER(SEARCH("R105",G101)),0)+IFERROR(--ISNUMBER(SEARCH("R106",G101)),0)+IFERROR(--ISNUMBER(SEARCH("R107",G101)),0)+IFERROR(--ISNUMBER(SEARCH("R108",G101)),0)+IFERROR(--ISNUMBER(SEARCH("R109",G101)),0)+IFERROR(--ISNUMBER(SEARCH("R110",G101)),0)+IFERROR(--ISNUMBER(SEARCH("R111",G101)),0)+IFERROR(--ISNUMBER(SEARCH("R112",G101)),0)+IFERROR(--ISNUMBER(SEARCH("R113",G101)),0)+IFERROR(--ISNUMBER(SEARCH("R114",G101)),0)+IFERROR(--ISNUMBER(SEARCH("R115",G101)),0)+IFERROR(--ISNUMBER(SEARCH("R116",G101)),0)+IFERROR(--ISNUMBER(SEARCH("R117",G101)),0)+IFERROR(--ISNUMBER(SEARCH("R118",G101)),0)+IFERROR(--ISNUMBER(SEARCH("R119",G101)),0)+IFERROR(--ISNUMBER(SEARCH("R120",G101)),0)+IFERROR(--ISNUMBER(SEARCH("R121",G101)),0)+IFERROR(--ISNUMBER(SEARCH("R122",G101)),0)+IFERROR(--ISNUMBER(SEARCH("R123",G101)),0)+IFERROR(--ISNUMBER(SEARCH("R124",G101)),0)+IFERROR(--ISNUMBER(SEARCH("R125",G101)),0)+IFERROR(--ISNUMBER(SEARCH("R126",G101)),0)+IFERROR(--ISNUMBER(SEARCH("R127",G101)),0)+IFERROR(--ISNUMBER(SEARCH("R128",G101)),0)+IFERROR(--ISNUMBER(SEARCH("R129",G101)),0)+IFERROR(--ISNUMBER(SEARCH("R130",G101)),0)+IFERROR(--ISNUMBER(SEARCH("R131",G101)),0)+IFERROR(--ISNUMBER(SEARCH("R132",G101)),0)+IFERROR(--ISNUMBER(SEARCH("R133",G101)),0)+IFERROR(--ISNUMBER(SEARCH("R134",G101)),0)+IFERROR(--ISNUMBER(SEARCH("R135",G101)),0)+IFERROR(--ISNUMBER(SEARCH("R136",G101)),0)+IFERROR(--ISNUMBER(SEARCH("R137",G101)),0)+IFERROR(--ISNUMBER(SEARCH("R138",G101)),0)+IFERROR(--ISNUMBER(SEARCH("R139",G101)),0)+IFERROR(--ISNUMBER(SEARCH("R140",G101)),0)+IFERROR(--ISNUMBER(SEARCH("R141",G101)),0))</f>
        <v/>
      </c>
      <c r="T101" s="58">
        <f>IF(A101="","",IFERROR(--ISNUMBER(SEARCH("R28",G101)),0)+IFERROR(--ISNUMBER(SEARCH("R29",G101)),0)+IFERROR(--ISNUMBER(SEARCH("R30",G101)),0)+IFERROR(--ISNUMBER(SEARCH("R32",G101)),0)+IFERROR(--ISNUMBER(SEARCH("R33",G101)),0)+IFERROR(--ISNUMBER(SEARCH("R35",G101)),0)+IFERROR(--ISNUMBER(SEARCH("R36",G101)),0)+IFERROR(--ISNUMBER(SEARCH("R38",G101)),0)+IFERROR(--ISNUMBER(SEARCH("R39",G101)),0)+IFERROR(--ISNUMBER(SEARCH("R43",G101)),0)+IFERROR(--ISNUMBER(SEARCH("R44",G101)),0)+IFERROR(--ISNUMBER(SEARCH("R45",G101)),0)+IFERROR(--ISNUMBER(SEARCH("R47",G101)),0)+IFERROR(--ISNUMBER(SEARCH("R48",G101)),0)+IFERROR(--ISNUMBER(SEARCH("R50",G101)),0)+IFERROR(--ISNUMBER(SEARCH("R51",G101)),0)+IFERROR(--ISNUMBER(SEARCH("R56",G101)),0)+IFERROR(--ISNUMBER(SEARCH("R58",G101)),0)+IFERROR(--ISNUMBER(SEARCH("R59",G101)),0)+IFERROR(--ISNUMBER(SEARCH("R60",G101)),0)+IFERROR(--ISNUMBER(SEARCH("R62",G101)),0)+IFERROR(--ISNUMBER(SEARCH("R63",G101)),0)+IFERROR(--ISNUMBER(SEARCH("R64",G101)),0)+IFERROR(--ISNUMBER(SEARCH("R66",G101)),0)+IFERROR(--ISNUMBER(SEARCH("R67",G101)),0)+IFERROR(--ISNUMBER(SEARCH("R72",G101)),0)+IFERROR(--ISNUMBER(SEARCH("R74",G101)),0)+IFERROR(--ISNUMBER(SEARCH("R75",G101)),0)+IFERROR(--ISNUMBER(SEARCH("R76",G101)),0)+IFERROR(--ISNUMBER(SEARCH("R77",G101)),0)+IFERROR(--ISNUMBER(SEARCH("R79",G101)),0)+IFERROR(--ISNUMBER(SEARCH("R80",G101)),0)+IFERROR(--ISNUMBER(SEARCH("R81",G101)),0)+IFERROR(--ISNUMBER(SEARCH("R83",G101)),0)+IFERROR(--ISNUMBER(SEARCH("R84",G101)),0)+IFERROR(--ISNUMBER(SEARCH("R89",G101)),0)+IFERROR(--ISNUMBER(SEARCH("R94",G101)),0)+IFERROR(--ISNUMBER(SEARCH("R95",G101)),0)+IFERROR(--ISNUMBER(SEARCH("R96",G101)),0)+IFERROR(--ISNUMBER(SEARCH("R98",G101)),0)+IFERROR(--ISNUMBER(SEARCH("R99",G101)),0)+IFERROR(--ISNUMBER(SEARCH("R100",G101)),0)+IFERROR(--ISNUMBER(SEARCH("R104",G101)),0)+IFERROR(--ISNUMBER(SEARCH("R105",G101)),0)+IFERROR(--ISNUMBER(SEARCH("R107",G101)),0)+IFERROR(--ISNUMBER(SEARCH("R108",G101)),0)+IFERROR(--ISNUMBER(SEARCH("R109",G101)),0)+IFERROR(--ISNUMBER(SEARCH("R110",G101)),0)+IFERROR(--ISNUMBER(SEARCH("R112",G101)),0)+IFERROR(--ISNUMBER(SEARCH("R113",G101)),0)+IFERROR(--ISNUMBER(SEARCH("R114",G101)),0)+IFERROR(--ISNUMBER(SEARCH("R118",G101)),0)+IFERROR(--ISNUMBER(SEARCH("R119",G101)),0)+IFERROR(--ISNUMBER(SEARCH("R120",G101)),0)+IFERROR(--ISNUMBER(SEARCH("R122",G101)),0)+IFERROR(--ISNUMBER(SEARCH("R123",G101)),0)+IFERROR(--ISNUMBER(SEARCH("R124",G101)),0)+IFERROR(--ISNUMBER(SEARCH("R128",G101)),0)+IFERROR(--ISNUMBER(SEARCH("R130",G101)),0)+IFERROR(--ISNUMBER(SEARCH("R131",G101)),0)+IFERROR(--ISNUMBER(SEARCH("R132",G101)),0)+IFERROR(--ISNUMBER(SEARCH("R135",G101)),0)+IFERROR(--ISNUMBER(SEARCH("R138",G101)),0)+IFERROR(--ISNUMBER(SEARCH("R141",G101)),0))</f>
        <v/>
      </c>
      <c r="U101" s="58">
        <f>IF(A101="","",IFERROR(--ISNUMBER(SEARCH("R28",G101))*28,0)+IFERROR(--ISNUMBER(SEARCH("R29",G101))*29,0)+IFERROR(--ISNUMBER(SEARCH("R30",G101))*30,0)+IFERROR(--ISNUMBER(SEARCH("R31",G101))*31,0)+IFERROR(--ISNUMBER(SEARCH("R32",G101))*32,0)+IFERROR(--ISNUMBER(SEARCH("R33",G101))*33,0)+IFERROR(--ISNUMBER(SEARCH("R34",G101))*34,0)+IFERROR(--ISNUMBER(SEARCH("R35",G101))*35,0)+IFERROR(--ISNUMBER(SEARCH("R36",G101))*36,0)+IFERROR(--ISNUMBER(SEARCH("R37",G101))*37,0)+IFERROR(--ISNUMBER(SEARCH("R38",G101))*38,0)+IFERROR(--ISNUMBER(SEARCH("R39",G101))*39,0)+IFERROR(--ISNUMBER(SEARCH("R40",G101))*40,0)+IFERROR(--ISNUMBER(SEARCH("R41",G101))*41,0)+IFERROR(--ISNUMBER(SEARCH("R42",G101))*42,0)+IFERROR(--ISNUMBER(SEARCH("R43",G101))*43,0)+IFERROR(--ISNUMBER(SEARCH("R44",G101))*44,0)+IFERROR(--ISNUMBER(SEARCH("R45",G101))*45,0)+IFERROR(--ISNUMBER(SEARCH("R46",G101))*46,0)+IFERROR(--ISNUMBER(SEARCH("R47",G101))*47,0)+IFERROR(--ISNUMBER(SEARCH("R48",G101))*48,0)+IFERROR(--ISNUMBER(SEARCH("R49",G101))*49,0)+IFERROR(--ISNUMBER(SEARCH("R50",G101))*50,0)+IFERROR(--ISNUMBER(SEARCH("R51",G101))*51,0)+IFERROR(--ISNUMBER(SEARCH("R52",G101))*52,0)+IFERROR(--ISNUMBER(SEARCH("R53",G101))*53,0)+IFERROR(--ISNUMBER(SEARCH("R54",G101))*54,0)+IFERROR(--ISNUMBER(SEARCH("R55",G101))*55,0)+IFERROR(--ISNUMBER(SEARCH("R56",G101))*56,0)+IFERROR(--ISNUMBER(SEARCH("R57",G101))*57,0)+IFERROR(--ISNUMBER(SEARCH("R58",G101))*58,0)+IFERROR(--ISNUMBER(SEARCH("R59",G101))*59,0)+IFERROR(--ISNUMBER(SEARCH("R60",G101))*60,0)+IFERROR(--ISNUMBER(SEARCH("R61",G101))*61,0)+IFERROR(--ISNUMBER(SEARCH("R62",G101))*62,0)+IFERROR(--ISNUMBER(SEARCH("R63",G101))*63,0)+IFERROR(--ISNUMBER(SEARCH("R64",G101))*64,0)+IFERROR(--ISNUMBER(SEARCH("R65",G101))*65,0)+IFERROR(--ISNUMBER(SEARCH("R66",G101))*66,0)+IFERROR(--ISNUMBER(SEARCH("R67",G101))*67,0)+IFERROR(--ISNUMBER(SEARCH("R68",G101))*68,0)+IFERROR(--ISNUMBER(SEARCH("R69",G101))*69,0)+IFERROR(--ISNUMBER(SEARCH("R70",G101))*70,0)+IFERROR(--ISNUMBER(SEARCH("R71",G101))*71,0)+IFERROR(--ISNUMBER(SEARCH("R72",G101))*72,0)+IFERROR(--ISNUMBER(SEARCH("R73",G101))*73,0)+IFERROR(--ISNUMBER(SEARCH("R74",G101))*74,0)+IFERROR(--ISNUMBER(SEARCH("R75",G101))*75,0)+IFERROR(--ISNUMBER(SEARCH("R76",G101))*76,0)+IFERROR(--ISNUMBER(SEARCH("R77",G101))*77,0)+IFERROR(--ISNUMBER(SEARCH("R78",G101))*78,0)+IFERROR(--ISNUMBER(SEARCH("R79",G101))*79,0)+IFERROR(--ISNUMBER(SEARCH("R80",G101))*80,0)+IFERROR(--ISNUMBER(SEARCH("R81",G101))*81,0)+IFERROR(--ISNUMBER(SEARCH("R82",G101))*82,0)+IFERROR(--ISNUMBER(SEARCH("R83",G101))*83,0)+IFERROR(--ISNUMBER(SEARCH("R84",G101))*84,0)+IFERROR(--ISNUMBER(SEARCH("R85",G101))*85,0)+IFERROR(--ISNUMBER(SEARCH("R86",G101))*86,0)+IFERROR(--ISNUMBER(SEARCH("R87",G101))*87,0)+IFERROR(--ISNUMBER(SEARCH("R88",G101))*88,0)+IFERROR(--ISNUMBER(SEARCH("R89",G101))*89,0)+IFERROR(--ISNUMBER(SEARCH("R90",G101))*90,0)+IFERROR(--ISNUMBER(SEARCH("R91",G101))*91,0)+IFERROR(--ISNUMBER(SEARCH("R92",G101))*92,0)+IFERROR(--ISNUMBER(SEARCH("R93",G101))*93,0)+IFERROR(--ISNUMBER(SEARCH("R94",G101))*94,0)+IFERROR(--ISNUMBER(SEARCH("R95",G101))*95,0)+IFERROR(--ISNUMBER(SEARCH("R96",G101))*96,0)+IFERROR(--ISNUMBER(SEARCH("R97",G101))*97,0)+IFERROR(--ISNUMBER(SEARCH("R98",G101))*98,0)+IFERROR(--ISNUMBER(SEARCH("R99",G101))*99,0)+IFERROR(--ISNUMBER(SEARCH("R100",G101))*100,0)+IFERROR(--ISNUMBER(SEARCH("R101",G101))*101,0)+IFERROR(--ISNUMBER(SEARCH("R102",G101))*102,0)+IFERROR(--ISNUMBER(SEARCH("R103",G101))*103,0)+IFERROR(--ISNUMBER(SEARCH("R104",G101))*104,0)+IFERROR(--ISNUMBER(SEARCH("R105",G101))*105,0)+IFERROR(--ISNUMBER(SEARCH("R106",G101))*106,0)+IFERROR(--ISNUMBER(SEARCH("R107",G101))*107,0)+IFERROR(--ISNUMBER(SEARCH("R108",G101))*108,0)+IFERROR(--ISNUMBER(SEARCH("R109",G101))*109,0)+IFERROR(--ISNUMBER(SEARCH("R110",G101))*110,0)+IFERROR(--ISNUMBER(SEARCH("R111",G101))*111,0)+IFERROR(--ISNUMBER(SEARCH("R112",G101))*112,0)+IFERROR(--ISNUMBER(SEARCH("R113",G101))*113,0)+IFERROR(--ISNUMBER(SEARCH("R114",G101))*114,0)+IFERROR(--ISNUMBER(SEARCH("R115",G101))*115,0)+IFERROR(--ISNUMBER(SEARCH("R116",G101))*116,0)+IFERROR(--ISNUMBER(SEARCH("R117",G101))*117,0)+IFERROR(--ISNUMBER(SEARCH("R118",G101))*118,0)+IFERROR(--ISNUMBER(SEARCH("R119",G101))*119,0)+IFERROR(--ISNUMBER(SEARCH("R120",G101))*120,0)+IFERROR(--ISNUMBER(SEARCH("R121",G101))*121,0)+IFERROR(--ISNUMBER(SEARCH("R122",G101))*122,0)+IFERROR(--ISNUMBER(SEARCH("R123",G101))*123,0)+IFERROR(--ISNUMBER(SEARCH("R124",G101))*124,0)+IFERROR(--ISNUMBER(SEARCH("R125",G101))*125,0)+IFERROR(--ISNUMBER(SEARCH("R126",G101))*126,0)+IFERROR(--ISNUMBER(SEARCH("R127",G101))*127,0)+IFERROR(--ISNUMBER(SEARCH("R128",G101))*128,0)+IFERROR(--ISNUMBER(SEARCH("R129",G101))*129,0)+IFERROR(--ISNUMBER(SEARCH("R130",G101))*130,0)+IFERROR(--ISNUMBER(SEARCH("R131",G101))*131,0)+IFERROR(--ISNUMBER(SEARCH("R132",G101))*132,0)+IFERROR(--ISNUMBER(SEARCH("R133",G101))*133,0)+IFERROR(--ISNUMBER(SEARCH("R134",G101))*134,0)+IFERROR(--ISNUMBER(SEARCH("R135",G101))*135,0)+IFERROR(--ISNUMBER(SEARCH("R136",G101))*136,0)+IFERROR(--ISNUMBER(SEARCH("R137",G101))*137,0)+IFERROR(--ISNUMBER(SEARCH("R138",G101))*138,0)+IFERROR(--ISNUMBER(SEARCH("R139",G101))*139,0)+IFERROR(--ISNUMBER(SEARCH("R140",G101))*140,0)+IFERROR(--ISNUMBER(SEARCH("R141",G101))*141,0))</f>
        <v/>
      </c>
      <c r="V101" s="59">
        <f>IF(A101="","",IF(K101&lt;&gt;"",K101,J101))</f>
        <v/>
      </c>
      <c r="W101" s="59">
        <f>IF(A101="","",IF(AND(V101=29,O101&lt;&gt;"",COUNTIFS($V$6:$V$505,29,$F$6:$F$505,F101,$C$6:$C$505,C101,$O$6:$O$505,"&lt;&gt;")&gt;1),IF(COUNTIFS($V$6:V101,29,$F$6:F101,F101,$C$6:C101,C101,$O$6:O101,"&lt;&gt;")=1,"Esta es la fila que se debe CONSERVAR (aparición 1 de "&amp;COUNTIFS($V$6:$V$505,29,$F$6:$F$505,F101,$C$6:$C$505,C101,$O$6:$O$505,"&lt;&gt;")&amp;" con el mismo tercero y valor, casilla 29). Si hay más filas iguales, bórreles el valor a ELLAS, no a esta.","DUPLICADO — ya existe otra fila con el mismo tercero y valor para casilla 29 (aparición "&amp;COUNTIFS($V$6:V101,29,$F$6:F101,F101,$C$6:C101,C101,$O$6:O101,"&lt;&gt;")&amp;" de "&amp;COUNTIFS($V$6:$V$505,29,$F$6:$F$505,F101,$C$6:$C$505,C101,$O$6:$O$505,"&lt;&gt;")&amp;"). Para resolverlo: seleccione la celda O"&amp;ROW()&amp;" (columna Valor a declarar de ESTA fila) y presione Supr."),""))</f>
        <v/>
      </c>
      <c r="X101" s="463">
        <f>IF(A101="","",F101)</f>
        <v/>
      </c>
      <c r="Y101" s="463">
        <f>IF(A101="","",SUMIF(Entrada_Manual!$I$88:$I$187,A101,Entrada_Manual!$F$88:$F$187))</f>
        <v/>
      </c>
      <c r="Z101" s="463">
        <f>IF(A101="","",X101-Y101)</f>
        <v/>
      </c>
      <c r="AA101">
        <f>IF(A101="","",SUMPRODUCT((Entrada_Manual!$I$88:$I$187=A101)*1))</f>
        <v/>
      </c>
      <c r="AB101">
        <f>IF(A101="","",IF(S101&lt;=1,"",IF(AA101=0,"PENDIENTE — SIN ASIGNAR",IF(Z101=0,"RESUELTO","PARCIAL — DIFERENCIA "&amp;TEXT(Z101,"#,##0")))))</f>
        <v/>
      </c>
    </row>
    <row r="102" ht="14.25" customHeight="1" s="235">
      <c r="A102" s="47">
        <f>IF(Exogena_RAW!E111&lt;&gt;"",ROW()-5,"")</f>
        <v/>
      </c>
      <c r="B102" s="48">
        <f>IF(A102="","",111)</f>
        <v/>
      </c>
      <c r="C102" s="48">
        <f>IF(A102="","",IFERROR(Exogena_RAW!A111,""))</f>
        <v/>
      </c>
      <c r="D102" s="48">
        <f>IF(A102="","",IFERROR(Exogena_RAW!B111,""))</f>
        <v/>
      </c>
      <c r="E102" s="48">
        <f>IF(A102="","",Exogena_RAW!E111)</f>
        <v/>
      </c>
      <c r="F102" s="461">
        <f>IF(A102="","",Exogena_RAW!F111)</f>
        <v/>
      </c>
      <c r="G102" s="48">
        <f>IF(A102="","",IFERROR(Exogena_RAW!G111,""))</f>
        <v/>
      </c>
      <c r="H102" s="48">
        <f>IF(A102="","",IFERROR(Exogena_RAW!H111,""))</f>
        <v/>
      </c>
      <c r="I102" s="48">
        <f>IF(A102="","",IFERROR(IF(S102&gt;1,"VARIAS CASILLAS",IF(S102=1,IF(T102=1,"PROPUESTA DE CASILLA","REVISIÓN: CASILLA NO DIRECTA"),IF(OR(ISNUMBER(SEARCH("TOPE",UPPER(E102))),ISNUMBER(SEARCH("TOPE",UPPER(G102)))),"SOLO CONTROL",IF(ISNUMBER(SEARCH("RETEN",UPPER(E102))),"RETENCIÓN","REVISAR")))),"REVISAR"))</f>
        <v/>
      </c>
      <c r="J102" s="48">
        <f>IF(A102="","",IF(ISNUMBER(SEARCH("ingreso laboral promedio de los últimos seis meses",E102)),"",IFERROR(IF(AND(S102=1,T102=1),U102,""),"")))</f>
        <v/>
      </c>
      <c r="K102" s="216" t="n"/>
      <c r="L102" s="48">
        <f>IF(A102="","",IFERROR(IF(K102&lt;&gt;"","Casilla elegida por usuario",IF(S102&gt;1,"Varias casillas — elegir en K",IF(J102&lt;&gt;"","Sugerencia directa",IF(S102=1,"No trasladar directo — revisar",IF(OR(ISNUMBER(SEARCH("TOPE",UPPER(E102))),ISNUMBER(SEARCH("TOPE",UPPER(G102)))),"Solo control","Revisar manualmente"))))),"Revisar manualmente"))</f>
        <v/>
      </c>
      <c r="M102" s="461">
        <f>IF(A102="","",IF(IF(K102&lt;&gt;"",K102,J102)="",0,IF(COUNTIFS(Reglas!$I$5:$I$118,IF(K102&lt;&gt;"",K102,J102),Reglas!$J$5:$J$118,"Sí")=1,F102,0)))</f>
        <v/>
      </c>
      <c r="N102" s="56" t="n"/>
      <c r="O102" s="462">
        <f>IF(A102="","",IF(M102=0,"",M102))</f>
        <v/>
      </c>
      <c r="P102" s="461">
        <f>IF(A102="","",IF(O102="",0,IF(ISNUMBER(O102),O102,0)))</f>
        <v/>
      </c>
      <c r="Q102" s="48">
        <f>IF(A102="","",IF(Exogena_RAW!$C$4="","BLOQUEADO: FALTA AÑO",IF(Exogena_RAW!$K$10&lt;&gt;Reglas!$B$5,"BLOQUEADO: AÑO",IF(IF(K102&lt;&gt;"",K102,J102)="",IF(S102&gt;1,"REQUIERE ASIGNACIÓN MANUAL (VARIAS CASILLAS)","INFORMATIVO (sin casilla — no se declara)"),IF(COUNTIFS(Reglas!$I$5:$I$118,IF(K102&lt;&gt;"",K102,J102),Reglas!$J$5:$J$118,"Sí")=0,"BLOQUEADO: CASILLA NO DIRECTA",IF(O102="","EXCLUIDO (valor borrado por el usuario)",IF(_xlfn.ISFORMULA(O102),IF(W102&lt;&gt;"","BORRADOR — VALOR SUGERIDO DIAN ⚠ VER ALERTA","BORRADOR — VALOR SUGERIDO DIAN"),IF(W102&lt;&gt;"","ACEPTADO ⚠ VER ALERTA","ACEPTADO"))))))))</f>
        <v/>
      </c>
      <c r="R102" s="218" t="n"/>
      <c r="S102" s="58">
        <f>IF(A102="","",IFERROR(--ISNUMBER(SEARCH("R28",G102)),0)+IFERROR(--ISNUMBER(SEARCH("R29",G102)),0)+IFERROR(--ISNUMBER(SEARCH("R30",G102)),0)+IFERROR(--ISNUMBER(SEARCH("R31",G102)),0)+IFERROR(--ISNUMBER(SEARCH("R32",G102)),0)+IFERROR(--ISNUMBER(SEARCH("R33",G102)),0)+IFERROR(--ISNUMBER(SEARCH("R34",G102)),0)+IFERROR(--ISNUMBER(SEARCH("R35",G102)),0)+IFERROR(--ISNUMBER(SEARCH("R36",G102)),0)+IFERROR(--ISNUMBER(SEARCH("R37",G102)),0)+IFERROR(--ISNUMBER(SEARCH("R38",G102)),0)+IFERROR(--ISNUMBER(SEARCH("R39",G102)),0)+IFERROR(--ISNUMBER(SEARCH("R40",G102)),0)+IFERROR(--ISNUMBER(SEARCH("R41",G102)),0)+IFERROR(--ISNUMBER(SEARCH("R42",G102)),0)+IFERROR(--ISNUMBER(SEARCH("R43",G102)),0)+IFERROR(--ISNUMBER(SEARCH("R44",G102)),0)+IFERROR(--ISNUMBER(SEARCH("R45",G102)),0)+IFERROR(--ISNUMBER(SEARCH("R46",G102)),0)+IFERROR(--ISNUMBER(SEARCH("R47",G102)),0)+IFERROR(--ISNUMBER(SEARCH("R48",G102)),0)+IFERROR(--ISNUMBER(SEARCH("R49",G102)),0)+IFERROR(--ISNUMBER(SEARCH("R50",G102)),0)+IFERROR(--ISNUMBER(SEARCH("R51",G102)),0)+IFERROR(--ISNUMBER(SEARCH("R52",G102)),0)+IFERROR(--ISNUMBER(SEARCH("R53",G102)),0)+IFERROR(--ISNUMBER(SEARCH("R54",G102)),0)+IFERROR(--ISNUMBER(SEARCH("R55",G102)),0)+IFERROR(--ISNUMBER(SEARCH("R56",G102)),0)+IFERROR(--ISNUMBER(SEARCH("R57",G102)),0)+IFERROR(--ISNUMBER(SEARCH("R58",G102)),0)+IFERROR(--ISNUMBER(SEARCH("R59",G102)),0)+IFERROR(--ISNUMBER(SEARCH("R60",G102)),0)+IFERROR(--ISNUMBER(SEARCH("R61",G102)),0)+IFERROR(--ISNUMBER(SEARCH("R62",G102)),0)+IFERROR(--ISNUMBER(SEARCH("R63",G102)),0)+IFERROR(--ISNUMBER(SEARCH("R64",G102)),0)+IFERROR(--ISNUMBER(SEARCH("R65",G102)),0)+IFERROR(--ISNUMBER(SEARCH("R66",G102)),0)+IFERROR(--ISNUMBER(SEARCH("R67",G102)),0)+IFERROR(--ISNUMBER(SEARCH("R68",G102)),0)+IFERROR(--ISNUMBER(SEARCH("R69",G102)),0)+IFERROR(--ISNUMBER(SEARCH("R70",G102)),0)+IFERROR(--ISNUMBER(SEARCH("R71",G102)),0)+IFERROR(--ISNUMBER(SEARCH("R72",G102)),0)+IFERROR(--ISNUMBER(SEARCH("R73",G102)),0)+IFERROR(--ISNUMBER(SEARCH("R74",G102)),0)+IFERROR(--ISNUMBER(SEARCH("R75",G102)),0)+IFERROR(--ISNUMBER(SEARCH("R76",G102)),0)+IFERROR(--ISNUMBER(SEARCH("R77",G102)),0)+IFERROR(--ISNUMBER(SEARCH("R78",G102)),0)+IFERROR(--ISNUMBER(SEARCH("R79",G102)),0)+IFERROR(--ISNUMBER(SEARCH("R80",G102)),0)+IFERROR(--ISNUMBER(SEARCH("R81",G102)),0)+IFERROR(--ISNUMBER(SEARCH("R82",G102)),0)+IFERROR(--ISNUMBER(SEARCH("R83",G102)),0)+IFERROR(--ISNUMBER(SEARCH("R84",G102)),0)+IFERROR(--ISNUMBER(SEARCH("R85",G102)),0)+IFERROR(--ISNUMBER(SEARCH("R86",G102)),0)+IFERROR(--ISNUMBER(SEARCH("R87",G102)),0)+IFERROR(--ISNUMBER(SEARCH("R88",G102)),0)+IFERROR(--ISNUMBER(SEARCH("R89",G102)),0)+IFERROR(--ISNUMBER(SEARCH("R90",G102)),0)+IFERROR(--ISNUMBER(SEARCH("R91",G102)),0)+IFERROR(--ISNUMBER(SEARCH("R92",G102)),0)+IFERROR(--ISNUMBER(SEARCH("R93",G102)),0)+IFERROR(--ISNUMBER(SEARCH("R94",G102)),0)+IFERROR(--ISNUMBER(SEARCH("R95",G102)),0)+IFERROR(--ISNUMBER(SEARCH("R96",G102)),0)+IFERROR(--ISNUMBER(SEARCH("R97",G102)),0)+IFERROR(--ISNUMBER(SEARCH("R98",G102)),0)+IFERROR(--ISNUMBER(SEARCH("R99",G102)),0)+IFERROR(--ISNUMBER(SEARCH("R100",G102)),0)+IFERROR(--ISNUMBER(SEARCH("R101",G102)),0)+IFERROR(--ISNUMBER(SEARCH("R102",G102)),0)+IFERROR(--ISNUMBER(SEARCH("R103",G102)),0)+IFERROR(--ISNUMBER(SEARCH("R104",G102)),0)+IFERROR(--ISNUMBER(SEARCH("R105",G102)),0)+IFERROR(--ISNUMBER(SEARCH("R106",G102)),0)+IFERROR(--ISNUMBER(SEARCH("R107",G102)),0)+IFERROR(--ISNUMBER(SEARCH("R108",G102)),0)+IFERROR(--ISNUMBER(SEARCH("R109",G102)),0)+IFERROR(--ISNUMBER(SEARCH("R110",G102)),0)+IFERROR(--ISNUMBER(SEARCH("R111",G102)),0)+IFERROR(--ISNUMBER(SEARCH("R112",G102)),0)+IFERROR(--ISNUMBER(SEARCH("R113",G102)),0)+IFERROR(--ISNUMBER(SEARCH("R114",G102)),0)+IFERROR(--ISNUMBER(SEARCH("R115",G102)),0)+IFERROR(--ISNUMBER(SEARCH("R116",G102)),0)+IFERROR(--ISNUMBER(SEARCH("R117",G102)),0)+IFERROR(--ISNUMBER(SEARCH("R118",G102)),0)+IFERROR(--ISNUMBER(SEARCH("R119",G102)),0)+IFERROR(--ISNUMBER(SEARCH("R120",G102)),0)+IFERROR(--ISNUMBER(SEARCH("R121",G102)),0)+IFERROR(--ISNUMBER(SEARCH("R122",G102)),0)+IFERROR(--ISNUMBER(SEARCH("R123",G102)),0)+IFERROR(--ISNUMBER(SEARCH("R124",G102)),0)+IFERROR(--ISNUMBER(SEARCH("R125",G102)),0)+IFERROR(--ISNUMBER(SEARCH("R126",G102)),0)+IFERROR(--ISNUMBER(SEARCH("R127",G102)),0)+IFERROR(--ISNUMBER(SEARCH("R128",G102)),0)+IFERROR(--ISNUMBER(SEARCH("R129",G102)),0)+IFERROR(--ISNUMBER(SEARCH("R130",G102)),0)+IFERROR(--ISNUMBER(SEARCH("R131",G102)),0)+IFERROR(--ISNUMBER(SEARCH("R132",G102)),0)+IFERROR(--ISNUMBER(SEARCH("R133",G102)),0)+IFERROR(--ISNUMBER(SEARCH("R134",G102)),0)+IFERROR(--ISNUMBER(SEARCH("R135",G102)),0)+IFERROR(--ISNUMBER(SEARCH("R136",G102)),0)+IFERROR(--ISNUMBER(SEARCH("R137",G102)),0)+IFERROR(--ISNUMBER(SEARCH("R138",G102)),0)+IFERROR(--ISNUMBER(SEARCH("R139",G102)),0)+IFERROR(--ISNUMBER(SEARCH("R140",G102)),0)+IFERROR(--ISNUMBER(SEARCH("R141",G102)),0))</f>
        <v/>
      </c>
      <c r="T102" s="58">
        <f>IF(A102="","",IFERROR(--ISNUMBER(SEARCH("R28",G102)),0)+IFERROR(--ISNUMBER(SEARCH("R29",G102)),0)+IFERROR(--ISNUMBER(SEARCH("R30",G102)),0)+IFERROR(--ISNUMBER(SEARCH("R32",G102)),0)+IFERROR(--ISNUMBER(SEARCH("R33",G102)),0)+IFERROR(--ISNUMBER(SEARCH("R35",G102)),0)+IFERROR(--ISNUMBER(SEARCH("R36",G102)),0)+IFERROR(--ISNUMBER(SEARCH("R38",G102)),0)+IFERROR(--ISNUMBER(SEARCH("R39",G102)),0)+IFERROR(--ISNUMBER(SEARCH("R43",G102)),0)+IFERROR(--ISNUMBER(SEARCH("R44",G102)),0)+IFERROR(--ISNUMBER(SEARCH("R45",G102)),0)+IFERROR(--ISNUMBER(SEARCH("R47",G102)),0)+IFERROR(--ISNUMBER(SEARCH("R48",G102)),0)+IFERROR(--ISNUMBER(SEARCH("R50",G102)),0)+IFERROR(--ISNUMBER(SEARCH("R51",G102)),0)+IFERROR(--ISNUMBER(SEARCH("R56",G102)),0)+IFERROR(--ISNUMBER(SEARCH("R58",G102)),0)+IFERROR(--ISNUMBER(SEARCH("R59",G102)),0)+IFERROR(--ISNUMBER(SEARCH("R60",G102)),0)+IFERROR(--ISNUMBER(SEARCH("R62",G102)),0)+IFERROR(--ISNUMBER(SEARCH("R63",G102)),0)+IFERROR(--ISNUMBER(SEARCH("R64",G102)),0)+IFERROR(--ISNUMBER(SEARCH("R66",G102)),0)+IFERROR(--ISNUMBER(SEARCH("R67",G102)),0)+IFERROR(--ISNUMBER(SEARCH("R72",G102)),0)+IFERROR(--ISNUMBER(SEARCH("R74",G102)),0)+IFERROR(--ISNUMBER(SEARCH("R75",G102)),0)+IFERROR(--ISNUMBER(SEARCH("R76",G102)),0)+IFERROR(--ISNUMBER(SEARCH("R77",G102)),0)+IFERROR(--ISNUMBER(SEARCH("R79",G102)),0)+IFERROR(--ISNUMBER(SEARCH("R80",G102)),0)+IFERROR(--ISNUMBER(SEARCH("R81",G102)),0)+IFERROR(--ISNUMBER(SEARCH("R83",G102)),0)+IFERROR(--ISNUMBER(SEARCH("R84",G102)),0)+IFERROR(--ISNUMBER(SEARCH("R89",G102)),0)+IFERROR(--ISNUMBER(SEARCH("R94",G102)),0)+IFERROR(--ISNUMBER(SEARCH("R95",G102)),0)+IFERROR(--ISNUMBER(SEARCH("R96",G102)),0)+IFERROR(--ISNUMBER(SEARCH("R98",G102)),0)+IFERROR(--ISNUMBER(SEARCH("R99",G102)),0)+IFERROR(--ISNUMBER(SEARCH("R100",G102)),0)+IFERROR(--ISNUMBER(SEARCH("R104",G102)),0)+IFERROR(--ISNUMBER(SEARCH("R105",G102)),0)+IFERROR(--ISNUMBER(SEARCH("R107",G102)),0)+IFERROR(--ISNUMBER(SEARCH("R108",G102)),0)+IFERROR(--ISNUMBER(SEARCH("R109",G102)),0)+IFERROR(--ISNUMBER(SEARCH("R110",G102)),0)+IFERROR(--ISNUMBER(SEARCH("R112",G102)),0)+IFERROR(--ISNUMBER(SEARCH("R113",G102)),0)+IFERROR(--ISNUMBER(SEARCH("R114",G102)),0)+IFERROR(--ISNUMBER(SEARCH("R118",G102)),0)+IFERROR(--ISNUMBER(SEARCH("R119",G102)),0)+IFERROR(--ISNUMBER(SEARCH("R120",G102)),0)+IFERROR(--ISNUMBER(SEARCH("R122",G102)),0)+IFERROR(--ISNUMBER(SEARCH("R123",G102)),0)+IFERROR(--ISNUMBER(SEARCH("R124",G102)),0)+IFERROR(--ISNUMBER(SEARCH("R128",G102)),0)+IFERROR(--ISNUMBER(SEARCH("R130",G102)),0)+IFERROR(--ISNUMBER(SEARCH("R131",G102)),0)+IFERROR(--ISNUMBER(SEARCH("R132",G102)),0)+IFERROR(--ISNUMBER(SEARCH("R135",G102)),0)+IFERROR(--ISNUMBER(SEARCH("R138",G102)),0)+IFERROR(--ISNUMBER(SEARCH("R141",G102)),0))</f>
        <v/>
      </c>
      <c r="U102" s="58">
        <f>IF(A102="","",IFERROR(--ISNUMBER(SEARCH("R28",G102))*28,0)+IFERROR(--ISNUMBER(SEARCH("R29",G102))*29,0)+IFERROR(--ISNUMBER(SEARCH("R30",G102))*30,0)+IFERROR(--ISNUMBER(SEARCH("R31",G102))*31,0)+IFERROR(--ISNUMBER(SEARCH("R32",G102))*32,0)+IFERROR(--ISNUMBER(SEARCH("R33",G102))*33,0)+IFERROR(--ISNUMBER(SEARCH("R34",G102))*34,0)+IFERROR(--ISNUMBER(SEARCH("R35",G102))*35,0)+IFERROR(--ISNUMBER(SEARCH("R36",G102))*36,0)+IFERROR(--ISNUMBER(SEARCH("R37",G102))*37,0)+IFERROR(--ISNUMBER(SEARCH("R38",G102))*38,0)+IFERROR(--ISNUMBER(SEARCH("R39",G102))*39,0)+IFERROR(--ISNUMBER(SEARCH("R40",G102))*40,0)+IFERROR(--ISNUMBER(SEARCH("R41",G102))*41,0)+IFERROR(--ISNUMBER(SEARCH("R42",G102))*42,0)+IFERROR(--ISNUMBER(SEARCH("R43",G102))*43,0)+IFERROR(--ISNUMBER(SEARCH("R44",G102))*44,0)+IFERROR(--ISNUMBER(SEARCH("R45",G102))*45,0)+IFERROR(--ISNUMBER(SEARCH("R46",G102))*46,0)+IFERROR(--ISNUMBER(SEARCH("R47",G102))*47,0)+IFERROR(--ISNUMBER(SEARCH("R48",G102))*48,0)+IFERROR(--ISNUMBER(SEARCH("R49",G102))*49,0)+IFERROR(--ISNUMBER(SEARCH("R50",G102))*50,0)+IFERROR(--ISNUMBER(SEARCH("R51",G102))*51,0)+IFERROR(--ISNUMBER(SEARCH("R52",G102))*52,0)+IFERROR(--ISNUMBER(SEARCH("R53",G102))*53,0)+IFERROR(--ISNUMBER(SEARCH("R54",G102))*54,0)+IFERROR(--ISNUMBER(SEARCH("R55",G102))*55,0)+IFERROR(--ISNUMBER(SEARCH("R56",G102))*56,0)+IFERROR(--ISNUMBER(SEARCH("R57",G102))*57,0)+IFERROR(--ISNUMBER(SEARCH("R58",G102))*58,0)+IFERROR(--ISNUMBER(SEARCH("R59",G102))*59,0)+IFERROR(--ISNUMBER(SEARCH("R60",G102))*60,0)+IFERROR(--ISNUMBER(SEARCH("R61",G102))*61,0)+IFERROR(--ISNUMBER(SEARCH("R62",G102))*62,0)+IFERROR(--ISNUMBER(SEARCH("R63",G102))*63,0)+IFERROR(--ISNUMBER(SEARCH("R64",G102))*64,0)+IFERROR(--ISNUMBER(SEARCH("R65",G102))*65,0)+IFERROR(--ISNUMBER(SEARCH("R66",G102))*66,0)+IFERROR(--ISNUMBER(SEARCH("R67",G102))*67,0)+IFERROR(--ISNUMBER(SEARCH("R68",G102))*68,0)+IFERROR(--ISNUMBER(SEARCH("R69",G102))*69,0)+IFERROR(--ISNUMBER(SEARCH("R70",G102))*70,0)+IFERROR(--ISNUMBER(SEARCH("R71",G102))*71,0)+IFERROR(--ISNUMBER(SEARCH("R72",G102))*72,0)+IFERROR(--ISNUMBER(SEARCH("R73",G102))*73,0)+IFERROR(--ISNUMBER(SEARCH("R74",G102))*74,0)+IFERROR(--ISNUMBER(SEARCH("R75",G102))*75,0)+IFERROR(--ISNUMBER(SEARCH("R76",G102))*76,0)+IFERROR(--ISNUMBER(SEARCH("R77",G102))*77,0)+IFERROR(--ISNUMBER(SEARCH("R78",G102))*78,0)+IFERROR(--ISNUMBER(SEARCH("R79",G102))*79,0)+IFERROR(--ISNUMBER(SEARCH("R80",G102))*80,0)+IFERROR(--ISNUMBER(SEARCH("R81",G102))*81,0)+IFERROR(--ISNUMBER(SEARCH("R82",G102))*82,0)+IFERROR(--ISNUMBER(SEARCH("R83",G102))*83,0)+IFERROR(--ISNUMBER(SEARCH("R84",G102))*84,0)+IFERROR(--ISNUMBER(SEARCH("R85",G102))*85,0)+IFERROR(--ISNUMBER(SEARCH("R86",G102))*86,0)+IFERROR(--ISNUMBER(SEARCH("R87",G102))*87,0)+IFERROR(--ISNUMBER(SEARCH("R88",G102))*88,0)+IFERROR(--ISNUMBER(SEARCH("R89",G102))*89,0)+IFERROR(--ISNUMBER(SEARCH("R90",G102))*90,0)+IFERROR(--ISNUMBER(SEARCH("R91",G102))*91,0)+IFERROR(--ISNUMBER(SEARCH("R92",G102))*92,0)+IFERROR(--ISNUMBER(SEARCH("R93",G102))*93,0)+IFERROR(--ISNUMBER(SEARCH("R94",G102))*94,0)+IFERROR(--ISNUMBER(SEARCH("R95",G102))*95,0)+IFERROR(--ISNUMBER(SEARCH("R96",G102))*96,0)+IFERROR(--ISNUMBER(SEARCH("R97",G102))*97,0)+IFERROR(--ISNUMBER(SEARCH("R98",G102))*98,0)+IFERROR(--ISNUMBER(SEARCH("R99",G102))*99,0)+IFERROR(--ISNUMBER(SEARCH("R100",G102))*100,0)+IFERROR(--ISNUMBER(SEARCH("R101",G102))*101,0)+IFERROR(--ISNUMBER(SEARCH("R102",G102))*102,0)+IFERROR(--ISNUMBER(SEARCH("R103",G102))*103,0)+IFERROR(--ISNUMBER(SEARCH("R104",G102))*104,0)+IFERROR(--ISNUMBER(SEARCH("R105",G102))*105,0)+IFERROR(--ISNUMBER(SEARCH("R106",G102))*106,0)+IFERROR(--ISNUMBER(SEARCH("R107",G102))*107,0)+IFERROR(--ISNUMBER(SEARCH("R108",G102))*108,0)+IFERROR(--ISNUMBER(SEARCH("R109",G102))*109,0)+IFERROR(--ISNUMBER(SEARCH("R110",G102))*110,0)+IFERROR(--ISNUMBER(SEARCH("R111",G102))*111,0)+IFERROR(--ISNUMBER(SEARCH("R112",G102))*112,0)+IFERROR(--ISNUMBER(SEARCH("R113",G102))*113,0)+IFERROR(--ISNUMBER(SEARCH("R114",G102))*114,0)+IFERROR(--ISNUMBER(SEARCH("R115",G102))*115,0)+IFERROR(--ISNUMBER(SEARCH("R116",G102))*116,0)+IFERROR(--ISNUMBER(SEARCH("R117",G102))*117,0)+IFERROR(--ISNUMBER(SEARCH("R118",G102))*118,0)+IFERROR(--ISNUMBER(SEARCH("R119",G102))*119,0)+IFERROR(--ISNUMBER(SEARCH("R120",G102))*120,0)+IFERROR(--ISNUMBER(SEARCH("R121",G102))*121,0)+IFERROR(--ISNUMBER(SEARCH("R122",G102))*122,0)+IFERROR(--ISNUMBER(SEARCH("R123",G102))*123,0)+IFERROR(--ISNUMBER(SEARCH("R124",G102))*124,0)+IFERROR(--ISNUMBER(SEARCH("R125",G102))*125,0)+IFERROR(--ISNUMBER(SEARCH("R126",G102))*126,0)+IFERROR(--ISNUMBER(SEARCH("R127",G102))*127,0)+IFERROR(--ISNUMBER(SEARCH("R128",G102))*128,0)+IFERROR(--ISNUMBER(SEARCH("R129",G102))*129,0)+IFERROR(--ISNUMBER(SEARCH("R130",G102))*130,0)+IFERROR(--ISNUMBER(SEARCH("R131",G102))*131,0)+IFERROR(--ISNUMBER(SEARCH("R132",G102))*132,0)+IFERROR(--ISNUMBER(SEARCH("R133",G102))*133,0)+IFERROR(--ISNUMBER(SEARCH("R134",G102))*134,0)+IFERROR(--ISNUMBER(SEARCH("R135",G102))*135,0)+IFERROR(--ISNUMBER(SEARCH("R136",G102))*136,0)+IFERROR(--ISNUMBER(SEARCH("R137",G102))*137,0)+IFERROR(--ISNUMBER(SEARCH("R138",G102))*138,0)+IFERROR(--ISNUMBER(SEARCH("R139",G102))*139,0)+IFERROR(--ISNUMBER(SEARCH("R140",G102))*140,0)+IFERROR(--ISNUMBER(SEARCH("R141",G102))*141,0))</f>
        <v/>
      </c>
      <c r="V102" s="59">
        <f>IF(A102="","",IF(K102&lt;&gt;"",K102,J102))</f>
        <v/>
      </c>
      <c r="W102" s="59">
        <f>IF(A102="","",IF(AND(V102=29,O102&lt;&gt;"",COUNTIFS($V$6:$V$505,29,$F$6:$F$505,F102,$C$6:$C$505,C102,$O$6:$O$505,"&lt;&gt;")&gt;1),IF(COUNTIFS($V$6:V102,29,$F$6:F102,F102,$C$6:C102,C102,$O$6:O102,"&lt;&gt;")=1,"Esta es la fila que se debe CONSERVAR (aparición 1 de "&amp;COUNTIFS($V$6:$V$505,29,$F$6:$F$505,F102,$C$6:$C$505,C102,$O$6:$O$505,"&lt;&gt;")&amp;" con el mismo tercero y valor, casilla 29). Si hay más filas iguales, bórreles el valor a ELLAS, no a esta.","DUPLICADO — ya existe otra fila con el mismo tercero y valor para casilla 29 (aparición "&amp;COUNTIFS($V$6:V102,29,$F$6:F102,F102,$C$6:C102,C102,$O$6:O102,"&lt;&gt;")&amp;" de "&amp;COUNTIFS($V$6:$V$505,29,$F$6:$F$505,F102,$C$6:$C$505,C102,$O$6:$O$505,"&lt;&gt;")&amp;"). Para resolverlo: seleccione la celda O"&amp;ROW()&amp;" (columna Valor a declarar de ESTA fila) y presione Supr."),""))</f>
        <v/>
      </c>
      <c r="X102" s="463">
        <f>IF(A102="","",F102)</f>
        <v/>
      </c>
      <c r="Y102" s="463">
        <f>IF(A102="","",SUMIF(Entrada_Manual!$I$88:$I$187,A102,Entrada_Manual!$F$88:$F$187))</f>
        <v/>
      </c>
      <c r="Z102" s="463">
        <f>IF(A102="","",X102-Y102)</f>
        <v/>
      </c>
      <c r="AA102">
        <f>IF(A102="","",SUMPRODUCT((Entrada_Manual!$I$88:$I$187=A102)*1))</f>
        <v/>
      </c>
      <c r="AB102">
        <f>IF(A102="","",IF(S102&lt;=1,"",IF(AA102=0,"PENDIENTE — SIN ASIGNAR",IF(Z102=0,"RESUELTO","PARCIAL — DIFERENCIA "&amp;TEXT(Z102,"#,##0")))))</f>
        <v/>
      </c>
    </row>
    <row r="103" ht="14.25" customHeight="1" s="235">
      <c r="A103" s="47">
        <f>IF(Exogena_RAW!E112&lt;&gt;"",ROW()-5,"")</f>
        <v/>
      </c>
      <c r="B103" s="48">
        <f>IF(A103="","",112)</f>
        <v/>
      </c>
      <c r="C103" s="48">
        <f>IF(A103="","",IFERROR(Exogena_RAW!A112,""))</f>
        <v/>
      </c>
      <c r="D103" s="48">
        <f>IF(A103="","",IFERROR(Exogena_RAW!B112,""))</f>
        <v/>
      </c>
      <c r="E103" s="48">
        <f>IF(A103="","",Exogena_RAW!E112)</f>
        <v/>
      </c>
      <c r="F103" s="461">
        <f>IF(A103="","",Exogena_RAW!F112)</f>
        <v/>
      </c>
      <c r="G103" s="48">
        <f>IF(A103="","",IFERROR(Exogena_RAW!G112,""))</f>
        <v/>
      </c>
      <c r="H103" s="48">
        <f>IF(A103="","",IFERROR(Exogena_RAW!H112,""))</f>
        <v/>
      </c>
      <c r="I103" s="48">
        <f>IF(A103="","",IFERROR(IF(S103&gt;1,"VARIAS CASILLAS",IF(S103=1,IF(T103=1,"PROPUESTA DE CASILLA","REVISIÓN: CASILLA NO DIRECTA"),IF(OR(ISNUMBER(SEARCH("TOPE",UPPER(E103))),ISNUMBER(SEARCH("TOPE",UPPER(G103)))),"SOLO CONTROL",IF(ISNUMBER(SEARCH("RETEN",UPPER(E103))),"RETENCIÓN","REVISAR")))),"REVISAR"))</f>
        <v/>
      </c>
      <c r="J103" s="48">
        <f>IF(A103="","",IF(ISNUMBER(SEARCH("ingreso laboral promedio de los últimos seis meses",E103)),"",IFERROR(IF(AND(S103=1,T103=1),U103,""),"")))</f>
        <v/>
      </c>
      <c r="K103" s="216" t="n"/>
      <c r="L103" s="48">
        <f>IF(A103="","",IFERROR(IF(K103&lt;&gt;"","Casilla elegida por usuario",IF(S103&gt;1,"Varias casillas — elegir en K",IF(J103&lt;&gt;"","Sugerencia directa",IF(S103=1,"No trasladar directo — revisar",IF(OR(ISNUMBER(SEARCH("TOPE",UPPER(E103))),ISNUMBER(SEARCH("TOPE",UPPER(G103)))),"Solo control","Revisar manualmente"))))),"Revisar manualmente"))</f>
        <v/>
      </c>
      <c r="M103" s="461">
        <f>IF(A103="","",IF(IF(K103&lt;&gt;"",K103,J103)="",0,IF(COUNTIFS(Reglas!$I$5:$I$118,IF(K103&lt;&gt;"",K103,J103),Reglas!$J$5:$J$118,"Sí")=1,F103,0)))</f>
        <v/>
      </c>
      <c r="N103" s="56" t="n"/>
      <c r="O103" s="462">
        <f>IF(A103="","",IF(M103=0,"",M103))</f>
        <v/>
      </c>
      <c r="P103" s="461">
        <f>IF(A103="","",IF(O103="",0,IF(ISNUMBER(O103),O103,0)))</f>
        <v/>
      </c>
      <c r="Q103" s="48">
        <f>IF(A103="","",IF(Exogena_RAW!$C$4="","BLOQUEADO: FALTA AÑO",IF(Exogena_RAW!$K$10&lt;&gt;Reglas!$B$5,"BLOQUEADO: AÑO",IF(IF(K103&lt;&gt;"",K103,J103)="",IF(S103&gt;1,"REQUIERE ASIGNACIÓN MANUAL (VARIAS CASILLAS)","INFORMATIVO (sin casilla — no se declara)"),IF(COUNTIFS(Reglas!$I$5:$I$118,IF(K103&lt;&gt;"",K103,J103),Reglas!$J$5:$J$118,"Sí")=0,"BLOQUEADO: CASILLA NO DIRECTA",IF(O103="","EXCLUIDO (valor borrado por el usuario)",IF(_xlfn.ISFORMULA(O103),IF(W103&lt;&gt;"","BORRADOR — VALOR SUGERIDO DIAN ⚠ VER ALERTA","BORRADOR — VALOR SUGERIDO DIAN"),IF(W103&lt;&gt;"","ACEPTADO ⚠ VER ALERTA","ACEPTADO"))))))))</f>
        <v/>
      </c>
      <c r="R103" s="218" t="n"/>
      <c r="S103" s="58">
        <f>IF(A103="","",IFERROR(--ISNUMBER(SEARCH("R28",G103)),0)+IFERROR(--ISNUMBER(SEARCH("R29",G103)),0)+IFERROR(--ISNUMBER(SEARCH("R30",G103)),0)+IFERROR(--ISNUMBER(SEARCH("R31",G103)),0)+IFERROR(--ISNUMBER(SEARCH("R32",G103)),0)+IFERROR(--ISNUMBER(SEARCH("R33",G103)),0)+IFERROR(--ISNUMBER(SEARCH("R34",G103)),0)+IFERROR(--ISNUMBER(SEARCH("R35",G103)),0)+IFERROR(--ISNUMBER(SEARCH("R36",G103)),0)+IFERROR(--ISNUMBER(SEARCH("R37",G103)),0)+IFERROR(--ISNUMBER(SEARCH("R38",G103)),0)+IFERROR(--ISNUMBER(SEARCH("R39",G103)),0)+IFERROR(--ISNUMBER(SEARCH("R40",G103)),0)+IFERROR(--ISNUMBER(SEARCH("R41",G103)),0)+IFERROR(--ISNUMBER(SEARCH("R42",G103)),0)+IFERROR(--ISNUMBER(SEARCH("R43",G103)),0)+IFERROR(--ISNUMBER(SEARCH("R44",G103)),0)+IFERROR(--ISNUMBER(SEARCH("R45",G103)),0)+IFERROR(--ISNUMBER(SEARCH("R46",G103)),0)+IFERROR(--ISNUMBER(SEARCH("R47",G103)),0)+IFERROR(--ISNUMBER(SEARCH("R48",G103)),0)+IFERROR(--ISNUMBER(SEARCH("R49",G103)),0)+IFERROR(--ISNUMBER(SEARCH("R50",G103)),0)+IFERROR(--ISNUMBER(SEARCH("R51",G103)),0)+IFERROR(--ISNUMBER(SEARCH("R52",G103)),0)+IFERROR(--ISNUMBER(SEARCH("R53",G103)),0)+IFERROR(--ISNUMBER(SEARCH("R54",G103)),0)+IFERROR(--ISNUMBER(SEARCH("R55",G103)),0)+IFERROR(--ISNUMBER(SEARCH("R56",G103)),0)+IFERROR(--ISNUMBER(SEARCH("R57",G103)),0)+IFERROR(--ISNUMBER(SEARCH("R58",G103)),0)+IFERROR(--ISNUMBER(SEARCH("R59",G103)),0)+IFERROR(--ISNUMBER(SEARCH("R60",G103)),0)+IFERROR(--ISNUMBER(SEARCH("R61",G103)),0)+IFERROR(--ISNUMBER(SEARCH("R62",G103)),0)+IFERROR(--ISNUMBER(SEARCH("R63",G103)),0)+IFERROR(--ISNUMBER(SEARCH("R64",G103)),0)+IFERROR(--ISNUMBER(SEARCH("R65",G103)),0)+IFERROR(--ISNUMBER(SEARCH("R66",G103)),0)+IFERROR(--ISNUMBER(SEARCH("R67",G103)),0)+IFERROR(--ISNUMBER(SEARCH("R68",G103)),0)+IFERROR(--ISNUMBER(SEARCH("R69",G103)),0)+IFERROR(--ISNUMBER(SEARCH("R70",G103)),0)+IFERROR(--ISNUMBER(SEARCH("R71",G103)),0)+IFERROR(--ISNUMBER(SEARCH("R72",G103)),0)+IFERROR(--ISNUMBER(SEARCH("R73",G103)),0)+IFERROR(--ISNUMBER(SEARCH("R74",G103)),0)+IFERROR(--ISNUMBER(SEARCH("R75",G103)),0)+IFERROR(--ISNUMBER(SEARCH("R76",G103)),0)+IFERROR(--ISNUMBER(SEARCH("R77",G103)),0)+IFERROR(--ISNUMBER(SEARCH("R78",G103)),0)+IFERROR(--ISNUMBER(SEARCH("R79",G103)),0)+IFERROR(--ISNUMBER(SEARCH("R80",G103)),0)+IFERROR(--ISNUMBER(SEARCH("R81",G103)),0)+IFERROR(--ISNUMBER(SEARCH("R82",G103)),0)+IFERROR(--ISNUMBER(SEARCH("R83",G103)),0)+IFERROR(--ISNUMBER(SEARCH("R84",G103)),0)+IFERROR(--ISNUMBER(SEARCH("R85",G103)),0)+IFERROR(--ISNUMBER(SEARCH("R86",G103)),0)+IFERROR(--ISNUMBER(SEARCH("R87",G103)),0)+IFERROR(--ISNUMBER(SEARCH("R88",G103)),0)+IFERROR(--ISNUMBER(SEARCH("R89",G103)),0)+IFERROR(--ISNUMBER(SEARCH("R90",G103)),0)+IFERROR(--ISNUMBER(SEARCH("R91",G103)),0)+IFERROR(--ISNUMBER(SEARCH("R92",G103)),0)+IFERROR(--ISNUMBER(SEARCH("R93",G103)),0)+IFERROR(--ISNUMBER(SEARCH("R94",G103)),0)+IFERROR(--ISNUMBER(SEARCH("R95",G103)),0)+IFERROR(--ISNUMBER(SEARCH("R96",G103)),0)+IFERROR(--ISNUMBER(SEARCH("R97",G103)),0)+IFERROR(--ISNUMBER(SEARCH("R98",G103)),0)+IFERROR(--ISNUMBER(SEARCH("R99",G103)),0)+IFERROR(--ISNUMBER(SEARCH("R100",G103)),0)+IFERROR(--ISNUMBER(SEARCH("R101",G103)),0)+IFERROR(--ISNUMBER(SEARCH("R102",G103)),0)+IFERROR(--ISNUMBER(SEARCH("R103",G103)),0)+IFERROR(--ISNUMBER(SEARCH("R104",G103)),0)+IFERROR(--ISNUMBER(SEARCH("R105",G103)),0)+IFERROR(--ISNUMBER(SEARCH("R106",G103)),0)+IFERROR(--ISNUMBER(SEARCH("R107",G103)),0)+IFERROR(--ISNUMBER(SEARCH("R108",G103)),0)+IFERROR(--ISNUMBER(SEARCH("R109",G103)),0)+IFERROR(--ISNUMBER(SEARCH("R110",G103)),0)+IFERROR(--ISNUMBER(SEARCH("R111",G103)),0)+IFERROR(--ISNUMBER(SEARCH("R112",G103)),0)+IFERROR(--ISNUMBER(SEARCH("R113",G103)),0)+IFERROR(--ISNUMBER(SEARCH("R114",G103)),0)+IFERROR(--ISNUMBER(SEARCH("R115",G103)),0)+IFERROR(--ISNUMBER(SEARCH("R116",G103)),0)+IFERROR(--ISNUMBER(SEARCH("R117",G103)),0)+IFERROR(--ISNUMBER(SEARCH("R118",G103)),0)+IFERROR(--ISNUMBER(SEARCH("R119",G103)),0)+IFERROR(--ISNUMBER(SEARCH("R120",G103)),0)+IFERROR(--ISNUMBER(SEARCH("R121",G103)),0)+IFERROR(--ISNUMBER(SEARCH("R122",G103)),0)+IFERROR(--ISNUMBER(SEARCH("R123",G103)),0)+IFERROR(--ISNUMBER(SEARCH("R124",G103)),0)+IFERROR(--ISNUMBER(SEARCH("R125",G103)),0)+IFERROR(--ISNUMBER(SEARCH("R126",G103)),0)+IFERROR(--ISNUMBER(SEARCH("R127",G103)),0)+IFERROR(--ISNUMBER(SEARCH("R128",G103)),0)+IFERROR(--ISNUMBER(SEARCH("R129",G103)),0)+IFERROR(--ISNUMBER(SEARCH("R130",G103)),0)+IFERROR(--ISNUMBER(SEARCH("R131",G103)),0)+IFERROR(--ISNUMBER(SEARCH("R132",G103)),0)+IFERROR(--ISNUMBER(SEARCH("R133",G103)),0)+IFERROR(--ISNUMBER(SEARCH("R134",G103)),0)+IFERROR(--ISNUMBER(SEARCH("R135",G103)),0)+IFERROR(--ISNUMBER(SEARCH("R136",G103)),0)+IFERROR(--ISNUMBER(SEARCH("R137",G103)),0)+IFERROR(--ISNUMBER(SEARCH("R138",G103)),0)+IFERROR(--ISNUMBER(SEARCH("R139",G103)),0)+IFERROR(--ISNUMBER(SEARCH("R140",G103)),0)+IFERROR(--ISNUMBER(SEARCH("R141",G103)),0))</f>
        <v/>
      </c>
      <c r="T103" s="58">
        <f>IF(A103="","",IFERROR(--ISNUMBER(SEARCH("R28",G103)),0)+IFERROR(--ISNUMBER(SEARCH("R29",G103)),0)+IFERROR(--ISNUMBER(SEARCH("R30",G103)),0)+IFERROR(--ISNUMBER(SEARCH("R32",G103)),0)+IFERROR(--ISNUMBER(SEARCH("R33",G103)),0)+IFERROR(--ISNUMBER(SEARCH("R35",G103)),0)+IFERROR(--ISNUMBER(SEARCH("R36",G103)),0)+IFERROR(--ISNUMBER(SEARCH("R38",G103)),0)+IFERROR(--ISNUMBER(SEARCH("R39",G103)),0)+IFERROR(--ISNUMBER(SEARCH("R43",G103)),0)+IFERROR(--ISNUMBER(SEARCH("R44",G103)),0)+IFERROR(--ISNUMBER(SEARCH("R45",G103)),0)+IFERROR(--ISNUMBER(SEARCH("R47",G103)),0)+IFERROR(--ISNUMBER(SEARCH("R48",G103)),0)+IFERROR(--ISNUMBER(SEARCH("R50",G103)),0)+IFERROR(--ISNUMBER(SEARCH("R51",G103)),0)+IFERROR(--ISNUMBER(SEARCH("R56",G103)),0)+IFERROR(--ISNUMBER(SEARCH("R58",G103)),0)+IFERROR(--ISNUMBER(SEARCH("R59",G103)),0)+IFERROR(--ISNUMBER(SEARCH("R60",G103)),0)+IFERROR(--ISNUMBER(SEARCH("R62",G103)),0)+IFERROR(--ISNUMBER(SEARCH("R63",G103)),0)+IFERROR(--ISNUMBER(SEARCH("R64",G103)),0)+IFERROR(--ISNUMBER(SEARCH("R66",G103)),0)+IFERROR(--ISNUMBER(SEARCH("R67",G103)),0)+IFERROR(--ISNUMBER(SEARCH("R72",G103)),0)+IFERROR(--ISNUMBER(SEARCH("R74",G103)),0)+IFERROR(--ISNUMBER(SEARCH("R75",G103)),0)+IFERROR(--ISNUMBER(SEARCH("R76",G103)),0)+IFERROR(--ISNUMBER(SEARCH("R77",G103)),0)+IFERROR(--ISNUMBER(SEARCH("R79",G103)),0)+IFERROR(--ISNUMBER(SEARCH("R80",G103)),0)+IFERROR(--ISNUMBER(SEARCH("R81",G103)),0)+IFERROR(--ISNUMBER(SEARCH("R83",G103)),0)+IFERROR(--ISNUMBER(SEARCH("R84",G103)),0)+IFERROR(--ISNUMBER(SEARCH("R89",G103)),0)+IFERROR(--ISNUMBER(SEARCH("R94",G103)),0)+IFERROR(--ISNUMBER(SEARCH("R95",G103)),0)+IFERROR(--ISNUMBER(SEARCH("R96",G103)),0)+IFERROR(--ISNUMBER(SEARCH("R98",G103)),0)+IFERROR(--ISNUMBER(SEARCH("R99",G103)),0)+IFERROR(--ISNUMBER(SEARCH("R100",G103)),0)+IFERROR(--ISNUMBER(SEARCH("R104",G103)),0)+IFERROR(--ISNUMBER(SEARCH("R105",G103)),0)+IFERROR(--ISNUMBER(SEARCH("R107",G103)),0)+IFERROR(--ISNUMBER(SEARCH("R108",G103)),0)+IFERROR(--ISNUMBER(SEARCH("R109",G103)),0)+IFERROR(--ISNUMBER(SEARCH("R110",G103)),0)+IFERROR(--ISNUMBER(SEARCH("R112",G103)),0)+IFERROR(--ISNUMBER(SEARCH("R113",G103)),0)+IFERROR(--ISNUMBER(SEARCH("R114",G103)),0)+IFERROR(--ISNUMBER(SEARCH("R118",G103)),0)+IFERROR(--ISNUMBER(SEARCH("R119",G103)),0)+IFERROR(--ISNUMBER(SEARCH("R120",G103)),0)+IFERROR(--ISNUMBER(SEARCH("R122",G103)),0)+IFERROR(--ISNUMBER(SEARCH("R123",G103)),0)+IFERROR(--ISNUMBER(SEARCH("R124",G103)),0)+IFERROR(--ISNUMBER(SEARCH("R128",G103)),0)+IFERROR(--ISNUMBER(SEARCH("R130",G103)),0)+IFERROR(--ISNUMBER(SEARCH("R131",G103)),0)+IFERROR(--ISNUMBER(SEARCH("R132",G103)),0)+IFERROR(--ISNUMBER(SEARCH("R135",G103)),0)+IFERROR(--ISNUMBER(SEARCH("R138",G103)),0)+IFERROR(--ISNUMBER(SEARCH("R141",G103)),0))</f>
        <v/>
      </c>
      <c r="U103" s="58">
        <f>IF(A103="","",IFERROR(--ISNUMBER(SEARCH("R28",G103))*28,0)+IFERROR(--ISNUMBER(SEARCH("R29",G103))*29,0)+IFERROR(--ISNUMBER(SEARCH("R30",G103))*30,0)+IFERROR(--ISNUMBER(SEARCH("R31",G103))*31,0)+IFERROR(--ISNUMBER(SEARCH("R32",G103))*32,0)+IFERROR(--ISNUMBER(SEARCH("R33",G103))*33,0)+IFERROR(--ISNUMBER(SEARCH("R34",G103))*34,0)+IFERROR(--ISNUMBER(SEARCH("R35",G103))*35,0)+IFERROR(--ISNUMBER(SEARCH("R36",G103))*36,0)+IFERROR(--ISNUMBER(SEARCH("R37",G103))*37,0)+IFERROR(--ISNUMBER(SEARCH("R38",G103))*38,0)+IFERROR(--ISNUMBER(SEARCH("R39",G103))*39,0)+IFERROR(--ISNUMBER(SEARCH("R40",G103))*40,0)+IFERROR(--ISNUMBER(SEARCH("R41",G103))*41,0)+IFERROR(--ISNUMBER(SEARCH("R42",G103))*42,0)+IFERROR(--ISNUMBER(SEARCH("R43",G103))*43,0)+IFERROR(--ISNUMBER(SEARCH("R44",G103))*44,0)+IFERROR(--ISNUMBER(SEARCH("R45",G103))*45,0)+IFERROR(--ISNUMBER(SEARCH("R46",G103))*46,0)+IFERROR(--ISNUMBER(SEARCH("R47",G103))*47,0)+IFERROR(--ISNUMBER(SEARCH("R48",G103))*48,0)+IFERROR(--ISNUMBER(SEARCH("R49",G103))*49,0)+IFERROR(--ISNUMBER(SEARCH("R50",G103))*50,0)+IFERROR(--ISNUMBER(SEARCH("R51",G103))*51,0)+IFERROR(--ISNUMBER(SEARCH("R52",G103))*52,0)+IFERROR(--ISNUMBER(SEARCH("R53",G103))*53,0)+IFERROR(--ISNUMBER(SEARCH("R54",G103))*54,0)+IFERROR(--ISNUMBER(SEARCH("R55",G103))*55,0)+IFERROR(--ISNUMBER(SEARCH("R56",G103))*56,0)+IFERROR(--ISNUMBER(SEARCH("R57",G103))*57,0)+IFERROR(--ISNUMBER(SEARCH("R58",G103))*58,0)+IFERROR(--ISNUMBER(SEARCH("R59",G103))*59,0)+IFERROR(--ISNUMBER(SEARCH("R60",G103))*60,0)+IFERROR(--ISNUMBER(SEARCH("R61",G103))*61,0)+IFERROR(--ISNUMBER(SEARCH("R62",G103))*62,0)+IFERROR(--ISNUMBER(SEARCH("R63",G103))*63,0)+IFERROR(--ISNUMBER(SEARCH("R64",G103))*64,0)+IFERROR(--ISNUMBER(SEARCH("R65",G103))*65,0)+IFERROR(--ISNUMBER(SEARCH("R66",G103))*66,0)+IFERROR(--ISNUMBER(SEARCH("R67",G103))*67,0)+IFERROR(--ISNUMBER(SEARCH("R68",G103))*68,0)+IFERROR(--ISNUMBER(SEARCH("R69",G103))*69,0)+IFERROR(--ISNUMBER(SEARCH("R70",G103))*70,0)+IFERROR(--ISNUMBER(SEARCH("R71",G103))*71,0)+IFERROR(--ISNUMBER(SEARCH("R72",G103))*72,0)+IFERROR(--ISNUMBER(SEARCH("R73",G103))*73,0)+IFERROR(--ISNUMBER(SEARCH("R74",G103))*74,0)+IFERROR(--ISNUMBER(SEARCH("R75",G103))*75,0)+IFERROR(--ISNUMBER(SEARCH("R76",G103))*76,0)+IFERROR(--ISNUMBER(SEARCH("R77",G103))*77,0)+IFERROR(--ISNUMBER(SEARCH("R78",G103))*78,0)+IFERROR(--ISNUMBER(SEARCH("R79",G103))*79,0)+IFERROR(--ISNUMBER(SEARCH("R80",G103))*80,0)+IFERROR(--ISNUMBER(SEARCH("R81",G103))*81,0)+IFERROR(--ISNUMBER(SEARCH("R82",G103))*82,0)+IFERROR(--ISNUMBER(SEARCH("R83",G103))*83,0)+IFERROR(--ISNUMBER(SEARCH("R84",G103))*84,0)+IFERROR(--ISNUMBER(SEARCH("R85",G103))*85,0)+IFERROR(--ISNUMBER(SEARCH("R86",G103))*86,0)+IFERROR(--ISNUMBER(SEARCH("R87",G103))*87,0)+IFERROR(--ISNUMBER(SEARCH("R88",G103))*88,0)+IFERROR(--ISNUMBER(SEARCH("R89",G103))*89,0)+IFERROR(--ISNUMBER(SEARCH("R90",G103))*90,0)+IFERROR(--ISNUMBER(SEARCH("R91",G103))*91,0)+IFERROR(--ISNUMBER(SEARCH("R92",G103))*92,0)+IFERROR(--ISNUMBER(SEARCH("R93",G103))*93,0)+IFERROR(--ISNUMBER(SEARCH("R94",G103))*94,0)+IFERROR(--ISNUMBER(SEARCH("R95",G103))*95,0)+IFERROR(--ISNUMBER(SEARCH("R96",G103))*96,0)+IFERROR(--ISNUMBER(SEARCH("R97",G103))*97,0)+IFERROR(--ISNUMBER(SEARCH("R98",G103))*98,0)+IFERROR(--ISNUMBER(SEARCH("R99",G103))*99,0)+IFERROR(--ISNUMBER(SEARCH("R100",G103))*100,0)+IFERROR(--ISNUMBER(SEARCH("R101",G103))*101,0)+IFERROR(--ISNUMBER(SEARCH("R102",G103))*102,0)+IFERROR(--ISNUMBER(SEARCH("R103",G103))*103,0)+IFERROR(--ISNUMBER(SEARCH("R104",G103))*104,0)+IFERROR(--ISNUMBER(SEARCH("R105",G103))*105,0)+IFERROR(--ISNUMBER(SEARCH("R106",G103))*106,0)+IFERROR(--ISNUMBER(SEARCH("R107",G103))*107,0)+IFERROR(--ISNUMBER(SEARCH("R108",G103))*108,0)+IFERROR(--ISNUMBER(SEARCH("R109",G103))*109,0)+IFERROR(--ISNUMBER(SEARCH("R110",G103))*110,0)+IFERROR(--ISNUMBER(SEARCH("R111",G103))*111,0)+IFERROR(--ISNUMBER(SEARCH("R112",G103))*112,0)+IFERROR(--ISNUMBER(SEARCH("R113",G103))*113,0)+IFERROR(--ISNUMBER(SEARCH("R114",G103))*114,0)+IFERROR(--ISNUMBER(SEARCH("R115",G103))*115,0)+IFERROR(--ISNUMBER(SEARCH("R116",G103))*116,0)+IFERROR(--ISNUMBER(SEARCH("R117",G103))*117,0)+IFERROR(--ISNUMBER(SEARCH("R118",G103))*118,0)+IFERROR(--ISNUMBER(SEARCH("R119",G103))*119,0)+IFERROR(--ISNUMBER(SEARCH("R120",G103))*120,0)+IFERROR(--ISNUMBER(SEARCH("R121",G103))*121,0)+IFERROR(--ISNUMBER(SEARCH("R122",G103))*122,0)+IFERROR(--ISNUMBER(SEARCH("R123",G103))*123,0)+IFERROR(--ISNUMBER(SEARCH("R124",G103))*124,0)+IFERROR(--ISNUMBER(SEARCH("R125",G103))*125,0)+IFERROR(--ISNUMBER(SEARCH("R126",G103))*126,0)+IFERROR(--ISNUMBER(SEARCH("R127",G103))*127,0)+IFERROR(--ISNUMBER(SEARCH("R128",G103))*128,0)+IFERROR(--ISNUMBER(SEARCH("R129",G103))*129,0)+IFERROR(--ISNUMBER(SEARCH("R130",G103))*130,0)+IFERROR(--ISNUMBER(SEARCH("R131",G103))*131,0)+IFERROR(--ISNUMBER(SEARCH("R132",G103))*132,0)+IFERROR(--ISNUMBER(SEARCH("R133",G103))*133,0)+IFERROR(--ISNUMBER(SEARCH("R134",G103))*134,0)+IFERROR(--ISNUMBER(SEARCH("R135",G103))*135,0)+IFERROR(--ISNUMBER(SEARCH("R136",G103))*136,0)+IFERROR(--ISNUMBER(SEARCH("R137",G103))*137,0)+IFERROR(--ISNUMBER(SEARCH("R138",G103))*138,0)+IFERROR(--ISNUMBER(SEARCH("R139",G103))*139,0)+IFERROR(--ISNUMBER(SEARCH("R140",G103))*140,0)+IFERROR(--ISNUMBER(SEARCH("R141",G103))*141,0))</f>
        <v/>
      </c>
      <c r="V103" s="59">
        <f>IF(A103="","",IF(K103&lt;&gt;"",K103,J103))</f>
        <v/>
      </c>
      <c r="W103" s="59">
        <f>IF(A103="","",IF(AND(V103=29,O103&lt;&gt;"",COUNTIFS($V$6:$V$505,29,$F$6:$F$505,F103,$C$6:$C$505,C103,$O$6:$O$505,"&lt;&gt;")&gt;1),IF(COUNTIFS($V$6:V103,29,$F$6:F103,F103,$C$6:C103,C103,$O$6:O103,"&lt;&gt;")=1,"Esta es la fila que se debe CONSERVAR (aparición 1 de "&amp;COUNTIFS($V$6:$V$505,29,$F$6:$F$505,F103,$C$6:$C$505,C103,$O$6:$O$505,"&lt;&gt;")&amp;" con el mismo tercero y valor, casilla 29). Si hay más filas iguales, bórreles el valor a ELLAS, no a esta.","DUPLICADO — ya existe otra fila con el mismo tercero y valor para casilla 29 (aparición "&amp;COUNTIFS($V$6:V103,29,$F$6:F103,F103,$C$6:C103,C103,$O$6:O103,"&lt;&gt;")&amp;" de "&amp;COUNTIFS($V$6:$V$505,29,$F$6:$F$505,F103,$C$6:$C$505,C103,$O$6:$O$505,"&lt;&gt;")&amp;"). Para resolverlo: seleccione la celda O"&amp;ROW()&amp;" (columna Valor a declarar de ESTA fila) y presione Supr."),""))</f>
        <v/>
      </c>
      <c r="X103" s="463">
        <f>IF(A103="","",F103)</f>
        <v/>
      </c>
      <c r="Y103" s="463">
        <f>IF(A103="","",SUMIF(Entrada_Manual!$I$88:$I$187,A103,Entrada_Manual!$F$88:$F$187))</f>
        <v/>
      </c>
      <c r="Z103" s="463">
        <f>IF(A103="","",X103-Y103)</f>
        <v/>
      </c>
      <c r="AA103">
        <f>IF(A103="","",SUMPRODUCT((Entrada_Manual!$I$88:$I$187=A103)*1))</f>
        <v/>
      </c>
      <c r="AB103">
        <f>IF(A103="","",IF(S103&lt;=1,"",IF(AA103=0,"PENDIENTE — SIN ASIGNAR",IF(Z103=0,"RESUELTO","PARCIAL — DIFERENCIA "&amp;TEXT(Z103,"#,##0")))))</f>
        <v/>
      </c>
    </row>
    <row r="104" ht="14.25" customHeight="1" s="235">
      <c r="A104" s="47">
        <f>IF(Exogena_RAW!E113&lt;&gt;"",ROW()-5,"")</f>
        <v/>
      </c>
      <c r="B104" s="48">
        <f>IF(A104="","",113)</f>
        <v/>
      </c>
      <c r="C104" s="48">
        <f>IF(A104="","",IFERROR(Exogena_RAW!A113,""))</f>
        <v/>
      </c>
      <c r="D104" s="48">
        <f>IF(A104="","",IFERROR(Exogena_RAW!B113,""))</f>
        <v/>
      </c>
      <c r="E104" s="48">
        <f>IF(A104="","",Exogena_RAW!E113)</f>
        <v/>
      </c>
      <c r="F104" s="461">
        <f>IF(A104="","",Exogena_RAW!F113)</f>
        <v/>
      </c>
      <c r="G104" s="48">
        <f>IF(A104="","",IFERROR(Exogena_RAW!G113,""))</f>
        <v/>
      </c>
      <c r="H104" s="48">
        <f>IF(A104="","",IFERROR(Exogena_RAW!H113,""))</f>
        <v/>
      </c>
      <c r="I104" s="48">
        <f>IF(A104="","",IFERROR(IF(S104&gt;1,"VARIAS CASILLAS",IF(S104=1,IF(T104=1,"PROPUESTA DE CASILLA","REVISIÓN: CASILLA NO DIRECTA"),IF(OR(ISNUMBER(SEARCH("TOPE",UPPER(E104))),ISNUMBER(SEARCH("TOPE",UPPER(G104)))),"SOLO CONTROL",IF(ISNUMBER(SEARCH("RETEN",UPPER(E104))),"RETENCIÓN","REVISAR")))),"REVISAR"))</f>
        <v/>
      </c>
      <c r="J104" s="48">
        <f>IF(A104="","",IF(ISNUMBER(SEARCH("ingreso laboral promedio de los últimos seis meses",E104)),"",IFERROR(IF(AND(S104=1,T104=1),U104,""),"")))</f>
        <v/>
      </c>
      <c r="K104" s="216" t="n"/>
      <c r="L104" s="48">
        <f>IF(A104="","",IFERROR(IF(K104&lt;&gt;"","Casilla elegida por usuario",IF(S104&gt;1,"Varias casillas — elegir en K",IF(J104&lt;&gt;"","Sugerencia directa",IF(S104=1,"No trasladar directo — revisar",IF(OR(ISNUMBER(SEARCH("TOPE",UPPER(E104))),ISNUMBER(SEARCH("TOPE",UPPER(G104)))),"Solo control","Revisar manualmente"))))),"Revisar manualmente"))</f>
        <v/>
      </c>
      <c r="M104" s="461">
        <f>IF(A104="","",IF(IF(K104&lt;&gt;"",K104,J104)="",0,IF(COUNTIFS(Reglas!$I$5:$I$118,IF(K104&lt;&gt;"",K104,J104),Reglas!$J$5:$J$118,"Sí")=1,F104,0)))</f>
        <v/>
      </c>
      <c r="N104" s="56" t="n"/>
      <c r="O104" s="462">
        <f>IF(A104="","",IF(M104=0,"",M104))</f>
        <v/>
      </c>
      <c r="P104" s="461">
        <f>IF(A104="","",IF(O104="",0,IF(ISNUMBER(O104),O104,0)))</f>
        <v/>
      </c>
      <c r="Q104" s="48">
        <f>IF(A104="","",IF(Exogena_RAW!$C$4="","BLOQUEADO: FALTA AÑO",IF(Exogena_RAW!$K$10&lt;&gt;Reglas!$B$5,"BLOQUEADO: AÑO",IF(IF(K104&lt;&gt;"",K104,J104)="",IF(S104&gt;1,"REQUIERE ASIGNACIÓN MANUAL (VARIAS CASILLAS)","INFORMATIVO (sin casilla — no se declara)"),IF(COUNTIFS(Reglas!$I$5:$I$118,IF(K104&lt;&gt;"",K104,J104),Reglas!$J$5:$J$118,"Sí")=0,"BLOQUEADO: CASILLA NO DIRECTA",IF(O104="","EXCLUIDO (valor borrado por el usuario)",IF(_xlfn.ISFORMULA(O104),IF(W104&lt;&gt;"","BORRADOR — VALOR SUGERIDO DIAN ⚠ VER ALERTA","BORRADOR — VALOR SUGERIDO DIAN"),IF(W104&lt;&gt;"","ACEPTADO ⚠ VER ALERTA","ACEPTADO"))))))))</f>
        <v/>
      </c>
      <c r="R104" s="218" t="n"/>
      <c r="S104" s="58">
        <f>IF(A104="","",IFERROR(--ISNUMBER(SEARCH("R28",G104)),0)+IFERROR(--ISNUMBER(SEARCH("R29",G104)),0)+IFERROR(--ISNUMBER(SEARCH("R30",G104)),0)+IFERROR(--ISNUMBER(SEARCH("R31",G104)),0)+IFERROR(--ISNUMBER(SEARCH("R32",G104)),0)+IFERROR(--ISNUMBER(SEARCH("R33",G104)),0)+IFERROR(--ISNUMBER(SEARCH("R34",G104)),0)+IFERROR(--ISNUMBER(SEARCH("R35",G104)),0)+IFERROR(--ISNUMBER(SEARCH("R36",G104)),0)+IFERROR(--ISNUMBER(SEARCH("R37",G104)),0)+IFERROR(--ISNUMBER(SEARCH("R38",G104)),0)+IFERROR(--ISNUMBER(SEARCH("R39",G104)),0)+IFERROR(--ISNUMBER(SEARCH("R40",G104)),0)+IFERROR(--ISNUMBER(SEARCH("R41",G104)),0)+IFERROR(--ISNUMBER(SEARCH("R42",G104)),0)+IFERROR(--ISNUMBER(SEARCH("R43",G104)),0)+IFERROR(--ISNUMBER(SEARCH("R44",G104)),0)+IFERROR(--ISNUMBER(SEARCH("R45",G104)),0)+IFERROR(--ISNUMBER(SEARCH("R46",G104)),0)+IFERROR(--ISNUMBER(SEARCH("R47",G104)),0)+IFERROR(--ISNUMBER(SEARCH("R48",G104)),0)+IFERROR(--ISNUMBER(SEARCH("R49",G104)),0)+IFERROR(--ISNUMBER(SEARCH("R50",G104)),0)+IFERROR(--ISNUMBER(SEARCH("R51",G104)),0)+IFERROR(--ISNUMBER(SEARCH("R52",G104)),0)+IFERROR(--ISNUMBER(SEARCH("R53",G104)),0)+IFERROR(--ISNUMBER(SEARCH("R54",G104)),0)+IFERROR(--ISNUMBER(SEARCH("R55",G104)),0)+IFERROR(--ISNUMBER(SEARCH("R56",G104)),0)+IFERROR(--ISNUMBER(SEARCH("R57",G104)),0)+IFERROR(--ISNUMBER(SEARCH("R58",G104)),0)+IFERROR(--ISNUMBER(SEARCH("R59",G104)),0)+IFERROR(--ISNUMBER(SEARCH("R60",G104)),0)+IFERROR(--ISNUMBER(SEARCH("R61",G104)),0)+IFERROR(--ISNUMBER(SEARCH("R62",G104)),0)+IFERROR(--ISNUMBER(SEARCH("R63",G104)),0)+IFERROR(--ISNUMBER(SEARCH("R64",G104)),0)+IFERROR(--ISNUMBER(SEARCH("R65",G104)),0)+IFERROR(--ISNUMBER(SEARCH("R66",G104)),0)+IFERROR(--ISNUMBER(SEARCH("R67",G104)),0)+IFERROR(--ISNUMBER(SEARCH("R68",G104)),0)+IFERROR(--ISNUMBER(SEARCH("R69",G104)),0)+IFERROR(--ISNUMBER(SEARCH("R70",G104)),0)+IFERROR(--ISNUMBER(SEARCH("R71",G104)),0)+IFERROR(--ISNUMBER(SEARCH("R72",G104)),0)+IFERROR(--ISNUMBER(SEARCH("R73",G104)),0)+IFERROR(--ISNUMBER(SEARCH("R74",G104)),0)+IFERROR(--ISNUMBER(SEARCH("R75",G104)),0)+IFERROR(--ISNUMBER(SEARCH("R76",G104)),0)+IFERROR(--ISNUMBER(SEARCH("R77",G104)),0)+IFERROR(--ISNUMBER(SEARCH("R78",G104)),0)+IFERROR(--ISNUMBER(SEARCH("R79",G104)),0)+IFERROR(--ISNUMBER(SEARCH("R80",G104)),0)+IFERROR(--ISNUMBER(SEARCH("R81",G104)),0)+IFERROR(--ISNUMBER(SEARCH("R82",G104)),0)+IFERROR(--ISNUMBER(SEARCH("R83",G104)),0)+IFERROR(--ISNUMBER(SEARCH("R84",G104)),0)+IFERROR(--ISNUMBER(SEARCH("R85",G104)),0)+IFERROR(--ISNUMBER(SEARCH("R86",G104)),0)+IFERROR(--ISNUMBER(SEARCH("R87",G104)),0)+IFERROR(--ISNUMBER(SEARCH("R88",G104)),0)+IFERROR(--ISNUMBER(SEARCH("R89",G104)),0)+IFERROR(--ISNUMBER(SEARCH("R90",G104)),0)+IFERROR(--ISNUMBER(SEARCH("R91",G104)),0)+IFERROR(--ISNUMBER(SEARCH("R92",G104)),0)+IFERROR(--ISNUMBER(SEARCH("R93",G104)),0)+IFERROR(--ISNUMBER(SEARCH("R94",G104)),0)+IFERROR(--ISNUMBER(SEARCH("R95",G104)),0)+IFERROR(--ISNUMBER(SEARCH("R96",G104)),0)+IFERROR(--ISNUMBER(SEARCH("R97",G104)),0)+IFERROR(--ISNUMBER(SEARCH("R98",G104)),0)+IFERROR(--ISNUMBER(SEARCH("R99",G104)),0)+IFERROR(--ISNUMBER(SEARCH("R100",G104)),0)+IFERROR(--ISNUMBER(SEARCH("R101",G104)),0)+IFERROR(--ISNUMBER(SEARCH("R102",G104)),0)+IFERROR(--ISNUMBER(SEARCH("R103",G104)),0)+IFERROR(--ISNUMBER(SEARCH("R104",G104)),0)+IFERROR(--ISNUMBER(SEARCH("R105",G104)),0)+IFERROR(--ISNUMBER(SEARCH("R106",G104)),0)+IFERROR(--ISNUMBER(SEARCH("R107",G104)),0)+IFERROR(--ISNUMBER(SEARCH("R108",G104)),0)+IFERROR(--ISNUMBER(SEARCH("R109",G104)),0)+IFERROR(--ISNUMBER(SEARCH("R110",G104)),0)+IFERROR(--ISNUMBER(SEARCH("R111",G104)),0)+IFERROR(--ISNUMBER(SEARCH("R112",G104)),0)+IFERROR(--ISNUMBER(SEARCH("R113",G104)),0)+IFERROR(--ISNUMBER(SEARCH("R114",G104)),0)+IFERROR(--ISNUMBER(SEARCH("R115",G104)),0)+IFERROR(--ISNUMBER(SEARCH("R116",G104)),0)+IFERROR(--ISNUMBER(SEARCH("R117",G104)),0)+IFERROR(--ISNUMBER(SEARCH("R118",G104)),0)+IFERROR(--ISNUMBER(SEARCH("R119",G104)),0)+IFERROR(--ISNUMBER(SEARCH("R120",G104)),0)+IFERROR(--ISNUMBER(SEARCH("R121",G104)),0)+IFERROR(--ISNUMBER(SEARCH("R122",G104)),0)+IFERROR(--ISNUMBER(SEARCH("R123",G104)),0)+IFERROR(--ISNUMBER(SEARCH("R124",G104)),0)+IFERROR(--ISNUMBER(SEARCH("R125",G104)),0)+IFERROR(--ISNUMBER(SEARCH("R126",G104)),0)+IFERROR(--ISNUMBER(SEARCH("R127",G104)),0)+IFERROR(--ISNUMBER(SEARCH("R128",G104)),0)+IFERROR(--ISNUMBER(SEARCH("R129",G104)),0)+IFERROR(--ISNUMBER(SEARCH("R130",G104)),0)+IFERROR(--ISNUMBER(SEARCH("R131",G104)),0)+IFERROR(--ISNUMBER(SEARCH("R132",G104)),0)+IFERROR(--ISNUMBER(SEARCH("R133",G104)),0)+IFERROR(--ISNUMBER(SEARCH("R134",G104)),0)+IFERROR(--ISNUMBER(SEARCH("R135",G104)),0)+IFERROR(--ISNUMBER(SEARCH("R136",G104)),0)+IFERROR(--ISNUMBER(SEARCH("R137",G104)),0)+IFERROR(--ISNUMBER(SEARCH("R138",G104)),0)+IFERROR(--ISNUMBER(SEARCH("R139",G104)),0)+IFERROR(--ISNUMBER(SEARCH("R140",G104)),0)+IFERROR(--ISNUMBER(SEARCH("R141",G104)),0))</f>
        <v/>
      </c>
      <c r="T104" s="58">
        <f>IF(A104="","",IFERROR(--ISNUMBER(SEARCH("R28",G104)),0)+IFERROR(--ISNUMBER(SEARCH("R29",G104)),0)+IFERROR(--ISNUMBER(SEARCH("R30",G104)),0)+IFERROR(--ISNUMBER(SEARCH("R32",G104)),0)+IFERROR(--ISNUMBER(SEARCH("R33",G104)),0)+IFERROR(--ISNUMBER(SEARCH("R35",G104)),0)+IFERROR(--ISNUMBER(SEARCH("R36",G104)),0)+IFERROR(--ISNUMBER(SEARCH("R38",G104)),0)+IFERROR(--ISNUMBER(SEARCH("R39",G104)),0)+IFERROR(--ISNUMBER(SEARCH("R43",G104)),0)+IFERROR(--ISNUMBER(SEARCH("R44",G104)),0)+IFERROR(--ISNUMBER(SEARCH("R45",G104)),0)+IFERROR(--ISNUMBER(SEARCH("R47",G104)),0)+IFERROR(--ISNUMBER(SEARCH("R48",G104)),0)+IFERROR(--ISNUMBER(SEARCH("R50",G104)),0)+IFERROR(--ISNUMBER(SEARCH("R51",G104)),0)+IFERROR(--ISNUMBER(SEARCH("R56",G104)),0)+IFERROR(--ISNUMBER(SEARCH("R58",G104)),0)+IFERROR(--ISNUMBER(SEARCH("R59",G104)),0)+IFERROR(--ISNUMBER(SEARCH("R60",G104)),0)+IFERROR(--ISNUMBER(SEARCH("R62",G104)),0)+IFERROR(--ISNUMBER(SEARCH("R63",G104)),0)+IFERROR(--ISNUMBER(SEARCH("R64",G104)),0)+IFERROR(--ISNUMBER(SEARCH("R66",G104)),0)+IFERROR(--ISNUMBER(SEARCH("R67",G104)),0)+IFERROR(--ISNUMBER(SEARCH("R72",G104)),0)+IFERROR(--ISNUMBER(SEARCH("R74",G104)),0)+IFERROR(--ISNUMBER(SEARCH("R75",G104)),0)+IFERROR(--ISNUMBER(SEARCH("R76",G104)),0)+IFERROR(--ISNUMBER(SEARCH("R77",G104)),0)+IFERROR(--ISNUMBER(SEARCH("R79",G104)),0)+IFERROR(--ISNUMBER(SEARCH("R80",G104)),0)+IFERROR(--ISNUMBER(SEARCH("R81",G104)),0)+IFERROR(--ISNUMBER(SEARCH("R83",G104)),0)+IFERROR(--ISNUMBER(SEARCH("R84",G104)),0)+IFERROR(--ISNUMBER(SEARCH("R89",G104)),0)+IFERROR(--ISNUMBER(SEARCH("R94",G104)),0)+IFERROR(--ISNUMBER(SEARCH("R95",G104)),0)+IFERROR(--ISNUMBER(SEARCH("R96",G104)),0)+IFERROR(--ISNUMBER(SEARCH("R98",G104)),0)+IFERROR(--ISNUMBER(SEARCH("R99",G104)),0)+IFERROR(--ISNUMBER(SEARCH("R100",G104)),0)+IFERROR(--ISNUMBER(SEARCH("R104",G104)),0)+IFERROR(--ISNUMBER(SEARCH("R105",G104)),0)+IFERROR(--ISNUMBER(SEARCH("R107",G104)),0)+IFERROR(--ISNUMBER(SEARCH("R108",G104)),0)+IFERROR(--ISNUMBER(SEARCH("R109",G104)),0)+IFERROR(--ISNUMBER(SEARCH("R110",G104)),0)+IFERROR(--ISNUMBER(SEARCH("R112",G104)),0)+IFERROR(--ISNUMBER(SEARCH("R113",G104)),0)+IFERROR(--ISNUMBER(SEARCH("R114",G104)),0)+IFERROR(--ISNUMBER(SEARCH("R118",G104)),0)+IFERROR(--ISNUMBER(SEARCH("R119",G104)),0)+IFERROR(--ISNUMBER(SEARCH("R120",G104)),0)+IFERROR(--ISNUMBER(SEARCH("R122",G104)),0)+IFERROR(--ISNUMBER(SEARCH("R123",G104)),0)+IFERROR(--ISNUMBER(SEARCH("R124",G104)),0)+IFERROR(--ISNUMBER(SEARCH("R128",G104)),0)+IFERROR(--ISNUMBER(SEARCH("R130",G104)),0)+IFERROR(--ISNUMBER(SEARCH("R131",G104)),0)+IFERROR(--ISNUMBER(SEARCH("R132",G104)),0)+IFERROR(--ISNUMBER(SEARCH("R135",G104)),0)+IFERROR(--ISNUMBER(SEARCH("R138",G104)),0)+IFERROR(--ISNUMBER(SEARCH("R141",G104)),0))</f>
        <v/>
      </c>
      <c r="U104" s="58">
        <f>IF(A104="","",IFERROR(--ISNUMBER(SEARCH("R28",G104))*28,0)+IFERROR(--ISNUMBER(SEARCH("R29",G104))*29,0)+IFERROR(--ISNUMBER(SEARCH("R30",G104))*30,0)+IFERROR(--ISNUMBER(SEARCH("R31",G104))*31,0)+IFERROR(--ISNUMBER(SEARCH("R32",G104))*32,0)+IFERROR(--ISNUMBER(SEARCH("R33",G104))*33,0)+IFERROR(--ISNUMBER(SEARCH("R34",G104))*34,0)+IFERROR(--ISNUMBER(SEARCH("R35",G104))*35,0)+IFERROR(--ISNUMBER(SEARCH("R36",G104))*36,0)+IFERROR(--ISNUMBER(SEARCH("R37",G104))*37,0)+IFERROR(--ISNUMBER(SEARCH("R38",G104))*38,0)+IFERROR(--ISNUMBER(SEARCH("R39",G104))*39,0)+IFERROR(--ISNUMBER(SEARCH("R40",G104))*40,0)+IFERROR(--ISNUMBER(SEARCH("R41",G104))*41,0)+IFERROR(--ISNUMBER(SEARCH("R42",G104))*42,0)+IFERROR(--ISNUMBER(SEARCH("R43",G104))*43,0)+IFERROR(--ISNUMBER(SEARCH("R44",G104))*44,0)+IFERROR(--ISNUMBER(SEARCH("R45",G104))*45,0)+IFERROR(--ISNUMBER(SEARCH("R46",G104))*46,0)+IFERROR(--ISNUMBER(SEARCH("R47",G104))*47,0)+IFERROR(--ISNUMBER(SEARCH("R48",G104))*48,0)+IFERROR(--ISNUMBER(SEARCH("R49",G104))*49,0)+IFERROR(--ISNUMBER(SEARCH("R50",G104))*50,0)+IFERROR(--ISNUMBER(SEARCH("R51",G104))*51,0)+IFERROR(--ISNUMBER(SEARCH("R52",G104))*52,0)+IFERROR(--ISNUMBER(SEARCH("R53",G104))*53,0)+IFERROR(--ISNUMBER(SEARCH("R54",G104))*54,0)+IFERROR(--ISNUMBER(SEARCH("R55",G104))*55,0)+IFERROR(--ISNUMBER(SEARCH("R56",G104))*56,0)+IFERROR(--ISNUMBER(SEARCH("R57",G104))*57,0)+IFERROR(--ISNUMBER(SEARCH("R58",G104))*58,0)+IFERROR(--ISNUMBER(SEARCH("R59",G104))*59,0)+IFERROR(--ISNUMBER(SEARCH("R60",G104))*60,0)+IFERROR(--ISNUMBER(SEARCH("R61",G104))*61,0)+IFERROR(--ISNUMBER(SEARCH("R62",G104))*62,0)+IFERROR(--ISNUMBER(SEARCH("R63",G104))*63,0)+IFERROR(--ISNUMBER(SEARCH("R64",G104))*64,0)+IFERROR(--ISNUMBER(SEARCH("R65",G104))*65,0)+IFERROR(--ISNUMBER(SEARCH("R66",G104))*66,0)+IFERROR(--ISNUMBER(SEARCH("R67",G104))*67,0)+IFERROR(--ISNUMBER(SEARCH("R68",G104))*68,0)+IFERROR(--ISNUMBER(SEARCH("R69",G104))*69,0)+IFERROR(--ISNUMBER(SEARCH("R70",G104))*70,0)+IFERROR(--ISNUMBER(SEARCH("R71",G104))*71,0)+IFERROR(--ISNUMBER(SEARCH("R72",G104))*72,0)+IFERROR(--ISNUMBER(SEARCH("R73",G104))*73,0)+IFERROR(--ISNUMBER(SEARCH("R74",G104))*74,0)+IFERROR(--ISNUMBER(SEARCH("R75",G104))*75,0)+IFERROR(--ISNUMBER(SEARCH("R76",G104))*76,0)+IFERROR(--ISNUMBER(SEARCH("R77",G104))*77,0)+IFERROR(--ISNUMBER(SEARCH("R78",G104))*78,0)+IFERROR(--ISNUMBER(SEARCH("R79",G104))*79,0)+IFERROR(--ISNUMBER(SEARCH("R80",G104))*80,0)+IFERROR(--ISNUMBER(SEARCH("R81",G104))*81,0)+IFERROR(--ISNUMBER(SEARCH("R82",G104))*82,0)+IFERROR(--ISNUMBER(SEARCH("R83",G104))*83,0)+IFERROR(--ISNUMBER(SEARCH("R84",G104))*84,0)+IFERROR(--ISNUMBER(SEARCH("R85",G104))*85,0)+IFERROR(--ISNUMBER(SEARCH("R86",G104))*86,0)+IFERROR(--ISNUMBER(SEARCH("R87",G104))*87,0)+IFERROR(--ISNUMBER(SEARCH("R88",G104))*88,0)+IFERROR(--ISNUMBER(SEARCH("R89",G104))*89,0)+IFERROR(--ISNUMBER(SEARCH("R90",G104))*90,0)+IFERROR(--ISNUMBER(SEARCH("R91",G104))*91,0)+IFERROR(--ISNUMBER(SEARCH("R92",G104))*92,0)+IFERROR(--ISNUMBER(SEARCH("R93",G104))*93,0)+IFERROR(--ISNUMBER(SEARCH("R94",G104))*94,0)+IFERROR(--ISNUMBER(SEARCH("R95",G104))*95,0)+IFERROR(--ISNUMBER(SEARCH("R96",G104))*96,0)+IFERROR(--ISNUMBER(SEARCH("R97",G104))*97,0)+IFERROR(--ISNUMBER(SEARCH("R98",G104))*98,0)+IFERROR(--ISNUMBER(SEARCH("R99",G104))*99,0)+IFERROR(--ISNUMBER(SEARCH("R100",G104))*100,0)+IFERROR(--ISNUMBER(SEARCH("R101",G104))*101,0)+IFERROR(--ISNUMBER(SEARCH("R102",G104))*102,0)+IFERROR(--ISNUMBER(SEARCH("R103",G104))*103,0)+IFERROR(--ISNUMBER(SEARCH("R104",G104))*104,0)+IFERROR(--ISNUMBER(SEARCH("R105",G104))*105,0)+IFERROR(--ISNUMBER(SEARCH("R106",G104))*106,0)+IFERROR(--ISNUMBER(SEARCH("R107",G104))*107,0)+IFERROR(--ISNUMBER(SEARCH("R108",G104))*108,0)+IFERROR(--ISNUMBER(SEARCH("R109",G104))*109,0)+IFERROR(--ISNUMBER(SEARCH("R110",G104))*110,0)+IFERROR(--ISNUMBER(SEARCH("R111",G104))*111,0)+IFERROR(--ISNUMBER(SEARCH("R112",G104))*112,0)+IFERROR(--ISNUMBER(SEARCH("R113",G104))*113,0)+IFERROR(--ISNUMBER(SEARCH("R114",G104))*114,0)+IFERROR(--ISNUMBER(SEARCH("R115",G104))*115,0)+IFERROR(--ISNUMBER(SEARCH("R116",G104))*116,0)+IFERROR(--ISNUMBER(SEARCH("R117",G104))*117,0)+IFERROR(--ISNUMBER(SEARCH("R118",G104))*118,0)+IFERROR(--ISNUMBER(SEARCH("R119",G104))*119,0)+IFERROR(--ISNUMBER(SEARCH("R120",G104))*120,0)+IFERROR(--ISNUMBER(SEARCH("R121",G104))*121,0)+IFERROR(--ISNUMBER(SEARCH("R122",G104))*122,0)+IFERROR(--ISNUMBER(SEARCH("R123",G104))*123,0)+IFERROR(--ISNUMBER(SEARCH("R124",G104))*124,0)+IFERROR(--ISNUMBER(SEARCH("R125",G104))*125,0)+IFERROR(--ISNUMBER(SEARCH("R126",G104))*126,0)+IFERROR(--ISNUMBER(SEARCH("R127",G104))*127,0)+IFERROR(--ISNUMBER(SEARCH("R128",G104))*128,0)+IFERROR(--ISNUMBER(SEARCH("R129",G104))*129,0)+IFERROR(--ISNUMBER(SEARCH("R130",G104))*130,0)+IFERROR(--ISNUMBER(SEARCH("R131",G104))*131,0)+IFERROR(--ISNUMBER(SEARCH("R132",G104))*132,0)+IFERROR(--ISNUMBER(SEARCH("R133",G104))*133,0)+IFERROR(--ISNUMBER(SEARCH("R134",G104))*134,0)+IFERROR(--ISNUMBER(SEARCH("R135",G104))*135,0)+IFERROR(--ISNUMBER(SEARCH("R136",G104))*136,0)+IFERROR(--ISNUMBER(SEARCH("R137",G104))*137,0)+IFERROR(--ISNUMBER(SEARCH("R138",G104))*138,0)+IFERROR(--ISNUMBER(SEARCH("R139",G104))*139,0)+IFERROR(--ISNUMBER(SEARCH("R140",G104))*140,0)+IFERROR(--ISNUMBER(SEARCH("R141",G104))*141,0))</f>
        <v/>
      </c>
      <c r="V104" s="59">
        <f>IF(A104="","",IF(K104&lt;&gt;"",K104,J104))</f>
        <v/>
      </c>
      <c r="W104" s="59">
        <f>IF(A104="","",IF(AND(V104=29,O104&lt;&gt;"",COUNTIFS($V$6:$V$505,29,$F$6:$F$505,F104,$C$6:$C$505,C104,$O$6:$O$505,"&lt;&gt;")&gt;1),IF(COUNTIFS($V$6:V104,29,$F$6:F104,F104,$C$6:C104,C104,$O$6:O104,"&lt;&gt;")=1,"Esta es la fila que se debe CONSERVAR (aparición 1 de "&amp;COUNTIFS($V$6:$V$505,29,$F$6:$F$505,F104,$C$6:$C$505,C104,$O$6:$O$505,"&lt;&gt;")&amp;" con el mismo tercero y valor, casilla 29). Si hay más filas iguales, bórreles el valor a ELLAS, no a esta.","DUPLICADO — ya existe otra fila con el mismo tercero y valor para casilla 29 (aparición "&amp;COUNTIFS($V$6:V104,29,$F$6:F104,F104,$C$6:C104,C104,$O$6:O104,"&lt;&gt;")&amp;" de "&amp;COUNTIFS($V$6:$V$505,29,$F$6:$F$505,F104,$C$6:$C$505,C104,$O$6:$O$505,"&lt;&gt;")&amp;"). Para resolverlo: seleccione la celda O"&amp;ROW()&amp;" (columna Valor a declarar de ESTA fila) y presione Supr."),""))</f>
        <v/>
      </c>
      <c r="X104" s="463">
        <f>IF(A104="","",F104)</f>
        <v/>
      </c>
      <c r="Y104" s="463">
        <f>IF(A104="","",SUMIF(Entrada_Manual!$I$88:$I$187,A104,Entrada_Manual!$F$88:$F$187))</f>
        <v/>
      </c>
      <c r="Z104" s="463">
        <f>IF(A104="","",X104-Y104)</f>
        <v/>
      </c>
      <c r="AA104">
        <f>IF(A104="","",SUMPRODUCT((Entrada_Manual!$I$88:$I$187=A104)*1))</f>
        <v/>
      </c>
      <c r="AB104">
        <f>IF(A104="","",IF(S104&lt;=1,"",IF(AA104=0,"PENDIENTE — SIN ASIGNAR",IF(Z104=0,"RESUELTO","PARCIAL — DIFERENCIA "&amp;TEXT(Z104,"#,##0")))))</f>
        <v/>
      </c>
    </row>
    <row r="105" ht="14.25" customHeight="1" s="235">
      <c r="A105" s="47">
        <f>IF(Exogena_RAW!E114&lt;&gt;"",ROW()-5,"")</f>
        <v/>
      </c>
      <c r="B105" s="48">
        <f>IF(A105="","",114)</f>
        <v/>
      </c>
      <c r="C105" s="48">
        <f>IF(A105="","",IFERROR(Exogena_RAW!A114,""))</f>
        <v/>
      </c>
      <c r="D105" s="48">
        <f>IF(A105="","",IFERROR(Exogena_RAW!B114,""))</f>
        <v/>
      </c>
      <c r="E105" s="48">
        <f>IF(A105="","",Exogena_RAW!E114)</f>
        <v/>
      </c>
      <c r="F105" s="461">
        <f>IF(A105="","",Exogena_RAW!F114)</f>
        <v/>
      </c>
      <c r="G105" s="48">
        <f>IF(A105="","",IFERROR(Exogena_RAW!G114,""))</f>
        <v/>
      </c>
      <c r="H105" s="48">
        <f>IF(A105="","",IFERROR(Exogena_RAW!H114,""))</f>
        <v/>
      </c>
      <c r="I105" s="48">
        <f>IF(A105="","",IFERROR(IF(S105&gt;1,"VARIAS CASILLAS",IF(S105=1,IF(T105=1,"PROPUESTA DE CASILLA","REVISIÓN: CASILLA NO DIRECTA"),IF(OR(ISNUMBER(SEARCH("TOPE",UPPER(E105))),ISNUMBER(SEARCH("TOPE",UPPER(G105)))),"SOLO CONTROL",IF(ISNUMBER(SEARCH("RETEN",UPPER(E105))),"RETENCIÓN","REVISAR")))),"REVISAR"))</f>
        <v/>
      </c>
      <c r="J105" s="48">
        <f>IF(A105="","",IF(ISNUMBER(SEARCH("ingreso laboral promedio de los últimos seis meses",E105)),"",IFERROR(IF(AND(S105=1,T105=1),U105,""),"")))</f>
        <v/>
      </c>
      <c r="K105" s="216" t="n"/>
      <c r="L105" s="48">
        <f>IF(A105="","",IFERROR(IF(K105&lt;&gt;"","Casilla elegida por usuario",IF(S105&gt;1,"Varias casillas — elegir en K",IF(J105&lt;&gt;"","Sugerencia directa",IF(S105=1,"No trasladar directo — revisar",IF(OR(ISNUMBER(SEARCH("TOPE",UPPER(E105))),ISNUMBER(SEARCH("TOPE",UPPER(G105)))),"Solo control","Revisar manualmente"))))),"Revisar manualmente"))</f>
        <v/>
      </c>
      <c r="M105" s="461">
        <f>IF(A105="","",IF(IF(K105&lt;&gt;"",K105,J105)="",0,IF(COUNTIFS(Reglas!$I$5:$I$118,IF(K105&lt;&gt;"",K105,J105),Reglas!$J$5:$J$118,"Sí")=1,F105,0)))</f>
        <v/>
      </c>
      <c r="N105" s="56" t="n"/>
      <c r="O105" s="462">
        <f>IF(A105="","",IF(M105=0,"",M105))</f>
        <v/>
      </c>
      <c r="P105" s="461">
        <f>IF(A105="","",IF(O105="",0,IF(ISNUMBER(O105),O105,0)))</f>
        <v/>
      </c>
      <c r="Q105" s="48">
        <f>IF(A105="","",IF(Exogena_RAW!$C$4="","BLOQUEADO: FALTA AÑO",IF(Exogena_RAW!$K$10&lt;&gt;Reglas!$B$5,"BLOQUEADO: AÑO",IF(IF(K105&lt;&gt;"",K105,J105)="",IF(S105&gt;1,"REQUIERE ASIGNACIÓN MANUAL (VARIAS CASILLAS)","INFORMATIVO (sin casilla — no se declara)"),IF(COUNTIFS(Reglas!$I$5:$I$118,IF(K105&lt;&gt;"",K105,J105),Reglas!$J$5:$J$118,"Sí")=0,"BLOQUEADO: CASILLA NO DIRECTA",IF(O105="","EXCLUIDO (valor borrado por el usuario)",IF(_xlfn.ISFORMULA(O105),IF(W105&lt;&gt;"","BORRADOR — VALOR SUGERIDO DIAN ⚠ VER ALERTA","BORRADOR — VALOR SUGERIDO DIAN"),IF(W105&lt;&gt;"","ACEPTADO ⚠ VER ALERTA","ACEPTADO"))))))))</f>
        <v/>
      </c>
      <c r="R105" s="218" t="n"/>
      <c r="S105" s="58">
        <f>IF(A105="","",IFERROR(--ISNUMBER(SEARCH("R28",G105)),0)+IFERROR(--ISNUMBER(SEARCH("R29",G105)),0)+IFERROR(--ISNUMBER(SEARCH("R30",G105)),0)+IFERROR(--ISNUMBER(SEARCH("R31",G105)),0)+IFERROR(--ISNUMBER(SEARCH("R32",G105)),0)+IFERROR(--ISNUMBER(SEARCH("R33",G105)),0)+IFERROR(--ISNUMBER(SEARCH("R34",G105)),0)+IFERROR(--ISNUMBER(SEARCH("R35",G105)),0)+IFERROR(--ISNUMBER(SEARCH("R36",G105)),0)+IFERROR(--ISNUMBER(SEARCH("R37",G105)),0)+IFERROR(--ISNUMBER(SEARCH("R38",G105)),0)+IFERROR(--ISNUMBER(SEARCH("R39",G105)),0)+IFERROR(--ISNUMBER(SEARCH("R40",G105)),0)+IFERROR(--ISNUMBER(SEARCH("R41",G105)),0)+IFERROR(--ISNUMBER(SEARCH("R42",G105)),0)+IFERROR(--ISNUMBER(SEARCH("R43",G105)),0)+IFERROR(--ISNUMBER(SEARCH("R44",G105)),0)+IFERROR(--ISNUMBER(SEARCH("R45",G105)),0)+IFERROR(--ISNUMBER(SEARCH("R46",G105)),0)+IFERROR(--ISNUMBER(SEARCH("R47",G105)),0)+IFERROR(--ISNUMBER(SEARCH("R48",G105)),0)+IFERROR(--ISNUMBER(SEARCH("R49",G105)),0)+IFERROR(--ISNUMBER(SEARCH("R50",G105)),0)+IFERROR(--ISNUMBER(SEARCH("R51",G105)),0)+IFERROR(--ISNUMBER(SEARCH("R52",G105)),0)+IFERROR(--ISNUMBER(SEARCH("R53",G105)),0)+IFERROR(--ISNUMBER(SEARCH("R54",G105)),0)+IFERROR(--ISNUMBER(SEARCH("R55",G105)),0)+IFERROR(--ISNUMBER(SEARCH("R56",G105)),0)+IFERROR(--ISNUMBER(SEARCH("R57",G105)),0)+IFERROR(--ISNUMBER(SEARCH("R58",G105)),0)+IFERROR(--ISNUMBER(SEARCH("R59",G105)),0)+IFERROR(--ISNUMBER(SEARCH("R60",G105)),0)+IFERROR(--ISNUMBER(SEARCH("R61",G105)),0)+IFERROR(--ISNUMBER(SEARCH("R62",G105)),0)+IFERROR(--ISNUMBER(SEARCH("R63",G105)),0)+IFERROR(--ISNUMBER(SEARCH("R64",G105)),0)+IFERROR(--ISNUMBER(SEARCH("R65",G105)),0)+IFERROR(--ISNUMBER(SEARCH("R66",G105)),0)+IFERROR(--ISNUMBER(SEARCH("R67",G105)),0)+IFERROR(--ISNUMBER(SEARCH("R68",G105)),0)+IFERROR(--ISNUMBER(SEARCH("R69",G105)),0)+IFERROR(--ISNUMBER(SEARCH("R70",G105)),0)+IFERROR(--ISNUMBER(SEARCH("R71",G105)),0)+IFERROR(--ISNUMBER(SEARCH("R72",G105)),0)+IFERROR(--ISNUMBER(SEARCH("R73",G105)),0)+IFERROR(--ISNUMBER(SEARCH("R74",G105)),0)+IFERROR(--ISNUMBER(SEARCH("R75",G105)),0)+IFERROR(--ISNUMBER(SEARCH("R76",G105)),0)+IFERROR(--ISNUMBER(SEARCH("R77",G105)),0)+IFERROR(--ISNUMBER(SEARCH("R78",G105)),0)+IFERROR(--ISNUMBER(SEARCH("R79",G105)),0)+IFERROR(--ISNUMBER(SEARCH("R80",G105)),0)+IFERROR(--ISNUMBER(SEARCH("R81",G105)),0)+IFERROR(--ISNUMBER(SEARCH("R82",G105)),0)+IFERROR(--ISNUMBER(SEARCH("R83",G105)),0)+IFERROR(--ISNUMBER(SEARCH("R84",G105)),0)+IFERROR(--ISNUMBER(SEARCH("R85",G105)),0)+IFERROR(--ISNUMBER(SEARCH("R86",G105)),0)+IFERROR(--ISNUMBER(SEARCH("R87",G105)),0)+IFERROR(--ISNUMBER(SEARCH("R88",G105)),0)+IFERROR(--ISNUMBER(SEARCH("R89",G105)),0)+IFERROR(--ISNUMBER(SEARCH("R90",G105)),0)+IFERROR(--ISNUMBER(SEARCH("R91",G105)),0)+IFERROR(--ISNUMBER(SEARCH("R92",G105)),0)+IFERROR(--ISNUMBER(SEARCH("R93",G105)),0)+IFERROR(--ISNUMBER(SEARCH("R94",G105)),0)+IFERROR(--ISNUMBER(SEARCH("R95",G105)),0)+IFERROR(--ISNUMBER(SEARCH("R96",G105)),0)+IFERROR(--ISNUMBER(SEARCH("R97",G105)),0)+IFERROR(--ISNUMBER(SEARCH("R98",G105)),0)+IFERROR(--ISNUMBER(SEARCH("R99",G105)),0)+IFERROR(--ISNUMBER(SEARCH("R100",G105)),0)+IFERROR(--ISNUMBER(SEARCH("R101",G105)),0)+IFERROR(--ISNUMBER(SEARCH("R102",G105)),0)+IFERROR(--ISNUMBER(SEARCH("R103",G105)),0)+IFERROR(--ISNUMBER(SEARCH("R104",G105)),0)+IFERROR(--ISNUMBER(SEARCH("R105",G105)),0)+IFERROR(--ISNUMBER(SEARCH("R106",G105)),0)+IFERROR(--ISNUMBER(SEARCH("R107",G105)),0)+IFERROR(--ISNUMBER(SEARCH("R108",G105)),0)+IFERROR(--ISNUMBER(SEARCH("R109",G105)),0)+IFERROR(--ISNUMBER(SEARCH("R110",G105)),0)+IFERROR(--ISNUMBER(SEARCH("R111",G105)),0)+IFERROR(--ISNUMBER(SEARCH("R112",G105)),0)+IFERROR(--ISNUMBER(SEARCH("R113",G105)),0)+IFERROR(--ISNUMBER(SEARCH("R114",G105)),0)+IFERROR(--ISNUMBER(SEARCH("R115",G105)),0)+IFERROR(--ISNUMBER(SEARCH("R116",G105)),0)+IFERROR(--ISNUMBER(SEARCH("R117",G105)),0)+IFERROR(--ISNUMBER(SEARCH("R118",G105)),0)+IFERROR(--ISNUMBER(SEARCH("R119",G105)),0)+IFERROR(--ISNUMBER(SEARCH("R120",G105)),0)+IFERROR(--ISNUMBER(SEARCH("R121",G105)),0)+IFERROR(--ISNUMBER(SEARCH("R122",G105)),0)+IFERROR(--ISNUMBER(SEARCH("R123",G105)),0)+IFERROR(--ISNUMBER(SEARCH("R124",G105)),0)+IFERROR(--ISNUMBER(SEARCH("R125",G105)),0)+IFERROR(--ISNUMBER(SEARCH("R126",G105)),0)+IFERROR(--ISNUMBER(SEARCH("R127",G105)),0)+IFERROR(--ISNUMBER(SEARCH("R128",G105)),0)+IFERROR(--ISNUMBER(SEARCH("R129",G105)),0)+IFERROR(--ISNUMBER(SEARCH("R130",G105)),0)+IFERROR(--ISNUMBER(SEARCH("R131",G105)),0)+IFERROR(--ISNUMBER(SEARCH("R132",G105)),0)+IFERROR(--ISNUMBER(SEARCH("R133",G105)),0)+IFERROR(--ISNUMBER(SEARCH("R134",G105)),0)+IFERROR(--ISNUMBER(SEARCH("R135",G105)),0)+IFERROR(--ISNUMBER(SEARCH("R136",G105)),0)+IFERROR(--ISNUMBER(SEARCH("R137",G105)),0)+IFERROR(--ISNUMBER(SEARCH("R138",G105)),0)+IFERROR(--ISNUMBER(SEARCH("R139",G105)),0)+IFERROR(--ISNUMBER(SEARCH("R140",G105)),0)+IFERROR(--ISNUMBER(SEARCH("R141",G105)),0))</f>
        <v/>
      </c>
      <c r="T105" s="58">
        <f>IF(A105="","",IFERROR(--ISNUMBER(SEARCH("R28",G105)),0)+IFERROR(--ISNUMBER(SEARCH("R29",G105)),0)+IFERROR(--ISNUMBER(SEARCH("R30",G105)),0)+IFERROR(--ISNUMBER(SEARCH("R32",G105)),0)+IFERROR(--ISNUMBER(SEARCH("R33",G105)),0)+IFERROR(--ISNUMBER(SEARCH("R35",G105)),0)+IFERROR(--ISNUMBER(SEARCH("R36",G105)),0)+IFERROR(--ISNUMBER(SEARCH("R38",G105)),0)+IFERROR(--ISNUMBER(SEARCH("R39",G105)),0)+IFERROR(--ISNUMBER(SEARCH("R43",G105)),0)+IFERROR(--ISNUMBER(SEARCH("R44",G105)),0)+IFERROR(--ISNUMBER(SEARCH("R45",G105)),0)+IFERROR(--ISNUMBER(SEARCH("R47",G105)),0)+IFERROR(--ISNUMBER(SEARCH("R48",G105)),0)+IFERROR(--ISNUMBER(SEARCH("R50",G105)),0)+IFERROR(--ISNUMBER(SEARCH("R51",G105)),0)+IFERROR(--ISNUMBER(SEARCH("R56",G105)),0)+IFERROR(--ISNUMBER(SEARCH("R58",G105)),0)+IFERROR(--ISNUMBER(SEARCH("R59",G105)),0)+IFERROR(--ISNUMBER(SEARCH("R60",G105)),0)+IFERROR(--ISNUMBER(SEARCH("R62",G105)),0)+IFERROR(--ISNUMBER(SEARCH("R63",G105)),0)+IFERROR(--ISNUMBER(SEARCH("R64",G105)),0)+IFERROR(--ISNUMBER(SEARCH("R66",G105)),0)+IFERROR(--ISNUMBER(SEARCH("R67",G105)),0)+IFERROR(--ISNUMBER(SEARCH("R72",G105)),0)+IFERROR(--ISNUMBER(SEARCH("R74",G105)),0)+IFERROR(--ISNUMBER(SEARCH("R75",G105)),0)+IFERROR(--ISNUMBER(SEARCH("R76",G105)),0)+IFERROR(--ISNUMBER(SEARCH("R77",G105)),0)+IFERROR(--ISNUMBER(SEARCH("R79",G105)),0)+IFERROR(--ISNUMBER(SEARCH("R80",G105)),0)+IFERROR(--ISNUMBER(SEARCH("R81",G105)),0)+IFERROR(--ISNUMBER(SEARCH("R83",G105)),0)+IFERROR(--ISNUMBER(SEARCH("R84",G105)),0)+IFERROR(--ISNUMBER(SEARCH("R89",G105)),0)+IFERROR(--ISNUMBER(SEARCH("R94",G105)),0)+IFERROR(--ISNUMBER(SEARCH("R95",G105)),0)+IFERROR(--ISNUMBER(SEARCH("R96",G105)),0)+IFERROR(--ISNUMBER(SEARCH("R98",G105)),0)+IFERROR(--ISNUMBER(SEARCH("R99",G105)),0)+IFERROR(--ISNUMBER(SEARCH("R100",G105)),0)+IFERROR(--ISNUMBER(SEARCH("R104",G105)),0)+IFERROR(--ISNUMBER(SEARCH("R105",G105)),0)+IFERROR(--ISNUMBER(SEARCH("R107",G105)),0)+IFERROR(--ISNUMBER(SEARCH("R108",G105)),0)+IFERROR(--ISNUMBER(SEARCH("R109",G105)),0)+IFERROR(--ISNUMBER(SEARCH("R110",G105)),0)+IFERROR(--ISNUMBER(SEARCH("R112",G105)),0)+IFERROR(--ISNUMBER(SEARCH("R113",G105)),0)+IFERROR(--ISNUMBER(SEARCH("R114",G105)),0)+IFERROR(--ISNUMBER(SEARCH("R118",G105)),0)+IFERROR(--ISNUMBER(SEARCH("R119",G105)),0)+IFERROR(--ISNUMBER(SEARCH("R120",G105)),0)+IFERROR(--ISNUMBER(SEARCH("R122",G105)),0)+IFERROR(--ISNUMBER(SEARCH("R123",G105)),0)+IFERROR(--ISNUMBER(SEARCH("R124",G105)),0)+IFERROR(--ISNUMBER(SEARCH("R128",G105)),0)+IFERROR(--ISNUMBER(SEARCH("R130",G105)),0)+IFERROR(--ISNUMBER(SEARCH("R131",G105)),0)+IFERROR(--ISNUMBER(SEARCH("R132",G105)),0)+IFERROR(--ISNUMBER(SEARCH("R135",G105)),0)+IFERROR(--ISNUMBER(SEARCH("R138",G105)),0)+IFERROR(--ISNUMBER(SEARCH("R141",G105)),0))</f>
        <v/>
      </c>
      <c r="U105" s="58">
        <f>IF(A105="","",IFERROR(--ISNUMBER(SEARCH("R28",G105))*28,0)+IFERROR(--ISNUMBER(SEARCH("R29",G105))*29,0)+IFERROR(--ISNUMBER(SEARCH("R30",G105))*30,0)+IFERROR(--ISNUMBER(SEARCH("R31",G105))*31,0)+IFERROR(--ISNUMBER(SEARCH("R32",G105))*32,0)+IFERROR(--ISNUMBER(SEARCH("R33",G105))*33,0)+IFERROR(--ISNUMBER(SEARCH("R34",G105))*34,0)+IFERROR(--ISNUMBER(SEARCH("R35",G105))*35,0)+IFERROR(--ISNUMBER(SEARCH("R36",G105))*36,0)+IFERROR(--ISNUMBER(SEARCH("R37",G105))*37,0)+IFERROR(--ISNUMBER(SEARCH("R38",G105))*38,0)+IFERROR(--ISNUMBER(SEARCH("R39",G105))*39,0)+IFERROR(--ISNUMBER(SEARCH("R40",G105))*40,0)+IFERROR(--ISNUMBER(SEARCH("R41",G105))*41,0)+IFERROR(--ISNUMBER(SEARCH("R42",G105))*42,0)+IFERROR(--ISNUMBER(SEARCH("R43",G105))*43,0)+IFERROR(--ISNUMBER(SEARCH("R44",G105))*44,0)+IFERROR(--ISNUMBER(SEARCH("R45",G105))*45,0)+IFERROR(--ISNUMBER(SEARCH("R46",G105))*46,0)+IFERROR(--ISNUMBER(SEARCH("R47",G105))*47,0)+IFERROR(--ISNUMBER(SEARCH("R48",G105))*48,0)+IFERROR(--ISNUMBER(SEARCH("R49",G105))*49,0)+IFERROR(--ISNUMBER(SEARCH("R50",G105))*50,0)+IFERROR(--ISNUMBER(SEARCH("R51",G105))*51,0)+IFERROR(--ISNUMBER(SEARCH("R52",G105))*52,0)+IFERROR(--ISNUMBER(SEARCH("R53",G105))*53,0)+IFERROR(--ISNUMBER(SEARCH("R54",G105))*54,0)+IFERROR(--ISNUMBER(SEARCH("R55",G105))*55,0)+IFERROR(--ISNUMBER(SEARCH("R56",G105))*56,0)+IFERROR(--ISNUMBER(SEARCH("R57",G105))*57,0)+IFERROR(--ISNUMBER(SEARCH("R58",G105))*58,0)+IFERROR(--ISNUMBER(SEARCH("R59",G105))*59,0)+IFERROR(--ISNUMBER(SEARCH("R60",G105))*60,0)+IFERROR(--ISNUMBER(SEARCH("R61",G105))*61,0)+IFERROR(--ISNUMBER(SEARCH("R62",G105))*62,0)+IFERROR(--ISNUMBER(SEARCH("R63",G105))*63,0)+IFERROR(--ISNUMBER(SEARCH("R64",G105))*64,0)+IFERROR(--ISNUMBER(SEARCH("R65",G105))*65,0)+IFERROR(--ISNUMBER(SEARCH("R66",G105))*66,0)+IFERROR(--ISNUMBER(SEARCH("R67",G105))*67,0)+IFERROR(--ISNUMBER(SEARCH("R68",G105))*68,0)+IFERROR(--ISNUMBER(SEARCH("R69",G105))*69,0)+IFERROR(--ISNUMBER(SEARCH("R70",G105))*70,0)+IFERROR(--ISNUMBER(SEARCH("R71",G105))*71,0)+IFERROR(--ISNUMBER(SEARCH("R72",G105))*72,0)+IFERROR(--ISNUMBER(SEARCH("R73",G105))*73,0)+IFERROR(--ISNUMBER(SEARCH("R74",G105))*74,0)+IFERROR(--ISNUMBER(SEARCH("R75",G105))*75,0)+IFERROR(--ISNUMBER(SEARCH("R76",G105))*76,0)+IFERROR(--ISNUMBER(SEARCH("R77",G105))*77,0)+IFERROR(--ISNUMBER(SEARCH("R78",G105))*78,0)+IFERROR(--ISNUMBER(SEARCH("R79",G105))*79,0)+IFERROR(--ISNUMBER(SEARCH("R80",G105))*80,0)+IFERROR(--ISNUMBER(SEARCH("R81",G105))*81,0)+IFERROR(--ISNUMBER(SEARCH("R82",G105))*82,0)+IFERROR(--ISNUMBER(SEARCH("R83",G105))*83,0)+IFERROR(--ISNUMBER(SEARCH("R84",G105))*84,0)+IFERROR(--ISNUMBER(SEARCH("R85",G105))*85,0)+IFERROR(--ISNUMBER(SEARCH("R86",G105))*86,0)+IFERROR(--ISNUMBER(SEARCH("R87",G105))*87,0)+IFERROR(--ISNUMBER(SEARCH("R88",G105))*88,0)+IFERROR(--ISNUMBER(SEARCH("R89",G105))*89,0)+IFERROR(--ISNUMBER(SEARCH("R90",G105))*90,0)+IFERROR(--ISNUMBER(SEARCH("R91",G105))*91,0)+IFERROR(--ISNUMBER(SEARCH("R92",G105))*92,0)+IFERROR(--ISNUMBER(SEARCH("R93",G105))*93,0)+IFERROR(--ISNUMBER(SEARCH("R94",G105))*94,0)+IFERROR(--ISNUMBER(SEARCH("R95",G105))*95,0)+IFERROR(--ISNUMBER(SEARCH("R96",G105))*96,0)+IFERROR(--ISNUMBER(SEARCH("R97",G105))*97,0)+IFERROR(--ISNUMBER(SEARCH("R98",G105))*98,0)+IFERROR(--ISNUMBER(SEARCH("R99",G105))*99,0)+IFERROR(--ISNUMBER(SEARCH("R100",G105))*100,0)+IFERROR(--ISNUMBER(SEARCH("R101",G105))*101,0)+IFERROR(--ISNUMBER(SEARCH("R102",G105))*102,0)+IFERROR(--ISNUMBER(SEARCH("R103",G105))*103,0)+IFERROR(--ISNUMBER(SEARCH("R104",G105))*104,0)+IFERROR(--ISNUMBER(SEARCH("R105",G105))*105,0)+IFERROR(--ISNUMBER(SEARCH("R106",G105))*106,0)+IFERROR(--ISNUMBER(SEARCH("R107",G105))*107,0)+IFERROR(--ISNUMBER(SEARCH("R108",G105))*108,0)+IFERROR(--ISNUMBER(SEARCH("R109",G105))*109,0)+IFERROR(--ISNUMBER(SEARCH("R110",G105))*110,0)+IFERROR(--ISNUMBER(SEARCH("R111",G105))*111,0)+IFERROR(--ISNUMBER(SEARCH("R112",G105))*112,0)+IFERROR(--ISNUMBER(SEARCH("R113",G105))*113,0)+IFERROR(--ISNUMBER(SEARCH("R114",G105))*114,0)+IFERROR(--ISNUMBER(SEARCH("R115",G105))*115,0)+IFERROR(--ISNUMBER(SEARCH("R116",G105))*116,0)+IFERROR(--ISNUMBER(SEARCH("R117",G105))*117,0)+IFERROR(--ISNUMBER(SEARCH("R118",G105))*118,0)+IFERROR(--ISNUMBER(SEARCH("R119",G105))*119,0)+IFERROR(--ISNUMBER(SEARCH("R120",G105))*120,0)+IFERROR(--ISNUMBER(SEARCH("R121",G105))*121,0)+IFERROR(--ISNUMBER(SEARCH("R122",G105))*122,0)+IFERROR(--ISNUMBER(SEARCH("R123",G105))*123,0)+IFERROR(--ISNUMBER(SEARCH("R124",G105))*124,0)+IFERROR(--ISNUMBER(SEARCH("R125",G105))*125,0)+IFERROR(--ISNUMBER(SEARCH("R126",G105))*126,0)+IFERROR(--ISNUMBER(SEARCH("R127",G105))*127,0)+IFERROR(--ISNUMBER(SEARCH("R128",G105))*128,0)+IFERROR(--ISNUMBER(SEARCH("R129",G105))*129,0)+IFERROR(--ISNUMBER(SEARCH("R130",G105))*130,0)+IFERROR(--ISNUMBER(SEARCH("R131",G105))*131,0)+IFERROR(--ISNUMBER(SEARCH("R132",G105))*132,0)+IFERROR(--ISNUMBER(SEARCH("R133",G105))*133,0)+IFERROR(--ISNUMBER(SEARCH("R134",G105))*134,0)+IFERROR(--ISNUMBER(SEARCH("R135",G105))*135,0)+IFERROR(--ISNUMBER(SEARCH("R136",G105))*136,0)+IFERROR(--ISNUMBER(SEARCH("R137",G105))*137,0)+IFERROR(--ISNUMBER(SEARCH("R138",G105))*138,0)+IFERROR(--ISNUMBER(SEARCH("R139",G105))*139,0)+IFERROR(--ISNUMBER(SEARCH("R140",G105))*140,0)+IFERROR(--ISNUMBER(SEARCH("R141",G105))*141,0))</f>
        <v/>
      </c>
      <c r="V105" s="59">
        <f>IF(A105="","",IF(K105&lt;&gt;"",K105,J105))</f>
        <v/>
      </c>
      <c r="W105" s="59">
        <f>IF(A105="","",IF(AND(V105=29,O105&lt;&gt;"",COUNTIFS($V$6:$V$505,29,$F$6:$F$505,F105,$C$6:$C$505,C105,$O$6:$O$505,"&lt;&gt;")&gt;1),IF(COUNTIFS($V$6:V105,29,$F$6:F105,F105,$C$6:C105,C105,$O$6:O105,"&lt;&gt;")=1,"Esta es la fila que se debe CONSERVAR (aparición 1 de "&amp;COUNTIFS($V$6:$V$505,29,$F$6:$F$505,F105,$C$6:$C$505,C105,$O$6:$O$505,"&lt;&gt;")&amp;" con el mismo tercero y valor, casilla 29). Si hay más filas iguales, bórreles el valor a ELLAS, no a esta.","DUPLICADO — ya existe otra fila con el mismo tercero y valor para casilla 29 (aparición "&amp;COUNTIFS($V$6:V105,29,$F$6:F105,F105,$C$6:C105,C105,$O$6:O105,"&lt;&gt;")&amp;" de "&amp;COUNTIFS($V$6:$V$505,29,$F$6:$F$505,F105,$C$6:$C$505,C105,$O$6:$O$505,"&lt;&gt;")&amp;"). Para resolverlo: seleccione la celda O"&amp;ROW()&amp;" (columna Valor a declarar de ESTA fila) y presione Supr."),""))</f>
        <v/>
      </c>
      <c r="X105" s="463">
        <f>IF(A105="","",F105)</f>
        <v/>
      </c>
      <c r="Y105" s="463">
        <f>IF(A105="","",SUMIF(Entrada_Manual!$I$88:$I$187,A105,Entrada_Manual!$F$88:$F$187))</f>
        <v/>
      </c>
      <c r="Z105" s="463">
        <f>IF(A105="","",X105-Y105)</f>
        <v/>
      </c>
      <c r="AA105">
        <f>IF(A105="","",SUMPRODUCT((Entrada_Manual!$I$88:$I$187=A105)*1))</f>
        <v/>
      </c>
      <c r="AB105">
        <f>IF(A105="","",IF(S105&lt;=1,"",IF(AA105=0,"PENDIENTE — SIN ASIGNAR",IF(Z105=0,"RESUELTO","PARCIAL — DIFERENCIA "&amp;TEXT(Z105,"#,##0")))))</f>
        <v/>
      </c>
    </row>
    <row r="106" ht="14.25" customHeight="1" s="235">
      <c r="A106" s="47">
        <f>IF(Exogena_RAW!E115&lt;&gt;"",ROW()-5,"")</f>
        <v/>
      </c>
      <c r="B106" s="48">
        <f>IF(A106="","",115)</f>
        <v/>
      </c>
      <c r="C106" s="48">
        <f>IF(A106="","",IFERROR(Exogena_RAW!A115,""))</f>
        <v/>
      </c>
      <c r="D106" s="48">
        <f>IF(A106="","",IFERROR(Exogena_RAW!B115,""))</f>
        <v/>
      </c>
      <c r="E106" s="48">
        <f>IF(A106="","",Exogena_RAW!E115)</f>
        <v/>
      </c>
      <c r="F106" s="461">
        <f>IF(A106="","",Exogena_RAW!F115)</f>
        <v/>
      </c>
      <c r="G106" s="48">
        <f>IF(A106="","",IFERROR(Exogena_RAW!G115,""))</f>
        <v/>
      </c>
      <c r="H106" s="48">
        <f>IF(A106="","",IFERROR(Exogena_RAW!H115,""))</f>
        <v/>
      </c>
      <c r="I106" s="48">
        <f>IF(A106="","",IFERROR(IF(S106&gt;1,"VARIAS CASILLAS",IF(S106=1,IF(T106=1,"PROPUESTA DE CASILLA","REVISIÓN: CASILLA NO DIRECTA"),IF(OR(ISNUMBER(SEARCH("TOPE",UPPER(E106))),ISNUMBER(SEARCH("TOPE",UPPER(G106)))),"SOLO CONTROL",IF(ISNUMBER(SEARCH("RETEN",UPPER(E106))),"RETENCIÓN","REVISAR")))),"REVISAR"))</f>
        <v/>
      </c>
      <c r="J106" s="48">
        <f>IF(A106="","",IF(ISNUMBER(SEARCH("ingreso laboral promedio de los últimos seis meses",E106)),"",IFERROR(IF(AND(S106=1,T106=1),U106,""),"")))</f>
        <v/>
      </c>
      <c r="K106" s="216" t="n"/>
      <c r="L106" s="48">
        <f>IF(A106="","",IFERROR(IF(K106&lt;&gt;"","Casilla elegida por usuario",IF(S106&gt;1,"Varias casillas — elegir en K",IF(J106&lt;&gt;"","Sugerencia directa",IF(S106=1,"No trasladar directo — revisar",IF(OR(ISNUMBER(SEARCH("TOPE",UPPER(E106))),ISNUMBER(SEARCH("TOPE",UPPER(G106)))),"Solo control","Revisar manualmente"))))),"Revisar manualmente"))</f>
        <v/>
      </c>
      <c r="M106" s="461">
        <f>IF(A106="","",IF(IF(K106&lt;&gt;"",K106,J106)="",0,IF(COUNTIFS(Reglas!$I$5:$I$118,IF(K106&lt;&gt;"",K106,J106),Reglas!$J$5:$J$118,"Sí")=1,F106,0)))</f>
        <v/>
      </c>
      <c r="N106" s="56" t="n"/>
      <c r="O106" s="462">
        <f>IF(A106="","",IF(M106=0,"",M106))</f>
        <v/>
      </c>
      <c r="P106" s="461">
        <f>IF(A106="","",IF(O106="",0,IF(ISNUMBER(O106),O106,0)))</f>
        <v/>
      </c>
      <c r="Q106" s="48">
        <f>IF(A106="","",IF(Exogena_RAW!$C$4="","BLOQUEADO: FALTA AÑO",IF(Exogena_RAW!$K$10&lt;&gt;Reglas!$B$5,"BLOQUEADO: AÑO",IF(IF(K106&lt;&gt;"",K106,J106)="",IF(S106&gt;1,"REQUIERE ASIGNACIÓN MANUAL (VARIAS CASILLAS)","INFORMATIVO (sin casilla — no se declara)"),IF(COUNTIFS(Reglas!$I$5:$I$118,IF(K106&lt;&gt;"",K106,J106),Reglas!$J$5:$J$118,"Sí")=0,"BLOQUEADO: CASILLA NO DIRECTA",IF(O106="","EXCLUIDO (valor borrado por el usuario)",IF(_xlfn.ISFORMULA(O106),IF(W106&lt;&gt;"","BORRADOR — VALOR SUGERIDO DIAN ⚠ VER ALERTA","BORRADOR — VALOR SUGERIDO DIAN"),IF(W106&lt;&gt;"","ACEPTADO ⚠ VER ALERTA","ACEPTADO"))))))))</f>
        <v/>
      </c>
      <c r="R106" s="218" t="n"/>
      <c r="S106" s="58">
        <f>IF(A106="","",IFERROR(--ISNUMBER(SEARCH("R28",G106)),0)+IFERROR(--ISNUMBER(SEARCH("R29",G106)),0)+IFERROR(--ISNUMBER(SEARCH("R30",G106)),0)+IFERROR(--ISNUMBER(SEARCH("R31",G106)),0)+IFERROR(--ISNUMBER(SEARCH("R32",G106)),0)+IFERROR(--ISNUMBER(SEARCH("R33",G106)),0)+IFERROR(--ISNUMBER(SEARCH("R34",G106)),0)+IFERROR(--ISNUMBER(SEARCH("R35",G106)),0)+IFERROR(--ISNUMBER(SEARCH("R36",G106)),0)+IFERROR(--ISNUMBER(SEARCH("R37",G106)),0)+IFERROR(--ISNUMBER(SEARCH("R38",G106)),0)+IFERROR(--ISNUMBER(SEARCH("R39",G106)),0)+IFERROR(--ISNUMBER(SEARCH("R40",G106)),0)+IFERROR(--ISNUMBER(SEARCH("R41",G106)),0)+IFERROR(--ISNUMBER(SEARCH("R42",G106)),0)+IFERROR(--ISNUMBER(SEARCH("R43",G106)),0)+IFERROR(--ISNUMBER(SEARCH("R44",G106)),0)+IFERROR(--ISNUMBER(SEARCH("R45",G106)),0)+IFERROR(--ISNUMBER(SEARCH("R46",G106)),0)+IFERROR(--ISNUMBER(SEARCH("R47",G106)),0)+IFERROR(--ISNUMBER(SEARCH("R48",G106)),0)+IFERROR(--ISNUMBER(SEARCH("R49",G106)),0)+IFERROR(--ISNUMBER(SEARCH("R50",G106)),0)+IFERROR(--ISNUMBER(SEARCH("R51",G106)),0)+IFERROR(--ISNUMBER(SEARCH("R52",G106)),0)+IFERROR(--ISNUMBER(SEARCH("R53",G106)),0)+IFERROR(--ISNUMBER(SEARCH("R54",G106)),0)+IFERROR(--ISNUMBER(SEARCH("R55",G106)),0)+IFERROR(--ISNUMBER(SEARCH("R56",G106)),0)+IFERROR(--ISNUMBER(SEARCH("R57",G106)),0)+IFERROR(--ISNUMBER(SEARCH("R58",G106)),0)+IFERROR(--ISNUMBER(SEARCH("R59",G106)),0)+IFERROR(--ISNUMBER(SEARCH("R60",G106)),0)+IFERROR(--ISNUMBER(SEARCH("R61",G106)),0)+IFERROR(--ISNUMBER(SEARCH("R62",G106)),0)+IFERROR(--ISNUMBER(SEARCH("R63",G106)),0)+IFERROR(--ISNUMBER(SEARCH("R64",G106)),0)+IFERROR(--ISNUMBER(SEARCH("R65",G106)),0)+IFERROR(--ISNUMBER(SEARCH("R66",G106)),0)+IFERROR(--ISNUMBER(SEARCH("R67",G106)),0)+IFERROR(--ISNUMBER(SEARCH("R68",G106)),0)+IFERROR(--ISNUMBER(SEARCH("R69",G106)),0)+IFERROR(--ISNUMBER(SEARCH("R70",G106)),0)+IFERROR(--ISNUMBER(SEARCH("R71",G106)),0)+IFERROR(--ISNUMBER(SEARCH("R72",G106)),0)+IFERROR(--ISNUMBER(SEARCH("R73",G106)),0)+IFERROR(--ISNUMBER(SEARCH("R74",G106)),0)+IFERROR(--ISNUMBER(SEARCH("R75",G106)),0)+IFERROR(--ISNUMBER(SEARCH("R76",G106)),0)+IFERROR(--ISNUMBER(SEARCH("R77",G106)),0)+IFERROR(--ISNUMBER(SEARCH("R78",G106)),0)+IFERROR(--ISNUMBER(SEARCH("R79",G106)),0)+IFERROR(--ISNUMBER(SEARCH("R80",G106)),0)+IFERROR(--ISNUMBER(SEARCH("R81",G106)),0)+IFERROR(--ISNUMBER(SEARCH("R82",G106)),0)+IFERROR(--ISNUMBER(SEARCH("R83",G106)),0)+IFERROR(--ISNUMBER(SEARCH("R84",G106)),0)+IFERROR(--ISNUMBER(SEARCH("R85",G106)),0)+IFERROR(--ISNUMBER(SEARCH("R86",G106)),0)+IFERROR(--ISNUMBER(SEARCH("R87",G106)),0)+IFERROR(--ISNUMBER(SEARCH("R88",G106)),0)+IFERROR(--ISNUMBER(SEARCH("R89",G106)),0)+IFERROR(--ISNUMBER(SEARCH("R90",G106)),0)+IFERROR(--ISNUMBER(SEARCH("R91",G106)),0)+IFERROR(--ISNUMBER(SEARCH("R92",G106)),0)+IFERROR(--ISNUMBER(SEARCH("R93",G106)),0)+IFERROR(--ISNUMBER(SEARCH("R94",G106)),0)+IFERROR(--ISNUMBER(SEARCH("R95",G106)),0)+IFERROR(--ISNUMBER(SEARCH("R96",G106)),0)+IFERROR(--ISNUMBER(SEARCH("R97",G106)),0)+IFERROR(--ISNUMBER(SEARCH("R98",G106)),0)+IFERROR(--ISNUMBER(SEARCH("R99",G106)),0)+IFERROR(--ISNUMBER(SEARCH("R100",G106)),0)+IFERROR(--ISNUMBER(SEARCH("R101",G106)),0)+IFERROR(--ISNUMBER(SEARCH("R102",G106)),0)+IFERROR(--ISNUMBER(SEARCH("R103",G106)),0)+IFERROR(--ISNUMBER(SEARCH("R104",G106)),0)+IFERROR(--ISNUMBER(SEARCH("R105",G106)),0)+IFERROR(--ISNUMBER(SEARCH("R106",G106)),0)+IFERROR(--ISNUMBER(SEARCH("R107",G106)),0)+IFERROR(--ISNUMBER(SEARCH("R108",G106)),0)+IFERROR(--ISNUMBER(SEARCH("R109",G106)),0)+IFERROR(--ISNUMBER(SEARCH("R110",G106)),0)+IFERROR(--ISNUMBER(SEARCH("R111",G106)),0)+IFERROR(--ISNUMBER(SEARCH("R112",G106)),0)+IFERROR(--ISNUMBER(SEARCH("R113",G106)),0)+IFERROR(--ISNUMBER(SEARCH("R114",G106)),0)+IFERROR(--ISNUMBER(SEARCH("R115",G106)),0)+IFERROR(--ISNUMBER(SEARCH("R116",G106)),0)+IFERROR(--ISNUMBER(SEARCH("R117",G106)),0)+IFERROR(--ISNUMBER(SEARCH("R118",G106)),0)+IFERROR(--ISNUMBER(SEARCH("R119",G106)),0)+IFERROR(--ISNUMBER(SEARCH("R120",G106)),0)+IFERROR(--ISNUMBER(SEARCH("R121",G106)),0)+IFERROR(--ISNUMBER(SEARCH("R122",G106)),0)+IFERROR(--ISNUMBER(SEARCH("R123",G106)),0)+IFERROR(--ISNUMBER(SEARCH("R124",G106)),0)+IFERROR(--ISNUMBER(SEARCH("R125",G106)),0)+IFERROR(--ISNUMBER(SEARCH("R126",G106)),0)+IFERROR(--ISNUMBER(SEARCH("R127",G106)),0)+IFERROR(--ISNUMBER(SEARCH("R128",G106)),0)+IFERROR(--ISNUMBER(SEARCH("R129",G106)),0)+IFERROR(--ISNUMBER(SEARCH("R130",G106)),0)+IFERROR(--ISNUMBER(SEARCH("R131",G106)),0)+IFERROR(--ISNUMBER(SEARCH("R132",G106)),0)+IFERROR(--ISNUMBER(SEARCH("R133",G106)),0)+IFERROR(--ISNUMBER(SEARCH("R134",G106)),0)+IFERROR(--ISNUMBER(SEARCH("R135",G106)),0)+IFERROR(--ISNUMBER(SEARCH("R136",G106)),0)+IFERROR(--ISNUMBER(SEARCH("R137",G106)),0)+IFERROR(--ISNUMBER(SEARCH("R138",G106)),0)+IFERROR(--ISNUMBER(SEARCH("R139",G106)),0)+IFERROR(--ISNUMBER(SEARCH("R140",G106)),0)+IFERROR(--ISNUMBER(SEARCH("R141",G106)),0))</f>
        <v/>
      </c>
      <c r="T106" s="58">
        <f>IF(A106="","",IFERROR(--ISNUMBER(SEARCH("R28",G106)),0)+IFERROR(--ISNUMBER(SEARCH("R29",G106)),0)+IFERROR(--ISNUMBER(SEARCH("R30",G106)),0)+IFERROR(--ISNUMBER(SEARCH("R32",G106)),0)+IFERROR(--ISNUMBER(SEARCH("R33",G106)),0)+IFERROR(--ISNUMBER(SEARCH("R35",G106)),0)+IFERROR(--ISNUMBER(SEARCH("R36",G106)),0)+IFERROR(--ISNUMBER(SEARCH("R38",G106)),0)+IFERROR(--ISNUMBER(SEARCH("R39",G106)),0)+IFERROR(--ISNUMBER(SEARCH("R43",G106)),0)+IFERROR(--ISNUMBER(SEARCH("R44",G106)),0)+IFERROR(--ISNUMBER(SEARCH("R45",G106)),0)+IFERROR(--ISNUMBER(SEARCH("R47",G106)),0)+IFERROR(--ISNUMBER(SEARCH("R48",G106)),0)+IFERROR(--ISNUMBER(SEARCH("R50",G106)),0)+IFERROR(--ISNUMBER(SEARCH("R51",G106)),0)+IFERROR(--ISNUMBER(SEARCH("R56",G106)),0)+IFERROR(--ISNUMBER(SEARCH("R58",G106)),0)+IFERROR(--ISNUMBER(SEARCH("R59",G106)),0)+IFERROR(--ISNUMBER(SEARCH("R60",G106)),0)+IFERROR(--ISNUMBER(SEARCH("R62",G106)),0)+IFERROR(--ISNUMBER(SEARCH("R63",G106)),0)+IFERROR(--ISNUMBER(SEARCH("R64",G106)),0)+IFERROR(--ISNUMBER(SEARCH("R66",G106)),0)+IFERROR(--ISNUMBER(SEARCH("R67",G106)),0)+IFERROR(--ISNUMBER(SEARCH("R72",G106)),0)+IFERROR(--ISNUMBER(SEARCH("R74",G106)),0)+IFERROR(--ISNUMBER(SEARCH("R75",G106)),0)+IFERROR(--ISNUMBER(SEARCH("R76",G106)),0)+IFERROR(--ISNUMBER(SEARCH("R77",G106)),0)+IFERROR(--ISNUMBER(SEARCH("R79",G106)),0)+IFERROR(--ISNUMBER(SEARCH("R80",G106)),0)+IFERROR(--ISNUMBER(SEARCH("R81",G106)),0)+IFERROR(--ISNUMBER(SEARCH("R83",G106)),0)+IFERROR(--ISNUMBER(SEARCH("R84",G106)),0)+IFERROR(--ISNUMBER(SEARCH("R89",G106)),0)+IFERROR(--ISNUMBER(SEARCH("R94",G106)),0)+IFERROR(--ISNUMBER(SEARCH("R95",G106)),0)+IFERROR(--ISNUMBER(SEARCH("R96",G106)),0)+IFERROR(--ISNUMBER(SEARCH("R98",G106)),0)+IFERROR(--ISNUMBER(SEARCH("R99",G106)),0)+IFERROR(--ISNUMBER(SEARCH("R100",G106)),0)+IFERROR(--ISNUMBER(SEARCH("R104",G106)),0)+IFERROR(--ISNUMBER(SEARCH("R105",G106)),0)+IFERROR(--ISNUMBER(SEARCH("R107",G106)),0)+IFERROR(--ISNUMBER(SEARCH("R108",G106)),0)+IFERROR(--ISNUMBER(SEARCH("R109",G106)),0)+IFERROR(--ISNUMBER(SEARCH("R110",G106)),0)+IFERROR(--ISNUMBER(SEARCH("R112",G106)),0)+IFERROR(--ISNUMBER(SEARCH("R113",G106)),0)+IFERROR(--ISNUMBER(SEARCH("R114",G106)),0)+IFERROR(--ISNUMBER(SEARCH("R118",G106)),0)+IFERROR(--ISNUMBER(SEARCH("R119",G106)),0)+IFERROR(--ISNUMBER(SEARCH("R120",G106)),0)+IFERROR(--ISNUMBER(SEARCH("R122",G106)),0)+IFERROR(--ISNUMBER(SEARCH("R123",G106)),0)+IFERROR(--ISNUMBER(SEARCH("R124",G106)),0)+IFERROR(--ISNUMBER(SEARCH("R128",G106)),0)+IFERROR(--ISNUMBER(SEARCH("R130",G106)),0)+IFERROR(--ISNUMBER(SEARCH("R131",G106)),0)+IFERROR(--ISNUMBER(SEARCH("R132",G106)),0)+IFERROR(--ISNUMBER(SEARCH("R135",G106)),0)+IFERROR(--ISNUMBER(SEARCH("R138",G106)),0)+IFERROR(--ISNUMBER(SEARCH("R141",G106)),0))</f>
        <v/>
      </c>
      <c r="U106" s="58">
        <f>IF(A106="","",IFERROR(--ISNUMBER(SEARCH("R28",G106))*28,0)+IFERROR(--ISNUMBER(SEARCH("R29",G106))*29,0)+IFERROR(--ISNUMBER(SEARCH("R30",G106))*30,0)+IFERROR(--ISNUMBER(SEARCH("R31",G106))*31,0)+IFERROR(--ISNUMBER(SEARCH("R32",G106))*32,0)+IFERROR(--ISNUMBER(SEARCH("R33",G106))*33,0)+IFERROR(--ISNUMBER(SEARCH("R34",G106))*34,0)+IFERROR(--ISNUMBER(SEARCH("R35",G106))*35,0)+IFERROR(--ISNUMBER(SEARCH("R36",G106))*36,0)+IFERROR(--ISNUMBER(SEARCH("R37",G106))*37,0)+IFERROR(--ISNUMBER(SEARCH("R38",G106))*38,0)+IFERROR(--ISNUMBER(SEARCH("R39",G106))*39,0)+IFERROR(--ISNUMBER(SEARCH("R40",G106))*40,0)+IFERROR(--ISNUMBER(SEARCH("R41",G106))*41,0)+IFERROR(--ISNUMBER(SEARCH("R42",G106))*42,0)+IFERROR(--ISNUMBER(SEARCH("R43",G106))*43,0)+IFERROR(--ISNUMBER(SEARCH("R44",G106))*44,0)+IFERROR(--ISNUMBER(SEARCH("R45",G106))*45,0)+IFERROR(--ISNUMBER(SEARCH("R46",G106))*46,0)+IFERROR(--ISNUMBER(SEARCH("R47",G106))*47,0)+IFERROR(--ISNUMBER(SEARCH("R48",G106))*48,0)+IFERROR(--ISNUMBER(SEARCH("R49",G106))*49,0)+IFERROR(--ISNUMBER(SEARCH("R50",G106))*50,0)+IFERROR(--ISNUMBER(SEARCH("R51",G106))*51,0)+IFERROR(--ISNUMBER(SEARCH("R52",G106))*52,0)+IFERROR(--ISNUMBER(SEARCH("R53",G106))*53,0)+IFERROR(--ISNUMBER(SEARCH("R54",G106))*54,0)+IFERROR(--ISNUMBER(SEARCH("R55",G106))*55,0)+IFERROR(--ISNUMBER(SEARCH("R56",G106))*56,0)+IFERROR(--ISNUMBER(SEARCH("R57",G106))*57,0)+IFERROR(--ISNUMBER(SEARCH("R58",G106))*58,0)+IFERROR(--ISNUMBER(SEARCH("R59",G106))*59,0)+IFERROR(--ISNUMBER(SEARCH("R60",G106))*60,0)+IFERROR(--ISNUMBER(SEARCH("R61",G106))*61,0)+IFERROR(--ISNUMBER(SEARCH("R62",G106))*62,0)+IFERROR(--ISNUMBER(SEARCH("R63",G106))*63,0)+IFERROR(--ISNUMBER(SEARCH("R64",G106))*64,0)+IFERROR(--ISNUMBER(SEARCH("R65",G106))*65,0)+IFERROR(--ISNUMBER(SEARCH("R66",G106))*66,0)+IFERROR(--ISNUMBER(SEARCH("R67",G106))*67,0)+IFERROR(--ISNUMBER(SEARCH("R68",G106))*68,0)+IFERROR(--ISNUMBER(SEARCH("R69",G106))*69,0)+IFERROR(--ISNUMBER(SEARCH("R70",G106))*70,0)+IFERROR(--ISNUMBER(SEARCH("R71",G106))*71,0)+IFERROR(--ISNUMBER(SEARCH("R72",G106))*72,0)+IFERROR(--ISNUMBER(SEARCH("R73",G106))*73,0)+IFERROR(--ISNUMBER(SEARCH("R74",G106))*74,0)+IFERROR(--ISNUMBER(SEARCH("R75",G106))*75,0)+IFERROR(--ISNUMBER(SEARCH("R76",G106))*76,0)+IFERROR(--ISNUMBER(SEARCH("R77",G106))*77,0)+IFERROR(--ISNUMBER(SEARCH("R78",G106))*78,0)+IFERROR(--ISNUMBER(SEARCH("R79",G106))*79,0)+IFERROR(--ISNUMBER(SEARCH("R80",G106))*80,0)+IFERROR(--ISNUMBER(SEARCH("R81",G106))*81,0)+IFERROR(--ISNUMBER(SEARCH("R82",G106))*82,0)+IFERROR(--ISNUMBER(SEARCH("R83",G106))*83,0)+IFERROR(--ISNUMBER(SEARCH("R84",G106))*84,0)+IFERROR(--ISNUMBER(SEARCH("R85",G106))*85,0)+IFERROR(--ISNUMBER(SEARCH("R86",G106))*86,0)+IFERROR(--ISNUMBER(SEARCH("R87",G106))*87,0)+IFERROR(--ISNUMBER(SEARCH("R88",G106))*88,0)+IFERROR(--ISNUMBER(SEARCH("R89",G106))*89,0)+IFERROR(--ISNUMBER(SEARCH("R90",G106))*90,0)+IFERROR(--ISNUMBER(SEARCH("R91",G106))*91,0)+IFERROR(--ISNUMBER(SEARCH("R92",G106))*92,0)+IFERROR(--ISNUMBER(SEARCH("R93",G106))*93,0)+IFERROR(--ISNUMBER(SEARCH("R94",G106))*94,0)+IFERROR(--ISNUMBER(SEARCH("R95",G106))*95,0)+IFERROR(--ISNUMBER(SEARCH("R96",G106))*96,0)+IFERROR(--ISNUMBER(SEARCH("R97",G106))*97,0)+IFERROR(--ISNUMBER(SEARCH("R98",G106))*98,0)+IFERROR(--ISNUMBER(SEARCH("R99",G106))*99,0)+IFERROR(--ISNUMBER(SEARCH("R100",G106))*100,0)+IFERROR(--ISNUMBER(SEARCH("R101",G106))*101,0)+IFERROR(--ISNUMBER(SEARCH("R102",G106))*102,0)+IFERROR(--ISNUMBER(SEARCH("R103",G106))*103,0)+IFERROR(--ISNUMBER(SEARCH("R104",G106))*104,0)+IFERROR(--ISNUMBER(SEARCH("R105",G106))*105,0)+IFERROR(--ISNUMBER(SEARCH("R106",G106))*106,0)+IFERROR(--ISNUMBER(SEARCH("R107",G106))*107,0)+IFERROR(--ISNUMBER(SEARCH("R108",G106))*108,0)+IFERROR(--ISNUMBER(SEARCH("R109",G106))*109,0)+IFERROR(--ISNUMBER(SEARCH("R110",G106))*110,0)+IFERROR(--ISNUMBER(SEARCH("R111",G106))*111,0)+IFERROR(--ISNUMBER(SEARCH("R112",G106))*112,0)+IFERROR(--ISNUMBER(SEARCH("R113",G106))*113,0)+IFERROR(--ISNUMBER(SEARCH("R114",G106))*114,0)+IFERROR(--ISNUMBER(SEARCH("R115",G106))*115,0)+IFERROR(--ISNUMBER(SEARCH("R116",G106))*116,0)+IFERROR(--ISNUMBER(SEARCH("R117",G106))*117,0)+IFERROR(--ISNUMBER(SEARCH("R118",G106))*118,0)+IFERROR(--ISNUMBER(SEARCH("R119",G106))*119,0)+IFERROR(--ISNUMBER(SEARCH("R120",G106))*120,0)+IFERROR(--ISNUMBER(SEARCH("R121",G106))*121,0)+IFERROR(--ISNUMBER(SEARCH("R122",G106))*122,0)+IFERROR(--ISNUMBER(SEARCH("R123",G106))*123,0)+IFERROR(--ISNUMBER(SEARCH("R124",G106))*124,0)+IFERROR(--ISNUMBER(SEARCH("R125",G106))*125,0)+IFERROR(--ISNUMBER(SEARCH("R126",G106))*126,0)+IFERROR(--ISNUMBER(SEARCH("R127",G106))*127,0)+IFERROR(--ISNUMBER(SEARCH("R128",G106))*128,0)+IFERROR(--ISNUMBER(SEARCH("R129",G106))*129,0)+IFERROR(--ISNUMBER(SEARCH("R130",G106))*130,0)+IFERROR(--ISNUMBER(SEARCH("R131",G106))*131,0)+IFERROR(--ISNUMBER(SEARCH("R132",G106))*132,0)+IFERROR(--ISNUMBER(SEARCH("R133",G106))*133,0)+IFERROR(--ISNUMBER(SEARCH("R134",G106))*134,0)+IFERROR(--ISNUMBER(SEARCH("R135",G106))*135,0)+IFERROR(--ISNUMBER(SEARCH("R136",G106))*136,0)+IFERROR(--ISNUMBER(SEARCH("R137",G106))*137,0)+IFERROR(--ISNUMBER(SEARCH("R138",G106))*138,0)+IFERROR(--ISNUMBER(SEARCH("R139",G106))*139,0)+IFERROR(--ISNUMBER(SEARCH("R140",G106))*140,0)+IFERROR(--ISNUMBER(SEARCH("R141",G106))*141,0))</f>
        <v/>
      </c>
      <c r="V106" s="59">
        <f>IF(A106="","",IF(K106&lt;&gt;"",K106,J106))</f>
        <v/>
      </c>
      <c r="W106" s="59">
        <f>IF(A106="","",IF(AND(V106=29,O106&lt;&gt;"",COUNTIFS($V$6:$V$505,29,$F$6:$F$505,F106,$C$6:$C$505,C106,$O$6:$O$505,"&lt;&gt;")&gt;1),IF(COUNTIFS($V$6:V106,29,$F$6:F106,F106,$C$6:C106,C106,$O$6:O106,"&lt;&gt;")=1,"Esta es la fila que se debe CONSERVAR (aparición 1 de "&amp;COUNTIFS($V$6:$V$505,29,$F$6:$F$505,F106,$C$6:$C$505,C106,$O$6:$O$505,"&lt;&gt;")&amp;" con el mismo tercero y valor, casilla 29). Si hay más filas iguales, bórreles el valor a ELLAS, no a esta.","DUPLICADO — ya existe otra fila con el mismo tercero y valor para casilla 29 (aparición "&amp;COUNTIFS($V$6:V106,29,$F$6:F106,F106,$C$6:C106,C106,$O$6:O106,"&lt;&gt;")&amp;" de "&amp;COUNTIFS($V$6:$V$505,29,$F$6:$F$505,F106,$C$6:$C$505,C106,$O$6:$O$505,"&lt;&gt;")&amp;"). Para resolverlo: seleccione la celda O"&amp;ROW()&amp;" (columna Valor a declarar de ESTA fila) y presione Supr."),""))</f>
        <v/>
      </c>
      <c r="X106" s="463">
        <f>IF(A106="","",F106)</f>
        <v/>
      </c>
      <c r="Y106" s="463">
        <f>IF(A106="","",SUMIF(Entrada_Manual!$I$88:$I$187,A106,Entrada_Manual!$F$88:$F$187))</f>
        <v/>
      </c>
      <c r="Z106" s="463">
        <f>IF(A106="","",X106-Y106)</f>
        <v/>
      </c>
      <c r="AA106">
        <f>IF(A106="","",SUMPRODUCT((Entrada_Manual!$I$88:$I$187=A106)*1))</f>
        <v/>
      </c>
      <c r="AB106">
        <f>IF(A106="","",IF(S106&lt;=1,"",IF(AA106=0,"PENDIENTE — SIN ASIGNAR",IF(Z106=0,"RESUELTO","PARCIAL — DIFERENCIA "&amp;TEXT(Z106,"#,##0")))))</f>
        <v/>
      </c>
    </row>
    <row r="107" ht="14.25" customHeight="1" s="235">
      <c r="A107" s="47">
        <f>IF(Exogena_RAW!E116&lt;&gt;"",ROW()-5,"")</f>
        <v/>
      </c>
      <c r="B107" s="48">
        <f>IF(A107="","",116)</f>
        <v/>
      </c>
      <c r="C107" s="48">
        <f>IF(A107="","",IFERROR(Exogena_RAW!A116,""))</f>
        <v/>
      </c>
      <c r="D107" s="48">
        <f>IF(A107="","",IFERROR(Exogena_RAW!B116,""))</f>
        <v/>
      </c>
      <c r="E107" s="48">
        <f>IF(A107="","",Exogena_RAW!E116)</f>
        <v/>
      </c>
      <c r="F107" s="461">
        <f>IF(A107="","",Exogena_RAW!F116)</f>
        <v/>
      </c>
      <c r="G107" s="48">
        <f>IF(A107="","",IFERROR(Exogena_RAW!G116,""))</f>
        <v/>
      </c>
      <c r="H107" s="48">
        <f>IF(A107="","",IFERROR(Exogena_RAW!H116,""))</f>
        <v/>
      </c>
      <c r="I107" s="48">
        <f>IF(A107="","",IFERROR(IF(S107&gt;1,"VARIAS CASILLAS",IF(S107=1,IF(T107=1,"PROPUESTA DE CASILLA","REVISIÓN: CASILLA NO DIRECTA"),IF(OR(ISNUMBER(SEARCH("TOPE",UPPER(E107))),ISNUMBER(SEARCH("TOPE",UPPER(G107)))),"SOLO CONTROL",IF(ISNUMBER(SEARCH("RETEN",UPPER(E107))),"RETENCIÓN","REVISAR")))),"REVISAR"))</f>
        <v/>
      </c>
      <c r="J107" s="48">
        <f>IF(A107="","",IF(ISNUMBER(SEARCH("ingreso laboral promedio de los últimos seis meses",E107)),"",IFERROR(IF(AND(S107=1,T107=1),U107,""),"")))</f>
        <v/>
      </c>
      <c r="K107" s="216" t="n"/>
      <c r="L107" s="48">
        <f>IF(A107="","",IFERROR(IF(K107&lt;&gt;"","Casilla elegida por usuario",IF(S107&gt;1,"Varias casillas — elegir en K",IF(J107&lt;&gt;"","Sugerencia directa",IF(S107=1,"No trasladar directo — revisar",IF(OR(ISNUMBER(SEARCH("TOPE",UPPER(E107))),ISNUMBER(SEARCH("TOPE",UPPER(G107)))),"Solo control","Revisar manualmente"))))),"Revisar manualmente"))</f>
        <v/>
      </c>
      <c r="M107" s="461">
        <f>IF(A107="","",IF(IF(K107&lt;&gt;"",K107,J107)="",0,IF(COUNTIFS(Reglas!$I$5:$I$118,IF(K107&lt;&gt;"",K107,J107),Reglas!$J$5:$J$118,"Sí")=1,F107,0)))</f>
        <v/>
      </c>
      <c r="N107" s="56" t="n"/>
      <c r="O107" s="462">
        <f>IF(A107="","",IF(M107=0,"",M107))</f>
        <v/>
      </c>
      <c r="P107" s="461">
        <f>IF(A107="","",IF(O107="",0,IF(ISNUMBER(O107),O107,0)))</f>
        <v/>
      </c>
      <c r="Q107" s="48">
        <f>IF(A107="","",IF(Exogena_RAW!$C$4="","BLOQUEADO: FALTA AÑO",IF(Exogena_RAW!$K$10&lt;&gt;Reglas!$B$5,"BLOQUEADO: AÑO",IF(IF(K107&lt;&gt;"",K107,J107)="",IF(S107&gt;1,"REQUIERE ASIGNACIÓN MANUAL (VARIAS CASILLAS)","INFORMATIVO (sin casilla — no se declara)"),IF(COUNTIFS(Reglas!$I$5:$I$118,IF(K107&lt;&gt;"",K107,J107),Reglas!$J$5:$J$118,"Sí")=0,"BLOQUEADO: CASILLA NO DIRECTA",IF(O107="","EXCLUIDO (valor borrado por el usuario)",IF(_xlfn.ISFORMULA(O107),IF(W107&lt;&gt;"","BORRADOR — VALOR SUGERIDO DIAN ⚠ VER ALERTA","BORRADOR — VALOR SUGERIDO DIAN"),IF(W107&lt;&gt;"","ACEPTADO ⚠ VER ALERTA","ACEPTADO"))))))))</f>
        <v/>
      </c>
      <c r="R107" s="218" t="n"/>
      <c r="S107" s="58">
        <f>IF(A107="","",IFERROR(--ISNUMBER(SEARCH("R28",G107)),0)+IFERROR(--ISNUMBER(SEARCH("R29",G107)),0)+IFERROR(--ISNUMBER(SEARCH("R30",G107)),0)+IFERROR(--ISNUMBER(SEARCH("R31",G107)),0)+IFERROR(--ISNUMBER(SEARCH("R32",G107)),0)+IFERROR(--ISNUMBER(SEARCH("R33",G107)),0)+IFERROR(--ISNUMBER(SEARCH("R34",G107)),0)+IFERROR(--ISNUMBER(SEARCH("R35",G107)),0)+IFERROR(--ISNUMBER(SEARCH("R36",G107)),0)+IFERROR(--ISNUMBER(SEARCH("R37",G107)),0)+IFERROR(--ISNUMBER(SEARCH("R38",G107)),0)+IFERROR(--ISNUMBER(SEARCH("R39",G107)),0)+IFERROR(--ISNUMBER(SEARCH("R40",G107)),0)+IFERROR(--ISNUMBER(SEARCH("R41",G107)),0)+IFERROR(--ISNUMBER(SEARCH("R42",G107)),0)+IFERROR(--ISNUMBER(SEARCH("R43",G107)),0)+IFERROR(--ISNUMBER(SEARCH("R44",G107)),0)+IFERROR(--ISNUMBER(SEARCH("R45",G107)),0)+IFERROR(--ISNUMBER(SEARCH("R46",G107)),0)+IFERROR(--ISNUMBER(SEARCH("R47",G107)),0)+IFERROR(--ISNUMBER(SEARCH("R48",G107)),0)+IFERROR(--ISNUMBER(SEARCH("R49",G107)),0)+IFERROR(--ISNUMBER(SEARCH("R50",G107)),0)+IFERROR(--ISNUMBER(SEARCH("R51",G107)),0)+IFERROR(--ISNUMBER(SEARCH("R52",G107)),0)+IFERROR(--ISNUMBER(SEARCH("R53",G107)),0)+IFERROR(--ISNUMBER(SEARCH("R54",G107)),0)+IFERROR(--ISNUMBER(SEARCH("R55",G107)),0)+IFERROR(--ISNUMBER(SEARCH("R56",G107)),0)+IFERROR(--ISNUMBER(SEARCH("R57",G107)),0)+IFERROR(--ISNUMBER(SEARCH("R58",G107)),0)+IFERROR(--ISNUMBER(SEARCH("R59",G107)),0)+IFERROR(--ISNUMBER(SEARCH("R60",G107)),0)+IFERROR(--ISNUMBER(SEARCH("R61",G107)),0)+IFERROR(--ISNUMBER(SEARCH("R62",G107)),0)+IFERROR(--ISNUMBER(SEARCH("R63",G107)),0)+IFERROR(--ISNUMBER(SEARCH("R64",G107)),0)+IFERROR(--ISNUMBER(SEARCH("R65",G107)),0)+IFERROR(--ISNUMBER(SEARCH("R66",G107)),0)+IFERROR(--ISNUMBER(SEARCH("R67",G107)),0)+IFERROR(--ISNUMBER(SEARCH("R68",G107)),0)+IFERROR(--ISNUMBER(SEARCH("R69",G107)),0)+IFERROR(--ISNUMBER(SEARCH("R70",G107)),0)+IFERROR(--ISNUMBER(SEARCH("R71",G107)),0)+IFERROR(--ISNUMBER(SEARCH("R72",G107)),0)+IFERROR(--ISNUMBER(SEARCH("R73",G107)),0)+IFERROR(--ISNUMBER(SEARCH("R74",G107)),0)+IFERROR(--ISNUMBER(SEARCH("R75",G107)),0)+IFERROR(--ISNUMBER(SEARCH("R76",G107)),0)+IFERROR(--ISNUMBER(SEARCH("R77",G107)),0)+IFERROR(--ISNUMBER(SEARCH("R78",G107)),0)+IFERROR(--ISNUMBER(SEARCH("R79",G107)),0)+IFERROR(--ISNUMBER(SEARCH("R80",G107)),0)+IFERROR(--ISNUMBER(SEARCH("R81",G107)),0)+IFERROR(--ISNUMBER(SEARCH("R82",G107)),0)+IFERROR(--ISNUMBER(SEARCH("R83",G107)),0)+IFERROR(--ISNUMBER(SEARCH("R84",G107)),0)+IFERROR(--ISNUMBER(SEARCH("R85",G107)),0)+IFERROR(--ISNUMBER(SEARCH("R86",G107)),0)+IFERROR(--ISNUMBER(SEARCH("R87",G107)),0)+IFERROR(--ISNUMBER(SEARCH("R88",G107)),0)+IFERROR(--ISNUMBER(SEARCH("R89",G107)),0)+IFERROR(--ISNUMBER(SEARCH("R90",G107)),0)+IFERROR(--ISNUMBER(SEARCH("R91",G107)),0)+IFERROR(--ISNUMBER(SEARCH("R92",G107)),0)+IFERROR(--ISNUMBER(SEARCH("R93",G107)),0)+IFERROR(--ISNUMBER(SEARCH("R94",G107)),0)+IFERROR(--ISNUMBER(SEARCH("R95",G107)),0)+IFERROR(--ISNUMBER(SEARCH("R96",G107)),0)+IFERROR(--ISNUMBER(SEARCH("R97",G107)),0)+IFERROR(--ISNUMBER(SEARCH("R98",G107)),0)+IFERROR(--ISNUMBER(SEARCH("R99",G107)),0)+IFERROR(--ISNUMBER(SEARCH("R100",G107)),0)+IFERROR(--ISNUMBER(SEARCH("R101",G107)),0)+IFERROR(--ISNUMBER(SEARCH("R102",G107)),0)+IFERROR(--ISNUMBER(SEARCH("R103",G107)),0)+IFERROR(--ISNUMBER(SEARCH("R104",G107)),0)+IFERROR(--ISNUMBER(SEARCH("R105",G107)),0)+IFERROR(--ISNUMBER(SEARCH("R106",G107)),0)+IFERROR(--ISNUMBER(SEARCH("R107",G107)),0)+IFERROR(--ISNUMBER(SEARCH("R108",G107)),0)+IFERROR(--ISNUMBER(SEARCH("R109",G107)),0)+IFERROR(--ISNUMBER(SEARCH("R110",G107)),0)+IFERROR(--ISNUMBER(SEARCH("R111",G107)),0)+IFERROR(--ISNUMBER(SEARCH("R112",G107)),0)+IFERROR(--ISNUMBER(SEARCH("R113",G107)),0)+IFERROR(--ISNUMBER(SEARCH("R114",G107)),0)+IFERROR(--ISNUMBER(SEARCH("R115",G107)),0)+IFERROR(--ISNUMBER(SEARCH("R116",G107)),0)+IFERROR(--ISNUMBER(SEARCH("R117",G107)),0)+IFERROR(--ISNUMBER(SEARCH("R118",G107)),0)+IFERROR(--ISNUMBER(SEARCH("R119",G107)),0)+IFERROR(--ISNUMBER(SEARCH("R120",G107)),0)+IFERROR(--ISNUMBER(SEARCH("R121",G107)),0)+IFERROR(--ISNUMBER(SEARCH("R122",G107)),0)+IFERROR(--ISNUMBER(SEARCH("R123",G107)),0)+IFERROR(--ISNUMBER(SEARCH("R124",G107)),0)+IFERROR(--ISNUMBER(SEARCH("R125",G107)),0)+IFERROR(--ISNUMBER(SEARCH("R126",G107)),0)+IFERROR(--ISNUMBER(SEARCH("R127",G107)),0)+IFERROR(--ISNUMBER(SEARCH("R128",G107)),0)+IFERROR(--ISNUMBER(SEARCH("R129",G107)),0)+IFERROR(--ISNUMBER(SEARCH("R130",G107)),0)+IFERROR(--ISNUMBER(SEARCH("R131",G107)),0)+IFERROR(--ISNUMBER(SEARCH("R132",G107)),0)+IFERROR(--ISNUMBER(SEARCH("R133",G107)),0)+IFERROR(--ISNUMBER(SEARCH("R134",G107)),0)+IFERROR(--ISNUMBER(SEARCH("R135",G107)),0)+IFERROR(--ISNUMBER(SEARCH("R136",G107)),0)+IFERROR(--ISNUMBER(SEARCH("R137",G107)),0)+IFERROR(--ISNUMBER(SEARCH("R138",G107)),0)+IFERROR(--ISNUMBER(SEARCH("R139",G107)),0)+IFERROR(--ISNUMBER(SEARCH("R140",G107)),0)+IFERROR(--ISNUMBER(SEARCH("R141",G107)),0))</f>
        <v/>
      </c>
      <c r="T107" s="58">
        <f>IF(A107="","",IFERROR(--ISNUMBER(SEARCH("R28",G107)),0)+IFERROR(--ISNUMBER(SEARCH("R29",G107)),0)+IFERROR(--ISNUMBER(SEARCH("R30",G107)),0)+IFERROR(--ISNUMBER(SEARCH("R32",G107)),0)+IFERROR(--ISNUMBER(SEARCH("R33",G107)),0)+IFERROR(--ISNUMBER(SEARCH("R35",G107)),0)+IFERROR(--ISNUMBER(SEARCH("R36",G107)),0)+IFERROR(--ISNUMBER(SEARCH("R38",G107)),0)+IFERROR(--ISNUMBER(SEARCH("R39",G107)),0)+IFERROR(--ISNUMBER(SEARCH("R43",G107)),0)+IFERROR(--ISNUMBER(SEARCH("R44",G107)),0)+IFERROR(--ISNUMBER(SEARCH("R45",G107)),0)+IFERROR(--ISNUMBER(SEARCH("R47",G107)),0)+IFERROR(--ISNUMBER(SEARCH("R48",G107)),0)+IFERROR(--ISNUMBER(SEARCH("R50",G107)),0)+IFERROR(--ISNUMBER(SEARCH("R51",G107)),0)+IFERROR(--ISNUMBER(SEARCH("R56",G107)),0)+IFERROR(--ISNUMBER(SEARCH("R58",G107)),0)+IFERROR(--ISNUMBER(SEARCH("R59",G107)),0)+IFERROR(--ISNUMBER(SEARCH("R60",G107)),0)+IFERROR(--ISNUMBER(SEARCH("R62",G107)),0)+IFERROR(--ISNUMBER(SEARCH("R63",G107)),0)+IFERROR(--ISNUMBER(SEARCH("R64",G107)),0)+IFERROR(--ISNUMBER(SEARCH("R66",G107)),0)+IFERROR(--ISNUMBER(SEARCH("R67",G107)),0)+IFERROR(--ISNUMBER(SEARCH("R72",G107)),0)+IFERROR(--ISNUMBER(SEARCH("R74",G107)),0)+IFERROR(--ISNUMBER(SEARCH("R75",G107)),0)+IFERROR(--ISNUMBER(SEARCH("R76",G107)),0)+IFERROR(--ISNUMBER(SEARCH("R77",G107)),0)+IFERROR(--ISNUMBER(SEARCH("R79",G107)),0)+IFERROR(--ISNUMBER(SEARCH("R80",G107)),0)+IFERROR(--ISNUMBER(SEARCH("R81",G107)),0)+IFERROR(--ISNUMBER(SEARCH("R83",G107)),0)+IFERROR(--ISNUMBER(SEARCH("R84",G107)),0)+IFERROR(--ISNUMBER(SEARCH("R89",G107)),0)+IFERROR(--ISNUMBER(SEARCH("R94",G107)),0)+IFERROR(--ISNUMBER(SEARCH("R95",G107)),0)+IFERROR(--ISNUMBER(SEARCH("R96",G107)),0)+IFERROR(--ISNUMBER(SEARCH("R98",G107)),0)+IFERROR(--ISNUMBER(SEARCH("R99",G107)),0)+IFERROR(--ISNUMBER(SEARCH("R100",G107)),0)+IFERROR(--ISNUMBER(SEARCH("R104",G107)),0)+IFERROR(--ISNUMBER(SEARCH("R105",G107)),0)+IFERROR(--ISNUMBER(SEARCH("R107",G107)),0)+IFERROR(--ISNUMBER(SEARCH("R108",G107)),0)+IFERROR(--ISNUMBER(SEARCH("R109",G107)),0)+IFERROR(--ISNUMBER(SEARCH("R110",G107)),0)+IFERROR(--ISNUMBER(SEARCH("R112",G107)),0)+IFERROR(--ISNUMBER(SEARCH("R113",G107)),0)+IFERROR(--ISNUMBER(SEARCH("R114",G107)),0)+IFERROR(--ISNUMBER(SEARCH("R118",G107)),0)+IFERROR(--ISNUMBER(SEARCH("R119",G107)),0)+IFERROR(--ISNUMBER(SEARCH("R120",G107)),0)+IFERROR(--ISNUMBER(SEARCH("R122",G107)),0)+IFERROR(--ISNUMBER(SEARCH("R123",G107)),0)+IFERROR(--ISNUMBER(SEARCH("R124",G107)),0)+IFERROR(--ISNUMBER(SEARCH("R128",G107)),0)+IFERROR(--ISNUMBER(SEARCH("R130",G107)),0)+IFERROR(--ISNUMBER(SEARCH("R131",G107)),0)+IFERROR(--ISNUMBER(SEARCH("R132",G107)),0)+IFERROR(--ISNUMBER(SEARCH("R135",G107)),0)+IFERROR(--ISNUMBER(SEARCH("R138",G107)),0)+IFERROR(--ISNUMBER(SEARCH("R141",G107)),0))</f>
        <v/>
      </c>
      <c r="U107" s="58">
        <f>IF(A107="","",IFERROR(--ISNUMBER(SEARCH("R28",G107))*28,0)+IFERROR(--ISNUMBER(SEARCH("R29",G107))*29,0)+IFERROR(--ISNUMBER(SEARCH("R30",G107))*30,0)+IFERROR(--ISNUMBER(SEARCH("R31",G107))*31,0)+IFERROR(--ISNUMBER(SEARCH("R32",G107))*32,0)+IFERROR(--ISNUMBER(SEARCH("R33",G107))*33,0)+IFERROR(--ISNUMBER(SEARCH("R34",G107))*34,0)+IFERROR(--ISNUMBER(SEARCH("R35",G107))*35,0)+IFERROR(--ISNUMBER(SEARCH("R36",G107))*36,0)+IFERROR(--ISNUMBER(SEARCH("R37",G107))*37,0)+IFERROR(--ISNUMBER(SEARCH("R38",G107))*38,0)+IFERROR(--ISNUMBER(SEARCH("R39",G107))*39,0)+IFERROR(--ISNUMBER(SEARCH("R40",G107))*40,0)+IFERROR(--ISNUMBER(SEARCH("R41",G107))*41,0)+IFERROR(--ISNUMBER(SEARCH("R42",G107))*42,0)+IFERROR(--ISNUMBER(SEARCH("R43",G107))*43,0)+IFERROR(--ISNUMBER(SEARCH("R44",G107))*44,0)+IFERROR(--ISNUMBER(SEARCH("R45",G107))*45,0)+IFERROR(--ISNUMBER(SEARCH("R46",G107))*46,0)+IFERROR(--ISNUMBER(SEARCH("R47",G107))*47,0)+IFERROR(--ISNUMBER(SEARCH("R48",G107))*48,0)+IFERROR(--ISNUMBER(SEARCH("R49",G107))*49,0)+IFERROR(--ISNUMBER(SEARCH("R50",G107))*50,0)+IFERROR(--ISNUMBER(SEARCH("R51",G107))*51,0)+IFERROR(--ISNUMBER(SEARCH("R52",G107))*52,0)+IFERROR(--ISNUMBER(SEARCH("R53",G107))*53,0)+IFERROR(--ISNUMBER(SEARCH("R54",G107))*54,0)+IFERROR(--ISNUMBER(SEARCH("R55",G107))*55,0)+IFERROR(--ISNUMBER(SEARCH("R56",G107))*56,0)+IFERROR(--ISNUMBER(SEARCH("R57",G107))*57,0)+IFERROR(--ISNUMBER(SEARCH("R58",G107))*58,0)+IFERROR(--ISNUMBER(SEARCH("R59",G107))*59,0)+IFERROR(--ISNUMBER(SEARCH("R60",G107))*60,0)+IFERROR(--ISNUMBER(SEARCH("R61",G107))*61,0)+IFERROR(--ISNUMBER(SEARCH("R62",G107))*62,0)+IFERROR(--ISNUMBER(SEARCH("R63",G107))*63,0)+IFERROR(--ISNUMBER(SEARCH("R64",G107))*64,0)+IFERROR(--ISNUMBER(SEARCH("R65",G107))*65,0)+IFERROR(--ISNUMBER(SEARCH("R66",G107))*66,0)+IFERROR(--ISNUMBER(SEARCH("R67",G107))*67,0)+IFERROR(--ISNUMBER(SEARCH("R68",G107))*68,0)+IFERROR(--ISNUMBER(SEARCH("R69",G107))*69,0)+IFERROR(--ISNUMBER(SEARCH("R70",G107))*70,0)+IFERROR(--ISNUMBER(SEARCH("R71",G107))*71,0)+IFERROR(--ISNUMBER(SEARCH("R72",G107))*72,0)+IFERROR(--ISNUMBER(SEARCH("R73",G107))*73,0)+IFERROR(--ISNUMBER(SEARCH("R74",G107))*74,0)+IFERROR(--ISNUMBER(SEARCH("R75",G107))*75,0)+IFERROR(--ISNUMBER(SEARCH("R76",G107))*76,0)+IFERROR(--ISNUMBER(SEARCH("R77",G107))*77,0)+IFERROR(--ISNUMBER(SEARCH("R78",G107))*78,0)+IFERROR(--ISNUMBER(SEARCH("R79",G107))*79,0)+IFERROR(--ISNUMBER(SEARCH("R80",G107))*80,0)+IFERROR(--ISNUMBER(SEARCH("R81",G107))*81,0)+IFERROR(--ISNUMBER(SEARCH("R82",G107))*82,0)+IFERROR(--ISNUMBER(SEARCH("R83",G107))*83,0)+IFERROR(--ISNUMBER(SEARCH("R84",G107))*84,0)+IFERROR(--ISNUMBER(SEARCH("R85",G107))*85,0)+IFERROR(--ISNUMBER(SEARCH("R86",G107))*86,0)+IFERROR(--ISNUMBER(SEARCH("R87",G107))*87,0)+IFERROR(--ISNUMBER(SEARCH("R88",G107))*88,0)+IFERROR(--ISNUMBER(SEARCH("R89",G107))*89,0)+IFERROR(--ISNUMBER(SEARCH("R90",G107))*90,0)+IFERROR(--ISNUMBER(SEARCH("R91",G107))*91,0)+IFERROR(--ISNUMBER(SEARCH("R92",G107))*92,0)+IFERROR(--ISNUMBER(SEARCH("R93",G107))*93,0)+IFERROR(--ISNUMBER(SEARCH("R94",G107))*94,0)+IFERROR(--ISNUMBER(SEARCH("R95",G107))*95,0)+IFERROR(--ISNUMBER(SEARCH("R96",G107))*96,0)+IFERROR(--ISNUMBER(SEARCH("R97",G107))*97,0)+IFERROR(--ISNUMBER(SEARCH("R98",G107))*98,0)+IFERROR(--ISNUMBER(SEARCH("R99",G107))*99,0)+IFERROR(--ISNUMBER(SEARCH("R100",G107))*100,0)+IFERROR(--ISNUMBER(SEARCH("R101",G107))*101,0)+IFERROR(--ISNUMBER(SEARCH("R102",G107))*102,0)+IFERROR(--ISNUMBER(SEARCH("R103",G107))*103,0)+IFERROR(--ISNUMBER(SEARCH("R104",G107))*104,0)+IFERROR(--ISNUMBER(SEARCH("R105",G107))*105,0)+IFERROR(--ISNUMBER(SEARCH("R106",G107))*106,0)+IFERROR(--ISNUMBER(SEARCH("R107",G107))*107,0)+IFERROR(--ISNUMBER(SEARCH("R108",G107))*108,0)+IFERROR(--ISNUMBER(SEARCH("R109",G107))*109,0)+IFERROR(--ISNUMBER(SEARCH("R110",G107))*110,0)+IFERROR(--ISNUMBER(SEARCH("R111",G107))*111,0)+IFERROR(--ISNUMBER(SEARCH("R112",G107))*112,0)+IFERROR(--ISNUMBER(SEARCH("R113",G107))*113,0)+IFERROR(--ISNUMBER(SEARCH("R114",G107))*114,0)+IFERROR(--ISNUMBER(SEARCH("R115",G107))*115,0)+IFERROR(--ISNUMBER(SEARCH("R116",G107))*116,0)+IFERROR(--ISNUMBER(SEARCH("R117",G107))*117,0)+IFERROR(--ISNUMBER(SEARCH("R118",G107))*118,0)+IFERROR(--ISNUMBER(SEARCH("R119",G107))*119,0)+IFERROR(--ISNUMBER(SEARCH("R120",G107))*120,0)+IFERROR(--ISNUMBER(SEARCH("R121",G107))*121,0)+IFERROR(--ISNUMBER(SEARCH("R122",G107))*122,0)+IFERROR(--ISNUMBER(SEARCH("R123",G107))*123,0)+IFERROR(--ISNUMBER(SEARCH("R124",G107))*124,0)+IFERROR(--ISNUMBER(SEARCH("R125",G107))*125,0)+IFERROR(--ISNUMBER(SEARCH("R126",G107))*126,0)+IFERROR(--ISNUMBER(SEARCH("R127",G107))*127,0)+IFERROR(--ISNUMBER(SEARCH("R128",G107))*128,0)+IFERROR(--ISNUMBER(SEARCH("R129",G107))*129,0)+IFERROR(--ISNUMBER(SEARCH("R130",G107))*130,0)+IFERROR(--ISNUMBER(SEARCH("R131",G107))*131,0)+IFERROR(--ISNUMBER(SEARCH("R132",G107))*132,0)+IFERROR(--ISNUMBER(SEARCH("R133",G107))*133,0)+IFERROR(--ISNUMBER(SEARCH("R134",G107))*134,0)+IFERROR(--ISNUMBER(SEARCH("R135",G107))*135,0)+IFERROR(--ISNUMBER(SEARCH("R136",G107))*136,0)+IFERROR(--ISNUMBER(SEARCH("R137",G107))*137,0)+IFERROR(--ISNUMBER(SEARCH("R138",G107))*138,0)+IFERROR(--ISNUMBER(SEARCH("R139",G107))*139,0)+IFERROR(--ISNUMBER(SEARCH("R140",G107))*140,0)+IFERROR(--ISNUMBER(SEARCH("R141",G107))*141,0))</f>
        <v/>
      </c>
      <c r="V107" s="59">
        <f>IF(A107="","",IF(K107&lt;&gt;"",K107,J107))</f>
        <v/>
      </c>
      <c r="W107" s="59">
        <f>IF(A107="","",IF(AND(V107=29,O107&lt;&gt;"",COUNTIFS($V$6:$V$505,29,$F$6:$F$505,F107,$C$6:$C$505,C107,$O$6:$O$505,"&lt;&gt;")&gt;1),IF(COUNTIFS($V$6:V107,29,$F$6:F107,F107,$C$6:C107,C107,$O$6:O107,"&lt;&gt;")=1,"Esta es la fila que se debe CONSERVAR (aparición 1 de "&amp;COUNTIFS($V$6:$V$505,29,$F$6:$F$505,F107,$C$6:$C$505,C107,$O$6:$O$505,"&lt;&gt;")&amp;" con el mismo tercero y valor, casilla 29). Si hay más filas iguales, bórreles el valor a ELLAS, no a esta.","DUPLICADO — ya existe otra fila con el mismo tercero y valor para casilla 29 (aparición "&amp;COUNTIFS($V$6:V107,29,$F$6:F107,F107,$C$6:C107,C107,$O$6:O107,"&lt;&gt;")&amp;" de "&amp;COUNTIFS($V$6:$V$505,29,$F$6:$F$505,F107,$C$6:$C$505,C107,$O$6:$O$505,"&lt;&gt;")&amp;"). Para resolverlo: seleccione la celda O"&amp;ROW()&amp;" (columna Valor a declarar de ESTA fila) y presione Supr."),""))</f>
        <v/>
      </c>
      <c r="X107" s="463">
        <f>IF(A107="","",F107)</f>
        <v/>
      </c>
      <c r="Y107" s="463">
        <f>IF(A107="","",SUMIF(Entrada_Manual!$I$88:$I$187,A107,Entrada_Manual!$F$88:$F$187))</f>
        <v/>
      </c>
      <c r="Z107" s="463">
        <f>IF(A107="","",X107-Y107)</f>
        <v/>
      </c>
      <c r="AA107">
        <f>IF(A107="","",SUMPRODUCT((Entrada_Manual!$I$88:$I$187=A107)*1))</f>
        <v/>
      </c>
      <c r="AB107">
        <f>IF(A107="","",IF(S107&lt;=1,"",IF(AA107=0,"PENDIENTE — SIN ASIGNAR",IF(Z107=0,"RESUELTO","PARCIAL — DIFERENCIA "&amp;TEXT(Z107,"#,##0")))))</f>
        <v/>
      </c>
    </row>
    <row r="108" ht="14.25" customHeight="1" s="235">
      <c r="A108" s="47">
        <f>IF(Exogena_RAW!E117&lt;&gt;"",ROW()-5,"")</f>
        <v/>
      </c>
      <c r="B108" s="48">
        <f>IF(A108="","",117)</f>
        <v/>
      </c>
      <c r="C108" s="48">
        <f>IF(A108="","",IFERROR(Exogena_RAW!A117,""))</f>
        <v/>
      </c>
      <c r="D108" s="48">
        <f>IF(A108="","",IFERROR(Exogena_RAW!B117,""))</f>
        <v/>
      </c>
      <c r="E108" s="48">
        <f>IF(A108="","",Exogena_RAW!E117)</f>
        <v/>
      </c>
      <c r="F108" s="461">
        <f>IF(A108="","",Exogena_RAW!F117)</f>
        <v/>
      </c>
      <c r="G108" s="48">
        <f>IF(A108="","",IFERROR(Exogena_RAW!G117,""))</f>
        <v/>
      </c>
      <c r="H108" s="48">
        <f>IF(A108="","",IFERROR(Exogena_RAW!H117,""))</f>
        <v/>
      </c>
      <c r="I108" s="48">
        <f>IF(A108="","",IFERROR(IF(S108&gt;1,"VARIAS CASILLAS",IF(S108=1,IF(T108=1,"PROPUESTA DE CASILLA","REVISIÓN: CASILLA NO DIRECTA"),IF(OR(ISNUMBER(SEARCH("TOPE",UPPER(E108))),ISNUMBER(SEARCH("TOPE",UPPER(G108)))),"SOLO CONTROL",IF(ISNUMBER(SEARCH("RETEN",UPPER(E108))),"RETENCIÓN","REVISAR")))),"REVISAR"))</f>
        <v/>
      </c>
      <c r="J108" s="48">
        <f>IF(A108="","",IF(ISNUMBER(SEARCH("ingreso laboral promedio de los últimos seis meses",E108)),"",IFERROR(IF(AND(S108=1,T108=1),U108,""),"")))</f>
        <v/>
      </c>
      <c r="K108" s="216" t="n"/>
      <c r="L108" s="48">
        <f>IF(A108="","",IFERROR(IF(K108&lt;&gt;"","Casilla elegida por usuario",IF(S108&gt;1,"Varias casillas — elegir en K",IF(J108&lt;&gt;"","Sugerencia directa",IF(S108=1,"No trasladar directo — revisar",IF(OR(ISNUMBER(SEARCH("TOPE",UPPER(E108))),ISNUMBER(SEARCH("TOPE",UPPER(G108)))),"Solo control","Revisar manualmente"))))),"Revisar manualmente"))</f>
        <v/>
      </c>
      <c r="M108" s="461">
        <f>IF(A108="","",IF(IF(K108&lt;&gt;"",K108,J108)="",0,IF(COUNTIFS(Reglas!$I$5:$I$118,IF(K108&lt;&gt;"",K108,J108),Reglas!$J$5:$J$118,"Sí")=1,F108,0)))</f>
        <v/>
      </c>
      <c r="N108" s="56" t="n"/>
      <c r="O108" s="462">
        <f>IF(A108="","",IF(M108=0,"",M108))</f>
        <v/>
      </c>
      <c r="P108" s="461">
        <f>IF(A108="","",IF(O108="",0,IF(ISNUMBER(O108),O108,0)))</f>
        <v/>
      </c>
      <c r="Q108" s="48">
        <f>IF(A108="","",IF(Exogena_RAW!$C$4="","BLOQUEADO: FALTA AÑO",IF(Exogena_RAW!$K$10&lt;&gt;Reglas!$B$5,"BLOQUEADO: AÑO",IF(IF(K108&lt;&gt;"",K108,J108)="",IF(S108&gt;1,"REQUIERE ASIGNACIÓN MANUAL (VARIAS CASILLAS)","INFORMATIVO (sin casilla — no se declara)"),IF(COUNTIFS(Reglas!$I$5:$I$118,IF(K108&lt;&gt;"",K108,J108),Reglas!$J$5:$J$118,"Sí")=0,"BLOQUEADO: CASILLA NO DIRECTA",IF(O108="","EXCLUIDO (valor borrado por el usuario)",IF(_xlfn.ISFORMULA(O108),IF(W108&lt;&gt;"","BORRADOR — VALOR SUGERIDO DIAN ⚠ VER ALERTA","BORRADOR — VALOR SUGERIDO DIAN"),IF(W108&lt;&gt;"","ACEPTADO ⚠ VER ALERTA","ACEPTADO"))))))))</f>
        <v/>
      </c>
      <c r="R108" s="218" t="n"/>
      <c r="S108" s="58">
        <f>IF(A108="","",IFERROR(--ISNUMBER(SEARCH("R28",G108)),0)+IFERROR(--ISNUMBER(SEARCH("R29",G108)),0)+IFERROR(--ISNUMBER(SEARCH("R30",G108)),0)+IFERROR(--ISNUMBER(SEARCH("R31",G108)),0)+IFERROR(--ISNUMBER(SEARCH("R32",G108)),0)+IFERROR(--ISNUMBER(SEARCH("R33",G108)),0)+IFERROR(--ISNUMBER(SEARCH("R34",G108)),0)+IFERROR(--ISNUMBER(SEARCH("R35",G108)),0)+IFERROR(--ISNUMBER(SEARCH("R36",G108)),0)+IFERROR(--ISNUMBER(SEARCH("R37",G108)),0)+IFERROR(--ISNUMBER(SEARCH("R38",G108)),0)+IFERROR(--ISNUMBER(SEARCH("R39",G108)),0)+IFERROR(--ISNUMBER(SEARCH("R40",G108)),0)+IFERROR(--ISNUMBER(SEARCH("R41",G108)),0)+IFERROR(--ISNUMBER(SEARCH("R42",G108)),0)+IFERROR(--ISNUMBER(SEARCH("R43",G108)),0)+IFERROR(--ISNUMBER(SEARCH("R44",G108)),0)+IFERROR(--ISNUMBER(SEARCH("R45",G108)),0)+IFERROR(--ISNUMBER(SEARCH("R46",G108)),0)+IFERROR(--ISNUMBER(SEARCH("R47",G108)),0)+IFERROR(--ISNUMBER(SEARCH("R48",G108)),0)+IFERROR(--ISNUMBER(SEARCH("R49",G108)),0)+IFERROR(--ISNUMBER(SEARCH("R50",G108)),0)+IFERROR(--ISNUMBER(SEARCH("R51",G108)),0)+IFERROR(--ISNUMBER(SEARCH("R52",G108)),0)+IFERROR(--ISNUMBER(SEARCH("R53",G108)),0)+IFERROR(--ISNUMBER(SEARCH("R54",G108)),0)+IFERROR(--ISNUMBER(SEARCH("R55",G108)),0)+IFERROR(--ISNUMBER(SEARCH("R56",G108)),0)+IFERROR(--ISNUMBER(SEARCH("R57",G108)),0)+IFERROR(--ISNUMBER(SEARCH("R58",G108)),0)+IFERROR(--ISNUMBER(SEARCH("R59",G108)),0)+IFERROR(--ISNUMBER(SEARCH("R60",G108)),0)+IFERROR(--ISNUMBER(SEARCH("R61",G108)),0)+IFERROR(--ISNUMBER(SEARCH("R62",G108)),0)+IFERROR(--ISNUMBER(SEARCH("R63",G108)),0)+IFERROR(--ISNUMBER(SEARCH("R64",G108)),0)+IFERROR(--ISNUMBER(SEARCH("R65",G108)),0)+IFERROR(--ISNUMBER(SEARCH("R66",G108)),0)+IFERROR(--ISNUMBER(SEARCH("R67",G108)),0)+IFERROR(--ISNUMBER(SEARCH("R68",G108)),0)+IFERROR(--ISNUMBER(SEARCH("R69",G108)),0)+IFERROR(--ISNUMBER(SEARCH("R70",G108)),0)+IFERROR(--ISNUMBER(SEARCH("R71",G108)),0)+IFERROR(--ISNUMBER(SEARCH("R72",G108)),0)+IFERROR(--ISNUMBER(SEARCH("R73",G108)),0)+IFERROR(--ISNUMBER(SEARCH("R74",G108)),0)+IFERROR(--ISNUMBER(SEARCH("R75",G108)),0)+IFERROR(--ISNUMBER(SEARCH("R76",G108)),0)+IFERROR(--ISNUMBER(SEARCH("R77",G108)),0)+IFERROR(--ISNUMBER(SEARCH("R78",G108)),0)+IFERROR(--ISNUMBER(SEARCH("R79",G108)),0)+IFERROR(--ISNUMBER(SEARCH("R80",G108)),0)+IFERROR(--ISNUMBER(SEARCH("R81",G108)),0)+IFERROR(--ISNUMBER(SEARCH("R82",G108)),0)+IFERROR(--ISNUMBER(SEARCH("R83",G108)),0)+IFERROR(--ISNUMBER(SEARCH("R84",G108)),0)+IFERROR(--ISNUMBER(SEARCH("R85",G108)),0)+IFERROR(--ISNUMBER(SEARCH("R86",G108)),0)+IFERROR(--ISNUMBER(SEARCH("R87",G108)),0)+IFERROR(--ISNUMBER(SEARCH("R88",G108)),0)+IFERROR(--ISNUMBER(SEARCH("R89",G108)),0)+IFERROR(--ISNUMBER(SEARCH("R90",G108)),0)+IFERROR(--ISNUMBER(SEARCH("R91",G108)),0)+IFERROR(--ISNUMBER(SEARCH("R92",G108)),0)+IFERROR(--ISNUMBER(SEARCH("R93",G108)),0)+IFERROR(--ISNUMBER(SEARCH("R94",G108)),0)+IFERROR(--ISNUMBER(SEARCH("R95",G108)),0)+IFERROR(--ISNUMBER(SEARCH("R96",G108)),0)+IFERROR(--ISNUMBER(SEARCH("R97",G108)),0)+IFERROR(--ISNUMBER(SEARCH("R98",G108)),0)+IFERROR(--ISNUMBER(SEARCH("R99",G108)),0)+IFERROR(--ISNUMBER(SEARCH("R100",G108)),0)+IFERROR(--ISNUMBER(SEARCH("R101",G108)),0)+IFERROR(--ISNUMBER(SEARCH("R102",G108)),0)+IFERROR(--ISNUMBER(SEARCH("R103",G108)),0)+IFERROR(--ISNUMBER(SEARCH("R104",G108)),0)+IFERROR(--ISNUMBER(SEARCH("R105",G108)),0)+IFERROR(--ISNUMBER(SEARCH("R106",G108)),0)+IFERROR(--ISNUMBER(SEARCH("R107",G108)),0)+IFERROR(--ISNUMBER(SEARCH("R108",G108)),0)+IFERROR(--ISNUMBER(SEARCH("R109",G108)),0)+IFERROR(--ISNUMBER(SEARCH("R110",G108)),0)+IFERROR(--ISNUMBER(SEARCH("R111",G108)),0)+IFERROR(--ISNUMBER(SEARCH("R112",G108)),0)+IFERROR(--ISNUMBER(SEARCH("R113",G108)),0)+IFERROR(--ISNUMBER(SEARCH("R114",G108)),0)+IFERROR(--ISNUMBER(SEARCH("R115",G108)),0)+IFERROR(--ISNUMBER(SEARCH("R116",G108)),0)+IFERROR(--ISNUMBER(SEARCH("R117",G108)),0)+IFERROR(--ISNUMBER(SEARCH("R118",G108)),0)+IFERROR(--ISNUMBER(SEARCH("R119",G108)),0)+IFERROR(--ISNUMBER(SEARCH("R120",G108)),0)+IFERROR(--ISNUMBER(SEARCH("R121",G108)),0)+IFERROR(--ISNUMBER(SEARCH("R122",G108)),0)+IFERROR(--ISNUMBER(SEARCH("R123",G108)),0)+IFERROR(--ISNUMBER(SEARCH("R124",G108)),0)+IFERROR(--ISNUMBER(SEARCH("R125",G108)),0)+IFERROR(--ISNUMBER(SEARCH("R126",G108)),0)+IFERROR(--ISNUMBER(SEARCH("R127",G108)),0)+IFERROR(--ISNUMBER(SEARCH("R128",G108)),0)+IFERROR(--ISNUMBER(SEARCH("R129",G108)),0)+IFERROR(--ISNUMBER(SEARCH("R130",G108)),0)+IFERROR(--ISNUMBER(SEARCH("R131",G108)),0)+IFERROR(--ISNUMBER(SEARCH("R132",G108)),0)+IFERROR(--ISNUMBER(SEARCH("R133",G108)),0)+IFERROR(--ISNUMBER(SEARCH("R134",G108)),0)+IFERROR(--ISNUMBER(SEARCH("R135",G108)),0)+IFERROR(--ISNUMBER(SEARCH("R136",G108)),0)+IFERROR(--ISNUMBER(SEARCH("R137",G108)),0)+IFERROR(--ISNUMBER(SEARCH("R138",G108)),0)+IFERROR(--ISNUMBER(SEARCH("R139",G108)),0)+IFERROR(--ISNUMBER(SEARCH("R140",G108)),0)+IFERROR(--ISNUMBER(SEARCH("R141",G108)),0))</f>
        <v/>
      </c>
      <c r="T108" s="58">
        <f>IF(A108="","",IFERROR(--ISNUMBER(SEARCH("R28",G108)),0)+IFERROR(--ISNUMBER(SEARCH("R29",G108)),0)+IFERROR(--ISNUMBER(SEARCH("R30",G108)),0)+IFERROR(--ISNUMBER(SEARCH("R32",G108)),0)+IFERROR(--ISNUMBER(SEARCH("R33",G108)),0)+IFERROR(--ISNUMBER(SEARCH("R35",G108)),0)+IFERROR(--ISNUMBER(SEARCH("R36",G108)),0)+IFERROR(--ISNUMBER(SEARCH("R38",G108)),0)+IFERROR(--ISNUMBER(SEARCH("R39",G108)),0)+IFERROR(--ISNUMBER(SEARCH("R43",G108)),0)+IFERROR(--ISNUMBER(SEARCH("R44",G108)),0)+IFERROR(--ISNUMBER(SEARCH("R45",G108)),0)+IFERROR(--ISNUMBER(SEARCH("R47",G108)),0)+IFERROR(--ISNUMBER(SEARCH("R48",G108)),0)+IFERROR(--ISNUMBER(SEARCH("R50",G108)),0)+IFERROR(--ISNUMBER(SEARCH("R51",G108)),0)+IFERROR(--ISNUMBER(SEARCH("R56",G108)),0)+IFERROR(--ISNUMBER(SEARCH("R58",G108)),0)+IFERROR(--ISNUMBER(SEARCH("R59",G108)),0)+IFERROR(--ISNUMBER(SEARCH("R60",G108)),0)+IFERROR(--ISNUMBER(SEARCH("R62",G108)),0)+IFERROR(--ISNUMBER(SEARCH("R63",G108)),0)+IFERROR(--ISNUMBER(SEARCH("R64",G108)),0)+IFERROR(--ISNUMBER(SEARCH("R66",G108)),0)+IFERROR(--ISNUMBER(SEARCH("R67",G108)),0)+IFERROR(--ISNUMBER(SEARCH("R72",G108)),0)+IFERROR(--ISNUMBER(SEARCH("R74",G108)),0)+IFERROR(--ISNUMBER(SEARCH("R75",G108)),0)+IFERROR(--ISNUMBER(SEARCH("R76",G108)),0)+IFERROR(--ISNUMBER(SEARCH("R77",G108)),0)+IFERROR(--ISNUMBER(SEARCH("R79",G108)),0)+IFERROR(--ISNUMBER(SEARCH("R80",G108)),0)+IFERROR(--ISNUMBER(SEARCH("R81",G108)),0)+IFERROR(--ISNUMBER(SEARCH("R83",G108)),0)+IFERROR(--ISNUMBER(SEARCH("R84",G108)),0)+IFERROR(--ISNUMBER(SEARCH("R89",G108)),0)+IFERROR(--ISNUMBER(SEARCH("R94",G108)),0)+IFERROR(--ISNUMBER(SEARCH("R95",G108)),0)+IFERROR(--ISNUMBER(SEARCH("R96",G108)),0)+IFERROR(--ISNUMBER(SEARCH("R98",G108)),0)+IFERROR(--ISNUMBER(SEARCH("R99",G108)),0)+IFERROR(--ISNUMBER(SEARCH("R100",G108)),0)+IFERROR(--ISNUMBER(SEARCH("R104",G108)),0)+IFERROR(--ISNUMBER(SEARCH("R105",G108)),0)+IFERROR(--ISNUMBER(SEARCH("R107",G108)),0)+IFERROR(--ISNUMBER(SEARCH("R108",G108)),0)+IFERROR(--ISNUMBER(SEARCH("R109",G108)),0)+IFERROR(--ISNUMBER(SEARCH("R110",G108)),0)+IFERROR(--ISNUMBER(SEARCH("R112",G108)),0)+IFERROR(--ISNUMBER(SEARCH("R113",G108)),0)+IFERROR(--ISNUMBER(SEARCH("R114",G108)),0)+IFERROR(--ISNUMBER(SEARCH("R118",G108)),0)+IFERROR(--ISNUMBER(SEARCH("R119",G108)),0)+IFERROR(--ISNUMBER(SEARCH("R120",G108)),0)+IFERROR(--ISNUMBER(SEARCH("R122",G108)),0)+IFERROR(--ISNUMBER(SEARCH("R123",G108)),0)+IFERROR(--ISNUMBER(SEARCH("R124",G108)),0)+IFERROR(--ISNUMBER(SEARCH("R128",G108)),0)+IFERROR(--ISNUMBER(SEARCH("R130",G108)),0)+IFERROR(--ISNUMBER(SEARCH("R131",G108)),0)+IFERROR(--ISNUMBER(SEARCH("R132",G108)),0)+IFERROR(--ISNUMBER(SEARCH("R135",G108)),0)+IFERROR(--ISNUMBER(SEARCH("R138",G108)),0)+IFERROR(--ISNUMBER(SEARCH("R141",G108)),0))</f>
        <v/>
      </c>
      <c r="U108" s="58">
        <f>IF(A108="","",IFERROR(--ISNUMBER(SEARCH("R28",G108))*28,0)+IFERROR(--ISNUMBER(SEARCH("R29",G108))*29,0)+IFERROR(--ISNUMBER(SEARCH("R30",G108))*30,0)+IFERROR(--ISNUMBER(SEARCH("R31",G108))*31,0)+IFERROR(--ISNUMBER(SEARCH("R32",G108))*32,0)+IFERROR(--ISNUMBER(SEARCH("R33",G108))*33,0)+IFERROR(--ISNUMBER(SEARCH("R34",G108))*34,0)+IFERROR(--ISNUMBER(SEARCH("R35",G108))*35,0)+IFERROR(--ISNUMBER(SEARCH("R36",G108))*36,0)+IFERROR(--ISNUMBER(SEARCH("R37",G108))*37,0)+IFERROR(--ISNUMBER(SEARCH("R38",G108))*38,0)+IFERROR(--ISNUMBER(SEARCH("R39",G108))*39,0)+IFERROR(--ISNUMBER(SEARCH("R40",G108))*40,0)+IFERROR(--ISNUMBER(SEARCH("R41",G108))*41,0)+IFERROR(--ISNUMBER(SEARCH("R42",G108))*42,0)+IFERROR(--ISNUMBER(SEARCH("R43",G108))*43,0)+IFERROR(--ISNUMBER(SEARCH("R44",G108))*44,0)+IFERROR(--ISNUMBER(SEARCH("R45",G108))*45,0)+IFERROR(--ISNUMBER(SEARCH("R46",G108))*46,0)+IFERROR(--ISNUMBER(SEARCH("R47",G108))*47,0)+IFERROR(--ISNUMBER(SEARCH("R48",G108))*48,0)+IFERROR(--ISNUMBER(SEARCH("R49",G108))*49,0)+IFERROR(--ISNUMBER(SEARCH("R50",G108))*50,0)+IFERROR(--ISNUMBER(SEARCH("R51",G108))*51,0)+IFERROR(--ISNUMBER(SEARCH("R52",G108))*52,0)+IFERROR(--ISNUMBER(SEARCH("R53",G108))*53,0)+IFERROR(--ISNUMBER(SEARCH("R54",G108))*54,0)+IFERROR(--ISNUMBER(SEARCH("R55",G108))*55,0)+IFERROR(--ISNUMBER(SEARCH("R56",G108))*56,0)+IFERROR(--ISNUMBER(SEARCH("R57",G108))*57,0)+IFERROR(--ISNUMBER(SEARCH("R58",G108))*58,0)+IFERROR(--ISNUMBER(SEARCH("R59",G108))*59,0)+IFERROR(--ISNUMBER(SEARCH("R60",G108))*60,0)+IFERROR(--ISNUMBER(SEARCH("R61",G108))*61,0)+IFERROR(--ISNUMBER(SEARCH("R62",G108))*62,0)+IFERROR(--ISNUMBER(SEARCH("R63",G108))*63,0)+IFERROR(--ISNUMBER(SEARCH("R64",G108))*64,0)+IFERROR(--ISNUMBER(SEARCH("R65",G108))*65,0)+IFERROR(--ISNUMBER(SEARCH("R66",G108))*66,0)+IFERROR(--ISNUMBER(SEARCH("R67",G108))*67,0)+IFERROR(--ISNUMBER(SEARCH("R68",G108))*68,0)+IFERROR(--ISNUMBER(SEARCH("R69",G108))*69,0)+IFERROR(--ISNUMBER(SEARCH("R70",G108))*70,0)+IFERROR(--ISNUMBER(SEARCH("R71",G108))*71,0)+IFERROR(--ISNUMBER(SEARCH("R72",G108))*72,0)+IFERROR(--ISNUMBER(SEARCH("R73",G108))*73,0)+IFERROR(--ISNUMBER(SEARCH("R74",G108))*74,0)+IFERROR(--ISNUMBER(SEARCH("R75",G108))*75,0)+IFERROR(--ISNUMBER(SEARCH("R76",G108))*76,0)+IFERROR(--ISNUMBER(SEARCH("R77",G108))*77,0)+IFERROR(--ISNUMBER(SEARCH("R78",G108))*78,0)+IFERROR(--ISNUMBER(SEARCH("R79",G108))*79,0)+IFERROR(--ISNUMBER(SEARCH("R80",G108))*80,0)+IFERROR(--ISNUMBER(SEARCH("R81",G108))*81,0)+IFERROR(--ISNUMBER(SEARCH("R82",G108))*82,0)+IFERROR(--ISNUMBER(SEARCH("R83",G108))*83,0)+IFERROR(--ISNUMBER(SEARCH("R84",G108))*84,0)+IFERROR(--ISNUMBER(SEARCH("R85",G108))*85,0)+IFERROR(--ISNUMBER(SEARCH("R86",G108))*86,0)+IFERROR(--ISNUMBER(SEARCH("R87",G108))*87,0)+IFERROR(--ISNUMBER(SEARCH("R88",G108))*88,0)+IFERROR(--ISNUMBER(SEARCH("R89",G108))*89,0)+IFERROR(--ISNUMBER(SEARCH("R90",G108))*90,0)+IFERROR(--ISNUMBER(SEARCH("R91",G108))*91,0)+IFERROR(--ISNUMBER(SEARCH("R92",G108))*92,0)+IFERROR(--ISNUMBER(SEARCH("R93",G108))*93,0)+IFERROR(--ISNUMBER(SEARCH("R94",G108))*94,0)+IFERROR(--ISNUMBER(SEARCH("R95",G108))*95,0)+IFERROR(--ISNUMBER(SEARCH("R96",G108))*96,0)+IFERROR(--ISNUMBER(SEARCH("R97",G108))*97,0)+IFERROR(--ISNUMBER(SEARCH("R98",G108))*98,0)+IFERROR(--ISNUMBER(SEARCH("R99",G108))*99,0)+IFERROR(--ISNUMBER(SEARCH("R100",G108))*100,0)+IFERROR(--ISNUMBER(SEARCH("R101",G108))*101,0)+IFERROR(--ISNUMBER(SEARCH("R102",G108))*102,0)+IFERROR(--ISNUMBER(SEARCH("R103",G108))*103,0)+IFERROR(--ISNUMBER(SEARCH("R104",G108))*104,0)+IFERROR(--ISNUMBER(SEARCH("R105",G108))*105,0)+IFERROR(--ISNUMBER(SEARCH("R106",G108))*106,0)+IFERROR(--ISNUMBER(SEARCH("R107",G108))*107,0)+IFERROR(--ISNUMBER(SEARCH("R108",G108))*108,0)+IFERROR(--ISNUMBER(SEARCH("R109",G108))*109,0)+IFERROR(--ISNUMBER(SEARCH("R110",G108))*110,0)+IFERROR(--ISNUMBER(SEARCH("R111",G108))*111,0)+IFERROR(--ISNUMBER(SEARCH("R112",G108))*112,0)+IFERROR(--ISNUMBER(SEARCH("R113",G108))*113,0)+IFERROR(--ISNUMBER(SEARCH("R114",G108))*114,0)+IFERROR(--ISNUMBER(SEARCH("R115",G108))*115,0)+IFERROR(--ISNUMBER(SEARCH("R116",G108))*116,0)+IFERROR(--ISNUMBER(SEARCH("R117",G108))*117,0)+IFERROR(--ISNUMBER(SEARCH("R118",G108))*118,0)+IFERROR(--ISNUMBER(SEARCH("R119",G108))*119,0)+IFERROR(--ISNUMBER(SEARCH("R120",G108))*120,0)+IFERROR(--ISNUMBER(SEARCH("R121",G108))*121,0)+IFERROR(--ISNUMBER(SEARCH("R122",G108))*122,0)+IFERROR(--ISNUMBER(SEARCH("R123",G108))*123,0)+IFERROR(--ISNUMBER(SEARCH("R124",G108))*124,0)+IFERROR(--ISNUMBER(SEARCH("R125",G108))*125,0)+IFERROR(--ISNUMBER(SEARCH("R126",G108))*126,0)+IFERROR(--ISNUMBER(SEARCH("R127",G108))*127,0)+IFERROR(--ISNUMBER(SEARCH("R128",G108))*128,0)+IFERROR(--ISNUMBER(SEARCH("R129",G108))*129,0)+IFERROR(--ISNUMBER(SEARCH("R130",G108))*130,0)+IFERROR(--ISNUMBER(SEARCH("R131",G108))*131,0)+IFERROR(--ISNUMBER(SEARCH("R132",G108))*132,0)+IFERROR(--ISNUMBER(SEARCH("R133",G108))*133,0)+IFERROR(--ISNUMBER(SEARCH("R134",G108))*134,0)+IFERROR(--ISNUMBER(SEARCH("R135",G108))*135,0)+IFERROR(--ISNUMBER(SEARCH("R136",G108))*136,0)+IFERROR(--ISNUMBER(SEARCH("R137",G108))*137,0)+IFERROR(--ISNUMBER(SEARCH("R138",G108))*138,0)+IFERROR(--ISNUMBER(SEARCH("R139",G108))*139,0)+IFERROR(--ISNUMBER(SEARCH("R140",G108))*140,0)+IFERROR(--ISNUMBER(SEARCH("R141",G108))*141,0))</f>
        <v/>
      </c>
      <c r="V108" s="59">
        <f>IF(A108="","",IF(K108&lt;&gt;"",K108,J108))</f>
        <v/>
      </c>
      <c r="W108" s="59">
        <f>IF(A108="","",IF(AND(V108=29,O108&lt;&gt;"",COUNTIFS($V$6:$V$505,29,$F$6:$F$505,F108,$C$6:$C$505,C108,$O$6:$O$505,"&lt;&gt;")&gt;1),IF(COUNTIFS($V$6:V108,29,$F$6:F108,F108,$C$6:C108,C108,$O$6:O108,"&lt;&gt;")=1,"Esta es la fila que se debe CONSERVAR (aparición 1 de "&amp;COUNTIFS($V$6:$V$505,29,$F$6:$F$505,F108,$C$6:$C$505,C108,$O$6:$O$505,"&lt;&gt;")&amp;" con el mismo tercero y valor, casilla 29). Si hay más filas iguales, bórreles el valor a ELLAS, no a esta.","DUPLICADO — ya existe otra fila con el mismo tercero y valor para casilla 29 (aparición "&amp;COUNTIFS($V$6:V108,29,$F$6:F108,F108,$C$6:C108,C108,$O$6:O108,"&lt;&gt;")&amp;" de "&amp;COUNTIFS($V$6:$V$505,29,$F$6:$F$505,F108,$C$6:$C$505,C108,$O$6:$O$505,"&lt;&gt;")&amp;"). Para resolverlo: seleccione la celda O"&amp;ROW()&amp;" (columna Valor a declarar de ESTA fila) y presione Supr."),""))</f>
        <v/>
      </c>
      <c r="X108" s="463">
        <f>IF(A108="","",F108)</f>
        <v/>
      </c>
      <c r="Y108" s="463">
        <f>IF(A108="","",SUMIF(Entrada_Manual!$I$88:$I$187,A108,Entrada_Manual!$F$88:$F$187))</f>
        <v/>
      </c>
      <c r="Z108" s="463">
        <f>IF(A108="","",X108-Y108)</f>
        <v/>
      </c>
      <c r="AA108">
        <f>IF(A108="","",SUMPRODUCT((Entrada_Manual!$I$88:$I$187=A108)*1))</f>
        <v/>
      </c>
      <c r="AB108">
        <f>IF(A108="","",IF(S108&lt;=1,"",IF(AA108=0,"PENDIENTE — SIN ASIGNAR",IF(Z108=0,"RESUELTO","PARCIAL — DIFERENCIA "&amp;TEXT(Z108,"#,##0")))))</f>
        <v/>
      </c>
    </row>
    <row r="109" ht="14.25" customHeight="1" s="235">
      <c r="A109" s="47">
        <f>IF(Exogena_RAW!E118&lt;&gt;"",ROW()-5,"")</f>
        <v/>
      </c>
      <c r="B109" s="48">
        <f>IF(A109="","",118)</f>
        <v/>
      </c>
      <c r="C109" s="48">
        <f>IF(A109="","",IFERROR(Exogena_RAW!A118,""))</f>
        <v/>
      </c>
      <c r="D109" s="48">
        <f>IF(A109="","",IFERROR(Exogena_RAW!B118,""))</f>
        <v/>
      </c>
      <c r="E109" s="48">
        <f>IF(A109="","",Exogena_RAW!E118)</f>
        <v/>
      </c>
      <c r="F109" s="461">
        <f>IF(A109="","",Exogena_RAW!F118)</f>
        <v/>
      </c>
      <c r="G109" s="48">
        <f>IF(A109="","",IFERROR(Exogena_RAW!G118,""))</f>
        <v/>
      </c>
      <c r="H109" s="48">
        <f>IF(A109="","",IFERROR(Exogena_RAW!H118,""))</f>
        <v/>
      </c>
      <c r="I109" s="48">
        <f>IF(A109="","",IFERROR(IF(S109&gt;1,"VARIAS CASILLAS",IF(S109=1,IF(T109=1,"PROPUESTA DE CASILLA","REVISIÓN: CASILLA NO DIRECTA"),IF(OR(ISNUMBER(SEARCH("TOPE",UPPER(E109))),ISNUMBER(SEARCH("TOPE",UPPER(G109)))),"SOLO CONTROL",IF(ISNUMBER(SEARCH("RETEN",UPPER(E109))),"RETENCIÓN","REVISAR")))),"REVISAR"))</f>
        <v/>
      </c>
      <c r="J109" s="48">
        <f>IF(A109="","",IF(ISNUMBER(SEARCH("ingreso laboral promedio de los últimos seis meses",E109)),"",IFERROR(IF(AND(S109=1,T109=1),U109,""),"")))</f>
        <v/>
      </c>
      <c r="K109" s="216" t="n"/>
      <c r="L109" s="48">
        <f>IF(A109="","",IFERROR(IF(K109&lt;&gt;"","Casilla elegida por usuario",IF(S109&gt;1,"Varias casillas — elegir en K",IF(J109&lt;&gt;"","Sugerencia directa",IF(S109=1,"No trasladar directo — revisar",IF(OR(ISNUMBER(SEARCH("TOPE",UPPER(E109))),ISNUMBER(SEARCH("TOPE",UPPER(G109)))),"Solo control","Revisar manualmente"))))),"Revisar manualmente"))</f>
        <v/>
      </c>
      <c r="M109" s="461">
        <f>IF(A109="","",IF(IF(K109&lt;&gt;"",K109,J109)="",0,IF(COUNTIFS(Reglas!$I$5:$I$118,IF(K109&lt;&gt;"",K109,J109),Reglas!$J$5:$J$118,"Sí")=1,F109,0)))</f>
        <v/>
      </c>
      <c r="N109" s="56" t="n"/>
      <c r="O109" s="462">
        <f>IF(A109="","",IF(M109=0,"",M109))</f>
        <v/>
      </c>
      <c r="P109" s="461">
        <f>IF(A109="","",IF(O109="",0,IF(ISNUMBER(O109),O109,0)))</f>
        <v/>
      </c>
      <c r="Q109" s="48">
        <f>IF(A109="","",IF(Exogena_RAW!$C$4="","BLOQUEADO: FALTA AÑO",IF(Exogena_RAW!$K$10&lt;&gt;Reglas!$B$5,"BLOQUEADO: AÑO",IF(IF(K109&lt;&gt;"",K109,J109)="",IF(S109&gt;1,"REQUIERE ASIGNACIÓN MANUAL (VARIAS CASILLAS)","INFORMATIVO (sin casilla — no se declara)"),IF(COUNTIFS(Reglas!$I$5:$I$118,IF(K109&lt;&gt;"",K109,J109),Reglas!$J$5:$J$118,"Sí")=0,"BLOQUEADO: CASILLA NO DIRECTA",IF(O109="","EXCLUIDO (valor borrado por el usuario)",IF(_xlfn.ISFORMULA(O109),IF(W109&lt;&gt;"","BORRADOR — VALOR SUGERIDO DIAN ⚠ VER ALERTA","BORRADOR — VALOR SUGERIDO DIAN"),IF(W109&lt;&gt;"","ACEPTADO ⚠ VER ALERTA","ACEPTADO"))))))))</f>
        <v/>
      </c>
      <c r="R109" s="218" t="n"/>
      <c r="S109" s="58">
        <f>IF(A109="","",IFERROR(--ISNUMBER(SEARCH("R28",G109)),0)+IFERROR(--ISNUMBER(SEARCH("R29",G109)),0)+IFERROR(--ISNUMBER(SEARCH("R30",G109)),0)+IFERROR(--ISNUMBER(SEARCH("R31",G109)),0)+IFERROR(--ISNUMBER(SEARCH("R32",G109)),0)+IFERROR(--ISNUMBER(SEARCH("R33",G109)),0)+IFERROR(--ISNUMBER(SEARCH("R34",G109)),0)+IFERROR(--ISNUMBER(SEARCH("R35",G109)),0)+IFERROR(--ISNUMBER(SEARCH("R36",G109)),0)+IFERROR(--ISNUMBER(SEARCH("R37",G109)),0)+IFERROR(--ISNUMBER(SEARCH("R38",G109)),0)+IFERROR(--ISNUMBER(SEARCH("R39",G109)),0)+IFERROR(--ISNUMBER(SEARCH("R40",G109)),0)+IFERROR(--ISNUMBER(SEARCH("R41",G109)),0)+IFERROR(--ISNUMBER(SEARCH("R42",G109)),0)+IFERROR(--ISNUMBER(SEARCH("R43",G109)),0)+IFERROR(--ISNUMBER(SEARCH("R44",G109)),0)+IFERROR(--ISNUMBER(SEARCH("R45",G109)),0)+IFERROR(--ISNUMBER(SEARCH("R46",G109)),0)+IFERROR(--ISNUMBER(SEARCH("R47",G109)),0)+IFERROR(--ISNUMBER(SEARCH("R48",G109)),0)+IFERROR(--ISNUMBER(SEARCH("R49",G109)),0)+IFERROR(--ISNUMBER(SEARCH("R50",G109)),0)+IFERROR(--ISNUMBER(SEARCH("R51",G109)),0)+IFERROR(--ISNUMBER(SEARCH("R52",G109)),0)+IFERROR(--ISNUMBER(SEARCH("R53",G109)),0)+IFERROR(--ISNUMBER(SEARCH("R54",G109)),0)+IFERROR(--ISNUMBER(SEARCH("R55",G109)),0)+IFERROR(--ISNUMBER(SEARCH("R56",G109)),0)+IFERROR(--ISNUMBER(SEARCH("R57",G109)),0)+IFERROR(--ISNUMBER(SEARCH("R58",G109)),0)+IFERROR(--ISNUMBER(SEARCH("R59",G109)),0)+IFERROR(--ISNUMBER(SEARCH("R60",G109)),0)+IFERROR(--ISNUMBER(SEARCH("R61",G109)),0)+IFERROR(--ISNUMBER(SEARCH("R62",G109)),0)+IFERROR(--ISNUMBER(SEARCH("R63",G109)),0)+IFERROR(--ISNUMBER(SEARCH("R64",G109)),0)+IFERROR(--ISNUMBER(SEARCH("R65",G109)),0)+IFERROR(--ISNUMBER(SEARCH("R66",G109)),0)+IFERROR(--ISNUMBER(SEARCH("R67",G109)),0)+IFERROR(--ISNUMBER(SEARCH("R68",G109)),0)+IFERROR(--ISNUMBER(SEARCH("R69",G109)),0)+IFERROR(--ISNUMBER(SEARCH("R70",G109)),0)+IFERROR(--ISNUMBER(SEARCH("R71",G109)),0)+IFERROR(--ISNUMBER(SEARCH("R72",G109)),0)+IFERROR(--ISNUMBER(SEARCH("R73",G109)),0)+IFERROR(--ISNUMBER(SEARCH("R74",G109)),0)+IFERROR(--ISNUMBER(SEARCH("R75",G109)),0)+IFERROR(--ISNUMBER(SEARCH("R76",G109)),0)+IFERROR(--ISNUMBER(SEARCH("R77",G109)),0)+IFERROR(--ISNUMBER(SEARCH("R78",G109)),0)+IFERROR(--ISNUMBER(SEARCH("R79",G109)),0)+IFERROR(--ISNUMBER(SEARCH("R80",G109)),0)+IFERROR(--ISNUMBER(SEARCH("R81",G109)),0)+IFERROR(--ISNUMBER(SEARCH("R82",G109)),0)+IFERROR(--ISNUMBER(SEARCH("R83",G109)),0)+IFERROR(--ISNUMBER(SEARCH("R84",G109)),0)+IFERROR(--ISNUMBER(SEARCH("R85",G109)),0)+IFERROR(--ISNUMBER(SEARCH("R86",G109)),0)+IFERROR(--ISNUMBER(SEARCH("R87",G109)),0)+IFERROR(--ISNUMBER(SEARCH("R88",G109)),0)+IFERROR(--ISNUMBER(SEARCH("R89",G109)),0)+IFERROR(--ISNUMBER(SEARCH("R90",G109)),0)+IFERROR(--ISNUMBER(SEARCH("R91",G109)),0)+IFERROR(--ISNUMBER(SEARCH("R92",G109)),0)+IFERROR(--ISNUMBER(SEARCH("R93",G109)),0)+IFERROR(--ISNUMBER(SEARCH("R94",G109)),0)+IFERROR(--ISNUMBER(SEARCH("R95",G109)),0)+IFERROR(--ISNUMBER(SEARCH("R96",G109)),0)+IFERROR(--ISNUMBER(SEARCH("R97",G109)),0)+IFERROR(--ISNUMBER(SEARCH("R98",G109)),0)+IFERROR(--ISNUMBER(SEARCH("R99",G109)),0)+IFERROR(--ISNUMBER(SEARCH("R100",G109)),0)+IFERROR(--ISNUMBER(SEARCH("R101",G109)),0)+IFERROR(--ISNUMBER(SEARCH("R102",G109)),0)+IFERROR(--ISNUMBER(SEARCH("R103",G109)),0)+IFERROR(--ISNUMBER(SEARCH("R104",G109)),0)+IFERROR(--ISNUMBER(SEARCH("R105",G109)),0)+IFERROR(--ISNUMBER(SEARCH("R106",G109)),0)+IFERROR(--ISNUMBER(SEARCH("R107",G109)),0)+IFERROR(--ISNUMBER(SEARCH("R108",G109)),0)+IFERROR(--ISNUMBER(SEARCH("R109",G109)),0)+IFERROR(--ISNUMBER(SEARCH("R110",G109)),0)+IFERROR(--ISNUMBER(SEARCH("R111",G109)),0)+IFERROR(--ISNUMBER(SEARCH("R112",G109)),0)+IFERROR(--ISNUMBER(SEARCH("R113",G109)),0)+IFERROR(--ISNUMBER(SEARCH("R114",G109)),0)+IFERROR(--ISNUMBER(SEARCH("R115",G109)),0)+IFERROR(--ISNUMBER(SEARCH("R116",G109)),0)+IFERROR(--ISNUMBER(SEARCH("R117",G109)),0)+IFERROR(--ISNUMBER(SEARCH("R118",G109)),0)+IFERROR(--ISNUMBER(SEARCH("R119",G109)),0)+IFERROR(--ISNUMBER(SEARCH("R120",G109)),0)+IFERROR(--ISNUMBER(SEARCH("R121",G109)),0)+IFERROR(--ISNUMBER(SEARCH("R122",G109)),0)+IFERROR(--ISNUMBER(SEARCH("R123",G109)),0)+IFERROR(--ISNUMBER(SEARCH("R124",G109)),0)+IFERROR(--ISNUMBER(SEARCH("R125",G109)),0)+IFERROR(--ISNUMBER(SEARCH("R126",G109)),0)+IFERROR(--ISNUMBER(SEARCH("R127",G109)),0)+IFERROR(--ISNUMBER(SEARCH("R128",G109)),0)+IFERROR(--ISNUMBER(SEARCH("R129",G109)),0)+IFERROR(--ISNUMBER(SEARCH("R130",G109)),0)+IFERROR(--ISNUMBER(SEARCH("R131",G109)),0)+IFERROR(--ISNUMBER(SEARCH("R132",G109)),0)+IFERROR(--ISNUMBER(SEARCH("R133",G109)),0)+IFERROR(--ISNUMBER(SEARCH("R134",G109)),0)+IFERROR(--ISNUMBER(SEARCH("R135",G109)),0)+IFERROR(--ISNUMBER(SEARCH("R136",G109)),0)+IFERROR(--ISNUMBER(SEARCH("R137",G109)),0)+IFERROR(--ISNUMBER(SEARCH("R138",G109)),0)+IFERROR(--ISNUMBER(SEARCH("R139",G109)),0)+IFERROR(--ISNUMBER(SEARCH("R140",G109)),0)+IFERROR(--ISNUMBER(SEARCH("R141",G109)),0))</f>
        <v/>
      </c>
      <c r="T109" s="58">
        <f>IF(A109="","",IFERROR(--ISNUMBER(SEARCH("R28",G109)),0)+IFERROR(--ISNUMBER(SEARCH("R29",G109)),0)+IFERROR(--ISNUMBER(SEARCH("R30",G109)),0)+IFERROR(--ISNUMBER(SEARCH("R32",G109)),0)+IFERROR(--ISNUMBER(SEARCH("R33",G109)),0)+IFERROR(--ISNUMBER(SEARCH("R35",G109)),0)+IFERROR(--ISNUMBER(SEARCH("R36",G109)),0)+IFERROR(--ISNUMBER(SEARCH("R38",G109)),0)+IFERROR(--ISNUMBER(SEARCH("R39",G109)),0)+IFERROR(--ISNUMBER(SEARCH("R43",G109)),0)+IFERROR(--ISNUMBER(SEARCH("R44",G109)),0)+IFERROR(--ISNUMBER(SEARCH("R45",G109)),0)+IFERROR(--ISNUMBER(SEARCH("R47",G109)),0)+IFERROR(--ISNUMBER(SEARCH("R48",G109)),0)+IFERROR(--ISNUMBER(SEARCH("R50",G109)),0)+IFERROR(--ISNUMBER(SEARCH("R51",G109)),0)+IFERROR(--ISNUMBER(SEARCH("R56",G109)),0)+IFERROR(--ISNUMBER(SEARCH("R58",G109)),0)+IFERROR(--ISNUMBER(SEARCH("R59",G109)),0)+IFERROR(--ISNUMBER(SEARCH("R60",G109)),0)+IFERROR(--ISNUMBER(SEARCH("R62",G109)),0)+IFERROR(--ISNUMBER(SEARCH("R63",G109)),0)+IFERROR(--ISNUMBER(SEARCH("R64",G109)),0)+IFERROR(--ISNUMBER(SEARCH("R66",G109)),0)+IFERROR(--ISNUMBER(SEARCH("R67",G109)),0)+IFERROR(--ISNUMBER(SEARCH("R72",G109)),0)+IFERROR(--ISNUMBER(SEARCH("R74",G109)),0)+IFERROR(--ISNUMBER(SEARCH("R75",G109)),0)+IFERROR(--ISNUMBER(SEARCH("R76",G109)),0)+IFERROR(--ISNUMBER(SEARCH("R77",G109)),0)+IFERROR(--ISNUMBER(SEARCH("R79",G109)),0)+IFERROR(--ISNUMBER(SEARCH("R80",G109)),0)+IFERROR(--ISNUMBER(SEARCH("R81",G109)),0)+IFERROR(--ISNUMBER(SEARCH("R83",G109)),0)+IFERROR(--ISNUMBER(SEARCH("R84",G109)),0)+IFERROR(--ISNUMBER(SEARCH("R89",G109)),0)+IFERROR(--ISNUMBER(SEARCH("R94",G109)),0)+IFERROR(--ISNUMBER(SEARCH("R95",G109)),0)+IFERROR(--ISNUMBER(SEARCH("R96",G109)),0)+IFERROR(--ISNUMBER(SEARCH("R98",G109)),0)+IFERROR(--ISNUMBER(SEARCH("R99",G109)),0)+IFERROR(--ISNUMBER(SEARCH("R100",G109)),0)+IFERROR(--ISNUMBER(SEARCH("R104",G109)),0)+IFERROR(--ISNUMBER(SEARCH("R105",G109)),0)+IFERROR(--ISNUMBER(SEARCH("R107",G109)),0)+IFERROR(--ISNUMBER(SEARCH("R108",G109)),0)+IFERROR(--ISNUMBER(SEARCH("R109",G109)),0)+IFERROR(--ISNUMBER(SEARCH("R110",G109)),0)+IFERROR(--ISNUMBER(SEARCH("R112",G109)),0)+IFERROR(--ISNUMBER(SEARCH("R113",G109)),0)+IFERROR(--ISNUMBER(SEARCH("R114",G109)),0)+IFERROR(--ISNUMBER(SEARCH("R118",G109)),0)+IFERROR(--ISNUMBER(SEARCH("R119",G109)),0)+IFERROR(--ISNUMBER(SEARCH("R120",G109)),0)+IFERROR(--ISNUMBER(SEARCH("R122",G109)),0)+IFERROR(--ISNUMBER(SEARCH("R123",G109)),0)+IFERROR(--ISNUMBER(SEARCH("R124",G109)),0)+IFERROR(--ISNUMBER(SEARCH("R128",G109)),0)+IFERROR(--ISNUMBER(SEARCH("R130",G109)),0)+IFERROR(--ISNUMBER(SEARCH("R131",G109)),0)+IFERROR(--ISNUMBER(SEARCH("R132",G109)),0)+IFERROR(--ISNUMBER(SEARCH("R135",G109)),0)+IFERROR(--ISNUMBER(SEARCH("R138",G109)),0)+IFERROR(--ISNUMBER(SEARCH("R141",G109)),0))</f>
        <v/>
      </c>
      <c r="U109" s="58">
        <f>IF(A109="","",IFERROR(--ISNUMBER(SEARCH("R28",G109))*28,0)+IFERROR(--ISNUMBER(SEARCH("R29",G109))*29,0)+IFERROR(--ISNUMBER(SEARCH("R30",G109))*30,0)+IFERROR(--ISNUMBER(SEARCH("R31",G109))*31,0)+IFERROR(--ISNUMBER(SEARCH("R32",G109))*32,0)+IFERROR(--ISNUMBER(SEARCH("R33",G109))*33,0)+IFERROR(--ISNUMBER(SEARCH("R34",G109))*34,0)+IFERROR(--ISNUMBER(SEARCH("R35",G109))*35,0)+IFERROR(--ISNUMBER(SEARCH("R36",G109))*36,0)+IFERROR(--ISNUMBER(SEARCH("R37",G109))*37,0)+IFERROR(--ISNUMBER(SEARCH("R38",G109))*38,0)+IFERROR(--ISNUMBER(SEARCH("R39",G109))*39,0)+IFERROR(--ISNUMBER(SEARCH("R40",G109))*40,0)+IFERROR(--ISNUMBER(SEARCH("R41",G109))*41,0)+IFERROR(--ISNUMBER(SEARCH("R42",G109))*42,0)+IFERROR(--ISNUMBER(SEARCH("R43",G109))*43,0)+IFERROR(--ISNUMBER(SEARCH("R44",G109))*44,0)+IFERROR(--ISNUMBER(SEARCH("R45",G109))*45,0)+IFERROR(--ISNUMBER(SEARCH("R46",G109))*46,0)+IFERROR(--ISNUMBER(SEARCH("R47",G109))*47,0)+IFERROR(--ISNUMBER(SEARCH("R48",G109))*48,0)+IFERROR(--ISNUMBER(SEARCH("R49",G109))*49,0)+IFERROR(--ISNUMBER(SEARCH("R50",G109))*50,0)+IFERROR(--ISNUMBER(SEARCH("R51",G109))*51,0)+IFERROR(--ISNUMBER(SEARCH("R52",G109))*52,0)+IFERROR(--ISNUMBER(SEARCH("R53",G109))*53,0)+IFERROR(--ISNUMBER(SEARCH("R54",G109))*54,0)+IFERROR(--ISNUMBER(SEARCH("R55",G109))*55,0)+IFERROR(--ISNUMBER(SEARCH("R56",G109))*56,0)+IFERROR(--ISNUMBER(SEARCH("R57",G109))*57,0)+IFERROR(--ISNUMBER(SEARCH("R58",G109))*58,0)+IFERROR(--ISNUMBER(SEARCH("R59",G109))*59,0)+IFERROR(--ISNUMBER(SEARCH("R60",G109))*60,0)+IFERROR(--ISNUMBER(SEARCH("R61",G109))*61,0)+IFERROR(--ISNUMBER(SEARCH("R62",G109))*62,0)+IFERROR(--ISNUMBER(SEARCH("R63",G109))*63,0)+IFERROR(--ISNUMBER(SEARCH("R64",G109))*64,0)+IFERROR(--ISNUMBER(SEARCH("R65",G109))*65,0)+IFERROR(--ISNUMBER(SEARCH("R66",G109))*66,0)+IFERROR(--ISNUMBER(SEARCH("R67",G109))*67,0)+IFERROR(--ISNUMBER(SEARCH("R68",G109))*68,0)+IFERROR(--ISNUMBER(SEARCH("R69",G109))*69,0)+IFERROR(--ISNUMBER(SEARCH("R70",G109))*70,0)+IFERROR(--ISNUMBER(SEARCH("R71",G109))*71,0)+IFERROR(--ISNUMBER(SEARCH("R72",G109))*72,0)+IFERROR(--ISNUMBER(SEARCH("R73",G109))*73,0)+IFERROR(--ISNUMBER(SEARCH("R74",G109))*74,0)+IFERROR(--ISNUMBER(SEARCH("R75",G109))*75,0)+IFERROR(--ISNUMBER(SEARCH("R76",G109))*76,0)+IFERROR(--ISNUMBER(SEARCH("R77",G109))*77,0)+IFERROR(--ISNUMBER(SEARCH("R78",G109))*78,0)+IFERROR(--ISNUMBER(SEARCH("R79",G109))*79,0)+IFERROR(--ISNUMBER(SEARCH("R80",G109))*80,0)+IFERROR(--ISNUMBER(SEARCH("R81",G109))*81,0)+IFERROR(--ISNUMBER(SEARCH("R82",G109))*82,0)+IFERROR(--ISNUMBER(SEARCH("R83",G109))*83,0)+IFERROR(--ISNUMBER(SEARCH("R84",G109))*84,0)+IFERROR(--ISNUMBER(SEARCH("R85",G109))*85,0)+IFERROR(--ISNUMBER(SEARCH("R86",G109))*86,0)+IFERROR(--ISNUMBER(SEARCH("R87",G109))*87,0)+IFERROR(--ISNUMBER(SEARCH("R88",G109))*88,0)+IFERROR(--ISNUMBER(SEARCH("R89",G109))*89,0)+IFERROR(--ISNUMBER(SEARCH("R90",G109))*90,0)+IFERROR(--ISNUMBER(SEARCH("R91",G109))*91,0)+IFERROR(--ISNUMBER(SEARCH("R92",G109))*92,0)+IFERROR(--ISNUMBER(SEARCH("R93",G109))*93,0)+IFERROR(--ISNUMBER(SEARCH("R94",G109))*94,0)+IFERROR(--ISNUMBER(SEARCH("R95",G109))*95,0)+IFERROR(--ISNUMBER(SEARCH("R96",G109))*96,0)+IFERROR(--ISNUMBER(SEARCH("R97",G109))*97,0)+IFERROR(--ISNUMBER(SEARCH("R98",G109))*98,0)+IFERROR(--ISNUMBER(SEARCH("R99",G109))*99,0)+IFERROR(--ISNUMBER(SEARCH("R100",G109))*100,0)+IFERROR(--ISNUMBER(SEARCH("R101",G109))*101,0)+IFERROR(--ISNUMBER(SEARCH("R102",G109))*102,0)+IFERROR(--ISNUMBER(SEARCH("R103",G109))*103,0)+IFERROR(--ISNUMBER(SEARCH("R104",G109))*104,0)+IFERROR(--ISNUMBER(SEARCH("R105",G109))*105,0)+IFERROR(--ISNUMBER(SEARCH("R106",G109))*106,0)+IFERROR(--ISNUMBER(SEARCH("R107",G109))*107,0)+IFERROR(--ISNUMBER(SEARCH("R108",G109))*108,0)+IFERROR(--ISNUMBER(SEARCH("R109",G109))*109,0)+IFERROR(--ISNUMBER(SEARCH("R110",G109))*110,0)+IFERROR(--ISNUMBER(SEARCH("R111",G109))*111,0)+IFERROR(--ISNUMBER(SEARCH("R112",G109))*112,0)+IFERROR(--ISNUMBER(SEARCH("R113",G109))*113,0)+IFERROR(--ISNUMBER(SEARCH("R114",G109))*114,0)+IFERROR(--ISNUMBER(SEARCH("R115",G109))*115,0)+IFERROR(--ISNUMBER(SEARCH("R116",G109))*116,0)+IFERROR(--ISNUMBER(SEARCH("R117",G109))*117,0)+IFERROR(--ISNUMBER(SEARCH("R118",G109))*118,0)+IFERROR(--ISNUMBER(SEARCH("R119",G109))*119,0)+IFERROR(--ISNUMBER(SEARCH("R120",G109))*120,0)+IFERROR(--ISNUMBER(SEARCH("R121",G109))*121,0)+IFERROR(--ISNUMBER(SEARCH("R122",G109))*122,0)+IFERROR(--ISNUMBER(SEARCH("R123",G109))*123,0)+IFERROR(--ISNUMBER(SEARCH("R124",G109))*124,0)+IFERROR(--ISNUMBER(SEARCH("R125",G109))*125,0)+IFERROR(--ISNUMBER(SEARCH("R126",G109))*126,0)+IFERROR(--ISNUMBER(SEARCH("R127",G109))*127,0)+IFERROR(--ISNUMBER(SEARCH("R128",G109))*128,0)+IFERROR(--ISNUMBER(SEARCH("R129",G109))*129,0)+IFERROR(--ISNUMBER(SEARCH("R130",G109))*130,0)+IFERROR(--ISNUMBER(SEARCH("R131",G109))*131,0)+IFERROR(--ISNUMBER(SEARCH("R132",G109))*132,0)+IFERROR(--ISNUMBER(SEARCH("R133",G109))*133,0)+IFERROR(--ISNUMBER(SEARCH("R134",G109))*134,0)+IFERROR(--ISNUMBER(SEARCH("R135",G109))*135,0)+IFERROR(--ISNUMBER(SEARCH("R136",G109))*136,0)+IFERROR(--ISNUMBER(SEARCH("R137",G109))*137,0)+IFERROR(--ISNUMBER(SEARCH("R138",G109))*138,0)+IFERROR(--ISNUMBER(SEARCH("R139",G109))*139,0)+IFERROR(--ISNUMBER(SEARCH("R140",G109))*140,0)+IFERROR(--ISNUMBER(SEARCH("R141",G109))*141,0))</f>
        <v/>
      </c>
      <c r="V109" s="59">
        <f>IF(A109="","",IF(K109&lt;&gt;"",K109,J109))</f>
        <v/>
      </c>
      <c r="W109" s="59">
        <f>IF(A109="","",IF(AND(V109=29,O109&lt;&gt;"",COUNTIFS($V$6:$V$505,29,$F$6:$F$505,F109,$C$6:$C$505,C109,$O$6:$O$505,"&lt;&gt;")&gt;1),IF(COUNTIFS($V$6:V109,29,$F$6:F109,F109,$C$6:C109,C109,$O$6:O109,"&lt;&gt;")=1,"Esta es la fila que se debe CONSERVAR (aparición 1 de "&amp;COUNTIFS($V$6:$V$505,29,$F$6:$F$505,F109,$C$6:$C$505,C109,$O$6:$O$505,"&lt;&gt;")&amp;" con el mismo tercero y valor, casilla 29). Si hay más filas iguales, bórreles el valor a ELLAS, no a esta.","DUPLICADO — ya existe otra fila con el mismo tercero y valor para casilla 29 (aparición "&amp;COUNTIFS($V$6:V109,29,$F$6:F109,F109,$C$6:C109,C109,$O$6:O109,"&lt;&gt;")&amp;" de "&amp;COUNTIFS($V$6:$V$505,29,$F$6:$F$505,F109,$C$6:$C$505,C109,$O$6:$O$505,"&lt;&gt;")&amp;"). Para resolverlo: seleccione la celda O"&amp;ROW()&amp;" (columna Valor a declarar de ESTA fila) y presione Supr."),""))</f>
        <v/>
      </c>
      <c r="X109" s="463">
        <f>IF(A109="","",F109)</f>
        <v/>
      </c>
      <c r="Y109" s="463">
        <f>IF(A109="","",SUMIF(Entrada_Manual!$I$88:$I$187,A109,Entrada_Manual!$F$88:$F$187))</f>
        <v/>
      </c>
      <c r="Z109" s="463">
        <f>IF(A109="","",X109-Y109)</f>
        <v/>
      </c>
      <c r="AA109">
        <f>IF(A109="","",SUMPRODUCT((Entrada_Manual!$I$88:$I$187=A109)*1))</f>
        <v/>
      </c>
      <c r="AB109">
        <f>IF(A109="","",IF(S109&lt;=1,"",IF(AA109=0,"PENDIENTE — SIN ASIGNAR",IF(Z109=0,"RESUELTO","PARCIAL — DIFERENCIA "&amp;TEXT(Z109,"#,##0")))))</f>
        <v/>
      </c>
    </row>
    <row r="110" ht="14.25" customHeight="1" s="235">
      <c r="A110" s="47">
        <f>IF(Exogena_RAW!E119&lt;&gt;"",ROW()-5,"")</f>
        <v/>
      </c>
      <c r="B110" s="48">
        <f>IF(A110="","",119)</f>
        <v/>
      </c>
      <c r="C110" s="48">
        <f>IF(A110="","",IFERROR(Exogena_RAW!A119,""))</f>
        <v/>
      </c>
      <c r="D110" s="48">
        <f>IF(A110="","",IFERROR(Exogena_RAW!B119,""))</f>
        <v/>
      </c>
      <c r="E110" s="48">
        <f>IF(A110="","",Exogena_RAW!E119)</f>
        <v/>
      </c>
      <c r="F110" s="461">
        <f>IF(A110="","",Exogena_RAW!F119)</f>
        <v/>
      </c>
      <c r="G110" s="48">
        <f>IF(A110="","",IFERROR(Exogena_RAW!G119,""))</f>
        <v/>
      </c>
      <c r="H110" s="48">
        <f>IF(A110="","",IFERROR(Exogena_RAW!H119,""))</f>
        <v/>
      </c>
      <c r="I110" s="48">
        <f>IF(A110="","",IFERROR(IF(S110&gt;1,"VARIAS CASILLAS",IF(S110=1,IF(T110=1,"PROPUESTA DE CASILLA","REVISIÓN: CASILLA NO DIRECTA"),IF(OR(ISNUMBER(SEARCH("TOPE",UPPER(E110))),ISNUMBER(SEARCH("TOPE",UPPER(G110)))),"SOLO CONTROL",IF(ISNUMBER(SEARCH("RETEN",UPPER(E110))),"RETENCIÓN","REVISAR")))),"REVISAR"))</f>
        <v/>
      </c>
      <c r="J110" s="48">
        <f>IF(A110="","",IF(ISNUMBER(SEARCH("ingreso laboral promedio de los últimos seis meses",E110)),"",IFERROR(IF(AND(S110=1,T110=1),U110,""),"")))</f>
        <v/>
      </c>
      <c r="K110" s="216" t="n"/>
      <c r="L110" s="48">
        <f>IF(A110="","",IFERROR(IF(K110&lt;&gt;"","Casilla elegida por usuario",IF(S110&gt;1,"Varias casillas — elegir en K",IF(J110&lt;&gt;"","Sugerencia directa",IF(S110=1,"No trasladar directo — revisar",IF(OR(ISNUMBER(SEARCH("TOPE",UPPER(E110))),ISNUMBER(SEARCH("TOPE",UPPER(G110)))),"Solo control","Revisar manualmente"))))),"Revisar manualmente"))</f>
        <v/>
      </c>
      <c r="M110" s="461">
        <f>IF(A110="","",IF(IF(K110&lt;&gt;"",K110,J110)="",0,IF(COUNTIFS(Reglas!$I$5:$I$118,IF(K110&lt;&gt;"",K110,J110),Reglas!$J$5:$J$118,"Sí")=1,F110,0)))</f>
        <v/>
      </c>
      <c r="N110" s="56" t="n"/>
      <c r="O110" s="462">
        <f>IF(A110="","",IF(M110=0,"",M110))</f>
        <v/>
      </c>
      <c r="P110" s="461">
        <f>IF(A110="","",IF(O110="",0,IF(ISNUMBER(O110),O110,0)))</f>
        <v/>
      </c>
      <c r="Q110" s="48">
        <f>IF(A110="","",IF(Exogena_RAW!$C$4="","BLOQUEADO: FALTA AÑO",IF(Exogena_RAW!$K$10&lt;&gt;Reglas!$B$5,"BLOQUEADO: AÑO",IF(IF(K110&lt;&gt;"",K110,J110)="",IF(S110&gt;1,"REQUIERE ASIGNACIÓN MANUAL (VARIAS CASILLAS)","INFORMATIVO (sin casilla — no se declara)"),IF(COUNTIFS(Reglas!$I$5:$I$118,IF(K110&lt;&gt;"",K110,J110),Reglas!$J$5:$J$118,"Sí")=0,"BLOQUEADO: CASILLA NO DIRECTA",IF(O110="","EXCLUIDO (valor borrado por el usuario)",IF(_xlfn.ISFORMULA(O110),IF(W110&lt;&gt;"","BORRADOR — VALOR SUGERIDO DIAN ⚠ VER ALERTA","BORRADOR — VALOR SUGERIDO DIAN"),IF(W110&lt;&gt;"","ACEPTADO ⚠ VER ALERTA","ACEPTADO"))))))))</f>
        <v/>
      </c>
      <c r="R110" s="218" t="n"/>
      <c r="S110" s="58">
        <f>IF(A110="","",IFERROR(--ISNUMBER(SEARCH("R28",G110)),0)+IFERROR(--ISNUMBER(SEARCH("R29",G110)),0)+IFERROR(--ISNUMBER(SEARCH("R30",G110)),0)+IFERROR(--ISNUMBER(SEARCH("R31",G110)),0)+IFERROR(--ISNUMBER(SEARCH("R32",G110)),0)+IFERROR(--ISNUMBER(SEARCH("R33",G110)),0)+IFERROR(--ISNUMBER(SEARCH("R34",G110)),0)+IFERROR(--ISNUMBER(SEARCH("R35",G110)),0)+IFERROR(--ISNUMBER(SEARCH("R36",G110)),0)+IFERROR(--ISNUMBER(SEARCH("R37",G110)),0)+IFERROR(--ISNUMBER(SEARCH("R38",G110)),0)+IFERROR(--ISNUMBER(SEARCH("R39",G110)),0)+IFERROR(--ISNUMBER(SEARCH("R40",G110)),0)+IFERROR(--ISNUMBER(SEARCH("R41",G110)),0)+IFERROR(--ISNUMBER(SEARCH("R42",G110)),0)+IFERROR(--ISNUMBER(SEARCH("R43",G110)),0)+IFERROR(--ISNUMBER(SEARCH("R44",G110)),0)+IFERROR(--ISNUMBER(SEARCH("R45",G110)),0)+IFERROR(--ISNUMBER(SEARCH("R46",G110)),0)+IFERROR(--ISNUMBER(SEARCH("R47",G110)),0)+IFERROR(--ISNUMBER(SEARCH("R48",G110)),0)+IFERROR(--ISNUMBER(SEARCH("R49",G110)),0)+IFERROR(--ISNUMBER(SEARCH("R50",G110)),0)+IFERROR(--ISNUMBER(SEARCH("R51",G110)),0)+IFERROR(--ISNUMBER(SEARCH("R52",G110)),0)+IFERROR(--ISNUMBER(SEARCH("R53",G110)),0)+IFERROR(--ISNUMBER(SEARCH("R54",G110)),0)+IFERROR(--ISNUMBER(SEARCH("R55",G110)),0)+IFERROR(--ISNUMBER(SEARCH("R56",G110)),0)+IFERROR(--ISNUMBER(SEARCH("R57",G110)),0)+IFERROR(--ISNUMBER(SEARCH("R58",G110)),0)+IFERROR(--ISNUMBER(SEARCH("R59",G110)),0)+IFERROR(--ISNUMBER(SEARCH("R60",G110)),0)+IFERROR(--ISNUMBER(SEARCH("R61",G110)),0)+IFERROR(--ISNUMBER(SEARCH("R62",G110)),0)+IFERROR(--ISNUMBER(SEARCH("R63",G110)),0)+IFERROR(--ISNUMBER(SEARCH("R64",G110)),0)+IFERROR(--ISNUMBER(SEARCH("R65",G110)),0)+IFERROR(--ISNUMBER(SEARCH("R66",G110)),0)+IFERROR(--ISNUMBER(SEARCH("R67",G110)),0)+IFERROR(--ISNUMBER(SEARCH("R68",G110)),0)+IFERROR(--ISNUMBER(SEARCH("R69",G110)),0)+IFERROR(--ISNUMBER(SEARCH("R70",G110)),0)+IFERROR(--ISNUMBER(SEARCH("R71",G110)),0)+IFERROR(--ISNUMBER(SEARCH("R72",G110)),0)+IFERROR(--ISNUMBER(SEARCH("R73",G110)),0)+IFERROR(--ISNUMBER(SEARCH("R74",G110)),0)+IFERROR(--ISNUMBER(SEARCH("R75",G110)),0)+IFERROR(--ISNUMBER(SEARCH("R76",G110)),0)+IFERROR(--ISNUMBER(SEARCH("R77",G110)),0)+IFERROR(--ISNUMBER(SEARCH("R78",G110)),0)+IFERROR(--ISNUMBER(SEARCH("R79",G110)),0)+IFERROR(--ISNUMBER(SEARCH("R80",G110)),0)+IFERROR(--ISNUMBER(SEARCH("R81",G110)),0)+IFERROR(--ISNUMBER(SEARCH("R82",G110)),0)+IFERROR(--ISNUMBER(SEARCH("R83",G110)),0)+IFERROR(--ISNUMBER(SEARCH("R84",G110)),0)+IFERROR(--ISNUMBER(SEARCH("R85",G110)),0)+IFERROR(--ISNUMBER(SEARCH("R86",G110)),0)+IFERROR(--ISNUMBER(SEARCH("R87",G110)),0)+IFERROR(--ISNUMBER(SEARCH("R88",G110)),0)+IFERROR(--ISNUMBER(SEARCH("R89",G110)),0)+IFERROR(--ISNUMBER(SEARCH("R90",G110)),0)+IFERROR(--ISNUMBER(SEARCH("R91",G110)),0)+IFERROR(--ISNUMBER(SEARCH("R92",G110)),0)+IFERROR(--ISNUMBER(SEARCH("R93",G110)),0)+IFERROR(--ISNUMBER(SEARCH("R94",G110)),0)+IFERROR(--ISNUMBER(SEARCH("R95",G110)),0)+IFERROR(--ISNUMBER(SEARCH("R96",G110)),0)+IFERROR(--ISNUMBER(SEARCH("R97",G110)),0)+IFERROR(--ISNUMBER(SEARCH("R98",G110)),0)+IFERROR(--ISNUMBER(SEARCH("R99",G110)),0)+IFERROR(--ISNUMBER(SEARCH("R100",G110)),0)+IFERROR(--ISNUMBER(SEARCH("R101",G110)),0)+IFERROR(--ISNUMBER(SEARCH("R102",G110)),0)+IFERROR(--ISNUMBER(SEARCH("R103",G110)),0)+IFERROR(--ISNUMBER(SEARCH("R104",G110)),0)+IFERROR(--ISNUMBER(SEARCH("R105",G110)),0)+IFERROR(--ISNUMBER(SEARCH("R106",G110)),0)+IFERROR(--ISNUMBER(SEARCH("R107",G110)),0)+IFERROR(--ISNUMBER(SEARCH("R108",G110)),0)+IFERROR(--ISNUMBER(SEARCH("R109",G110)),0)+IFERROR(--ISNUMBER(SEARCH("R110",G110)),0)+IFERROR(--ISNUMBER(SEARCH("R111",G110)),0)+IFERROR(--ISNUMBER(SEARCH("R112",G110)),0)+IFERROR(--ISNUMBER(SEARCH("R113",G110)),0)+IFERROR(--ISNUMBER(SEARCH("R114",G110)),0)+IFERROR(--ISNUMBER(SEARCH("R115",G110)),0)+IFERROR(--ISNUMBER(SEARCH("R116",G110)),0)+IFERROR(--ISNUMBER(SEARCH("R117",G110)),0)+IFERROR(--ISNUMBER(SEARCH("R118",G110)),0)+IFERROR(--ISNUMBER(SEARCH("R119",G110)),0)+IFERROR(--ISNUMBER(SEARCH("R120",G110)),0)+IFERROR(--ISNUMBER(SEARCH("R121",G110)),0)+IFERROR(--ISNUMBER(SEARCH("R122",G110)),0)+IFERROR(--ISNUMBER(SEARCH("R123",G110)),0)+IFERROR(--ISNUMBER(SEARCH("R124",G110)),0)+IFERROR(--ISNUMBER(SEARCH("R125",G110)),0)+IFERROR(--ISNUMBER(SEARCH("R126",G110)),0)+IFERROR(--ISNUMBER(SEARCH("R127",G110)),0)+IFERROR(--ISNUMBER(SEARCH("R128",G110)),0)+IFERROR(--ISNUMBER(SEARCH("R129",G110)),0)+IFERROR(--ISNUMBER(SEARCH("R130",G110)),0)+IFERROR(--ISNUMBER(SEARCH("R131",G110)),0)+IFERROR(--ISNUMBER(SEARCH("R132",G110)),0)+IFERROR(--ISNUMBER(SEARCH("R133",G110)),0)+IFERROR(--ISNUMBER(SEARCH("R134",G110)),0)+IFERROR(--ISNUMBER(SEARCH("R135",G110)),0)+IFERROR(--ISNUMBER(SEARCH("R136",G110)),0)+IFERROR(--ISNUMBER(SEARCH("R137",G110)),0)+IFERROR(--ISNUMBER(SEARCH("R138",G110)),0)+IFERROR(--ISNUMBER(SEARCH("R139",G110)),0)+IFERROR(--ISNUMBER(SEARCH("R140",G110)),0)+IFERROR(--ISNUMBER(SEARCH("R141",G110)),0))</f>
        <v/>
      </c>
      <c r="T110" s="58">
        <f>IF(A110="","",IFERROR(--ISNUMBER(SEARCH("R28",G110)),0)+IFERROR(--ISNUMBER(SEARCH("R29",G110)),0)+IFERROR(--ISNUMBER(SEARCH("R30",G110)),0)+IFERROR(--ISNUMBER(SEARCH("R32",G110)),0)+IFERROR(--ISNUMBER(SEARCH("R33",G110)),0)+IFERROR(--ISNUMBER(SEARCH("R35",G110)),0)+IFERROR(--ISNUMBER(SEARCH("R36",G110)),0)+IFERROR(--ISNUMBER(SEARCH("R38",G110)),0)+IFERROR(--ISNUMBER(SEARCH("R39",G110)),0)+IFERROR(--ISNUMBER(SEARCH("R43",G110)),0)+IFERROR(--ISNUMBER(SEARCH("R44",G110)),0)+IFERROR(--ISNUMBER(SEARCH("R45",G110)),0)+IFERROR(--ISNUMBER(SEARCH("R47",G110)),0)+IFERROR(--ISNUMBER(SEARCH("R48",G110)),0)+IFERROR(--ISNUMBER(SEARCH("R50",G110)),0)+IFERROR(--ISNUMBER(SEARCH("R51",G110)),0)+IFERROR(--ISNUMBER(SEARCH("R56",G110)),0)+IFERROR(--ISNUMBER(SEARCH("R58",G110)),0)+IFERROR(--ISNUMBER(SEARCH("R59",G110)),0)+IFERROR(--ISNUMBER(SEARCH("R60",G110)),0)+IFERROR(--ISNUMBER(SEARCH("R62",G110)),0)+IFERROR(--ISNUMBER(SEARCH("R63",G110)),0)+IFERROR(--ISNUMBER(SEARCH("R64",G110)),0)+IFERROR(--ISNUMBER(SEARCH("R66",G110)),0)+IFERROR(--ISNUMBER(SEARCH("R67",G110)),0)+IFERROR(--ISNUMBER(SEARCH("R72",G110)),0)+IFERROR(--ISNUMBER(SEARCH("R74",G110)),0)+IFERROR(--ISNUMBER(SEARCH("R75",G110)),0)+IFERROR(--ISNUMBER(SEARCH("R76",G110)),0)+IFERROR(--ISNUMBER(SEARCH("R77",G110)),0)+IFERROR(--ISNUMBER(SEARCH("R79",G110)),0)+IFERROR(--ISNUMBER(SEARCH("R80",G110)),0)+IFERROR(--ISNUMBER(SEARCH("R81",G110)),0)+IFERROR(--ISNUMBER(SEARCH("R83",G110)),0)+IFERROR(--ISNUMBER(SEARCH("R84",G110)),0)+IFERROR(--ISNUMBER(SEARCH("R89",G110)),0)+IFERROR(--ISNUMBER(SEARCH("R94",G110)),0)+IFERROR(--ISNUMBER(SEARCH("R95",G110)),0)+IFERROR(--ISNUMBER(SEARCH("R96",G110)),0)+IFERROR(--ISNUMBER(SEARCH("R98",G110)),0)+IFERROR(--ISNUMBER(SEARCH("R99",G110)),0)+IFERROR(--ISNUMBER(SEARCH("R100",G110)),0)+IFERROR(--ISNUMBER(SEARCH("R104",G110)),0)+IFERROR(--ISNUMBER(SEARCH("R105",G110)),0)+IFERROR(--ISNUMBER(SEARCH("R107",G110)),0)+IFERROR(--ISNUMBER(SEARCH("R108",G110)),0)+IFERROR(--ISNUMBER(SEARCH("R109",G110)),0)+IFERROR(--ISNUMBER(SEARCH("R110",G110)),0)+IFERROR(--ISNUMBER(SEARCH("R112",G110)),0)+IFERROR(--ISNUMBER(SEARCH("R113",G110)),0)+IFERROR(--ISNUMBER(SEARCH("R114",G110)),0)+IFERROR(--ISNUMBER(SEARCH("R118",G110)),0)+IFERROR(--ISNUMBER(SEARCH("R119",G110)),0)+IFERROR(--ISNUMBER(SEARCH("R120",G110)),0)+IFERROR(--ISNUMBER(SEARCH("R122",G110)),0)+IFERROR(--ISNUMBER(SEARCH("R123",G110)),0)+IFERROR(--ISNUMBER(SEARCH("R124",G110)),0)+IFERROR(--ISNUMBER(SEARCH("R128",G110)),0)+IFERROR(--ISNUMBER(SEARCH("R130",G110)),0)+IFERROR(--ISNUMBER(SEARCH("R131",G110)),0)+IFERROR(--ISNUMBER(SEARCH("R132",G110)),0)+IFERROR(--ISNUMBER(SEARCH("R135",G110)),0)+IFERROR(--ISNUMBER(SEARCH("R138",G110)),0)+IFERROR(--ISNUMBER(SEARCH("R141",G110)),0))</f>
        <v/>
      </c>
      <c r="U110" s="58">
        <f>IF(A110="","",IFERROR(--ISNUMBER(SEARCH("R28",G110))*28,0)+IFERROR(--ISNUMBER(SEARCH("R29",G110))*29,0)+IFERROR(--ISNUMBER(SEARCH("R30",G110))*30,0)+IFERROR(--ISNUMBER(SEARCH("R31",G110))*31,0)+IFERROR(--ISNUMBER(SEARCH("R32",G110))*32,0)+IFERROR(--ISNUMBER(SEARCH("R33",G110))*33,0)+IFERROR(--ISNUMBER(SEARCH("R34",G110))*34,0)+IFERROR(--ISNUMBER(SEARCH("R35",G110))*35,0)+IFERROR(--ISNUMBER(SEARCH("R36",G110))*36,0)+IFERROR(--ISNUMBER(SEARCH("R37",G110))*37,0)+IFERROR(--ISNUMBER(SEARCH("R38",G110))*38,0)+IFERROR(--ISNUMBER(SEARCH("R39",G110))*39,0)+IFERROR(--ISNUMBER(SEARCH("R40",G110))*40,0)+IFERROR(--ISNUMBER(SEARCH("R41",G110))*41,0)+IFERROR(--ISNUMBER(SEARCH("R42",G110))*42,0)+IFERROR(--ISNUMBER(SEARCH("R43",G110))*43,0)+IFERROR(--ISNUMBER(SEARCH("R44",G110))*44,0)+IFERROR(--ISNUMBER(SEARCH("R45",G110))*45,0)+IFERROR(--ISNUMBER(SEARCH("R46",G110))*46,0)+IFERROR(--ISNUMBER(SEARCH("R47",G110))*47,0)+IFERROR(--ISNUMBER(SEARCH("R48",G110))*48,0)+IFERROR(--ISNUMBER(SEARCH("R49",G110))*49,0)+IFERROR(--ISNUMBER(SEARCH("R50",G110))*50,0)+IFERROR(--ISNUMBER(SEARCH("R51",G110))*51,0)+IFERROR(--ISNUMBER(SEARCH("R52",G110))*52,0)+IFERROR(--ISNUMBER(SEARCH("R53",G110))*53,0)+IFERROR(--ISNUMBER(SEARCH("R54",G110))*54,0)+IFERROR(--ISNUMBER(SEARCH("R55",G110))*55,0)+IFERROR(--ISNUMBER(SEARCH("R56",G110))*56,0)+IFERROR(--ISNUMBER(SEARCH("R57",G110))*57,0)+IFERROR(--ISNUMBER(SEARCH("R58",G110))*58,0)+IFERROR(--ISNUMBER(SEARCH("R59",G110))*59,0)+IFERROR(--ISNUMBER(SEARCH("R60",G110))*60,0)+IFERROR(--ISNUMBER(SEARCH("R61",G110))*61,0)+IFERROR(--ISNUMBER(SEARCH("R62",G110))*62,0)+IFERROR(--ISNUMBER(SEARCH("R63",G110))*63,0)+IFERROR(--ISNUMBER(SEARCH("R64",G110))*64,0)+IFERROR(--ISNUMBER(SEARCH("R65",G110))*65,0)+IFERROR(--ISNUMBER(SEARCH("R66",G110))*66,0)+IFERROR(--ISNUMBER(SEARCH("R67",G110))*67,0)+IFERROR(--ISNUMBER(SEARCH("R68",G110))*68,0)+IFERROR(--ISNUMBER(SEARCH("R69",G110))*69,0)+IFERROR(--ISNUMBER(SEARCH("R70",G110))*70,0)+IFERROR(--ISNUMBER(SEARCH("R71",G110))*71,0)+IFERROR(--ISNUMBER(SEARCH("R72",G110))*72,0)+IFERROR(--ISNUMBER(SEARCH("R73",G110))*73,0)+IFERROR(--ISNUMBER(SEARCH("R74",G110))*74,0)+IFERROR(--ISNUMBER(SEARCH("R75",G110))*75,0)+IFERROR(--ISNUMBER(SEARCH("R76",G110))*76,0)+IFERROR(--ISNUMBER(SEARCH("R77",G110))*77,0)+IFERROR(--ISNUMBER(SEARCH("R78",G110))*78,0)+IFERROR(--ISNUMBER(SEARCH("R79",G110))*79,0)+IFERROR(--ISNUMBER(SEARCH("R80",G110))*80,0)+IFERROR(--ISNUMBER(SEARCH("R81",G110))*81,0)+IFERROR(--ISNUMBER(SEARCH("R82",G110))*82,0)+IFERROR(--ISNUMBER(SEARCH("R83",G110))*83,0)+IFERROR(--ISNUMBER(SEARCH("R84",G110))*84,0)+IFERROR(--ISNUMBER(SEARCH("R85",G110))*85,0)+IFERROR(--ISNUMBER(SEARCH("R86",G110))*86,0)+IFERROR(--ISNUMBER(SEARCH("R87",G110))*87,0)+IFERROR(--ISNUMBER(SEARCH("R88",G110))*88,0)+IFERROR(--ISNUMBER(SEARCH("R89",G110))*89,0)+IFERROR(--ISNUMBER(SEARCH("R90",G110))*90,0)+IFERROR(--ISNUMBER(SEARCH("R91",G110))*91,0)+IFERROR(--ISNUMBER(SEARCH("R92",G110))*92,0)+IFERROR(--ISNUMBER(SEARCH("R93",G110))*93,0)+IFERROR(--ISNUMBER(SEARCH("R94",G110))*94,0)+IFERROR(--ISNUMBER(SEARCH("R95",G110))*95,0)+IFERROR(--ISNUMBER(SEARCH("R96",G110))*96,0)+IFERROR(--ISNUMBER(SEARCH("R97",G110))*97,0)+IFERROR(--ISNUMBER(SEARCH("R98",G110))*98,0)+IFERROR(--ISNUMBER(SEARCH("R99",G110))*99,0)+IFERROR(--ISNUMBER(SEARCH("R100",G110))*100,0)+IFERROR(--ISNUMBER(SEARCH("R101",G110))*101,0)+IFERROR(--ISNUMBER(SEARCH("R102",G110))*102,0)+IFERROR(--ISNUMBER(SEARCH("R103",G110))*103,0)+IFERROR(--ISNUMBER(SEARCH("R104",G110))*104,0)+IFERROR(--ISNUMBER(SEARCH("R105",G110))*105,0)+IFERROR(--ISNUMBER(SEARCH("R106",G110))*106,0)+IFERROR(--ISNUMBER(SEARCH("R107",G110))*107,0)+IFERROR(--ISNUMBER(SEARCH("R108",G110))*108,0)+IFERROR(--ISNUMBER(SEARCH("R109",G110))*109,0)+IFERROR(--ISNUMBER(SEARCH("R110",G110))*110,0)+IFERROR(--ISNUMBER(SEARCH("R111",G110))*111,0)+IFERROR(--ISNUMBER(SEARCH("R112",G110))*112,0)+IFERROR(--ISNUMBER(SEARCH("R113",G110))*113,0)+IFERROR(--ISNUMBER(SEARCH("R114",G110))*114,0)+IFERROR(--ISNUMBER(SEARCH("R115",G110))*115,0)+IFERROR(--ISNUMBER(SEARCH("R116",G110))*116,0)+IFERROR(--ISNUMBER(SEARCH("R117",G110))*117,0)+IFERROR(--ISNUMBER(SEARCH("R118",G110))*118,0)+IFERROR(--ISNUMBER(SEARCH("R119",G110))*119,0)+IFERROR(--ISNUMBER(SEARCH("R120",G110))*120,0)+IFERROR(--ISNUMBER(SEARCH("R121",G110))*121,0)+IFERROR(--ISNUMBER(SEARCH("R122",G110))*122,0)+IFERROR(--ISNUMBER(SEARCH("R123",G110))*123,0)+IFERROR(--ISNUMBER(SEARCH("R124",G110))*124,0)+IFERROR(--ISNUMBER(SEARCH("R125",G110))*125,0)+IFERROR(--ISNUMBER(SEARCH("R126",G110))*126,0)+IFERROR(--ISNUMBER(SEARCH("R127",G110))*127,0)+IFERROR(--ISNUMBER(SEARCH("R128",G110))*128,0)+IFERROR(--ISNUMBER(SEARCH("R129",G110))*129,0)+IFERROR(--ISNUMBER(SEARCH("R130",G110))*130,0)+IFERROR(--ISNUMBER(SEARCH("R131",G110))*131,0)+IFERROR(--ISNUMBER(SEARCH("R132",G110))*132,0)+IFERROR(--ISNUMBER(SEARCH("R133",G110))*133,0)+IFERROR(--ISNUMBER(SEARCH("R134",G110))*134,0)+IFERROR(--ISNUMBER(SEARCH("R135",G110))*135,0)+IFERROR(--ISNUMBER(SEARCH("R136",G110))*136,0)+IFERROR(--ISNUMBER(SEARCH("R137",G110))*137,0)+IFERROR(--ISNUMBER(SEARCH("R138",G110))*138,0)+IFERROR(--ISNUMBER(SEARCH("R139",G110))*139,0)+IFERROR(--ISNUMBER(SEARCH("R140",G110))*140,0)+IFERROR(--ISNUMBER(SEARCH("R141",G110))*141,0))</f>
        <v/>
      </c>
      <c r="V110" s="59">
        <f>IF(A110="","",IF(K110&lt;&gt;"",K110,J110))</f>
        <v/>
      </c>
      <c r="W110" s="59">
        <f>IF(A110="","",IF(AND(V110=29,O110&lt;&gt;"",COUNTIFS($V$6:$V$505,29,$F$6:$F$505,F110,$C$6:$C$505,C110,$O$6:$O$505,"&lt;&gt;")&gt;1),IF(COUNTIFS($V$6:V110,29,$F$6:F110,F110,$C$6:C110,C110,$O$6:O110,"&lt;&gt;")=1,"Esta es la fila que se debe CONSERVAR (aparición 1 de "&amp;COUNTIFS($V$6:$V$505,29,$F$6:$F$505,F110,$C$6:$C$505,C110,$O$6:$O$505,"&lt;&gt;")&amp;" con el mismo tercero y valor, casilla 29). Si hay más filas iguales, bórreles el valor a ELLAS, no a esta.","DUPLICADO — ya existe otra fila con el mismo tercero y valor para casilla 29 (aparición "&amp;COUNTIFS($V$6:V110,29,$F$6:F110,F110,$C$6:C110,C110,$O$6:O110,"&lt;&gt;")&amp;" de "&amp;COUNTIFS($V$6:$V$505,29,$F$6:$F$505,F110,$C$6:$C$505,C110,$O$6:$O$505,"&lt;&gt;")&amp;"). Para resolverlo: seleccione la celda O"&amp;ROW()&amp;" (columna Valor a declarar de ESTA fila) y presione Supr."),""))</f>
        <v/>
      </c>
      <c r="X110" s="463">
        <f>IF(A110="","",F110)</f>
        <v/>
      </c>
      <c r="Y110" s="463">
        <f>IF(A110="","",SUMIF(Entrada_Manual!$I$88:$I$187,A110,Entrada_Manual!$F$88:$F$187))</f>
        <v/>
      </c>
      <c r="Z110" s="463">
        <f>IF(A110="","",X110-Y110)</f>
        <v/>
      </c>
      <c r="AA110">
        <f>IF(A110="","",SUMPRODUCT((Entrada_Manual!$I$88:$I$187=A110)*1))</f>
        <v/>
      </c>
      <c r="AB110">
        <f>IF(A110="","",IF(S110&lt;=1,"",IF(AA110=0,"PENDIENTE — SIN ASIGNAR",IF(Z110=0,"RESUELTO","PARCIAL — DIFERENCIA "&amp;TEXT(Z110,"#,##0")))))</f>
        <v/>
      </c>
    </row>
    <row r="111" ht="14.25" customHeight="1" s="235">
      <c r="A111" s="47">
        <f>IF(Exogena_RAW!E120&lt;&gt;"",ROW()-5,"")</f>
        <v/>
      </c>
      <c r="B111" s="48">
        <f>IF(A111="","",120)</f>
        <v/>
      </c>
      <c r="C111" s="48">
        <f>IF(A111="","",IFERROR(Exogena_RAW!A120,""))</f>
        <v/>
      </c>
      <c r="D111" s="48">
        <f>IF(A111="","",IFERROR(Exogena_RAW!B120,""))</f>
        <v/>
      </c>
      <c r="E111" s="48">
        <f>IF(A111="","",Exogena_RAW!E120)</f>
        <v/>
      </c>
      <c r="F111" s="461">
        <f>IF(A111="","",Exogena_RAW!F120)</f>
        <v/>
      </c>
      <c r="G111" s="48">
        <f>IF(A111="","",IFERROR(Exogena_RAW!G120,""))</f>
        <v/>
      </c>
      <c r="H111" s="48">
        <f>IF(A111="","",IFERROR(Exogena_RAW!H120,""))</f>
        <v/>
      </c>
      <c r="I111" s="48">
        <f>IF(A111="","",IFERROR(IF(S111&gt;1,"VARIAS CASILLAS",IF(S111=1,IF(T111=1,"PROPUESTA DE CASILLA","REVISIÓN: CASILLA NO DIRECTA"),IF(OR(ISNUMBER(SEARCH("TOPE",UPPER(E111))),ISNUMBER(SEARCH("TOPE",UPPER(G111)))),"SOLO CONTROL",IF(ISNUMBER(SEARCH("RETEN",UPPER(E111))),"RETENCIÓN","REVISAR")))),"REVISAR"))</f>
        <v/>
      </c>
      <c r="J111" s="48">
        <f>IF(A111="","",IF(ISNUMBER(SEARCH("ingreso laboral promedio de los últimos seis meses",E111)),"",IFERROR(IF(AND(S111=1,T111=1),U111,""),"")))</f>
        <v/>
      </c>
      <c r="K111" s="216" t="n"/>
      <c r="L111" s="48">
        <f>IF(A111="","",IFERROR(IF(K111&lt;&gt;"","Casilla elegida por usuario",IF(S111&gt;1,"Varias casillas — elegir en K",IF(J111&lt;&gt;"","Sugerencia directa",IF(S111=1,"No trasladar directo — revisar",IF(OR(ISNUMBER(SEARCH("TOPE",UPPER(E111))),ISNUMBER(SEARCH("TOPE",UPPER(G111)))),"Solo control","Revisar manualmente"))))),"Revisar manualmente"))</f>
        <v/>
      </c>
      <c r="M111" s="461">
        <f>IF(A111="","",IF(IF(K111&lt;&gt;"",K111,J111)="",0,IF(COUNTIFS(Reglas!$I$5:$I$118,IF(K111&lt;&gt;"",K111,J111),Reglas!$J$5:$J$118,"Sí")=1,F111,0)))</f>
        <v/>
      </c>
      <c r="N111" s="56" t="n"/>
      <c r="O111" s="462">
        <f>IF(A111="","",IF(M111=0,"",M111))</f>
        <v/>
      </c>
      <c r="P111" s="461">
        <f>IF(A111="","",IF(O111="",0,IF(ISNUMBER(O111),O111,0)))</f>
        <v/>
      </c>
      <c r="Q111" s="48">
        <f>IF(A111="","",IF(Exogena_RAW!$C$4="","BLOQUEADO: FALTA AÑO",IF(Exogena_RAW!$K$10&lt;&gt;Reglas!$B$5,"BLOQUEADO: AÑO",IF(IF(K111&lt;&gt;"",K111,J111)="",IF(S111&gt;1,"REQUIERE ASIGNACIÓN MANUAL (VARIAS CASILLAS)","INFORMATIVO (sin casilla — no se declara)"),IF(COUNTIFS(Reglas!$I$5:$I$118,IF(K111&lt;&gt;"",K111,J111),Reglas!$J$5:$J$118,"Sí")=0,"BLOQUEADO: CASILLA NO DIRECTA",IF(O111="","EXCLUIDO (valor borrado por el usuario)",IF(_xlfn.ISFORMULA(O111),IF(W111&lt;&gt;"","BORRADOR — VALOR SUGERIDO DIAN ⚠ VER ALERTA","BORRADOR — VALOR SUGERIDO DIAN"),IF(W111&lt;&gt;"","ACEPTADO ⚠ VER ALERTA","ACEPTADO"))))))))</f>
        <v/>
      </c>
      <c r="R111" s="218" t="n"/>
      <c r="S111" s="58">
        <f>IF(A111="","",IFERROR(--ISNUMBER(SEARCH("R28",G111)),0)+IFERROR(--ISNUMBER(SEARCH("R29",G111)),0)+IFERROR(--ISNUMBER(SEARCH("R30",G111)),0)+IFERROR(--ISNUMBER(SEARCH("R31",G111)),0)+IFERROR(--ISNUMBER(SEARCH("R32",G111)),0)+IFERROR(--ISNUMBER(SEARCH("R33",G111)),0)+IFERROR(--ISNUMBER(SEARCH("R34",G111)),0)+IFERROR(--ISNUMBER(SEARCH("R35",G111)),0)+IFERROR(--ISNUMBER(SEARCH("R36",G111)),0)+IFERROR(--ISNUMBER(SEARCH("R37",G111)),0)+IFERROR(--ISNUMBER(SEARCH("R38",G111)),0)+IFERROR(--ISNUMBER(SEARCH("R39",G111)),0)+IFERROR(--ISNUMBER(SEARCH("R40",G111)),0)+IFERROR(--ISNUMBER(SEARCH("R41",G111)),0)+IFERROR(--ISNUMBER(SEARCH("R42",G111)),0)+IFERROR(--ISNUMBER(SEARCH("R43",G111)),0)+IFERROR(--ISNUMBER(SEARCH("R44",G111)),0)+IFERROR(--ISNUMBER(SEARCH("R45",G111)),0)+IFERROR(--ISNUMBER(SEARCH("R46",G111)),0)+IFERROR(--ISNUMBER(SEARCH("R47",G111)),0)+IFERROR(--ISNUMBER(SEARCH("R48",G111)),0)+IFERROR(--ISNUMBER(SEARCH("R49",G111)),0)+IFERROR(--ISNUMBER(SEARCH("R50",G111)),0)+IFERROR(--ISNUMBER(SEARCH("R51",G111)),0)+IFERROR(--ISNUMBER(SEARCH("R52",G111)),0)+IFERROR(--ISNUMBER(SEARCH("R53",G111)),0)+IFERROR(--ISNUMBER(SEARCH("R54",G111)),0)+IFERROR(--ISNUMBER(SEARCH("R55",G111)),0)+IFERROR(--ISNUMBER(SEARCH("R56",G111)),0)+IFERROR(--ISNUMBER(SEARCH("R57",G111)),0)+IFERROR(--ISNUMBER(SEARCH("R58",G111)),0)+IFERROR(--ISNUMBER(SEARCH("R59",G111)),0)+IFERROR(--ISNUMBER(SEARCH("R60",G111)),0)+IFERROR(--ISNUMBER(SEARCH("R61",G111)),0)+IFERROR(--ISNUMBER(SEARCH("R62",G111)),0)+IFERROR(--ISNUMBER(SEARCH("R63",G111)),0)+IFERROR(--ISNUMBER(SEARCH("R64",G111)),0)+IFERROR(--ISNUMBER(SEARCH("R65",G111)),0)+IFERROR(--ISNUMBER(SEARCH("R66",G111)),0)+IFERROR(--ISNUMBER(SEARCH("R67",G111)),0)+IFERROR(--ISNUMBER(SEARCH("R68",G111)),0)+IFERROR(--ISNUMBER(SEARCH("R69",G111)),0)+IFERROR(--ISNUMBER(SEARCH("R70",G111)),0)+IFERROR(--ISNUMBER(SEARCH("R71",G111)),0)+IFERROR(--ISNUMBER(SEARCH("R72",G111)),0)+IFERROR(--ISNUMBER(SEARCH("R73",G111)),0)+IFERROR(--ISNUMBER(SEARCH("R74",G111)),0)+IFERROR(--ISNUMBER(SEARCH("R75",G111)),0)+IFERROR(--ISNUMBER(SEARCH("R76",G111)),0)+IFERROR(--ISNUMBER(SEARCH("R77",G111)),0)+IFERROR(--ISNUMBER(SEARCH("R78",G111)),0)+IFERROR(--ISNUMBER(SEARCH("R79",G111)),0)+IFERROR(--ISNUMBER(SEARCH("R80",G111)),0)+IFERROR(--ISNUMBER(SEARCH("R81",G111)),0)+IFERROR(--ISNUMBER(SEARCH("R82",G111)),0)+IFERROR(--ISNUMBER(SEARCH("R83",G111)),0)+IFERROR(--ISNUMBER(SEARCH("R84",G111)),0)+IFERROR(--ISNUMBER(SEARCH("R85",G111)),0)+IFERROR(--ISNUMBER(SEARCH("R86",G111)),0)+IFERROR(--ISNUMBER(SEARCH("R87",G111)),0)+IFERROR(--ISNUMBER(SEARCH("R88",G111)),0)+IFERROR(--ISNUMBER(SEARCH("R89",G111)),0)+IFERROR(--ISNUMBER(SEARCH("R90",G111)),0)+IFERROR(--ISNUMBER(SEARCH("R91",G111)),0)+IFERROR(--ISNUMBER(SEARCH("R92",G111)),0)+IFERROR(--ISNUMBER(SEARCH("R93",G111)),0)+IFERROR(--ISNUMBER(SEARCH("R94",G111)),0)+IFERROR(--ISNUMBER(SEARCH("R95",G111)),0)+IFERROR(--ISNUMBER(SEARCH("R96",G111)),0)+IFERROR(--ISNUMBER(SEARCH("R97",G111)),0)+IFERROR(--ISNUMBER(SEARCH("R98",G111)),0)+IFERROR(--ISNUMBER(SEARCH("R99",G111)),0)+IFERROR(--ISNUMBER(SEARCH("R100",G111)),0)+IFERROR(--ISNUMBER(SEARCH("R101",G111)),0)+IFERROR(--ISNUMBER(SEARCH("R102",G111)),0)+IFERROR(--ISNUMBER(SEARCH("R103",G111)),0)+IFERROR(--ISNUMBER(SEARCH("R104",G111)),0)+IFERROR(--ISNUMBER(SEARCH("R105",G111)),0)+IFERROR(--ISNUMBER(SEARCH("R106",G111)),0)+IFERROR(--ISNUMBER(SEARCH("R107",G111)),0)+IFERROR(--ISNUMBER(SEARCH("R108",G111)),0)+IFERROR(--ISNUMBER(SEARCH("R109",G111)),0)+IFERROR(--ISNUMBER(SEARCH("R110",G111)),0)+IFERROR(--ISNUMBER(SEARCH("R111",G111)),0)+IFERROR(--ISNUMBER(SEARCH("R112",G111)),0)+IFERROR(--ISNUMBER(SEARCH("R113",G111)),0)+IFERROR(--ISNUMBER(SEARCH("R114",G111)),0)+IFERROR(--ISNUMBER(SEARCH("R115",G111)),0)+IFERROR(--ISNUMBER(SEARCH("R116",G111)),0)+IFERROR(--ISNUMBER(SEARCH("R117",G111)),0)+IFERROR(--ISNUMBER(SEARCH("R118",G111)),0)+IFERROR(--ISNUMBER(SEARCH("R119",G111)),0)+IFERROR(--ISNUMBER(SEARCH("R120",G111)),0)+IFERROR(--ISNUMBER(SEARCH("R121",G111)),0)+IFERROR(--ISNUMBER(SEARCH("R122",G111)),0)+IFERROR(--ISNUMBER(SEARCH("R123",G111)),0)+IFERROR(--ISNUMBER(SEARCH("R124",G111)),0)+IFERROR(--ISNUMBER(SEARCH("R125",G111)),0)+IFERROR(--ISNUMBER(SEARCH("R126",G111)),0)+IFERROR(--ISNUMBER(SEARCH("R127",G111)),0)+IFERROR(--ISNUMBER(SEARCH("R128",G111)),0)+IFERROR(--ISNUMBER(SEARCH("R129",G111)),0)+IFERROR(--ISNUMBER(SEARCH("R130",G111)),0)+IFERROR(--ISNUMBER(SEARCH("R131",G111)),0)+IFERROR(--ISNUMBER(SEARCH("R132",G111)),0)+IFERROR(--ISNUMBER(SEARCH("R133",G111)),0)+IFERROR(--ISNUMBER(SEARCH("R134",G111)),0)+IFERROR(--ISNUMBER(SEARCH("R135",G111)),0)+IFERROR(--ISNUMBER(SEARCH("R136",G111)),0)+IFERROR(--ISNUMBER(SEARCH("R137",G111)),0)+IFERROR(--ISNUMBER(SEARCH("R138",G111)),0)+IFERROR(--ISNUMBER(SEARCH("R139",G111)),0)+IFERROR(--ISNUMBER(SEARCH("R140",G111)),0)+IFERROR(--ISNUMBER(SEARCH("R141",G111)),0))</f>
        <v/>
      </c>
      <c r="T111" s="58">
        <f>IF(A111="","",IFERROR(--ISNUMBER(SEARCH("R28",G111)),0)+IFERROR(--ISNUMBER(SEARCH("R29",G111)),0)+IFERROR(--ISNUMBER(SEARCH("R30",G111)),0)+IFERROR(--ISNUMBER(SEARCH("R32",G111)),0)+IFERROR(--ISNUMBER(SEARCH("R33",G111)),0)+IFERROR(--ISNUMBER(SEARCH("R35",G111)),0)+IFERROR(--ISNUMBER(SEARCH("R36",G111)),0)+IFERROR(--ISNUMBER(SEARCH("R38",G111)),0)+IFERROR(--ISNUMBER(SEARCH("R39",G111)),0)+IFERROR(--ISNUMBER(SEARCH("R43",G111)),0)+IFERROR(--ISNUMBER(SEARCH("R44",G111)),0)+IFERROR(--ISNUMBER(SEARCH("R45",G111)),0)+IFERROR(--ISNUMBER(SEARCH("R47",G111)),0)+IFERROR(--ISNUMBER(SEARCH("R48",G111)),0)+IFERROR(--ISNUMBER(SEARCH("R50",G111)),0)+IFERROR(--ISNUMBER(SEARCH("R51",G111)),0)+IFERROR(--ISNUMBER(SEARCH("R56",G111)),0)+IFERROR(--ISNUMBER(SEARCH("R58",G111)),0)+IFERROR(--ISNUMBER(SEARCH("R59",G111)),0)+IFERROR(--ISNUMBER(SEARCH("R60",G111)),0)+IFERROR(--ISNUMBER(SEARCH("R62",G111)),0)+IFERROR(--ISNUMBER(SEARCH("R63",G111)),0)+IFERROR(--ISNUMBER(SEARCH("R64",G111)),0)+IFERROR(--ISNUMBER(SEARCH("R66",G111)),0)+IFERROR(--ISNUMBER(SEARCH("R67",G111)),0)+IFERROR(--ISNUMBER(SEARCH("R72",G111)),0)+IFERROR(--ISNUMBER(SEARCH("R74",G111)),0)+IFERROR(--ISNUMBER(SEARCH("R75",G111)),0)+IFERROR(--ISNUMBER(SEARCH("R76",G111)),0)+IFERROR(--ISNUMBER(SEARCH("R77",G111)),0)+IFERROR(--ISNUMBER(SEARCH("R79",G111)),0)+IFERROR(--ISNUMBER(SEARCH("R80",G111)),0)+IFERROR(--ISNUMBER(SEARCH("R81",G111)),0)+IFERROR(--ISNUMBER(SEARCH("R83",G111)),0)+IFERROR(--ISNUMBER(SEARCH("R84",G111)),0)+IFERROR(--ISNUMBER(SEARCH("R89",G111)),0)+IFERROR(--ISNUMBER(SEARCH("R94",G111)),0)+IFERROR(--ISNUMBER(SEARCH("R95",G111)),0)+IFERROR(--ISNUMBER(SEARCH("R96",G111)),0)+IFERROR(--ISNUMBER(SEARCH("R98",G111)),0)+IFERROR(--ISNUMBER(SEARCH("R99",G111)),0)+IFERROR(--ISNUMBER(SEARCH("R100",G111)),0)+IFERROR(--ISNUMBER(SEARCH("R104",G111)),0)+IFERROR(--ISNUMBER(SEARCH("R105",G111)),0)+IFERROR(--ISNUMBER(SEARCH("R107",G111)),0)+IFERROR(--ISNUMBER(SEARCH("R108",G111)),0)+IFERROR(--ISNUMBER(SEARCH("R109",G111)),0)+IFERROR(--ISNUMBER(SEARCH("R110",G111)),0)+IFERROR(--ISNUMBER(SEARCH("R112",G111)),0)+IFERROR(--ISNUMBER(SEARCH("R113",G111)),0)+IFERROR(--ISNUMBER(SEARCH("R114",G111)),0)+IFERROR(--ISNUMBER(SEARCH("R118",G111)),0)+IFERROR(--ISNUMBER(SEARCH("R119",G111)),0)+IFERROR(--ISNUMBER(SEARCH("R120",G111)),0)+IFERROR(--ISNUMBER(SEARCH("R122",G111)),0)+IFERROR(--ISNUMBER(SEARCH("R123",G111)),0)+IFERROR(--ISNUMBER(SEARCH("R124",G111)),0)+IFERROR(--ISNUMBER(SEARCH("R128",G111)),0)+IFERROR(--ISNUMBER(SEARCH("R130",G111)),0)+IFERROR(--ISNUMBER(SEARCH("R131",G111)),0)+IFERROR(--ISNUMBER(SEARCH("R132",G111)),0)+IFERROR(--ISNUMBER(SEARCH("R135",G111)),0)+IFERROR(--ISNUMBER(SEARCH("R138",G111)),0)+IFERROR(--ISNUMBER(SEARCH("R141",G111)),0))</f>
        <v/>
      </c>
      <c r="U111" s="58">
        <f>IF(A111="","",IFERROR(--ISNUMBER(SEARCH("R28",G111))*28,0)+IFERROR(--ISNUMBER(SEARCH("R29",G111))*29,0)+IFERROR(--ISNUMBER(SEARCH("R30",G111))*30,0)+IFERROR(--ISNUMBER(SEARCH("R31",G111))*31,0)+IFERROR(--ISNUMBER(SEARCH("R32",G111))*32,0)+IFERROR(--ISNUMBER(SEARCH("R33",G111))*33,0)+IFERROR(--ISNUMBER(SEARCH("R34",G111))*34,0)+IFERROR(--ISNUMBER(SEARCH("R35",G111))*35,0)+IFERROR(--ISNUMBER(SEARCH("R36",G111))*36,0)+IFERROR(--ISNUMBER(SEARCH("R37",G111))*37,0)+IFERROR(--ISNUMBER(SEARCH("R38",G111))*38,0)+IFERROR(--ISNUMBER(SEARCH("R39",G111))*39,0)+IFERROR(--ISNUMBER(SEARCH("R40",G111))*40,0)+IFERROR(--ISNUMBER(SEARCH("R41",G111))*41,0)+IFERROR(--ISNUMBER(SEARCH("R42",G111))*42,0)+IFERROR(--ISNUMBER(SEARCH("R43",G111))*43,0)+IFERROR(--ISNUMBER(SEARCH("R44",G111))*44,0)+IFERROR(--ISNUMBER(SEARCH("R45",G111))*45,0)+IFERROR(--ISNUMBER(SEARCH("R46",G111))*46,0)+IFERROR(--ISNUMBER(SEARCH("R47",G111))*47,0)+IFERROR(--ISNUMBER(SEARCH("R48",G111))*48,0)+IFERROR(--ISNUMBER(SEARCH("R49",G111))*49,0)+IFERROR(--ISNUMBER(SEARCH("R50",G111))*50,0)+IFERROR(--ISNUMBER(SEARCH("R51",G111))*51,0)+IFERROR(--ISNUMBER(SEARCH("R52",G111))*52,0)+IFERROR(--ISNUMBER(SEARCH("R53",G111))*53,0)+IFERROR(--ISNUMBER(SEARCH("R54",G111))*54,0)+IFERROR(--ISNUMBER(SEARCH("R55",G111))*55,0)+IFERROR(--ISNUMBER(SEARCH("R56",G111))*56,0)+IFERROR(--ISNUMBER(SEARCH("R57",G111))*57,0)+IFERROR(--ISNUMBER(SEARCH("R58",G111))*58,0)+IFERROR(--ISNUMBER(SEARCH("R59",G111))*59,0)+IFERROR(--ISNUMBER(SEARCH("R60",G111))*60,0)+IFERROR(--ISNUMBER(SEARCH("R61",G111))*61,0)+IFERROR(--ISNUMBER(SEARCH("R62",G111))*62,0)+IFERROR(--ISNUMBER(SEARCH("R63",G111))*63,0)+IFERROR(--ISNUMBER(SEARCH("R64",G111))*64,0)+IFERROR(--ISNUMBER(SEARCH("R65",G111))*65,0)+IFERROR(--ISNUMBER(SEARCH("R66",G111))*66,0)+IFERROR(--ISNUMBER(SEARCH("R67",G111))*67,0)+IFERROR(--ISNUMBER(SEARCH("R68",G111))*68,0)+IFERROR(--ISNUMBER(SEARCH("R69",G111))*69,0)+IFERROR(--ISNUMBER(SEARCH("R70",G111))*70,0)+IFERROR(--ISNUMBER(SEARCH("R71",G111))*71,0)+IFERROR(--ISNUMBER(SEARCH("R72",G111))*72,0)+IFERROR(--ISNUMBER(SEARCH("R73",G111))*73,0)+IFERROR(--ISNUMBER(SEARCH("R74",G111))*74,0)+IFERROR(--ISNUMBER(SEARCH("R75",G111))*75,0)+IFERROR(--ISNUMBER(SEARCH("R76",G111))*76,0)+IFERROR(--ISNUMBER(SEARCH("R77",G111))*77,0)+IFERROR(--ISNUMBER(SEARCH("R78",G111))*78,0)+IFERROR(--ISNUMBER(SEARCH("R79",G111))*79,0)+IFERROR(--ISNUMBER(SEARCH("R80",G111))*80,0)+IFERROR(--ISNUMBER(SEARCH("R81",G111))*81,0)+IFERROR(--ISNUMBER(SEARCH("R82",G111))*82,0)+IFERROR(--ISNUMBER(SEARCH("R83",G111))*83,0)+IFERROR(--ISNUMBER(SEARCH("R84",G111))*84,0)+IFERROR(--ISNUMBER(SEARCH("R85",G111))*85,0)+IFERROR(--ISNUMBER(SEARCH("R86",G111))*86,0)+IFERROR(--ISNUMBER(SEARCH("R87",G111))*87,0)+IFERROR(--ISNUMBER(SEARCH("R88",G111))*88,0)+IFERROR(--ISNUMBER(SEARCH("R89",G111))*89,0)+IFERROR(--ISNUMBER(SEARCH("R90",G111))*90,0)+IFERROR(--ISNUMBER(SEARCH("R91",G111))*91,0)+IFERROR(--ISNUMBER(SEARCH("R92",G111))*92,0)+IFERROR(--ISNUMBER(SEARCH("R93",G111))*93,0)+IFERROR(--ISNUMBER(SEARCH("R94",G111))*94,0)+IFERROR(--ISNUMBER(SEARCH("R95",G111))*95,0)+IFERROR(--ISNUMBER(SEARCH("R96",G111))*96,0)+IFERROR(--ISNUMBER(SEARCH("R97",G111))*97,0)+IFERROR(--ISNUMBER(SEARCH("R98",G111))*98,0)+IFERROR(--ISNUMBER(SEARCH("R99",G111))*99,0)+IFERROR(--ISNUMBER(SEARCH("R100",G111))*100,0)+IFERROR(--ISNUMBER(SEARCH("R101",G111))*101,0)+IFERROR(--ISNUMBER(SEARCH("R102",G111))*102,0)+IFERROR(--ISNUMBER(SEARCH("R103",G111))*103,0)+IFERROR(--ISNUMBER(SEARCH("R104",G111))*104,0)+IFERROR(--ISNUMBER(SEARCH("R105",G111))*105,0)+IFERROR(--ISNUMBER(SEARCH("R106",G111))*106,0)+IFERROR(--ISNUMBER(SEARCH("R107",G111))*107,0)+IFERROR(--ISNUMBER(SEARCH("R108",G111))*108,0)+IFERROR(--ISNUMBER(SEARCH("R109",G111))*109,0)+IFERROR(--ISNUMBER(SEARCH("R110",G111))*110,0)+IFERROR(--ISNUMBER(SEARCH("R111",G111))*111,0)+IFERROR(--ISNUMBER(SEARCH("R112",G111))*112,0)+IFERROR(--ISNUMBER(SEARCH("R113",G111))*113,0)+IFERROR(--ISNUMBER(SEARCH("R114",G111))*114,0)+IFERROR(--ISNUMBER(SEARCH("R115",G111))*115,0)+IFERROR(--ISNUMBER(SEARCH("R116",G111))*116,0)+IFERROR(--ISNUMBER(SEARCH("R117",G111))*117,0)+IFERROR(--ISNUMBER(SEARCH("R118",G111))*118,0)+IFERROR(--ISNUMBER(SEARCH("R119",G111))*119,0)+IFERROR(--ISNUMBER(SEARCH("R120",G111))*120,0)+IFERROR(--ISNUMBER(SEARCH("R121",G111))*121,0)+IFERROR(--ISNUMBER(SEARCH("R122",G111))*122,0)+IFERROR(--ISNUMBER(SEARCH("R123",G111))*123,0)+IFERROR(--ISNUMBER(SEARCH("R124",G111))*124,0)+IFERROR(--ISNUMBER(SEARCH("R125",G111))*125,0)+IFERROR(--ISNUMBER(SEARCH("R126",G111))*126,0)+IFERROR(--ISNUMBER(SEARCH("R127",G111))*127,0)+IFERROR(--ISNUMBER(SEARCH("R128",G111))*128,0)+IFERROR(--ISNUMBER(SEARCH("R129",G111))*129,0)+IFERROR(--ISNUMBER(SEARCH("R130",G111))*130,0)+IFERROR(--ISNUMBER(SEARCH("R131",G111))*131,0)+IFERROR(--ISNUMBER(SEARCH("R132",G111))*132,0)+IFERROR(--ISNUMBER(SEARCH("R133",G111))*133,0)+IFERROR(--ISNUMBER(SEARCH("R134",G111))*134,0)+IFERROR(--ISNUMBER(SEARCH("R135",G111))*135,0)+IFERROR(--ISNUMBER(SEARCH("R136",G111))*136,0)+IFERROR(--ISNUMBER(SEARCH("R137",G111))*137,0)+IFERROR(--ISNUMBER(SEARCH("R138",G111))*138,0)+IFERROR(--ISNUMBER(SEARCH("R139",G111))*139,0)+IFERROR(--ISNUMBER(SEARCH("R140",G111))*140,0)+IFERROR(--ISNUMBER(SEARCH("R141",G111))*141,0))</f>
        <v/>
      </c>
      <c r="V111" s="59">
        <f>IF(A111="","",IF(K111&lt;&gt;"",K111,J111))</f>
        <v/>
      </c>
      <c r="W111" s="59">
        <f>IF(A111="","",IF(AND(V111=29,O111&lt;&gt;"",COUNTIFS($V$6:$V$505,29,$F$6:$F$505,F111,$C$6:$C$505,C111,$O$6:$O$505,"&lt;&gt;")&gt;1),IF(COUNTIFS($V$6:V111,29,$F$6:F111,F111,$C$6:C111,C111,$O$6:O111,"&lt;&gt;")=1,"Esta es la fila que se debe CONSERVAR (aparición 1 de "&amp;COUNTIFS($V$6:$V$505,29,$F$6:$F$505,F111,$C$6:$C$505,C111,$O$6:$O$505,"&lt;&gt;")&amp;" con el mismo tercero y valor, casilla 29). Si hay más filas iguales, bórreles el valor a ELLAS, no a esta.","DUPLICADO — ya existe otra fila con el mismo tercero y valor para casilla 29 (aparición "&amp;COUNTIFS($V$6:V111,29,$F$6:F111,F111,$C$6:C111,C111,$O$6:O111,"&lt;&gt;")&amp;" de "&amp;COUNTIFS($V$6:$V$505,29,$F$6:$F$505,F111,$C$6:$C$505,C111,$O$6:$O$505,"&lt;&gt;")&amp;"). Para resolverlo: seleccione la celda O"&amp;ROW()&amp;" (columna Valor a declarar de ESTA fila) y presione Supr."),""))</f>
        <v/>
      </c>
      <c r="X111" s="463">
        <f>IF(A111="","",F111)</f>
        <v/>
      </c>
      <c r="Y111" s="463">
        <f>IF(A111="","",SUMIF(Entrada_Manual!$I$88:$I$187,A111,Entrada_Manual!$F$88:$F$187))</f>
        <v/>
      </c>
      <c r="Z111" s="463">
        <f>IF(A111="","",X111-Y111)</f>
        <v/>
      </c>
      <c r="AA111">
        <f>IF(A111="","",SUMPRODUCT((Entrada_Manual!$I$88:$I$187=A111)*1))</f>
        <v/>
      </c>
      <c r="AB111">
        <f>IF(A111="","",IF(S111&lt;=1,"",IF(AA111=0,"PENDIENTE — SIN ASIGNAR",IF(Z111=0,"RESUELTO","PARCIAL — DIFERENCIA "&amp;TEXT(Z111,"#,##0")))))</f>
        <v/>
      </c>
    </row>
    <row r="112" ht="14.25" customHeight="1" s="235">
      <c r="A112" s="47">
        <f>IF(Exogena_RAW!E121&lt;&gt;"",ROW()-5,"")</f>
        <v/>
      </c>
      <c r="B112" s="48">
        <f>IF(A112="","",121)</f>
        <v/>
      </c>
      <c r="C112" s="48">
        <f>IF(A112="","",IFERROR(Exogena_RAW!A121,""))</f>
        <v/>
      </c>
      <c r="D112" s="48">
        <f>IF(A112="","",IFERROR(Exogena_RAW!B121,""))</f>
        <v/>
      </c>
      <c r="E112" s="48">
        <f>IF(A112="","",Exogena_RAW!E121)</f>
        <v/>
      </c>
      <c r="F112" s="461">
        <f>IF(A112="","",Exogena_RAW!F121)</f>
        <v/>
      </c>
      <c r="G112" s="48">
        <f>IF(A112="","",IFERROR(Exogena_RAW!G121,""))</f>
        <v/>
      </c>
      <c r="H112" s="48">
        <f>IF(A112="","",IFERROR(Exogena_RAW!H121,""))</f>
        <v/>
      </c>
      <c r="I112" s="48">
        <f>IF(A112="","",IFERROR(IF(S112&gt;1,"VARIAS CASILLAS",IF(S112=1,IF(T112=1,"PROPUESTA DE CASILLA","REVISIÓN: CASILLA NO DIRECTA"),IF(OR(ISNUMBER(SEARCH("TOPE",UPPER(E112))),ISNUMBER(SEARCH("TOPE",UPPER(G112)))),"SOLO CONTROL",IF(ISNUMBER(SEARCH("RETEN",UPPER(E112))),"RETENCIÓN","REVISAR")))),"REVISAR"))</f>
        <v/>
      </c>
      <c r="J112" s="48">
        <f>IF(A112="","",IF(ISNUMBER(SEARCH("ingreso laboral promedio de los últimos seis meses",E112)),"",IFERROR(IF(AND(S112=1,T112=1),U112,""),"")))</f>
        <v/>
      </c>
      <c r="K112" s="216" t="n"/>
      <c r="L112" s="48">
        <f>IF(A112="","",IFERROR(IF(K112&lt;&gt;"","Casilla elegida por usuario",IF(S112&gt;1,"Varias casillas — elegir en K",IF(J112&lt;&gt;"","Sugerencia directa",IF(S112=1,"No trasladar directo — revisar",IF(OR(ISNUMBER(SEARCH("TOPE",UPPER(E112))),ISNUMBER(SEARCH("TOPE",UPPER(G112)))),"Solo control","Revisar manualmente"))))),"Revisar manualmente"))</f>
        <v/>
      </c>
      <c r="M112" s="461">
        <f>IF(A112="","",IF(IF(K112&lt;&gt;"",K112,J112)="",0,IF(COUNTIFS(Reglas!$I$5:$I$118,IF(K112&lt;&gt;"",K112,J112),Reglas!$J$5:$J$118,"Sí")=1,F112,0)))</f>
        <v/>
      </c>
      <c r="N112" s="56" t="n"/>
      <c r="O112" s="462">
        <f>IF(A112="","",IF(M112=0,"",M112))</f>
        <v/>
      </c>
      <c r="P112" s="461">
        <f>IF(A112="","",IF(O112="",0,IF(ISNUMBER(O112),O112,0)))</f>
        <v/>
      </c>
      <c r="Q112" s="48">
        <f>IF(A112="","",IF(Exogena_RAW!$C$4="","BLOQUEADO: FALTA AÑO",IF(Exogena_RAW!$K$10&lt;&gt;Reglas!$B$5,"BLOQUEADO: AÑO",IF(IF(K112&lt;&gt;"",K112,J112)="",IF(S112&gt;1,"REQUIERE ASIGNACIÓN MANUAL (VARIAS CASILLAS)","INFORMATIVO (sin casilla — no se declara)"),IF(COUNTIFS(Reglas!$I$5:$I$118,IF(K112&lt;&gt;"",K112,J112),Reglas!$J$5:$J$118,"Sí")=0,"BLOQUEADO: CASILLA NO DIRECTA",IF(O112="","EXCLUIDO (valor borrado por el usuario)",IF(_xlfn.ISFORMULA(O112),IF(W112&lt;&gt;"","BORRADOR — VALOR SUGERIDO DIAN ⚠ VER ALERTA","BORRADOR — VALOR SUGERIDO DIAN"),IF(W112&lt;&gt;"","ACEPTADO ⚠ VER ALERTA","ACEPTADO"))))))))</f>
        <v/>
      </c>
      <c r="R112" s="218" t="n"/>
      <c r="S112" s="58">
        <f>IF(A112="","",IFERROR(--ISNUMBER(SEARCH("R28",G112)),0)+IFERROR(--ISNUMBER(SEARCH("R29",G112)),0)+IFERROR(--ISNUMBER(SEARCH("R30",G112)),0)+IFERROR(--ISNUMBER(SEARCH("R31",G112)),0)+IFERROR(--ISNUMBER(SEARCH("R32",G112)),0)+IFERROR(--ISNUMBER(SEARCH("R33",G112)),0)+IFERROR(--ISNUMBER(SEARCH("R34",G112)),0)+IFERROR(--ISNUMBER(SEARCH("R35",G112)),0)+IFERROR(--ISNUMBER(SEARCH("R36",G112)),0)+IFERROR(--ISNUMBER(SEARCH("R37",G112)),0)+IFERROR(--ISNUMBER(SEARCH("R38",G112)),0)+IFERROR(--ISNUMBER(SEARCH("R39",G112)),0)+IFERROR(--ISNUMBER(SEARCH("R40",G112)),0)+IFERROR(--ISNUMBER(SEARCH("R41",G112)),0)+IFERROR(--ISNUMBER(SEARCH("R42",G112)),0)+IFERROR(--ISNUMBER(SEARCH("R43",G112)),0)+IFERROR(--ISNUMBER(SEARCH("R44",G112)),0)+IFERROR(--ISNUMBER(SEARCH("R45",G112)),0)+IFERROR(--ISNUMBER(SEARCH("R46",G112)),0)+IFERROR(--ISNUMBER(SEARCH("R47",G112)),0)+IFERROR(--ISNUMBER(SEARCH("R48",G112)),0)+IFERROR(--ISNUMBER(SEARCH("R49",G112)),0)+IFERROR(--ISNUMBER(SEARCH("R50",G112)),0)+IFERROR(--ISNUMBER(SEARCH("R51",G112)),0)+IFERROR(--ISNUMBER(SEARCH("R52",G112)),0)+IFERROR(--ISNUMBER(SEARCH("R53",G112)),0)+IFERROR(--ISNUMBER(SEARCH("R54",G112)),0)+IFERROR(--ISNUMBER(SEARCH("R55",G112)),0)+IFERROR(--ISNUMBER(SEARCH("R56",G112)),0)+IFERROR(--ISNUMBER(SEARCH("R57",G112)),0)+IFERROR(--ISNUMBER(SEARCH("R58",G112)),0)+IFERROR(--ISNUMBER(SEARCH("R59",G112)),0)+IFERROR(--ISNUMBER(SEARCH("R60",G112)),0)+IFERROR(--ISNUMBER(SEARCH("R61",G112)),0)+IFERROR(--ISNUMBER(SEARCH("R62",G112)),0)+IFERROR(--ISNUMBER(SEARCH("R63",G112)),0)+IFERROR(--ISNUMBER(SEARCH("R64",G112)),0)+IFERROR(--ISNUMBER(SEARCH("R65",G112)),0)+IFERROR(--ISNUMBER(SEARCH("R66",G112)),0)+IFERROR(--ISNUMBER(SEARCH("R67",G112)),0)+IFERROR(--ISNUMBER(SEARCH("R68",G112)),0)+IFERROR(--ISNUMBER(SEARCH("R69",G112)),0)+IFERROR(--ISNUMBER(SEARCH("R70",G112)),0)+IFERROR(--ISNUMBER(SEARCH("R71",G112)),0)+IFERROR(--ISNUMBER(SEARCH("R72",G112)),0)+IFERROR(--ISNUMBER(SEARCH("R73",G112)),0)+IFERROR(--ISNUMBER(SEARCH("R74",G112)),0)+IFERROR(--ISNUMBER(SEARCH("R75",G112)),0)+IFERROR(--ISNUMBER(SEARCH("R76",G112)),0)+IFERROR(--ISNUMBER(SEARCH("R77",G112)),0)+IFERROR(--ISNUMBER(SEARCH("R78",G112)),0)+IFERROR(--ISNUMBER(SEARCH("R79",G112)),0)+IFERROR(--ISNUMBER(SEARCH("R80",G112)),0)+IFERROR(--ISNUMBER(SEARCH("R81",G112)),0)+IFERROR(--ISNUMBER(SEARCH("R82",G112)),0)+IFERROR(--ISNUMBER(SEARCH("R83",G112)),0)+IFERROR(--ISNUMBER(SEARCH("R84",G112)),0)+IFERROR(--ISNUMBER(SEARCH("R85",G112)),0)+IFERROR(--ISNUMBER(SEARCH("R86",G112)),0)+IFERROR(--ISNUMBER(SEARCH("R87",G112)),0)+IFERROR(--ISNUMBER(SEARCH("R88",G112)),0)+IFERROR(--ISNUMBER(SEARCH("R89",G112)),0)+IFERROR(--ISNUMBER(SEARCH("R90",G112)),0)+IFERROR(--ISNUMBER(SEARCH("R91",G112)),0)+IFERROR(--ISNUMBER(SEARCH("R92",G112)),0)+IFERROR(--ISNUMBER(SEARCH("R93",G112)),0)+IFERROR(--ISNUMBER(SEARCH("R94",G112)),0)+IFERROR(--ISNUMBER(SEARCH("R95",G112)),0)+IFERROR(--ISNUMBER(SEARCH("R96",G112)),0)+IFERROR(--ISNUMBER(SEARCH("R97",G112)),0)+IFERROR(--ISNUMBER(SEARCH("R98",G112)),0)+IFERROR(--ISNUMBER(SEARCH("R99",G112)),0)+IFERROR(--ISNUMBER(SEARCH("R100",G112)),0)+IFERROR(--ISNUMBER(SEARCH("R101",G112)),0)+IFERROR(--ISNUMBER(SEARCH("R102",G112)),0)+IFERROR(--ISNUMBER(SEARCH("R103",G112)),0)+IFERROR(--ISNUMBER(SEARCH("R104",G112)),0)+IFERROR(--ISNUMBER(SEARCH("R105",G112)),0)+IFERROR(--ISNUMBER(SEARCH("R106",G112)),0)+IFERROR(--ISNUMBER(SEARCH("R107",G112)),0)+IFERROR(--ISNUMBER(SEARCH("R108",G112)),0)+IFERROR(--ISNUMBER(SEARCH("R109",G112)),0)+IFERROR(--ISNUMBER(SEARCH("R110",G112)),0)+IFERROR(--ISNUMBER(SEARCH("R111",G112)),0)+IFERROR(--ISNUMBER(SEARCH("R112",G112)),0)+IFERROR(--ISNUMBER(SEARCH("R113",G112)),0)+IFERROR(--ISNUMBER(SEARCH("R114",G112)),0)+IFERROR(--ISNUMBER(SEARCH("R115",G112)),0)+IFERROR(--ISNUMBER(SEARCH("R116",G112)),0)+IFERROR(--ISNUMBER(SEARCH("R117",G112)),0)+IFERROR(--ISNUMBER(SEARCH("R118",G112)),0)+IFERROR(--ISNUMBER(SEARCH("R119",G112)),0)+IFERROR(--ISNUMBER(SEARCH("R120",G112)),0)+IFERROR(--ISNUMBER(SEARCH("R121",G112)),0)+IFERROR(--ISNUMBER(SEARCH("R122",G112)),0)+IFERROR(--ISNUMBER(SEARCH("R123",G112)),0)+IFERROR(--ISNUMBER(SEARCH("R124",G112)),0)+IFERROR(--ISNUMBER(SEARCH("R125",G112)),0)+IFERROR(--ISNUMBER(SEARCH("R126",G112)),0)+IFERROR(--ISNUMBER(SEARCH("R127",G112)),0)+IFERROR(--ISNUMBER(SEARCH("R128",G112)),0)+IFERROR(--ISNUMBER(SEARCH("R129",G112)),0)+IFERROR(--ISNUMBER(SEARCH("R130",G112)),0)+IFERROR(--ISNUMBER(SEARCH("R131",G112)),0)+IFERROR(--ISNUMBER(SEARCH("R132",G112)),0)+IFERROR(--ISNUMBER(SEARCH("R133",G112)),0)+IFERROR(--ISNUMBER(SEARCH("R134",G112)),0)+IFERROR(--ISNUMBER(SEARCH("R135",G112)),0)+IFERROR(--ISNUMBER(SEARCH("R136",G112)),0)+IFERROR(--ISNUMBER(SEARCH("R137",G112)),0)+IFERROR(--ISNUMBER(SEARCH("R138",G112)),0)+IFERROR(--ISNUMBER(SEARCH("R139",G112)),0)+IFERROR(--ISNUMBER(SEARCH("R140",G112)),0)+IFERROR(--ISNUMBER(SEARCH("R141",G112)),0))</f>
        <v/>
      </c>
      <c r="T112" s="58">
        <f>IF(A112="","",IFERROR(--ISNUMBER(SEARCH("R28",G112)),0)+IFERROR(--ISNUMBER(SEARCH("R29",G112)),0)+IFERROR(--ISNUMBER(SEARCH("R30",G112)),0)+IFERROR(--ISNUMBER(SEARCH("R32",G112)),0)+IFERROR(--ISNUMBER(SEARCH("R33",G112)),0)+IFERROR(--ISNUMBER(SEARCH("R35",G112)),0)+IFERROR(--ISNUMBER(SEARCH("R36",G112)),0)+IFERROR(--ISNUMBER(SEARCH("R38",G112)),0)+IFERROR(--ISNUMBER(SEARCH("R39",G112)),0)+IFERROR(--ISNUMBER(SEARCH("R43",G112)),0)+IFERROR(--ISNUMBER(SEARCH("R44",G112)),0)+IFERROR(--ISNUMBER(SEARCH("R45",G112)),0)+IFERROR(--ISNUMBER(SEARCH("R47",G112)),0)+IFERROR(--ISNUMBER(SEARCH("R48",G112)),0)+IFERROR(--ISNUMBER(SEARCH("R50",G112)),0)+IFERROR(--ISNUMBER(SEARCH("R51",G112)),0)+IFERROR(--ISNUMBER(SEARCH("R56",G112)),0)+IFERROR(--ISNUMBER(SEARCH("R58",G112)),0)+IFERROR(--ISNUMBER(SEARCH("R59",G112)),0)+IFERROR(--ISNUMBER(SEARCH("R60",G112)),0)+IFERROR(--ISNUMBER(SEARCH("R62",G112)),0)+IFERROR(--ISNUMBER(SEARCH("R63",G112)),0)+IFERROR(--ISNUMBER(SEARCH("R64",G112)),0)+IFERROR(--ISNUMBER(SEARCH("R66",G112)),0)+IFERROR(--ISNUMBER(SEARCH("R67",G112)),0)+IFERROR(--ISNUMBER(SEARCH("R72",G112)),0)+IFERROR(--ISNUMBER(SEARCH("R74",G112)),0)+IFERROR(--ISNUMBER(SEARCH("R75",G112)),0)+IFERROR(--ISNUMBER(SEARCH("R76",G112)),0)+IFERROR(--ISNUMBER(SEARCH("R77",G112)),0)+IFERROR(--ISNUMBER(SEARCH("R79",G112)),0)+IFERROR(--ISNUMBER(SEARCH("R80",G112)),0)+IFERROR(--ISNUMBER(SEARCH("R81",G112)),0)+IFERROR(--ISNUMBER(SEARCH("R83",G112)),0)+IFERROR(--ISNUMBER(SEARCH("R84",G112)),0)+IFERROR(--ISNUMBER(SEARCH("R89",G112)),0)+IFERROR(--ISNUMBER(SEARCH("R94",G112)),0)+IFERROR(--ISNUMBER(SEARCH("R95",G112)),0)+IFERROR(--ISNUMBER(SEARCH("R96",G112)),0)+IFERROR(--ISNUMBER(SEARCH("R98",G112)),0)+IFERROR(--ISNUMBER(SEARCH("R99",G112)),0)+IFERROR(--ISNUMBER(SEARCH("R100",G112)),0)+IFERROR(--ISNUMBER(SEARCH("R104",G112)),0)+IFERROR(--ISNUMBER(SEARCH("R105",G112)),0)+IFERROR(--ISNUMBER(SEARCH("R107",G112)),0)+IFERROR(--ISNUMBER(SEARCH("R108",G112)),0)+IFERROR(--ISNUMBER(SEARCH("R109",G112)),0)+IFERROR(--ISNUMBER(SEARCH("R110",G112)),0)+IFERROR(--ISNUMBER(SEARCH("R112",G112)),0)+IFERROR(--ISNUMBER(SEARCH("R113",G112)),0)+IFERROR(--ISNUMBER(SEARCH("R114",G112)),0)+IFERROR(--ISNUMBER(SEARCH("R118",G112)),0)+IFERROR(--ISNUMBER(SEARCH("R119",G112)),0)+IFERROR(--ISNUMBER(SEARCH("R120",G112)),0)+IFERROR(--ISNUMBER(SEARCH("R122",G112)),0)+IFERROR(--ISNUMBER(SEARCH("R123",G112)),0)+IFERROR(--ISNUMBER(SEARCH("R124",G112)),0)+IFERROR(--ISNUMBER(SEARCH("R128",G112)),0)+IFERROR(--ISNUMBER(SEARCH("R130",G112)),0)+IFERROR(--ISNUMBER(SEARCH("R131",G112)),0)+IFERROR(--ISNUMBER(SEARCH("R132",G112)),0)+IFERROR(--ISNUMBER(SEARCH("R135",G112)),0)+IFERROR(--ISNUMBER(SEARCH("R138",G112)),0)+IFERROR(--ISNUMBER(SEARCH("R141",G112)),0))</f>
        <v/>
      </c>
      <c r="U112" s="58">
        <f>IF(A112="","",IFERROR(--ISNUMBER(SEARCH("R28",G112))*28,0)+IFERROR(--ISNUMBER(SEARCH("R29",G112))*29,0)+IFERROR(--ISNUMBER(SEARCH("R30",G112))*30,0)+IFERROR(--ISNUMBER(SEARCH("R31",G112))*31,0)+IFERROR(--ISNUMBER(SEARCH("R32",G112))*32,0)+IFERROR(--ISNUMBER(SEARCH("R33",G112))*33,0)+IFERROR(--ISNUMBER(SEARCH("R34",G112))*34,0)+IFERROR(--ISNUMBER(SEARCH("R35",G112))*35,0)+IFERROR(--ISNUMBER(SEARCH("R36",G112))*36,0)+IFERROR(--ISNUMBER(SEARCH("R37",G112))*37,0)+IFERROR(--ISNUMBER(SEARCH("R38",G112))*38,0)+IFERROR(--ISNUMBER(SEARCH("R39",G112))*39,0)+IFERROR(--ISNUMBER(SEARCH("R40",G112))*40,0)+IFERROR(--ISNUMBER(SEARCH("R41",G112))*41,0)+IFERROR(--ISNUMBER(SEARCH("R42",G112))*42,0)+IFERROR(--ISNUMBER(SEARCH("R43",G112))*43,0)+IFERROR(--ISNUMBER(SEARCH("R44",G112))*44,0)+IFERROR(--ISNUMBER(SEARCH("R45",G112))*45,0)+IFERROR(--ISNUMBER(SEARCH("R46",G112))*46,0)+IFERROR(--ISNUMBER(SEARCH("R47",G112))*47,0)+IFERROR(--ISNUMBER(SEARCH("R48",G112))*48,0)+IFERROR(--ISNUMBER(SEARCH("R49",G112))*49,0)+IFERROR(--ISNUMBER(SEARCH("R50",G112))*50,0)+IFERROR(--ISNUMBER(SEARCH("R51",G112))*51,0)+IFERROR(--ISNUMBER(SEARCH("R52",G112))*52,0)+IFERROR(--ISNUMBER(SEARCH("R53",G112))*53,0)+IFERROR(--ISNUMBER(SEARCH("R54",G112))*54,0)+IFERROR(--ISNUMBER(SEARCH("R55",G112))*55,0)+IFERROR(--ISNUMBER(SEARCH("R56",G112))*56,0)+IFERROR(--ISNUMBER(SEARCH("R57",G112))*57,0)+IFERROR(--ISNUMBER(SEARCH("R58",G112))*58,0)+IFERROR(--ISNUMBER(SEARCH("R59",G112))*59,0)+IFERROR(--ISNUMBER(SEARCH("R60",G112))*60,0)+IFERROR(--ISNUMBER(SEARCH("R61",G112))*61,0)+IFERROR(--ISNUMBER(SEARCH("R62",G112))*62,0)+IFERROR(--ISNUMBER(SEARCH("R63",G112))*63,0)+IFERROR(--ISNUMBER(SEARCH("R64",G112))*64,0)+IFERROR(--ISNUMBER(SEARCH("R65",G112))*65,0)+IFERROR(--ISNUMBER(SEARCH("R66",G112))*66,0)+IFERROR(--ISNUMBER(SEARCH("R67",G112))*67,0)+IFERROR(--ISNUMBER(SEARCH("R68",G112))*68,0)+IFERROR(--ISNUMBER(SEARCH("R69",G112))*69,0)+IFERROR(--ISNUMBER(SEARCH("R70",G112))*70,0)+IFERROR(--ISNUMBER(SEARCH("R71",G112))*71,0)+IFERROR(--ISNUMBER(SEARCH("R72",G112))*72,0)+IFERROR(--ISNUMBER(SEARCH("R73",G112))*73,0)+IFERROR(--ISNUMBER(SEARCH("R74",G112))*74,0)+IFERROR(--ISNUMBER(SEARCH("R75",G112))*75,0)+IFERROR(--ISNUMBER(SEARCH("R76",G112))*76,0)+IFERROR(--ISNUMBER(SEARCH("R77",G112))*77,0)+IFERROR(--ISNUMBER(SEARCH("R78",G112))*78,0)+IFERROR(--ISNUMBER(SEARCH("R79",G112))*79,0)+IFERROR(--ISNUMBER(SEARCH("R80",G112))*80,0)+IFERROR(--ISNUMBER(SEARCH("R81",G112))*81,0)+IFERROR(--ISNUMBER(SEARCH("R82",G112))*82,0)+IFERROR(--ISNUMBER(SEARCH("R83",G112))*83,0)+IFERROR(--ISNUMBER(SEARCH("R84",G112))*84,0)+IFERROR(--ISNUMBER(SEARCH("R85",G112))*85,0)+IFERROR(--ISNUMBER(SEARCH("R86",G112))*86,0)+IFERROR(--ISNUMBER(SEARCH("R87",G112))*87,0)+IFERROR(--ISNUMBER(SEARCH("R88",G112))*88,0)+IFERROR(--ISNUMBER(SEARCH("R89",G112))*89,0)+IFERROR(--ISNUMBER(SEARCH("R90",G112))*90,0)+IFERROR(--ISNUMBER(SEARCH("R91",G112))*91,0)+IFERROR(--ISNUMBER(SEARCH("R92",G112))*92,0)+IFERROR(--ISNUMBER(SEARCH("R93",G112))*93,0)+IFERROR(--ISNUMBER(SEARCH("R94",G112))*94,0)+IFERROR(--ISNUMBER(SEARCH("R95",G112))*95,0)+IFERROR(--ISNUMBER(SEARCH("R96",G112))*96,0)+IFERROR(--ISNUMBER(SEARCH("R97",G112))*97,0)+IFERROR(--ISNUMBER(SEARCH("R98",G112))*98,0)+IFERROR(--ISNUMBER(SEARCH("R99",G112))*99,0)+IFERROR(--ISNUMBER(SEARCH("R100",G112))*100,0)+IFERROR(--ISNUMBER(SEARCH("R101",G112))*101,0)+IFERROR(--ISNUMBER(SEARCH("R102",G112))*102,0)+IFERROR(--ISNUMBER(SEARCH("R103",G112))*103,0)+IFERROR(--ISNUMBER(SEARCH("R104",G112))*104,0)+IFERROR(--ISNUMBER(SEARCH("R105",G112))*105,0)+IFERROR(--ISNUMBER(SEARCH("R106",G112))*106,0)+IFERROR(--ISNUMBER(SEARCH("R107",G112))*107,0)+IFERROR(--ISNUMBER(SEARCH("R108",G112))*108,0)+IFERROR(--ISNUMBER(SEARCH("R109",G112))*109,0)+IFERROR(--ISNUMBER(SEARCH("R110",G112))*110,0)+IFERROR(--ISNUMBER(SEARCH("R111",G112))*111,0)+IFERROR(--ISNUMBER(SEARCH("R112",G112))*112,0)+IFERROR(--ISNUMBER(SEARCH("R113",G112))*113,0)+IFERROR(--ISNUMBER(SEARCH("R114",G112))*114,0)+IFERROR(--ISNUMBER(SEARCH("R115",G112))*115,0)+IFERROR(--ISNUMBER(SEARCH("R116",G112))*116,0)+IFERROR(--ISNUMBER(SEARCH("R117",G112))*117,0)+IFERROR(--ISNUMBER(SEARCH("R118",G112))*118,0)+IFERROR(--ISNUMBER(SEARCH("R119",G112))*119,0)+IFERROR(--ISNUMBER(SEARCH("R120",G112))*120,0)+IFERROR(--ISNUMBER(SEARCH("R121",G112))*121,0)+IFERROR(--ISNUMBER(SEARCH("R122",G112))*122,0)+IFERROR(--ISNUMBER(SEARCH("R123",G112))*123,0)+IFERROR(--ISNUMBER(SEARCH("R124",G112))*124,0)+IFERROR(--ISNUMBER(SEARCH("R125",G112))*125,0)+IFERROR(--ISNUMBER(SEARCH("R126",G112))*126,0)+IFERROR(--ISNUMBER(SEARCH("R127",G112))*127,0)+IFERROR(--ISNUMBER(SEARCH("R128",G112))*128,0)+IFERROR(--ISNUMBER(SEARCH("R129",G112))*129,0)+IFERROR(--ISNUMBER(SEARCH("R130",G112))*130,0)+IFERROR(--ISNUMBER(SEARCH("R131",G112))*131,0)+IFERROR(--ISNUMBER(SEARCH("R132",G112))*132,0)+IFERROR(--ISNUMBER(SEARCH("R133",G112))*133,0)+IFERROR(--ISNUMBER(SEARCH("R134",G112))*134,0)+IFERROR(--ISNUMBER(SEARCH("R135",G112))*135,0)+IFERROR(--ISNUMBER(SEARCH("R136",G112))*136,0)+IFERROR(--ISNUMBER(SEARCH("R137",G112))*137,0)+IFERROR(--ISNUMBER(SEARCH("R138",G112))*138,0)+IFERROR(--ISNUMBER(SEARCH("R139",G112))*139,0)+IFERROR(--ISNUMBER(SEARCH("R140",G112))*140,0)+IFERROR(--ISNUMBER(SEARCH("R141",G112))*141,0))</f>
        <v/>
      </c>
      <c r="V112" s="59">
        <f>IF(A112="","",IF(K112&lt;&gt;"",K112,J112))</f>
        <v/>
      </c>
      <c r="W112" s="59">
        <f>IF(A112="","",IF(AND(V112=29,O112&lt;&gt;"",COUNTIFS($V$6:$V$505,29,$F$6:$F$505,F112,$C$6:$C$505,C112,$O$6:$O$505,"&lt;&gt;")&gt;1),IF(COUNTIFS($V$6:V112,29,$F$6:F112,F112,$C$6:C112,C112,$O$6:O112,"&lt;&gt;")=1,"Esta es la fila que se debe CONSERVAR (aparición 1 de "&amp;COUNTIFS($V$6:$V$505,29,$F$6:$F$505,F112,$C$6:$C$505,C112,$O$6:$O$505,"&lt;&gt;")&amp;" con el mismo tercero y valor, casilla 29). Si hay más filas iguales, bórreles el valor a ELLAS, no a esta.","DUPLICADO — ya existe otra fila con el mismo tercero y valor para casilla 29 (aparición "&amp;COUNTIFS($V$6:V112,29,$F$6:F112,F112,$C$6:C112,C112,$O$6:O112,"&lt;&gt;")&amp;" de "&amp;COUNTIFS($V$6:$V$505,29,$F$6:$F$505,F112,$C$6:$C$505,C112,$O$6:$O$505,"&lt;&gt;")&amp;"). Para resolverlo: seleccione la celda O"&amp;ROW()&amp;" (columna Valor a declarar de ESTA fila) y presione Supr."),""))</f>
        <v/>
      </c>
      <c r="X112" s="463">
        <f>IF(A112="","",F112)</f>
        <v/>
      </c>
      <c r="Y112" s="463">
        <f>IF(A112="","",SUMIF(Entrada_Manual!$I$88:$I$187,A112,Entrada_Manual!$F$88:$F$187))</f>
        <v/>
      </c>
      <c r="Z112" s="463">
        <f>IF(A112="","",X112-Y112)</f>
        <v/>
      </c>
      <c r="AA112">
        <f>IF(A112="","",SUMPRODUCT((Entrada_Manual!$I$88:$I$187=A112)*1))</f>
        <v/>
      </c>
      <c r="AB112">
        <f>IF(A112="","",IF(S112&lt;=1,"",IF(AA112=0,"PENDIENTE — SIN ASIGNAR",IF(Z112=0,"RESUELTO","PARCIAL — DIFERENCIA "&amp;TEXT(Z112,"#,##0")))))</f>
        <v/>
      </c>
    </row>
    <row r="113" ht="14.25" customHeight="1" s="235">
      <c r="A113" s="47">
        <f>IF(Exogena_RAW!E122&lt;&gt;"",ROW()-5,"")</f>
        <v/>
      </c>
      <c r="B113" s="48">
        <f>IF(A113="","",122)</f>
        <v/>
      </c>
      <c r="C113" s="48">
        <f>IF(A113="","",IFERROR(Exogena_RAW!A122,""))</f>
        <v/>
      </c>
      <c r="D113" s="48">
        <f>IF(A113="","",IFERROR(Exogena_RAW!B122,""))</f>
        <v/>
      </c>
      <c r="E113" s="48">
        <f>IF(A113="","",Exogena_RAW!E122)</f>
        <v/>
      </c>
      <c r="F113" s="461">
        <f>IF(A113="","",Exogena_RAW!F122)</f>
        <v/>
      </c>
      <c r="G113" s="48">
        <f>IF(A113="","",IFERROR(Exogena_RAW!G122,""))</f>
        <v/>
      </c>
      <c r="H113" s="48">
        <f>IF(A113="","",IFERROR(Exogena_RAW!H122,""))</f>
        <v/>
      </c>
      <c r="I113" s="48">
        <f>IF(A113="","",IFERROR(IF(S113&gt;1,"VARIAS CASILLAS",IF(S113=1,IF(T113=1,"PROPUESTA DE CASILLA","REVISIÓN: CASILLA NO DIRECTA"),IF(OR(ISNUMBER(SEARCH("TOPE",UPPER(E113))),ISNUMBER(SEARCH("TOPE",UPPER(G113)))),"SOLO CONTROL",IF(ISNUMBER(SEARCH("RETEN",UPPER(E113))),"RETENCIÓN","REVISAR")))),"REVISAR"))</f>
        <v/>
      </c>
      <c r="J113" s="48">
        <f>IF(A113="","",IF(ISNUMBER(SEARCH("ingreso laboral promedio de los últimos seis meses",E113)),"",IFERROR(IF(AND(S113=1,T113=1),U113,""),"")))</f>
        <v/>
      </c>
      <c r="K113" s="216" t="n"/>
      <c r="L113" s="48">
        <f>IF(A113="","",IFERROR(IF(K113&lt;&gt;"","Casilla elegida por usuario",IF(S113&gt;1,"Varias casillas — elegir en K",IF(J113&lt;&gt;"","Sugerencia directa",IF(S113=1,"No trasladar directo — revisar",IF(OR(ISNUMBER(SEARCH("TOPE",UPPER(E113))),ISNUMBER(SEARCH("TOPE",UPPER(G113)))),"Solo control","Revisar manualmente"))))),"Revisar manualmente"))</f>
        <v/>
      </c>
      <c r="M113" s="461">
        <f>IF(A113="","",IF(IF(K113&lt;&gt;"",K113,J113)="",0,IF(COUNTIFS(Reglas!$I$5:$I$118,IF(K113&lt;&gt;"",K113,J113),Reglas!$J$5:$J$118,"Sí")=1,F113,0)))</f>
        <v/>
      </c>
      <c r="N113" s="56" t="n"/>
      <c r="O113" s="462">
        <f>IF(A113="","",IF(M113=0,"",M113))</f>
        <v/>
      </c>
      <c r="P113" s="461">
        <f>IF(A113="","",IF(O113="",0,IF(ISNUMBER(O113),O113,0)))</f>
        <v/>
      </c>
      <c r="Q113" s="48">
        <f>IF(A113="","",IF(Exogena_RAW!$C$4="","BLOQUEADO: FALTA AÑO",IF(Exogena_RAW!$K$10&lt;&gt;Reglas!$B$5,"BLOQUEADO: AÑO",IF(IF(K113&lt;&gt;"",K113,J113)="",IF(S113&gt;1,"REQUIERE ASIGNACIÓN MANUAL (VARIAS CASILLAS)","INFORMATIVO (sin casilla — no se declara)"),IF(COUNTIFS(Reglas!$I$5:$I$118,IF(K113&lt;&gt;"",K113,J113),Reglas!$J$5:$J$118,"Sí")=0,"BLOQUEADO: CASILLA NO DIRECTA",IF(O113="","EXCLUIDO (valor borrado por el usuario)",IF(_xlfn.ISFORMULA(O113),IF(W113&lt;&gt;"","BORRADOR — VALOR SUGERIDO DIAN ⚠ VER ALERTA","BORRADOR — VALOR SUGERIDO DIAN"),IF(W113&lt;&gt;"","ACEPTADO ⚠ VER ALERTA","ACEPTADO"))))))))</f>
        <v/>
      </c>
      <c r="R113" s="218" t="n"/>
      <c r="S113" s="58">
        <f>IF(A113="","",IFERROR(--ISNUMBER(SEARCH("R28",G113)),0)+IFERROR(--ISNUMBER(SEARCH("R29",G113)),0)+IFERROR(--ISNUMBER(SEARCH("R30",G113)),0)+IFERROR(--ISNUMBER(SEARCH("R31",G113)),0)+IFERROR(--ISNUMBER(SEARCH("R32",G113)),0)+IFERROR(--ISNUMBER(SEARCH("R33",G113)),0)+IFERROR(--ISNUMBER(SEARCH("R34",G113)),0)+IFERROR(--ISNUMBER(SEARCH("R35",G113)),0)+IFERROR(--ISNUMBER(SEARCH("R36",G113)),0)+IFERROR(--ISNUMBER(SEARCH("R37",G113)),0)+IFERROR(--ISNUMBER(SEARCH("R38",G113)),0)+IFERROR(--ISNUMBER(SEARCH("R39",G113)),0)+IFERROR(--ISNUMBER(SEARCH("R40",G113)),0)+IFERROR(--ISNUMBER(SEARCH("R41",G113)),0)+IFERROR(--ISNUMBER(SEARCH("R42",G113)),0)+IFERROR(--ISNUMBER(SEARCH("R43",G113)),0)+IFERROR(--ISNUMBER(SEARCH("R44",G113)),0)+IFERROR(--ISNUMBER(SEARCH("R45",G113)),0)+IFERROR(--ISNUMBER(SEARCH("R46",G113)),0)+IFERROR(--ISNUMBER(SEARCH("R47",G113)),0)+IFERROR(--ISNUMBER(SEARCH("R48",G113)),0)+IFERROR(--ISNUMBER(SEARCH("R49",G113)),0)+IFERROR(--ISNUMBER(SEARCH("R50",G113)),0)+IFERROR(--ISNUMBER(SEARCH("R51",G113)),0)+IFERROR(--ISNUMBER(SEARCH("R52",G113)),0)+IFERROR(--ISNUMBER(SEARCH("R53",G113)),0)+IFERROR(--ISNUMBER(SEARCH("R54",G113)),0)+IFERROR(--ISNUMBER(SEARCH("R55",G113)),0)+IFERROR(--ISNUMBER(SEARCH("R56",G113)),0)+IFERROR(--ISNUMBER(SEARCH("R57",G113)),0)+IFERROR(--ISNUMBER(SEARCH("R58",G113)),0)+IFERROR(--ISNUMBER(SEARCH("R59",G113)),0)+IFERROR(--ISNUMBER(SEARCH("R60",G113)),0)+IFERROR(--ISNUMBER(SEARCH("R61",G113)),0)+IFERROR(--ISNUMBER(SEARCH("R62",G113)),0)+IFERROR(--ISNUMBER(SEARCH("R63",G113)),0)+IFERROR(--ISNUMBER(SEARCH("R64",G113)),0)+IFERROR(--ISNUMBER(SEARCH("R65",G113)),0)+IFERROR(--ISNUMBER(SEARCH("R66",G113)),0)+IFERROR(--ISNUMBER(SEARCH("R67",G113)),0)+IFERROR(--ISNUMBER(SEARCH("R68",G113)),0)+IFERROR(--ISNUMBER(SEARCH("R69",G113)),0)+IFERROR(--ISNUMBER(SEARCH("R70",G113)),0)+IFERROR(--ISNUMBER(SEARCH("R71",G113)),0)+IFERROR(--ISNUMBER(SEARCH("R72",G113)),0)+IFERROR(--ISNUMBER(SEARCH("R73",G113)),0)+IFERROR(--ISNUMBER(SEARCH("R74",G113)),0)+IFERROR(--ISNUMBER(SEARCH("R75",G113)),0)+IFERROR(--ISNUMBER(SEARCH("R76",G113)),0)+IFERROR(--ISNUMBER(SEARCH("R77",G113)),0)+IFERROR(--ISNUMBER(SEARCH("R78",G113)),0)+IFERROR(--ISNUMBER(SEARCH("R79",G113)),0)+IFERROR(--ISNUMBER(SEARCH("R80",G113)),0)+IFERROR(--ISNUMBER(SEARCH("R81",G113)),0)+IFERROR(--ISNUMBER(SEARCH("R82",G113)),0)+IFERROR(--ISNUMBER(SEARCH("R83",G113)),0)+IFERROR(--ISNUMBER(SEARCH("R84",G113)),0)+IFERROR(--ISNUMBER(SEARCH("R85",G113)),0)+IFERROR(--ISNUMBER(SEARCH("R86",G113)),0)+IFERROR(--ISNUMBER(SEARCH("R87",G113)),0)+IFERROR(--ISNUMBER(SEARCH("R88",G113)),0)+IFERROR(--ISNUMBER(SEARCH("R89",G113)),0)+IFERROR(--ISNUMBER(SEARCH("R90",G113)),0)+IFERROR(--ISNUMBER(SEARCH("R91",G113)),0)+IFERROR(--ISNUMBER(SEARCH("R92",G113)),0)+IFERROR(--ISNUMBER(SEARCH("R93",G113)),0)+IFERROR(--ISNUMBER(SEARCH("R94",G113)),0)+IFERROR(--ISNUMBER(SEARCH("R95",G113)),0)+IFERROR(--ISNUMBER(SEARCH("R96",G113)),0)+IFERROR(--ISNUMBER(SEARCH("R97",G113)),0)+IFERROR(--ISNUMBER(SEARCH("R98",G113)),0)+IFERROR(--ISNUMBER(SEARCH("R99",G113)),0)+IFERROR(--ISNUMBER(SEARCH("R100",G113)),0)+IFERROR(--ISNUMBER(SEARCH("R101",G113)),0)+IFERROR(--ISNUMBER(SEARCH("R102",G113)),0)+IFERROR(--ISNUMBER(SEARCH("R103",G113)),0)+IFERROR(--ISNUMBER(SEARCH("R104",G113)),0)+IFERROR(--ISNUMBER(SEARCH("R105",G113)),0)+IFERROR(--ISNUMBER(SEARCH("R106",G113)),0)+IFERROR(--ISNUMBER(SEARCH("R107",G113)),0)+IFERROR(--ISNUMBER(SEARCH("R108",G113)),0)+IFERROR(--ISNUMBER(SEARCH("R109",G113)),0)+IFERROR(--ISNUMBER(SEARCH("R110",G113)),0)+IFERROR(--ISNUMBER(SEARCH("R111",G113)),0)+IFERROR(--ISNUMBER(SEARCH("R112",G113)),0)+IFERROR(--ISNUMBER(SEARCH("R113",G113)),0)+IFERROR(--ISNUMBER(SEARCH("R114",G113)),0)+IFERROR(--ISNUMBER(SEARCH("R115",G113)),0)+IFERROR(--ISNUMBER(SEARCH("R116",G113)),0)+IFERROR(--ISNUMBER(SEARCH("R117",G113)),0)+IFERROR(--ISNUMBER(SEARCH("R118",G113)),0)+IFERROR(--ISNUMBER(SEARCH("R119",G113)),0)+IFERROR(--ISNUMBER(SEARCH("R120",G113)),0)+IFERROR(--ISNUMBER(SEARCH("R121",G113)),0)+IFERROR(--ISNUMBER(SEARCH("R122",G113)),0)+IFERROR(--ISNUMBER(SEARCH("R123",G113)),0)+IFERROR(--ISNUMBER(SEARCH("R124",G113)),0)+IFERROR(--ISNUMBER(SEARCH("R125",G113)),0)+IFERROR(--ISNUMBER(SEARCH("R126",G113)),0)+IFERROR(--ISNUMBER(SEARCH("R127",G113)),0)+IFERROR(--ISNUMBER(SEARCH("R128",G113)),0)+IFERROR(--ISNUMBER(SEARCH("R129",G113)),0)+IFERROR(--ISNUMBER(SEARCH("R130",G113)),0)+IFERROR(--ISNUMBER(SEARCH("R131",G113)),0)+IFERROR(--ISNUMBER(SEARCH("R132",G113)),0)+IFERROR(--ISNUMBER(SEARCH("R133",G113)),0)+IFERROR(--ISNUMBER(SEARCH("R134",G113)),0)+IFERROR(--ISNUMBER(SEARCH("R135",G113)),0)+IFERROR(--ISNUMBER(SEARCH("R136",G113)),0)+IFERROR(--ISNUMBER(SEARCH("R137",G113)),0)+IFERROR(--ISNUMBER(SEARCH("R138",G113)),0)+IFERROR(--ISNUMBER(SEARCH("R139",G113)),0)+IFERROR(--ISNUMBER(SEARCH("R140",G113)),0)+IFERROR(--ISNUMBER(SEARCH("R141",G113)),0))</f>
        <v/>
      </c>
      <c r="T113" s="58">
        <f>IF(A113="","",IFERROR(--ISNUMBER(SEARCH("R28",G113)),0)+IFERROR(--ISNUMBER(SEARCH("R29",G113)),0)+IFERROR(--ISNUMBER(SEARCH("R30",G113)),0)+IFERROR(--ISNUMBER(SEARCH("R32",G113)),0)+IFERROR(--ISNUMBER(SEARCH("R33",G113)),0)+IFERROR(--ISNUMBER(SEARCH("R35",G113)),0)+IFERROR(--ISNUMBER(SEARCH("R36",G113)),0)+IFERROR(--ISNUMBER(SEARCH("R38",G113)),0)+IFERROR(--ISNUMBER(SEARCH("R39",G113)),0)+IFERROR(--ISNUMBER(SEARCH("R43",G113)),0)+IFERROR(--ISNUMBER(SEARCH("R44",G113)),0)+IFERROR(--ISNUMBER(SEARCH("R45",G113)),0)+IFERROR(--ISNUMBER(SEARCH("R47",G113)),0)+IFERROR(--ISNUMBER(SEARCH("R48",G113)),0)+IFERROR(--ISNUMBER(SEARCH("R50",G113)),0)+IFERROR(--ISNUMBER(SEARCH("R51",G113)),0)+IFERROR(--ISNUMBER(SEARCH("R56",G113)),0)+IFERROR(--ISNUMBER(SEARCH("R58",G113)),0)+IFERROR(--ISNUMBER(SEARCH("R59",G113)),0)+IFERROR(--ISNUMBER(SEARCH("R60",G113)),0)+IFERROR(--ISNUMBER(SEARCH("R62",G113)),0)+IFERROR(--ISNUMBER(SEARCH("R63",G113)),0)+IFERROR(--ISNUMBER(SEARCH("R64",G113)),0)+IFERROR(--ISNUMBER(SEARCH("R66",G113)),0)+IFERROR(--ISNUMBER(SEARCH("R67",G113)),0)+IFERROR(--ISNUMBER(SEARCH("R72",G113)),0)+IFERROR(--ISNUMBER(SEARCH("R74",G113)),0)+IFERROR(--ISNUMBER(SEARCH("R75",G113)),0)+IFERROR(--ISNUMBER(SEARCH("R76",G113)),0)+IFERROR(--ISNUMBER(SEARCH("R77",G113)),0)+IFERROR(--ISNUMBER(SEARCH("R79",G113)),0)+IFERROR(--ISNUMBER(SEARCH("R80",G113)),0)+IFERROR(--ISNUMBER(SEARCH("R81",G113)),0)+IFERROR(--ISNUMBER(SEARCH("R83",G113)),0)+IFERROR(--ISNUMBER(SEARCH("R84",G113)),0)+IFERROR(--ISNUMBER(SEARCH("R89",G113)),0)+IFERROR(--ISNUMBER(SEARCH("R94",G113)),0)+IFERROR(--ISNUMBER(SEARCH("R95",G113)),0)+IFERROR(--ISNUMBER(SEARCH("R96",G113)),0)+IFERROR(--ISNUMBER(SEARCH("R98",G113)),0)+IFERROR(--ISNUMBER(SEARCH("R99",G113)),0)+IFERROR(--ISNUMBER(SEARCH("R100",G113)),0)+IFERROR(--ISNUMBER(SEARCH("R104",G113)),0)+IFERROR(--ISNUMBER(SEARCH("R105",G113)),0)+IFERROR(--ISNUMBER(SEARCH("R107",G113)),0)+IFERROR(--ISNUMBER(SEARCH("R108",G113)),0)+IFERROR(--ISNUMBER(SEARCH("R109",G113)),0)+IFERROR(--ISNUMBER(SEARCH("R110",G113)),0)+IFERROR(--ISNUMBER(SEARCH("R112",G113)),0)+IFERROR(--ISNUMBER(SEARCH("R113",G113)),0)+IFERROR(--ISNUMBER(SEARCH("R114",G113)),0)+IFERROR(--ISNUMBER(SEARCH("R118",G113)),0)+IFERROR(--ISNUMBER(SEARCH("R119",G113)),0)+IFERROR(--ISNUMBER(SEARCH("R120",G113)),0)+IFERROR(--ISNUMBER(SEARCH("R122",G113)),0)+IFERROR(--ISNUMBER(SEARCH("R123",G113)),0)+IFERROR(--ISNUMBER(SEARCH("R124",G113)),0)+IFERROR(--ISNUMBER(SEARCH("R128",G113)),0)+IFERROR(--ISNUMBER(SEARCH("R130",G113)),0)+IFERROR(--ISNUMBER(SEARCH("R131",G113)),0)+IFERROR(--ISNUMBER(SEARCH("R132",G113)),0)+IFERROR(--ISNUMBER(SEARCH("R135",G113)),0)+IFERROR(--ISNUMBER(SEARCH("R138",G113)),0)+IFERROR(--ISNUMBER(SEARCH("R141",G113)),0))</f>
        <v/>
      </c>
      <c r="U113" s="58">
        <f>IF(A113="","",IFERROR(--ISNUMBER(SEARCH("R28",G113))*28,0)+IFERROR(--ISNUMBER(SEARCH("R29",G113))*29,0)+IFERROR(--ISNUMBER(SEARCH("R30",G113))*30,0)+IFERROR(--ISNUMBER(SEARCH("R31",G113))*31,0)+IFERROR(--ISNUMBER(SEARCH("R32",G113))*32,0)+IFERROR(--ISNUMBER(SEARCH("R33",G113))*33,0)+IFERROR(--ISNUMBER(SEARCH("R34",G113))*34,0)+IFERROR(--ISNUMBER(SEARCH("R35",G113))*35,0)+IFERROR(--ISNUMBER(SEARCH("R36",G113))*36,0)+IFERROR(--ISNUMBER(SEARCH("R37",G113))*37,0)+IFERROR(--ISNUMBER(SEARCH("R38",G113))*38,0)+IFERROR(--ISNUMBER(SEARCH("R39",G113))*39,0)+IFERROR(--ISNUMBER(SEARCH("R40",G113))*40,0)+IFERROR(--ISNUMBER(SEARCH("R41",G113))*41,0)+IFERROR(--ISNUMBER(SEARCH("R42",G113))*42,0)+IFERROR(--ISNUMBER(SEARCH("R43",G113))*43,0)+IFERROR(--ISNUMBER(SEARCH("R44",G113))*44,0)+IFERROR(--ISNUMBER(SEARCH("R45",G113))*45,0)+IFERROR(--ISNUMBER(SEARCH("R46",G113))*46,0)+IFERROR(--ISNUMBER(SEARCH("R47",G113))*47,0)+IFERROR(--ISNUMBER(SEARCH("R48",G113))*48,0)+IFERROR(--ISNUMBER(SEARCH("R49",G113))*49,0)+IFERROR(--ISNUMBER(SEARCH("R50",G113))*50,0)+IFERROR(--ISNUMBER(SEARCH("R51",G113))*51,0)+IFERROR(--ISNUMBER(SEARCH("R52",G113))*52,0)+IFERROR(--ISNUMBER(SEARCH("R53",G113))*53,0)+IFERROR(--ISNUMBER(SEARCH("R54",G113))*54,0)+IFERROR(--ISNUMBER(SEARCH("R55",G113))*55,0)+IFERROR(--ISNUMBER(SEARCH("R56",G113))*56,0)+IFERROR(--ISNUMBER(SEARCH("R57",G113))*57,0)+IFERROR(--ISNUMBER(SEARCH("R58",G113))*58,0)+IFERROR(--ISNUMBER(SEARCH("R59",G113))*59,0)+IFERROR(--ISNUMBER(SEARCH("R60",G113))*60,0)+IFERROR(--ISNUMBER(SEARCH("R61",G113))*61,0)+IFERROR(--ISNUMBER(SEARCH("R62",G113))*62,0)+IFERROR(--ISNUMBER(SEARCH("R63",G113))*63,0)+IFERROR(--ISNUMBER(SEARCH("R64",G113))*64,0)+IFERROR(--ISNUMBER(SEARCH("R65",G113))*65,0)+IFERROR(--ISNUMBER(SEARCH("R66",G113))*66,0)+IFERROR(--ISNUMBER(SEARCH("R67",G113))*67,0)+IFERROR(--ISNUMBER(SEARCH("R68",G113))*68,0)+IFERROR(--ISNUMBER(SEARCH("R69",G113))*69,0)+IFERROR(--ISNUMBER(SEARCH("R70",G113))*70,0)+IFERROR(--ISNUMBER(SEARCH("R71",G113))*71,0)+IFERROR(--ISNUMBER(SEARCH("R72",G113))*72,0)+IFERROR(--ISNUMBER(SEARCH("R73",G113))*73,0)+IFERROR(--ISNUMBER(SEARCH("R74",G113))*74,0)+IFERROR(--ISNUMBER(SEARCH("R75",G113))*75,0)+IFERROR(--ISNUMBER(SEARCH("R76",G113))*76,0)+IFERROR(--ISNUMBER(SEARCH("R77",G113))*77,0)+IFERROR(--ISNUMBER(SEARCH("R78",G113))*78,0)+IFERROR(--ISNUMBER(SEARCH("R79",G113))*79,0)+IFERROR(--ISNUMBER(SEARCH("R80",G113))*80,0)+IFERROR(--ISNUMBER(SEARCH("R81",G113))*81,0)+IFERROR(--ISNUMBER(SEARCH("R82",G113))*82,0)+IFERROR(--ISNUMBER(SEARCH("R83",G113))*83,0)+IFERROR(--ISNUMBER(SEARCH("R84",G113))*84,0)+IFERROR(--ISNUMBER(SEARCH("R85",G113))*85,0)+IFERROR(--ISNUMBER(SEARCH("R86",G113))*86,0)+IFERROR(--ISNUMBER(SEARCH("R87",G113))*87,0)+IFERROR(--ISNUMBER(SEARCH("R88",G113))*88,0)+IFERROR(--ISNUMBER(SEARCH("R89",G113))*89,0)+IFERROR(--ISNUMBER(SEARCH("R90",G113))*90,0)+IFERROR(--ISNUMBER(SEARCH("R91",G113))*91,0)+IFERROR(--ISNUMBER(SEARCH("R92",G113))*92,0)+IFERROR(--ISNUMBER(SEARCH("R93",G113))*93,0)+IFERROR(--ISNUMBER(SEARCH("R94",G113))*94,0)+IFERROR(--ISNUMBER(SEARCH("R95",G113))*95,0)+IFERROR(--ISNUMBER(SEARCH("R96",G113))*96,0)+IFERROR(--ISNUMBER(SEARCH("R97",G113))*97,0)+IFERROR(--ISNUMBER(SEARCH("R98",G113))*98,0)+IFERROR(--ISNUMBER(SEARCH("R99",G113))*99,0)+IFERROR(--ISNUMBER(SEARCH("R100",G113))*100,0)+IFERROR(--ISNUMBER(SEARCH("R101",G113))*101,0)+IFERROR(--ISNUMBER(SEARCH("R102",G113))*102,0)+IFERROR(--ISNUMBER(SEARCH("R103",G113))*103,0)+IFERROR(--ISNUMBER(SEARCH("R104",G113))*104,0)+IFERROR(--ISNUMBER(SEARCH("R105",G113))*105,0)+IFERROR(--ISNUMBER(SEARCH("R106",G113))*106,0)+IFERROR(--ISNUMBER(SEARCH("R107",G113))*107,0)+IFERROR(--ISNUMBER(SEARCH("R108",G113))*108,0)+IFERROR(--ISNUMBER(SEARCH("R109",G113))*109,0)+IFERROR(--ISNUMBER(SEARCH("R110",G113))*110,0)+IFERROR(--ISNUMBER(SEARCH("R111",G113))*111,0)+IFERROR(--ISNUMBER(SEARCH("R112",G113))*112,0)+IFERROR(--ISNUMBER(SEARCH("R113",G113))*113,0)+IFERROR(--ISNUMBER(SEARCH("R114",G113))*114,0)+IFERROR(--ISNUMBER(SEARCH("R115",G113))*115,0)+IFERROR(--ISNUMBER(SEARCH("R116",G113))*116,0)+IFERROR(--ISNUMBER(SEARCH("R117",G113))*117,0)+IFERROR(--ISNUMBER(SEARCH("R118",G113))*118,0)+IFERROR(--ISNUMBER(SEARCH("R119",G113))*119,0)+IFERROR(--ISNUMBER(SEARCH("R120",G113))*120,0)+IFERROR(--ISNUMBER(SEARCH("R121",G113))*121,0)+IFERROR(--ISNUMBER(SEARCH("R122",G113))*122,0)+IFERROR(--ISNUMBER(SEARCH("R123",G113))*123,0)+IFERROR(--ISNUMBER(SEARCH("R124",G113))*124,0)+IFERROR(--ISNUMBER(SEARCH("R125",G113))*125,0)+IFERROR(--ISNUMBER(SEARCH("R126",G113))*126,0)+IFERROR(--ISNUMBER(SEARCH("R127",G113))*127,0)+IFERROR(--ISNUMBER(SEARCH("R128",G113))*128,0)+IFERROR(--ISNUMBER(SEARCH("R129",G113))*129,0)+IFERROR(--ISNUMBER(SEARCH("R130",G113))*130,0)+IFERROR(--ISNUMBER(SEARCH("R131",G113))*131,0)+IFERROR(--ISNUMBER(SEARCH("R132",G113))*132,0)+IFERROR(--ISNUMBER(SEARCH("R133",G113))*133,0)+IFERROR(--ISNUMBER(SEARCH("R134",G113))*134,0)+IFERROR(--ISNUMBER(SEARCH("R135",G113))*135,0)+IFERROR(--ISNUMBER(SEARCH("R136",G113))*136,0)+IFERROR(--ISNUMBER(SEARCH("R137",G113))*137,0)+IFERROR(--ISNUMBER(SEARCH("R138",G113))*138,0)+IFERROR(--ISNUMBER(SEARCH("R139",G113))*139,0)+IFERROR(--ISNUMBER(SEARCH("R140",G113))*140,0)+IFERROR(--ISNUMBER(SEARCH("R141",G113))*141,0))</f>
        <v/>
      </c>
      <c r="V113" s="59">
        <f>IF(A113="","",IF(K113&lt;&gt;"",K113,J113))</f>
        <v/>
      </c>
      <c r="W113" s="59">
        <f>IF(A113="","",IF(AND(V113=29,O113&lt;&gt;"",COUNTIFS($V$6:$V$505,29,$F$6:$F$505,F113,$C$6:$C$505,C113,$O$6:$O$505,"&lt;&gt;")&gt;1),IF(COUNTIFS($V$6:V113,29,$F$6:F113,F113,$C$6:C113,C113,$O$6:O113,"&lt;&gt;")=1,"Esta es la fila que se debe CONSERVAR (aparición 1 de "&amp;COUNTIFS($V$6:$V$505,29,$F$6:$F$505,F113,$C$6:$C$505,C113,$O$6:$O$505,"&lt;&gt;")&amp;" con el mismo tercero y valor, casilla 29). Si hay más filas iguales, bórreles el valor a ELLAS, no a esta.","DUPLICADO — ya existe otra fila con el mismo tercero y valor para casilla 29 (aparición "&amp;COUNTIFS($V$6:V113,29,$F$6:F113,F113,$C$6:C113,C113,$O$6:O113,"&lt;&gt;")&amp;" de "&amp;COUNTIFS($V$6:$V$505,29,$F$6:$F$505,F113,$C$6:$C$505,C113,$O$6:$O$505,"&lt;&gt;")&amp;"). Para resolverlo: seleccione la celda O"&amp;ROW()&amp;" (columna Valor a declarar de ESTA fila) y presione Supr."),""))</f>
        <v/>
      </c>
      <c r="X113" s="463">
        <f>IF(A113="","",F113)</f>
        <v/>
      </c>
      <c r="Y113" s="463">
        <f>IF(A113="","",SUMIF(Entrada_Manual!$I$88:$I$187,A113,Entrada_Manual!$F$88:$F$187))</f>
        <v/>
      </c>
      <c r="Z113" s="463">
        <f>IF(A113="","",X113-Y113)</f>
        <v/>
      </c>
      <c r="AA113">
        <f>IF(A113="","",SUMPRODUCT((Entrada_Manual!$I$88:$I$187=A113)*1))</f>
        <v/>
      </c>
      <c r="AB113">
        <f>IF(A113="","",IF(S113&lt;=1,"",IF(AA113=0,"PENDIENTE — SIN ASIGNAR",IF(Z113=0,"RESUELTO","PARCIAL — DIFERENCIA "&amp;TEXT(Z113,"#,##0")))))</f>
        <v/>
      </c>
    </row>
    <row r="114" ht="14.25" customHeight="1" s="235">
      <c r="A114" s="47">
        <f>IF(Exogena_RAW!E123&lt;&gt;"",ROW()-5,"")</f>
        <v/>
      </c>
      <c r="B114" s="48">
        <f>IF(A114="","",123)</f>
        <v/>
      </c>
      <c r="C114" s="48">
        <f>IF(A114="","",IFERROR(Exogena_RAW!A123,""))</f>
        <v/>
      </c>
      <c r="D114" s="48">
        <f>IF(A114="","",IFERROR(Exogena_RAW!B123,""))</f>
        <v/>
      </c>
      <c r="E114" s="48">
        <f>IF(A114="","",Exogena_RAW!E123)</f>
        <v/>
      </c>
      <c r="F114" s="461">
        <f>IF(A114="","",Exogena_RAW!F123)</f>
        <v/>
      </c>
      <c r="G114" s="48">
        <f>IF(A114="","",IFERROR(Exogena_RAW!G123,""))</f>
        <v/>
      </c>
      <c r="H114" s="48">
        <f>IF(A114="","",IFERROR(Exogena_RAW!H123,""))</f>
        <v/>
      </c>
      <c r="I114" s="48">
        <f>IF(A114="","",IFERROR(IF(S114&gt;1,"VARIAS CASILLAS",IF(S114=1,IF(T114=1,"PROPUESTA DE CASILLA","REVISIÓN: CASILLA NO DIRECTA"),IF(OR(ISNUMBER(SEARCH("TOPE",UPPER(E114))),ISNUMBER(SEARCH("TOPE",UPPER(G114)))),"SOLO CONTROL",IF(ISNUMBER(SEARCH("RETEN",UPPER(E114))),"RETENCIÓN","REVISAR")))),"REVISAR"))</f>
        <v/>
      </c>
      <c r="J114" s="48">
        <f>IF(A114="","",IF(ISNUMBER(SEARCH("ingreso laboral promedio de los últimos seis meses",E114)),"",IFERROR(IF(AND(S114=1,T114=1),U114,""),"")))</f>
        <v/>
      </c>
      <c r="K114" s="216" t="n"/>
      <c r="L114" s="48">
        <f>IF(A114="","",IFERROR(IF(K114&lt;&gt;"","Casilla elegida por usuario",IF(S114&gt;1,"Varias casillas — elegir en K",IF(J114&lt;&gt;"","Sugerencia directa",IF(S114=1,"No trasladar directo — revisar",IF(OR(ISNUMBER(SEARCH("TOPE",UPPER(E114))),ISNUMBER(SEARCH("TOPE",UPPER(G114)))),"Solo control","Revisar manualmente"))))),"Revisar manualmente"))</f>
        <v/>
      </c>
      <c r="M114" s="461">
        <f>IF(A114="","",IF(IF(K114&lt;&gt;"",K114,J114)="",0,IF(COUNTIFS(Reglas!$I$5:$I$118,IF(K114&lt;&gt;"",K114,J114),Reglas!$J$5:$J$118,"Sí")=1,F114,0)))</f>
        <v/>
      </c>
      <c r="N114" s="56" t="n"/>
      <c r="O114" s="462">
        <f>IF(A114="","",IF(M114=0,"",M114))</f>
        <v/>
      </c>
      <c r="P114" s="461">
        <f>IF(A114="","",IF(O114="",0,IF(ISNUMBER(O114),O114,0)))</f>
        <v/>
      </c>
      <c r="Q114" s="48">
        <f>IF(A114="","",IF(Exogena_RAW!$C$4="","BLOQUEADO: FALTA AÑO",IF(Exogena_RAW!$K$10&lt;&gt;Reglas!$B$5,"BLOQUEADO: AÑO",IF(IF(K114&lt;&gt;"",K114,J114)="",IF(S114&gt;1,"REQUIERE ASIGNACIÓN MANUAL (VARIAS CASILLAS)","INFORMATIVO (sin casilla — no se declara)"),IF(COUNTIFS(Reglas!$I$5:$I$118,IF(K114&lt;&gt;"",K114,J114),Reglas!$J$5:$J$118,"Sí")=0,"BLOQUEADO: CASILLA NO DIRECTA",IF(O114="","EXCLUIDO (valor borrado por el usuario)",IF(_xlfn.ISFORMULA(O114),IF(W114&lt;&gt;"","BORRADOR — VALOR SUGERIDO DIAN ⚠ VER ALERTA","BORRADOR — VALOR SUGERIDO DIAN"),IF(W114&lt;&gt;"","ACEPTADO ⚠ VER ALERTA","ACEPTADO"))))))))</f>
        <v/>
      </c>
      <c r="R114" s="218" t="n"/>
      <c r="S114" s="58">
        <f>IF(A114="","",IFERROR(--ISNUMBER(SEARCH("R28",G114)),0)+IFERROR(--ISNUMBER(SEARCH("R29",G114)),0)+IFERROR(--ISNUMBER(SEARCH("R30",G114)),0)+IFERROR(--ISNUMBER(SEARCH("R31",G114)),0)+IFERROR(--ISNUMBER(SEARCH("R32",G114)),0)+IFERROR(--ISNUMBER(SEARCH("R33",G114)),0)+IFERROR(--ISNUMBER(SEARCH("R34",G114)),0)+IFERROR(--ISNUMBER(SEARCH("R35",G114)),0)+IFERROR(--ISNUMBER(SEARCH("R36",G114)),0)+IFERROR(--ISNUMBER(SEARCH("R37",G114)),0)+IFERROR(--ISNUMBER(SEARCH("R38",G114)),0)+IFERROR(--ISNUMBER(SEARCH("R39",G114)),0)+IFERROR(--ISNUMBER(SEARCH("R40",G114)),0)+IFERROR(--ISNUMBER(SEARCH("R41",G114)),0)+IFERROR(--ISNUMBER(SEARCH("R42",G114)),0)+IFERROR(--ISNUMBER(SEARCH("R43",G114)),0)+IFERROR(--ISNUMBER(SEARCH("R44",G114)),0)+IFERROR(--ISNUMBER(SEARCH("R45",G114)),0)+IFERROR(--ISNUMBER(SEARCH("R46",G114)),0)+IFERROR(--ISNUMBER(SEARCH("R47",G114)),0)+IFERROR(--ISNUMBER(SEARCH("R48",G114)),0)+IFERROR(--ISNUMBER(SEARCH("R49",G114)),0)+IFERROR(--ISNUMBER(SEARCH("R50",G114)),0)+IFERROR(--ISNUMBER(SEARCH("R51",G114)),0)+IFERROR(--ISNUMBER(SEARCH("R52",G114)),0)+IFERROR(--ISNUMBER(SEARCH("R53",G114)),0)+IFERROR(--ISNUMBER(SEARCH("R54",G114)),0)+IFERROR(--ISNUMBER(SEARCH("R55",G114)),0)+IFERROR(--ISNUMBER(SEARCH("R56",G114)),0)+IFERROR(--ISNUMBER(SEARCH("R57",G114)),0)+IFERROR(--ISNUMBER(SEARCH("R58",G114)),0)+IFERROR(--ISNUMBER(SEARCH("R59",G114)),0)+IFERROR(--ISNUMBER(SEARCH("R60",G114)),0)+IFERROR(--ISNUMBER(SEARCH("R61",G114)),0)+IFERROR(--ISNUMBER(SEARCH("R62",G114)),0)+IFERROR(--ISNUMBER(SEARCH("R63",G114)),0)+IFERROR(--ISNUMBER(SEARCH("R64",G114)),0)+IFERROR(--ISNUMBER(SEARCH("R65",G114)),0)+IFERROR(--ISNUMBER(SEARCH("R66",G114)),0)+IFERROR(--ISNUMBER(SEARCH("R67",G114)),0)+IFERROR(--ISNUMBER(SEARCH("R68",G114)),0)+IFERROR(--ISNUMBER(SEARCH("R69",G114)),0)+IFERROR(--ISNUMBER(SEARCH("R70",G114)),0)+IFERROR(--ISNUMBER(SEARCH("R71",G114)),0)+IFERROR(--ISNUMBER(SEARCH("R72",G114)),0)+IFERROR(--ISNUMBER(SEARCH("R73",G114)),0)+IFERROR(--ISNUMBER(SEARCH("R74",G114)),0)+IFERROR(--ISNUMBER(SEARCH("R75",G114)),0)+IFERROR(--ISNUMBER(SEARCH("R76",G114)),0)+IFERROR(--ISNUMBER(SEARCH("R77",G114)),0)+IFERROR(--ISNUMBER(SEARCH("R78",G114)),0)+IFERROR(--ISNUMBER(SEARCH("R79",G114)),0)+IFERROR(--ISNUMBER(SEARCH("R80",G114)),0)+IFERROR(--ISNUMBER(SEARCH("R81",G114)),0)+IFERROR(--ISNUMBER(SEARCH("R82",G114)),0)+IFERROR(--ISNUMBER(SEARCH("R83",G114)),0)+IFERROR(--ISNUMBER(SEARCH("R84",G114)),0)+IFERROR(--ISNUMBER(SEARCH("R85",G114)),0)+IFERROR(--ISNUMBER(SEARCH("R86",G114)),0)+IFERROR(--ISNUMBER(SEARCH("R87",G114)),0)+IFERROR(--ISNUMBER(SEARCH("R88",G114)),0)+IFERROR(--ISNUMBER(SEARCH("R89",G114)),0)+IFERROR(--ISNUMBER(SEARCH("R90",G114)),0)+IFERROR(--ISNUMBER(SEARCH("R91",G114)),0)+IFERROR(--ISNUMBER(SEARCH("R92",G114)),0)+IFERROR(--ISNUMBER(SEARCH("R93",G114)),0)+IFERROR(--ISNUMBER(SEARCH("R94",G114)),0)+IFERROR(--ISNUMBER(SEARCH("R95",G114)),0)+IFERROR(--ISNUMBER(SEARCH("R96",G114)),0)+IFERROR(--ISNUMBER(SEARCH("R97",G114)),0)+IFERROR(--ISNUMBER(SEARCH("R98",G114)),0)+IFERROR(--ISNUMBER(SEARCH("R99",G114)),0)+IFERROR(--ISNUMBER(SEARCH("R100",G114)),0)+IFERROR(--ISNUMBER(SEARCH("R101",G114)),0)+IFERROR(--ISNUMBER(SEARCH("R102",G114)),0)+IFERROR(--ISNUMBER(SEARCH("R103",G114)),0)+IFERROR(--ISNUMBER(SEARCH("R104",G114)),0)+IFERROR(--ISNUMBER(SEARCH("R105",G114)),0)+IFERROR(--ISNUMBER(SEARCH("R106",G114)),0)+IFERROR(--ISNUMBER(SEARCH("R107",G114)),0)+IFERROR(--ISNUMBER(SEARCH("R108",G114)),0)+IFERROR(--ISNUMBER(SEARCH("R109",G114)),0)+IFERROR(--ISNUMBER(SEARCH("R110",G114)),0)+IFERROR(--ISNUMBER(SEARCH("R111",G114)),0)+IFERROR(--ISNUMBER(SEARCH("R112",G114)),0)+IFERROR(--ISNUMBER(SEARCH("R113",G114)),0)+IFERROR(--ISNUMBER(SEARCH("R114",G114)),0)+IFERROR(--ISNUMBER(SEARCH("R115",G114)),0)+IFERROR(--ISNUMBER(SEARCH("R116",G114)),0)+IFERROR(--ISNUMBER(SEARCH("R117",G114)),0)+IFERROR(--ISNUMBER(SEARCH("R118",G114)),0)+IFERROR(--ISNUMBER(SEARCH("R119",G114)),0)+IFERROR(--ISNUMBER(SEARCH("R120",G114)),0)+IFERROR(--ISNUMBER(SEARCH("R121",G114)),0)+IFERROR(--ISNUMBER(SEARCH("R122",G114)),0)+IFERROR(--ISNUMBER(SEARCH("R123",G114)),0)+IFERROR(--ISNUMBER(SEARCH("R124",G114)),0)+IFERROR(--ISNUMBER(SEARCH("R125",G114)),0)+IFERROR(--ISNUMBER(SEARCH("R126",G114)),0)+IFERROR(--ISNUMBER(SEARCH("R127",G114)),0)+IFERROR(--ISNUMBER(SEARCH("R128",G114)),0)+IFERROR(--ISNUMBER(SEARCH("R129",G114)),0)+IFERROR(--ISNUMBER(SEARCH("R130",G114)),0)+IFERROR(--ISNUMBER(SEARCH("R131",G114)),0)+IFERROR(--ISNUMBER(SEARCH("R132",G114)),0)+IFERROR(--ISNUMBER(SEARCH("R133",G114)),0)+IFERROR(--ISNUMBER(SEARCH("R134",G114)),0)+IFERROR(--ISNUMBER(SEARCH("R135",G114)),0)+IFERROR(--ISNUMBER(SEARCH("R136",G114)),0)+IFERROR(--ISNUMBER(SEARCH("R137",G114)),0)+IFERROR(--ISNUMBER(SEARCH("R138",G114)),0)+IFERROR(--ISNUMBER(SEARCH("R139",G114)),0)+IFERROR(--ISNUMBER(SEARCH("R140",G114)),0)+IFERROR(--ISNUMBER(SEARCH("R141",G114)),0))</f>
        <v/>
      </c>
      <c r="T114" s="58">
        <f>IF(A114="","",IFERROR(--ISNUMBER(SEARCH("R28",G114)),0)+IFERROR(--ISNUMBER(SEARCH("R29",G114)),0)+IFERROR(--ISNUMBER(SEARCH("R30",G114)),0)+IFERROR(--ISNUMBER(SEARCH("R32",G114)),0)+IFERROR(--ISNUMBER(SEARCH("R33",G114)),0)+IFERROR(--ISNUMBER(SEARCH("R35",G114)),0)+IFERROR(--ISNUMBER(SEARCH("R36",G114)),0)+IFERROR(--ISNUMBER(SEARCH("R38",G114)),0)+IFERROR(--ISNUMBER(SEARCH("R39",G114)),0)+IFERROR(--ISNUMBER(SEARCH("R43",G114)),0)+IFERROR(--ISNUMBER(SEARCH("R44",G114)),0)+IFERROR(--ISNUMBER(SEARCH("R45",G114)),0)+IFERROR(--ISNUMBER(SEARCH("R47",G114)),0)+IFERROR(--ISNUMBER(SEARCH("R48",G114)),0)+IFERROR(--ISNUMBER(SEARCH("R50",G114)),0)+IFERROR(--ISNUMBER(SEARCH("R51",G114)),0)+IFERROR(--ISNUMBER(SEARCH("R56",G114)),0)+IFERROR(--ISNUMBER(SEARCH("R58",G114)),0)+IFERROR(--ISNUMBER(SEARCH("R59",G114)),0)+IFERROR(--ISNUMBER(SEARCH("R60",G114)),0)+IFERROR(--ISNUMBER(SEARCH("R62",G114)),0)+IFERROR(--ISNUMBER(SEARCH("R63",G114)),0)+IFERROR(--ISNUMBER(SEARCH("R64",G114)),0)+IFERROR(--ISNUMBER(SEARCH("R66",G114)),0)+IFERROR(--ISNUMBER(SEARCH("R67",G114)),0)+IFERROR(--ISNUMBER(SEARCH("R72",G114)),0)+IFERROR(--ISNUMBER(SEARCH("R74",G114)),0)+IFERROR(--ISNUMBER(SEARCH("R75",G114)),0)+IFERROR(--ISNUMBER(SEARCH("R76",G114)),0)+IFERROR(--ISNUMBER(SEARCH("R77",G114)),0)+IFERROR(--ISNUMBER(SEARCH("R79",G114)),0)+IFERROR(--ISNUMBER(SEARCH("R80",G114)),0)+IFERROR(--ISNUMBER(SEARCH("R81",G114)),0)+IFERROR(--ISNUMBER(SEARCH("R83",G114)),0)+IFERROR(--ISNUMBER(SEARCH("R84",G114)),0)+IFERROR(--ISNUMBER(SEARCH("R89",G114)),0)+IFERROR(--ISNUMBER(SEARCH("R94",G114)),0)+IFERROR(--ISNUMBER(SEARCH("R95",G114)),0)+IFERROR(--ISNUMBER(SEARCH("R96",G114)),0)+IFERROR(--ISNUMBER(SEARCH("R98",G114)),0)+IFERROR(--ISNUMBER(SEARCH("R99",G114)),0)+IFERROR(--ISNUMBER(SEARCH("R100",G114)),0)+IFERROR(--ISNUMBER(SEARCH("R104",G114)),0)+IFERROR(--ISNUMBER(SEARCH("R105",G114)),0)+IFERROR(--ISNUMBER(SEARCH("R107",G114)),0)+IFERROR(--ISNUMBER(SEARCH("R108",G114)),0)+IFERROR(--ISNUMBER(SEARCH("R109",G114)),0)+IFERROR(--ISNUMBER(SEARCH("R110",G114)),0)+IFERROR(--ISNUMBER(SEARCH("R112",G114)),0)+IFERROR(--ISNUMBER(SEARCH("R113",G114)),0)+IFERROR(--ISNUMBER(SEARCH("R114",G114)),0)+IFERROR(--ISNUMBER(SEARCH("R118",G114)),0)+IFERROR(--ISNUMBER(SEARCH("R119",G114)),0)+IFERROR(--ISNUMBER(SEARCH("R120",G114)),0)+IFERROR(--ISNUMBER(SEARCH("R122",G114)),0)+IFERROR(--ISNUMBER(SEARCH("R123",G114)),0)+IFERROR(--ISNUMBER(SEARCH("R124",G114)),0)+IFERROR(--ISNUMBER(SEARCH("R128",G114)),0)+IFERROR(--ISNUMBER(SEARCH("R130",G114)),0)+IFERROR(--ISNUMBER(SEARCH("R131",G114)),0)+IFERROR(--ISNUMBER(SEARCH("R132",G114)),0)+IFERROR(--ISNUMBER(SEARCH("R135",G114)),0)+IFERROR(--ISNUMBER(SEARCH("R138",G114)),0)+IFERROR(--ISNUMBER(SEARCH("R141",G114)),0))</f>
        <v/>
      </c>
      <c r="U114" s="58">
        <f>IF(A114="","",IFERROR(--ISNUMBER(SEARCH("R28",G114))*28,0)+IFERROR(--ISNUMBER(SEARCH("R29",G114))*29,0)+IFERROR(--ISNUMBER(SEARCH("R30",G114))*30,0)+IFERROR(--ISNUMBER(SEARCH("R31",G114))*31,0)+IFERROR(--ISNUMBER(SEARCH("R32",G114))*32,0)+IFERROR(--ISNUMBER(SEARCH("R33",G114))*33,0)+IFERROR(--ISNUMBER(SEARCH("R34",G114))*34,0)+IFERROR(--ISNUMBER(SEARCH("R35",G114))*35,0)+IFERROR(--ISNUMBER(SEARCH("R36",G114))*36,0)+IFERROR(--ISNUMBER(SEARCH("R37",G114))*37,0)+IFERROR(--ISNUMBER(SEARCH("R38",G114))*38,0)+IFERROR(--ISNUMBER(SEARCH("R39",G114))*39,0)+IFERROR(--ISNUMBER(SEARCH("R40",G114))*40,0)+IFERROR(--ISNUMBER(SEARCH("R41",G114))*41,0)+IFERROR(--ISNUMBER(SEARCH("R42",G114))*42,0)+IFERROR(--ISNUMBER(SEARCH("R43",G114))*43,0)+IFERROR(--ISNUMBER(SEARCH("R44",G114))*44,0)+IFERROR(--ISNUMBER(SEARCH("R45",G114))*45,0)+IFERROR(--ISNUMBER(SEARCH("R46",G114))*46,0)+IFERROR(--ISNUMBER(SEARCH("R47",G114))*47,0)+IFERROR(--ISNUMBER(SEARCH("R48",G114))*48,0)+IFERROR(--ISNUMBER(SEARCH("R49",G114))*49,0)+IFERROR(--ISNUMBER(SEARCH("R50",G114))*50,0)+IFERROR(--ISNUMBER(SEARCH("R51",G114))*51,0)+IFERROR(--ISNUMBER(SEARCH("R52",G114))*52,0)+IFERROR(--ISNUMBER(SEARCH("R53",G114))*53,0)+IFERROR(--ISNUMBER(SEARCH("R54",G114))*54,0)+IFERROR(--ISNUMBER(SEARCH("R55",G114))*55,0)+IFERROR(--ISNUMBER(SEARCH("R56",G114))*56,0)+IFERROR(--ISNUMBER(SEARCH("R57",G114))*57,0)+IFERROR(--ISNUMBER(SEARCH("R58",G114))*58,0)+IFERROR(--ISNUMBER(SEARCH("R59",G114))*59,0)+IFERROR(--ISNUMBER(SEARCH("R60",G114))*60,0)+IFERROR(--ISNUMBER(SEARCH("R61",G114))*61,0)+IFERROR(--ISNUMBER(SEARCH("R62",G114))*62,0)+IFERROR(--ISNUMBER(SEARCH("R63",G114))*63,0)+IFERROR(--ISNUMBER(SEARCH("R64",G114))*64,0)+IFERROR(--ISNUMBER(SEARCH("R65",G114))*65,0)+IFERROR(--ISNUMBER(SEARCH("R66",G114))*66,0)+IFERROR(--ISNUMBER(SEARCH("R67",G114))*67,0)+IFERROR(--ISNUMBER(SEARCH("R68",G114))*68,0)+IFERROR(--ISNUMBER(SEARCH("R69",G114))*69,0)+IFERROR(--ISNUMBER(SEARCH("R70",G114))*70,0)+IFERROR(--ISNUMBER(SEARCH("R71",G114))*71,0)+IFERROR(--ISNUMBER(SEARCH("R72",G114))*72,0)+IFERROR(--ISNUMBER(SEARCH("R73",G114))*73,0)+IFERROR(--ISNUMBER(SEARCH("R74",G114))*74,0)+IFERROR(--ISNUMBER(SEARCH("R75",G114))*75,0)+IFERROR(--ISNUMBER(SEARCH("R76",G114))*76,0)+IFERROR(--ISNUMBER(SEARCH("R77",G114))*77,0)+IFERROR(--ISNUMBER(SEARCH("R78",G114))*78,0)+IFERROR(--ISNUMBER(SEARCH("R79",G114))*79,0)+IFERROR(--ISNUMBER(SEARCH("R80",G114))*80,0)+IFERROR(--ISNUMBER(SEARCH("R81",G114))*81,0)+IFERROR(--ISNUMBER(SEARCH("R82",G114))*82,0)+IFERROR(--ISNUMBER(SEARCH("R83",G114))*83,0)+IFERROR(--ISNUMBER(SEARCH("R84",G114))*84,0)+IFERROR(--ISNUMBER(SEARCH("R85",G114))*85,0)+IFERROR(--ISNUMBER(SEARCH("R86",G114))*86,0)+IFERROR(--ISNUMBER(SEARCH("R87",G114))*87,0)+IFERROR(--ISNUMBER(SEARCH("R88",G114))*88,0)+IFERROR(--ISNUMBER(SEARCH("R89",G114))*89,0)+IFERROR(--ISNUMBER(SEARCH("R90",G114))*90,0)+IFERROR(--ISNUMBER(SEARCH("R91",G114))*91,0)+IFERROR(--ISNUMBER(SEARCH("R92",G114))*92,0)+IFERROR(--ISNUMBER(SEARCH("R93",G114))*93,0)+IFERROR(--ISNUMBER(SEARCH("R94",G114))*94,0)+IFERROR(--ISNUMBER(SEARCH("R95",G114))*95,0)+IFERROR(--ISNUMBER(SEARCH("R96",G114))*96,0)+IFERROR(--ISNUMBER(SEARCH("R97",G114))*97,0)+IFERROR(--ISNUMBER(SEARCH("R98",G114))*98,0)+IFERROR(--ISNUMBER(SEARCH("R99",G114))*99,0)+IFERROR(--ISNUMBER(SEARCH("R100",G114))*100,0)+IFERROR(--ISNUMBER(SEARCH("R101",G114))*101,0)+IFERROR(--ISNUMBER(SEARCH("R102",G114))*102,0)+IFERROR(--ISNUMBER(SEARCH("R103",G114))*103,0)+IFERROR(--ISNUMBER(SEARCH("R104",G114))*104,0)+IFERROR(--ISNUMBER(SEARCH("R105",G114))*105,0)+IFERROR(--ISNUMBER(SEARCH("R106",G114))*106,0)+IFERROR(--ISNUMBER(SEARCH("R107",G114))*107,0)+IFERROR(--ISNUMBER(SEARCH("R108",G114))*108,0)+IFERROR(--ISNUMBER(SEARCH("R109",G114))*109,0)+IFERROR(--ISNUMBER(SEARCH("R110",G114))*110,0)+IFERROR(--ISNUMBER(SEARCH("R111",G114))*111,0)+IFERROR(--ISNUMBER(SEARCH("R112",G114))*112,0)+IFERROR(--ISNUMBER(SEARCH("R113",G114))*113,0)+IFERROR(--ISNUMBER(SEARCH("R114",G114))*114,0)+IFERROR(--ISNUMBER(SEARCH("R115",G114))*115,0)+IFERROR(--ISNUMBER(SEARCH("R116",G114))*116,0)+IFERROR(--ISNUMBER(SEARCH("R117",G114))*117,0)+IFERROR(--ISNUMBER(SEARCH("R118",G114))*118,0)+IFERROR(--ISNUMBER(SEARCH("R119",G114))*119,0)+IFERROR(--ISNUMBER(SEARCH("R120",G114))*120,0)+IFERROR(--ISNUMBER(SEARCH("R121",G114))*121,0)+IFERROR(--ISNUMBER(SEARCH("R122",G114))*122,0)+IFERROR(--ISNUMBER(SEARCH("R123",G114))*123,0)+IFERROR(--ISNUMBER(SEARCH("R124",G114))*124,0)+IFERROR(--ISNUMBER(SEARCH("R125",G114))*125,0)+IFERROR(--ISNUMBER(SEARCH("R126",G114))*126,0)+IFERROR(--ISNUMBER(SEARCH("R127",G114))*127,0)+IFERROR(--ISNUMBER(SEARCH("R128",G114))*128,0)+IFERROR(--ISNUMBER(SEARCH("R129",G114))*129,0)+IFERROR(--ISNUMBER(SEARCH("R130",G114))*130,0)+IFERROR(--ISNUMBER(SEARCH("R131",G114))*131,0)+IFERROR(--ISNUMBER(SEARCH("R132",G114))*132,0)+IFERROR(--ISNUMBER(SEARCH("R133",G114))*133,0)+IFERROR(--ISNUMBER(SEARCH("R134",G114))*134,0)+IFERROR(--ISNUMBER(SEARCH("R135",G114))*135,0)+IFERROR(--ISNUMBER(SEARCH("R136",G114))*136,0)+IFERROR(--ISNUMBER(SEARCH("R137",G114))*137,0)+IFERROR(--ISNUMBER(SEARCH("R138",G114))*138,0)+IFERROR(--ISNUMBER(SEARCH("R139",G114))*139,0)+IFERROR(--ISNUMBER(SEARCH("R140",G114))*140,0)+IFERROR(--ISNUMBER(SEARCH("R141",G114))*141,0))</f>
        <v/>
      </c>
      <c r="V114" s="59">
        <f>IF(A114="","",IF(K114&lt;&gt;"",K114,J114))</f>
        <v/>
      </c>
      <c r="W114" s="59">
        <f>IF(A114="","",IF(AND(V114=29,O114&lt;&gt;"",COUNTIFS($V$6:$V$505,29,$F$6:$F$505,F114,$C$6:$C$505,C114,$O$6:$O$505,"&lt;&gt;")&gt;1),IF(COUNTIFS($V$6:V114,29,$F$6:F114,F114,$C$6:C114,C114,$O$6:O114,"&lt;&gt;")=1,"Esta es la fila que se debe CONSERVAR (aparición 1 de "&amp;COUNTIFS($V$6:$V$505,29,$F$6:$F$505,F114,$C$6:$C$505,C114,$O$6:$O$505,"&lt;&gt;")&amp;" con el mismo tercero y valor, casilla 29). Si hay más filas iguales, bórreles el valor a ELLAS, no a esta.","DUPLICADO — ya existe otra fila con el mismo tercero y valor para casilla 29 (aparición "&amp;COUNTIFS($V$6:V114,29,$F$6:F114,F114,$C$6:C114,C114,$O$6:O114,"&lt;&gt;")&amp;" de "&amp;COUNTIFS($V$6:$V$505,29,$F$6:$F$505,F114,$C$6:$C$505,C114,$O$6:$O$505,"&lt;&gt;")&amp;"). Para resolverlo: seleccione la celda O"&amp;ROW()&amp;" (columna Valor a declarar de ESTA fila) y presione Supr."),""))</f>
        <v/>
      </c>
      <c r="X114" s="463">
        <f>IF(A114="","",F114)</f>
        <v/>
      </c>
      <c r="Y114" s="463">
        <f>IF(A114="","",SUMIF(Entrada_Manual!$I$88:$I$187,A114,Entrada_Manual!$F$88:$F$187))</f>
        <v/>
      </c>
      <c r="Z114" s="463">
        <f>IF(A114="","",X114-Y114)</f>
        <v/>
      </c>
      <c r="AA114">
        <f>IF(A114="","",SUMPRODUCT((Entrada_Manual!$I$88:$I$187=A114)*1))</f>
        <v/>
      </c>
      <c r="AB114">
        <f>IF(A114="","",IF(S114&lt;=1,"",IF(AA114=0,"PENDIENTE — SIN ASIGNAR",IF(Z114=0,"RESUELTO","PARCIAL — DIFERENCIA "&amp;TEXT(Z114,"#,##0")))))</f>
        <v/>
      </c>
    </row>
    <row r="115" ht="14.25" customHeight="1" s="235">
      <c r="A115" s="47">
        <f>IF(Exogena_RAW!E124&lt;&gt;"",ROW()-5,"")</f>
        <v/>
      </c>
      <c r="B115" s="48">
        <f>IF(A115="","",124)</f>
        <v/>
      </c>
      <c r="C115" s="48">
        <f>IF(A115="","",IFERROR(Exogena_RAW!A124,""))</f>
        <v/>
      </c>
      <c r="D115" s="48">
        <f>IF(A115="","",IFERROR(Exogena_RAW!B124,""))</f>
        <v/>
      </c>
      <c r="E115" s="48">
        <f>IF(A115="","",Exogena_RAW!E124)</f>
        <v/>
      </c>
      <c r="F115" s="461">
        <f>IF(A115="","",Exogena_RAW!F124)</f>
        <v/>
      </c>
      <c r="G115" s="48">
        <f>IF(A115="","",IFERROR(Exogena_RAW!G124,""))</f>
        <v/>
      </c>
      <c r="H115" s="48">
        <f>IF(A115="","",IFERROR(Exogena_RAW!H124,""))</f>
        <v/>
      </c>
      <c r="I115" s="48">
        <f>IF(A115="","",IFERROR(IF(S115&gt;1,"VARIAS CASILLAS",IF(S115=1,IF(T115=1,"PROPUESTA DE CASILLA","REVISIÓN: CASILLA NO DIRECTA"),IF(OR(ISNUMBER(SEARCH("TOPE",UPPER(E115))),ISNUMBER(SEARCH("TOPE",UPPER(G115)))),"SOLO CONTROL",IF(ISNUMBER(SEARCH("RETEN",UPPER(E115))),"RETENCIÓN","REVISAR")))),"REVISAR"))</f>
        <v/>
      </c>
      <c r="J115" s="48">
        <f>IF(A115="","",IF(ISNUMBER(SEARCH("ingreso laboral promedio de los últimos seis meses",E115)),"",IFERROR(IF(AND(S115=1,T115=1),U115,""),"")))</f>
        <v/>
      </c>
      <c r="K115" s="216" t="n"/>
      <c r="L115" s="48">
        <f>IF(A115="","",IFERROR(IF(K115&lt;&gt;"","Casilla elegida por usuario",IF(S115&gt;1,"Varias casillas — elegir en K",IF(J115&lt;&gt;"","Sugerencia directa",IF(S115=1,"No trasladar directo — revisar",IF(OR(ISNUMBER(SEARCH("TOPE",UPPER(E115))),ISNUMBER(SEARCH("TOPE",UPPER(G115)))),"Solo control","Revisar manualmente"))))),"Revisar manualmente"))</f>
        <v/>
      </c>
      <c r="M115" s="461">
        <f>IF(A115="","",IF(IF(K115&lt;&gt;"",K115,J115)="",0,IF(COUNTIFS(Reglas!$I$5:$I$118,IF(K115&lt;&gt;"",K115,J115),Reglas!$J$5:$J$118,"Sí")=1,F115,0)))</f>
        <v/>
      </c>
      <c r="N115" s="56" t="n"/>
      <c r="O115" s="462">
        <f>IF(A115="","",IF(M115=0,"",M115))</f>
        <v/>
      </c>
      <c r="P115" s="461">
        <f>IF(A115="","",IF(O115="",0,IF(ISNUMBER(O115),O115,0)))</f>
        <v/>
      </c>
      <c r="Q115" s="48">
        <f>IF(A115="","",IF(Exogena_RAW!$C$4="","BLOQUEADO: FALTA AÑO",IF(Exogena_RAW!$K$10&lt;&gt;Reglas!$B$5,"BLOQUEADO: AÑO",IF(IF(K115&lt;&gt;"",K115,J115)="",IF(S115&gt;1,"REQUIERE ASIGNACIÓN MANUAL (VARIAS CASILLAS)","INFORMATIVO (sin casilla — no se declara)"),IF(COUNTIFS(Reglas!$I$5:$I$118,IF(K115&lt;&gt;"",K115,J115),Reglas!$J$5:$J$118,"Sí")=0,"BLOQUEADO: CASILLA NO DIRECTA",IF(O115="","EXCLUIDO (valor borrado por el usuario)",IF(_xlfn.ISFORMULA(O115),IF(W115&lt;&gt;"","BORRADOR — VALOR SUGERIDO DIAN ⚠ VER ALERTA","BORRADOR — VALOR SUGERIDO DIAN"),IF(W115&lt;&gt;"","ACEPTADO ⚠ VER ALERTA","ACEPTADO"))))))))</f>
        <v/>
      </c>
      <c r="R115" s="218" t="n"/>
      <c r="S115" s="58">
        <f>IF(A115="","",IFERROR(--ISNUMBER(SEARCH("R28",G115)),0)+IFERROR(--ISNUMBER(SEARCH("R29",G115)),0)+IFERROR(--ISNUMBER(SEARCH("R30",G115)),0)+IFERROR(--ISNUMBER(SEARCH("R31",G115)),0)+IFERROR(--ISNUMBER(SEARCH("R32",G115)),0)+IFERROR(--ISNUMBER(SEARCH("R33",G115)),0)+IFERROR(--ISNUMBER(SEARCH("R34",G115)),0)+IFERROR(--ISNUMBER(SEARCH("R35",G115)),0)+IFERROR(--ISNUMBER(SEARCH("R36",G115)),0)+IFERROR(--ISNUMBER(SEARCH("R37",G115)),0)+IFERROR(--ISNUMBER(SEARCH("R38",G115)),0)+IFERROR(--ISNUMBER(SEARCH("R39",G115)),0)+IFERROR(--ISNUMBER(SEARCH("R40",G115)),0)+IFERROR(--ISNUMBER(SEARCH("R41",G115)),0)+IFERROR(--ISNUMBER(SEARCH("R42",G115)),0)+IFERROR(--ISNUMBER(SEARCH("R43",G115)),0)+IFERROR(--ISNUMBER(SEARCH("R44",G115)),0)+IFERROR(--ISNUMBER(SEARCH("R45",G115)),0)+IFERROR(--ISNUMBER(SEARCH("R46",G115)),0)+IFERROR(--ISNUMBER(SEARCH("R47",G115)),0)+IFERROR(--ISNUMBER(SEARCH("R48",G115)),0)+IFERROR(--ISNUMBER(SEARCH("R49",G115)),0)+IFERROR(--ISNUMBER(SEARCH("R50",G115)),0)+IFERROR(--ISNUMBER(SEARCH("R51",G115)),0)+IFERROR(--ISNUMBER(SEARCH("R52",G115)),0)+IFERROR(--ISNUMBER(SEARCH("R53",G115)),0)+IFERROR(--ISNUMBER(SEARCH("R54",G115)),0)+IFERROR(--ISNUMBER(SEARCH("R55",G115)),0)+IFERROR(--ISNUMBER(SEARCH("R56",G115)),0)+IFERROR(--ISNUMBER(SEARCH("R57",G115)),0)+IFERROR(--ISNUMBER(SEARCH("R58",G115)),0)+IFERROR(--ISNUMBER(SEARCH("R59",G115)),0)+IFERROR(--ISNUMBER(SEARCH("R60",G115)),0)+IFERROR(--ISNUMBER(SEARCH("R61",G115)),0)+IFERROR(--ISNUMBER(SEARCH("R62",G115)),0)+IFERROR(--ISNUMBER(SEARCH("R63",G115)),0)+IFERROR(--ISNUMBER(SEARCH("R64",G115)),0)+IFERROR(--ISNUMBER(SEARCH("R65",G115)),0)+IFERROR(--ISNUMBER(SEARCH("R66",G115)),0)+IFERROR(--ISNUMBER(SEARCH("R67",G115)),0)+IFERROR(--ISNUMBER(SEARCH("R68",G115)),0)+IFERROR(--ISNUMBER(SEARCH("R69",G115)),0)+IFERROR(--ISNUMBER(SEARCH("R70",G115)),0)+IFERROR(--ISNUMBER(SEARCH("R71",G115)),0)+IFERROR(--ISNUMBER(SEARCH("R72",G115)),0)+IFERROR(--ISNUMBER(SEARCH("R73",G115)),0)+IFERROR(--ISNUMBER(SEARCH("R74",G115)),0)+IFERROR(--ISNUMBER(SEARCH("R75",G115)),0)+IFERROR(--ISNUMBER(SEARCH("R76",G115)),0)+IFERROR(--ISNUMBER(SEARCH("R77",G115)),0)+IFERROR(--ISNUMBER(SEARCH("R78",G115)),0)+IFERROR(--ISNUMBER(SEARCH("R79",G115)),0)+IFERROR(--ISNUMBER(SEARCH("R80",G115)),0)+IFERROR(--ISNUMBER(SEARCH("R81",G115)),0)+IFERROR(--ISNUMBER(SEARCH("R82",G115)),0)+IFERROR(--ISNUMBER(SEARCH("R83",G115)),0)+IFERROR(--ISNUMBER(SEARCH("R84",G115)),0)+IFERROR(--ISNUMBER(SEARCH("R85",G115)),0)+IFERROR(--ISNUMBER(SEARCH("R86",G115)),0)+IFERROR(--ISNUMBER(SEARCH("R87",G115)),0)+IFERROR(--ISNUMBER(SEARCH("R88",G115)),0)+IFERROR(--ISNUMBER(SEARCH("R89",G115)),0)+IFERROR(--ISNUMBER(SEARCH("R90",G115)),0)+IFERROR(--ISNUMBER(SEARCH("R91",G115)),0)+IFERROR(--ISNUMBER(SEARCH("R92",G115)),0)+IFERROR(--ISNUMBER(SEARCH("R93",G115)),0)+IFERROR(--ISNUMBER(SEARCH("R94",G115)),0)+IFERROR(--ISNUMBER(SEARCH("R95",G115)),0)+IFERROR(--ISNUMBER(SEARCH("R96",G115)),0)+IFERROR(--ISNUMBER(SEARCH("R97",G115)),0)+IFERROR(--ISNUMBER(SEARCH("R98",G115)),0)+IFERROR(--ISNUMBER(SEARCH("R99",G115)),0)+IFERROR(--ISNUMBER(SEARCH("R100",G115)),0)+IFERROR(--ISNUMBER(SEARCH("R101",G115)),0)+IFERROR(--ISNUMBER(SEARCH("R102",G115)),0)+IFERROR(--ISNUMBER(SEARCH("R103",G115)),0)+IFERROR(--ISNUMBER(SEARCH("R104",G115)),0)+IFERROR(--ISNUMBER(SEARCH("R105",G115)),0)+IFERROR(--ISNUMBER(SEARCH("R106",G115)),0)+IFERROR(--ISNUMBER(SEARCH("R107",G115)),0)+IFERROR(--ISNUMBER(SEARCH("R108",G115)),0)+IFERROR(--ISNUMBER(SEARCH("R109",G115)),0)+IFERROR(--ISNUMBER(SEARCH("R110",G115)),0)+IFERROR(--ISNUMBER(SEARCH("R111",G115)),0)+IFERROR(--ISNUMBER(SEARCH("R112",G115)),0)+IFERROR(--ISNUMBER(SEARCH("R113",G115)),0)+IFERROR(--ISNUMBER(SEARCH("R114",G115)),0)+IFERROR(--ISNUMBER(SEARCH("R115",G115)),0)+IFERROR(--ISNUMBER(SEARCH("R116",G115)),0)+IFERROR(--ISNUMBER(SEARCH("R117",G115)),0)+IFERROR(--ISNUMBER(SEARCH("R118",G115)),0)+IFERROR(--ISNUMBER(SEARCH("R119",G115)),0)+IFERROR(--ISNUMBER(SEARCH("R120",G115)),0)+IFERROR(--ISNUMBER(SEARCH("R121",G115)),0)+IFERROR(--ISNUMBER(SEARCH("R122",G115)),0)+IFERROR(--ISNUMBER(SEARCH("R123",G115)),0)+IFERROR(--ISNUMBER(SEARCH("R124",G115)),0)+IFERROR(--ISNUMBER(SEARCH("R125",G115)),0)+IFERROR(--ISNUMBER(SEARCH("R126",G115)),0)+IFERROR(--ISNUMBER(SEARCH("R127",G115)),0)+IFERROR(--ISNUMBER(SEARCH("R128",G115)),0)+IFERROR(--ISNUMBER(SEARCH("R129",G115)),0)+IFERROR(--ISNUMBER(SEARCH("R130",G115)),0)+IFERROR(--ISNUMBER(SEARCH("R131",G115)),0)+IFERROR(--ISNUMBER(SEARCH("R132",G115)),0)+IFERROR(--ISNUMBER(SEARCH("R133",G115)),0)+IFERROR(--ISNUMBER(SEARCH("R134",G115)),0)+IFERROR(--ISNUMBER(SEARCH("R135",G115)),0)+IFERROR(--ISNUMBER(SEARCH("R136",G115)),0)+IFERROR(--ISNUMBER(SEARCH("R137",G115)),0)+IFERROR(--ISNUMBER(SEARCH("R138",G115)),0)+IFERROR(--ISNUMBER(SEARCH("R139",G115)),0)+IFERROR(--ISNUMBER(SEARCH("R140",G115)),0)+IFERROR(--ISNUMBER(SEARCH("R141",G115)),0))</f>
        <v/>
      </c>
      <c r="T115" s="58">
        <f>IF(A115="","",IFERROR(--ISNUMBER(SEARCH("R28",G115)),0)+IFERROR(--ISNUMBER(SEARCH("R29",G115)),0)+IFERROR(--ISNUMBER(SEARCH("R30",G115)),0)+IFERROR(--ISNUMBER(SEARCH("R32",G115)),0)+IFERROR(--ISNUMBER(SEARCH("R33",G115)),0)+IFERROR(--ISNUMBER(SEARCH("R35",G115)),0)+IFERROR(--ISNUMBER(SEARCH("R36",G115)),0)+IFERROR(--ISNUMBER(SEARCH("R38",G115)),0)+IFERROR(--ISNUMBER(SEARCH("R39",G115)),0)+IFERROR(--ISNUMBER(SEARCH("R43",G115)),0)+IFERROR(--ISNUMBER(SEARCH("R44",G115)),0)+IFERROR(--ISNUMBER(SEARCH("R45",G115)),0)+IFERROR(--ISNUMBER(SEARCH("R47",G115)),0)+IFERROR(--ISNUMBER(SEARCH("R48",G115)),0)+IFERROR(--ISNUMBER(SEARCH("R50",G115)),0)+IFERROR(--ISNUMBER(SEARCH("R51",G115)),0)+IFERROR(--ISNUMBER(SEARCH("R56",G115)),0)+IFERROR(--ISNUMBER(SEARCH("R58",G115)),0)+IFERROR(--ISNUMBER(SEARCH("R59",G115)),0)+IFERROR(--ISNUMBER(SEARCH("R60",G115)),0)+IFERROR(--ISNUMBER(SEARCH("R62",G115)),0)+IFERROR(--ISNUMBER(SEARCH("R63",G115)),0)+IFERROR(--ISNUMBER(SEARCH("R64",G115)),0)+IFERROR(--ISNUMBER(SEARCH("R66",G115)),0)+IFERROR(--ISNUMBER(SEARCH("R67",G115)),0)+IFERROR(--ISNUMBER(SEARCH("R72",G115)),0)+IFERROR(--ISNUMBER(SEARCH("R74",G115)),0)+IFERROR(--ISNUMBER(SEARCH("R75",G115)),0)+IFERROR(--ISNUMBER(SEARCH("R76",G115)),0)+IFERROR(--ISNUMBER(SEARCH("R77",G115)),0)+IFERROR(--ISNUMBER(SEARCH("R79",G115)),0)+IFERROR(--ISNUMBER(SEARCH("R80",G115)),0)+IFERROR(--ISNUMBER(SEARCH("R81",G115)),0)+IFERROR(--ISNUMBER(SEARCH("R83",G115)),0)+IFERROR(--ISNUMBER(SEARCH("R84",G115)),0)+IFERROR(--ISNUMBER(SEARCH("R89",G115)),0)+IFERROR(--ISNUMBER(SEARCH("R94",G115)),0)+IFERROR(--ISNUMBER(SEARCH("R95",G115)),0)+IFERROR(--ISNUMBER(SEARCH("R96",G115)),0)+IFERROR(--ISNUMBER(SEARCH("R98",G115)),0)+IFERROR(--ISNUMBER(SEARCH("R99",G115)),0)+IFERROR(--ISNUMBER(SEARCH("R100",G115)),0)+IFERROR(--ISNUMBER(SEARCH("R104",G115)),0)+IFERROR(--ISNUMBER(SEARCH("R105",G115)),0)+IFERROR(--ISNUMBER(SEARCH("R107",G115)),0)+IFERROR(--ISNUMBER(SEARCH("R108",G115)),0)+IFERROR(--ISNUMBER(SEARCH("R109",G115)),0)+IFERROR(--ISNUMBER(SEARCH("R110",G115)),0)+IFERROR(--ISNUMBER(SEARCH("R112",G115)),0)+IFERROR(--ISNUMBER(SEARCH("R113",G115)),0)+IFERROR(--ISNUMBER(SEARCH("R114",G115)),0)+IFERROR(--ISNUMBER(SEARCH("R118",G115)),0)+IFERROR(--ISNUMBER(SEARCH("R119",G115)),0)+IFERROR(--ISNUMBER(SEARCH("R120",G115)),0)+IFERROR(--ISNUMBER(SEARCH("R122",G115)),0)+IFERROR(--ISNUMBER(SEARCH("R123",G115)),0)+IFERROR(--ISNUMBER(SEARCH("R124",G115)),0)+IFERROR(--ISNUMBER(SEARCH("R128",G115)),0)+IFERROR(--ISNUMBER(SEARCH("R130",G115)),0)+IFERROR(--ISNUMBER(SEARCH("R131",G115)),0)+IFERROR(--ISNUMBER(SEARCH("R132",G115)),0)+IFERROR(--ISNUMBER(SEARCH("R135",G115)),0)+IFERROR(--ISNUMBER(SEARCH("R138",G115)),0)+IFERROR(--ISNUMBER(SEARCH("R141",G115)),0))</f>
        <v/>
      </c>
      <c r="U115" s="58">
        <f>IF(A115="","",IFERROR(--ISNUMBER(SEARCH("R28",G115))*28,0)+IFERROR(--ISNUMBER(SEARCH("R29",G115))*29,0)+IFERROR(--ISNUMBER(SEARCH("R30",G115))*30,0)+IFERROR(--ISNUMBER(SEARCH("R31",G115))*31,0)+IFERROR(--ISNUMBER(SEARCH("R32",G115))*32,0)+IFERROR(--ISNUMBER(SEARCH("R33",G115))*33,0)+IFERROR(--ISNUMBER(SEARCH("R34",G115))*34,0)+IFERROR(--ISNUMBER(SEARCH("R35",G115))*35,0)+IFERROR(--ISNUMBER(SEARCH("R36",G115))*36,0)+IFERROR(--ISNUMBER(SEARCH("R37",G115))*37,0)+IFERROR(--ISNUMBER(SEARCH("R38",G115))*38,0)+IFERROR(--ISNUMBER(SEARCH("R39",G115))*39,0)+IFERROR(--ISNUMBER(SEARCH("R40",G115))*40,0)+IFERROR(--ISNUMBER(SEARCH("R41",G115))*41,0)+IFERROR(--ISNUMBER(SEARCH("R42",G115))*42,0)+IFERROR(--ISNUMBER(SEARCH("R43",G115))*43,0)+IFERROR(--ISNUMBER(SEARCH("R44",G115))*44,0)+IFERROR(--ISNUMBER(SEARCH("R45",G115))*45,0)+IFERROR(--ISNUMBER(SEARCH("R46",G115))*46,0)+IFERROR(--ISNUMBER(SEARCH("R47",G115))*47,0)+IFERROR(--ISNUMBER(SEARCH("R48",G115))*48,0)+IFERROR(--ISNUMBER(SEARCH("R49",G115))*49,0)+IFERROR(--ISNUMBER(SEARCH("R50",G115))*50,0)+IFERROR(--ISNUMBER(SEARCH("R51",G115))*51,0)+IFERROR(--ISNUMBER(SEARCH("R52",G115))*52,0)+IFERROR(--ISNUMBER(SEARCH("R53",G115))*53,0)+IFERROR(--ISNUMBER(SEARCH("R54",G115))*54,0)+IFERROR(--ISNUMBER(SEARCH("R55",G115))*55,0)+IFERROR(--ISNUMBER(SEARCH("R56",G115))*56,0)+IFERROR(--ISNUMBER(SEARCH("R57",G115))*57,0)+IFERROR(--ISNUMBER(SEARCH("R58",G115))*58,0)+IFERROR(--ISNUMBER(SEARCH("R59",G115))*59,0)+IFERROR(--ISNUMBER(SEARCH("R60",G115))*60,0)+IFERROR(--ISNUMBER(SEARCH("R61",G115))*61,0)+IFERROR(--ISNUMBER(SEARCH("R62",G115))*62,0)+IFERROR(--ISNUMBER(SEARCH("R63",G115))*63,0)+IFERROR(--ISNUMBER(SEARCH("R64",G115))*64,0)+IFERROR(--ISNUMBER(SEARCH("R65",G115))*65,0)+IFERROR(--ISNUMBER(SEARCH("R66",G115))*66,0)+IFERROR(--ISNUMBER(SEARCH("R67",G115))*67,0)+IFERROR(--ISNUMBER(SEARCH("R68",G115))*68,0)+IFERROR(--ISNUMBER(SEARCH("R69",G115))*69,0)+IFERROR(--ISNUMBER(SEARCH("R70",G115))*70,0)+IFERROR(--ISNUMBER(SEARCH("R71",G115))*71,0)+IFERROR(--ISNUMBER(SEARCH("R72",G115))*72,0)+IFERROR(--ISNUMBER(SEARCH("R73",G115))*73,0)+IFERROR(--ISNUMBER(SEARCH("R74",G115))*74,0)+IFERROR(--ISNUMBER(SEARCH("R75",G115))*75,0)+IFERROR(--ISNUMBER(SEARCH("R76",G115))*76,0)+IFERROR(--ISNUMBER(SEARCH("R77",G115))*77,0)+IFERROR(--ISNUMBER(SEARCH("R78",G115))*78,0)+IFERROR(--ISNUMBER(SEARCH("R79",G115))*79,0)+IFERROR(--ISNUMBER(SEARCH("R80",G115))*80,0)+IFERROR(--ISNUMBER(SEARCH("R81",G115))*81,0)+IFERROR(--ISNUMBER(SEARCH("R82",G115))*82,0)+IFERROR(--ISNUMBER(SEARCH("R83",G115))*83,0)+IFERROR(--ISNUMBER(SEARCH("R84",G115))*84,0)+IFERROR(--ISNUMBER(SEARCH("R85",G115))*85,0)+IFERROR(--ISNUMBER(SEARCH("R86",G115))*86,0)+IFERROR(--ISNUMBER(SEARCH("R87",G115))*87,0)+IFERROR(--ISNUMBER(SEARCH("R88",G115))*88,0)+IFERROR(--ISNUMBER(SEARCH("R89",G115))*89,0)+IFERROR(--ISNUMBER(SEARCH("R90",G115))*90,0)+IFERROR(--ISNUMBER(SEARCH("R91",G115))*91,0)+IFERROR(--ISNUMBER(SEARCH("R92",G115))*92,0)+IFERROR(--ISNUMBER(SEARCH("R93",G115))*93,0)+IFERROR(--ISNUMBER(SEARCH("R94",G115))*94,0)+IFERROR(--ISNUMBER(SEARCH("R95",G115))*95,0)+IFERROR(--ISNUMBER(SEARCH("R96",G115))*96,0)+IFERROR(--ISNUMBER(SEARCH("R97",G115))*97,0)+IFERROR(--ISNUMBER(SEARCH("R98",G115))*98,0)+IFERROR(--ISNUMBER(SEARCH("R99",G115))*99,0)+IFERROR(--ISNUMBER(SEARCH("R100",G115))*100,0)+IFERROR(--ISNUMBER(SEARCH("R101",G115))*101,0)+IFERROR(--ISNUMBER(SEARCH("R102",G115))*102,0)+IFERROR(--ISNUMBER(SEARCH("R103",G115))*103,0)+IFERROR(--ISNUMBER(SEARCH("R104",G115))*104,0)+IFERROR(--ISNUMBER(SEARCH("R105",G115))*105,0)+IFERROR(--ISNUMBER(SEARCH("R106",G115))*106,0)+IFERROR(--ISNUMBER(SEARCH("R107",G115))*107,0)+IFERROR(--ISNUMBER(SEARCH("R108",G115))*108,0)+IFERROR(--ISNUMBER(SEARCH("R109",G115))*109,0)+IFERROR(--ISNUMBER(SEARCH("R110",G115))*110,0)+IFERROR(--ISNUMBER(SEARCH("R111",G115))*111,0)+IFERROR(--ISNUMBER(SEARCH("R112",G115))*112,0)+IFERROR(--ISNUMBER(SEARCH("R113",G115))*113,0)+IFERROR(--ISNUMBER(SEARCH("R114",G115))*114,0)+IFERROR(--ISNUMBER(SEARCH("R115",G115))*115,0)+IFERROR(--ISNUMBER(SEARCH("R116",G115))*116,0)+IFERROR(--ISNUMBER(SEARCH("R117",G115))*117,0)+IFERROR(--ISNUMBER(SEARCH("R118",G115))*118,0)+IFERROR(--ISNUMBER(SEARCH("R119",G115))*119,0)+IFERROR(--ISNUMBER(SEARCH("R120",G115))*120,0)+IFERROR(--ISNUMBER(SEARCH("R121",G115))*121,0)+IFERROR(--ISNUMBER(SEARCH("R122",G115))*122,0)+IFERROR(--ISNUMBER(SEARCH("R123",G115))*123,0)+IFERROR(--ISNUMBER(SEARCH("R124",G115))*124,0)+IFERROR(--ISNUMBER(SEARCH("R125",G115))*125,0)+IFERROR(--ISNUMBER(SEARCH("R126",G115))*126,0)+IFERROR(--ISNUMBER(SEARCH("R127",G115))*127,0)+IFERROR(--ISNUMBER(SEARCH("R128",G115))*128,0)+IFERROR(--ISNUMBER(SEARCH("R129",G115))*129,0)+IFERROR(--ISNUMBER(SEARCH("R130",G115))*130,0)+IFERROR(--ISNUMBER(SEARCH("R131",G115))*131,0)+IFERROR(--ISNUMBER(SEARCH("R132",G115))*132,0)+IFERROR(--ISNUMBER(SEARCH("R133",G115))*133,0)+IFERROR(--ISNUMBER(SEARCH("R134",G115))*134,0)+IFERROR(--ISNUMBER(SEARCH("R135",G115))*135,0)+IFERROR(--ISNUMBER(SEARCH("R136",G115))*136,0)+IFERROR(--ISNUMBER(SEARCH("R137",G115))*137,0)+IFERROR(--ISNUMBER(SEARCH("R138",G115))*138,0)+IFERROR(--ISNUMBER(SEARCH("R139",G115))*139,0)+IFERROR(--ISNUMBER(SEARCH("R140",G115))*140,0)+IFERROR(--ISNUMBER(SEARCH("R141",G115))*141,0))</f>
        <v/>
      </c>
      <c r="V115" s="59">
        <f>IF(A115="","",IF(K115&lt;&gt;"",K115,J115))</f>
        <v/>
      </c>
      <c r="W115" s="59">
        <f>IF(A115="","",IF(AND(V115=29,O115&lt;&gt;"",COUNTIFS($V$6:$V$505,29,$F$6:$F$505,F115,$C$6:$C$505,C115,$O$6:$O$505,"&lt;&gt;")&gt;1),IF(COUNTIFS($V$6:V115,29,$F$6:F115,F115,$C$6:C115,C115,$O$6:O115,"&lt;&gt;")=1,"Esta es la fila que se debe CONSERVAR (aparición 1 de "&amp;COUNTIFS($V$6:$V$505,29,$F$6:$F$505,F115,$C$6:$C$505,C115,$O$6:$O$505,"&lt;&gt;")&amp;" con el mismo tercero y valor, casilla 29). Si hay más filas iguales, bórreles el valor a ELLAS, no a esta.","DUPLICADO — ya existe otra fila con el mismo tercero y valor para casilla 29 (aparición "&amp;COUNTIFS($V$6:V115,29,$F$6:F115,F115,$C$6:C115,C115,$O$6:O115,"&lt;&gt;")&amp;" de "&amp;COUNTIFS($V$6:$V$505,29,$F$6:$F$505,F115,$C$6:$C$505,C115,$O$6:$O$505,"&lt;&gt;")&amp;"). Para resolverlo: seleccione la celda O"&amp;ROW()&amp;" (columna Valor a declarar de ESTA fila) y presione Supr."),""))</f>
        <v/>
      </c>
      <c r="X115" s="463">
        <f>IF(A115="","",F115)</f>
        <v/>
      </c>
      <c r="Y115" s="463">
        <f>IF(A115="","",SUMIF(Entrada_Manual!$I$88:$I$187,A115,Entrada_Manual!$F$88:$F$187))</f>
        <v/>
      </c>
      <c r="Z115" s="463">
        <f>IF(A115="","",X115-Y115)</f>
        <v/>
      </c>
      <c r="AA115">
        <f>IF(A115="","",SUMPRODUCT((Entrada_Manual!$I$88:$I$187=A115)*1))</f>
        <v/>
      </c>
      <c r="AB115">
        <f>IF(A115="","",IF(S115&lt;=1,"",IF(AA115=0,"PENDIENTE — SIN ASIGNAR",IF(Z115=0,"RESUELTO","PARCIAL — DIFERENCIA "&amp;TEXT(Z115,"#,##0")))))</f>
        <v/>
      </c>
    </row>
    <row r="116" ht="14.25" customHeight="1" s="235">
      <c r="A116" s="47">
        <f>IF(Exogena_RAW!E125&lt;&gt;"",ROW()-5,"")</f>
        <v/>
      </c>
      <c r="B116" s="48">
        <f>IF(A116="","",125)</f>
        <v/>
      </c>
      <c r="C116" s="48">
        <f>IF(A116="","",IFERROR(Exogena_RAW!A125,""))</f>
        <v/>
      </c>
      <c r="D116" s="48">
        <f>IF(A116="","",IFERROR(Exogena_RAW!B125,""))</f>
        <v/>
      </c>
      <c r="E116" s="48">
        <f>IF(A116="","",Exogena_RAW!E125)</f>
        <v/>
      </c>
      <c r="F116" s="461">
        <f>IF(A116="","",Exogena_RAW!F125)</f>
        <v/>
      </c>
      <c r="G116" s="48">
        <f>IF(A116="","",IFERROR(Exogena_RAW!G125,""))</f>
        <v/>
      </c>
      <c r="H116" s="48">
        <f>IF(A116="","",IFERROR(Exogena_RAW!H125,""))</f>
        <v/>
      </c>
      <c r="I116" s="48">
        <f>IF(A116="","",IFERROR(IF(S116&gt;1,"VARIAS CASILLAS",IF(S116=1,IF(T116=1,"PROPUESTA DE CASILLA","REVISIÓN: CASILLA NO DIRECTA"),IF(OR(ISNUMBER(SEARCH("TOPE",UPPER(E116))),ISNUMBER(SEARCH("TOPE",UPPER(G116)))),"SOLO CONTROL",IF(ISNUMBER(SEARCH("RETEN",UPPER(E116))),"RETENCIÓN","REVISAR")))),"REVISAR"))</f>
        <v/>
      </c>
      <c r="J116" s="48">
        <f>IF(A116="","",IF(ISNUMBER(SEARCH("ingreso laboral promedio de los últimos seis meses",E116)),"",IFERROR(IF(AND(S116=1,T116=1),U116,""),"")))</f>
        <v/>
      </c>
      <c r="K116" s="216" t="n"/>
      <c r="L116" s="48">
        <f>IF(A116="","",IFERROR(IF(K116&lt;&gt;"","Casilla elegida por usuario",IF(S116&gt;1,"Varias casillas — elegir en K",IF(J116&lt;&gt;"","Sugerencia directa",IF(S116=1,"No trasladar directo — revisar",IF(OR(ISNUMBER(SEARCH("TOPE",UPPER(E116))),ISNUMBER(SEARCH("TOPE",UPPER(G116)))),"Solo control","Revisar manualmente"))))),"Revisar manualmente"))</f>
        <v/>
      </c>
      <c r="M116" s="461">
        <f>IF(A116="","",IF(IF(K116&lt;&gt;"",K116,J116)="",0,IF(COUNTIFS(Reglas!$I$5:$I$118,IF(K116&lt;&gt;"",K116,J116),Reglas!$J$5:$J$118,"Sí")=1,F116,0)))</f>
        <v/>
      </c>
      <c r="N116" s="56" t="n"/>
      <c r="O116" s="462">
        <f>IF(A116="","",IF(M116=0,"",M116))</f>
        <v/>
      </c>
      <c r="P116" s="461">
        <f>IF(A116="","",IF(O116="",0,IF(ISNUMBER(O116),O116,0)))</f>
        <v/>
      </c>
      <c r="Q116" s="48">
        <f>IF(A116="","",IF(Exogena_RAW!$C$4="","BLOQUEADO: FALTA AÑO",IF(Exogena_RAW!$K$10&lt;&gt;Reglas!$B$5,"BLOQUEADO: AÑO",IF(IF(K116&lt;&gt;"",K116,J116)="",IF(S116&gt;1,"REQUIERE ASIGNACIÓN MANUAL (VARIAS CASILLAS)","INFORMATIVO (sin casilla — no se declara)"),IF(COUNTIFS(Reglas!$I$5:$I$118,IF(K116&lt;&gt;"",K116,J116),Reglas!$J$5:$J$118,"Sí")=0,"BLOQUEADO: CASILLA NO DIRECTA",IF(O116="","EXCLUIDO (valor borrado por el usuario)",IF(_xlfn.ISFORMULA(O116),IF(W116&lt;&gt;"","BORRADOR — VALOR SUGERIDO DIAN ⚠ VER ALERTA","BORRADOR — VALOR SUGERIDO DIAN"),IF(W116&lt;&gt;"","ACEPTADO ⚠ VER ALERTA","ACEPTADO"))))))))</f>
        <v/>
      </c>
      <c r="R116" s="218" t="n"/>
      <c r="S116" s="58">
        <f>IF(A116="","",IFERROR(--ISNUMBER(SEARCH("R28",G116)),0)+IFERROR(--ISNUMBER(SEARCH("R29",G116)),0)+IFERROR(--ISNUMBER(SEARCH("R30",G116)),0)+IFERROR(--ISNUMBER(SEARCH("R31",G116)),0)+IFERROR(--ISNUMBER(SEARCH("R32",G116)),0)+IFERROR(--ISNUMBER(SEARCH("R33",G116)),0)+IFERROR(--ISNUMBER(SEARCH("R34",G116)),0)+IFERROR(--ISNUMBER(SEARCH("R35",G116)),0)+IFERROR(--ISNUMBER(SEARCH("R36",G116)),0)+IFERROR(--ISNUMBER(SEARCH("R37",G116)),0)+IFERROR(--ISNUMBER(SEARCH("R38",G116)),0)+IFERROR(--ISNUMBER(SEARCH("R39",G116)),0)+IFERROR(--ISNUMBER(SEARCH("R40",G116)),0)+IFERROR(--ISNUMBER(SEARCH("R41",G116)),0)+IFERROR(--ISNUMBER(SEARCH("R42",G116)),0)+IFERROR(--ISNUMBER(SEARCH("R43",G116)),0)+IFERROR(--ISNUMBER(SEARCH("R44",G116)),0)+IFERROR(--ISNUMBER(SEARCH("R45",G116)),0)+IFERROR(--ISNUMBER(SEARCH("R46",G116)),0)+IFERROR(--ISNUMBER(SEARCH("R47",G116)),0)+IFERROR(--ISNUMBER(SEARCH("R48",G116)),0)+IFERROR(--ISNUMBER(SEARCH("R49",G116)),0)+IFERROR(--ISNUMBER(SEARCH("R50",G116)),0)+IFERROR(--ISNUMBER(SEARCH("R51",G116)),0)+IFERROR(--ISNUMBER(SEARCH("R52",G116)),0)+IFERROR(--ISNUMBER(SEARCH("R53",G116)),0)+IFERROR(--ISNUMBER(SEARCH("R54",G116)),0)+IFERROR(--ISNUMBER(SEARCH("R55",G116)),0)+IFERROR(--ISNUMBER(SEARCH("R56",G116)),0)+IFERROR(--ISNUMBER(SEARCH("R57",G116)),0)+IFERROR(--ISNUMBER(SEARCH("R58",G116)),0)+IFERROR(--ISNUMBER(SEARCH("R59",G116)),0)+IFERROR(--ISNUMBER(SEARCH("R60",G116)),0)+IFERROR(--ISNUMBER(SEARCH("R61",G116)),0)+IFERROR(--ISNUMBER(SEARCH("R62",G116)),0)+IFERROR(--ISNUMBER(SEARCH("R63",G116)),0)+IFERROR(--ISNUMBER(SEARCH("R64",G116)),0)+IFERROR(--ISNUMBER(SEARCH("R65",G116)),0)+IFERROR(--ISNUMBER(SEARCH("R66",G116)),0)+IFERROR(--ISNUMBER(SEARCH("R67",G116)),0)+IFERROR(--ISNUMBER(SEARCH("R68",G116)),0)+IFERROR(--ISNUMBER(SEARCH("R69",G116)),0)+IFERROR(--ISNUMBER(SEARCH("R70",G116)),0)+IFERROR(--ISNUMBER(SEARCH("R71",G116)),0)+IFERROR(--ISNUMBER(SEARCH("R72",G116)),0)+IFERROR(--ISNUMBER(SEARCH("R73",G116)),0)+IFERROR(--ISNUMBER(SEARCH("R74",G116)),0)+IFERROR(--ISNUMBER(SEARCH("R75",G116)),0)+IFERROR(--ISNUMBER(SEARCH("R76",G116)),0)+IFERROR(--ISNUMBER(SEARCH("R77",G116)),0)+IFERROR(--ISNUMBER(SEARCH("R78",G116)),0)+IFERROR(--ISNUMBER(SEARCH("R79",G116)),0)+IFERROR(--ISNUMBER(SEARCH("R80",G116)),0)+IFERROR(--ISNUMBER(SEARCH("R81",G116)),0)+IFERROR(--ISNUMBER(SEARCH("R82",G116)),0)+IFERROR(--ISNUMBER(SEARCH("R83",G116)),0)+IFERROR(--ISNUMBER(SEARCH("R84",G116)),0)+IFERROR(--ISNUMBER(SEARCH("R85",G116)),0)+IFERROR(--ISNUMBER(SEARCH("R86",G116)),0)+IFERROR(--ISNUMBER(SEARCH("R87",G116)),0)+IFERROR(--ISNUMBER(SEARCH("R88",G116)),0)+IFERROR(--ISNUMBER(SEARCH("R89",G116)),0)+IFERROR(--ISNUMBER(SEARCH("R90",G116)),0)+IFERROR(--ISNUMBER(SEARCH("R91",G116)),0)+IFERROR(--ISNUMBER(SEARCH("R92",G116)),0)+IFERROR(--ISNUMBER(SEARCH("R93",G116)),0)+IFERROR(--ISNUMBER(SEARCH("R94",G116)),0)+IFERROR(--ISNUMBER(SEARCH("R95",G116)),0)+IFERROR(--ISNUMBER(SEARCH("R96",G116)),0)+IFERROR(--ISNUMBER(SEARCH("R97",G116)),0)+IFERROR(--ISNUMBER(SEARCH("R98",G116)),0)+IFERROR(--ISNUMBER(SEARCH("R99",G116)),0)+IFERROR(--ISNUMBER(SEARCH("R100",G116)),0)+IFERROR(--ISNUMBER(SEARCH("R101",G116)),0)+IFERROR(--ISNUMBER(SEARCH("R102",G116)),0)+IFERROR(--ISNUMBER(SEARCH("R103",G116)),0)+IFERROR(--ISNUMBER(SEARCH("R104",G116)),0)+IFERROR(--ISNUMBER(SEARCH("R105",G116)),0)+IFERROR(--ISNUMBER(SEARCH("R106",G116)),0)+IFERROR(--ISNUMBER(SEARCH("R107",G116)),0)+IFERROR(--ISNUMBER(SEARCH("R108",G116)),0)+IFERROR(--ISNUMBER(SEARCH("R109",G116)),0)+IFERROR(--ISNUMBER(SEARCH("R110",G116)),0)+IFERROR(--ISNUMBER(SEARCH("R111",G116)),0)+IFERROR(--ISNUMBER(SEARCH("R112",G116)),0)+IFERROR(--ISNUMBER(SEARCH("R113",G116)),0)+IFERROR(--ISNUMBER(SEARCH("R114",G116)),0)+IFERROR(--ISNUMBER(SEARCH("R115",G116)),0)+IFERROR(--ISNUMBER(SEARCH("R116",G116)),0)+IFERROR(--ISNUMBER(SEARCH("R117",G116)),0)+IFERROR(--ISNUMBER(SEARCH("R118",G116)),0)+IFERROR(--ISNUMBER(SEARCH("R119",G116)),0)+IFERROR(--ISNUMBER(SEARCH("R120",G116)),0)+IFERROR(--ISNUMBER(SEARCH("R121",G116)),0)+IFERROR(--ISNUMBER(SEARCH("R122",G116)),0)+IFERROR(--ISNUMBER(SEARCH("R123",G116)),0)+IFERROR(--ISNUMBER(SEARCH("R124",G116)),0)+IFERROR(--ISNUMBER(SEARCH("R125",G116)),0)+IFERROR(--ISNUMBER(SEARCH("R126",G116)),0)+IFERROR(--ISNUMBER(SEARCH("R127",G116)),0)+IFERROR(--ISNUMBER(SEARCH("R128",G116)),0)+IFERROR(--ISNUMBER(SEARCH("R129",G116)),0)+IFERROR(--ISNUMBER(SEARCH("R130",G116)),0)+IFERROR(--ISNUMBER(SEARCH("R131",G116)),0)+IFERROR(--ISNUMBER(SEARCH("R132",G116)),0)+IFERROR(--ISNUMBER(SEARCH("R133",G116)),0)+IFERROR(--ISNUMBER(SEARCH("R134",G116)),0)+IFERROR(--ISNUMBER(SEARCH("R135",G116)),0)+IFERROR(--ISNUMBER(SEARCH("R136",G116)),0)+IFERROR(--ISNUMBER(SEARCH("R137",G116)),0)+IFERROR(--ISNUMBER(SEARCH("R138",G116)),0)+IFERROR(--ISNUMBER(SEARCH("R139",G116)),0)+IFERROR(--ISNUMBER(SEARCH("R140",G116)),0)+IFERROR(--ISNUMBER(SEARCH("R141",G116)),0))</f>
        <v/>
      </c>
      <c r="T116" s="58">
        <f>IF(A116="","",IFERROR(--ISNUMBER(SEARCH("R28",G116)),0)+IFERROR(--ISNUMBER(SEARCH("R29",G116)),0)+IFERROR(--ISNUMBER(SEARCH("R30",G116)),0)+IFERROR(--ISNUMBER(SEARCH("R32",G116)),0)+IFERROR(--ISNUMBER(SEARCH("R33",G116)),0)+IFERROR(--ISNUMBER(SEARCH("R35",G116)),0)+IFERROR(--ISNUMBER(SEARCH("R36",G116)),0)+IFERROR(--ISNUMBER(SEARCH("R38",G116)),0)+IFERROR(--ISNUMBER(SEARCH("R39",G116)),0)+IFERROR(--ISNUMBER(SEARCH("R43",G116)),0)+IFERROR(--ISNUMBER(SEARCH("R44",G116)),0)+IFERROR(--ISNUMBER(SEARCH("R45",G116)),0)+IFERROR(--ISNUMBER(SEARCH("R47",G116)),0)+IFERROR(--ISNUMBER(SEARCH("R48",G116)),0)+IFERROR(--ISNUMBER(SEARCH("R50",G116)),0)+IFERROR(--ISNUMBER(SEARCH("R51",G116)),0)+IFERROR(--ISNUMBER(SEARCH("R56",G116)),0)+IFERROR(--ISNUMBER(SEARCH("R58",G116)),0)+IFERROR(--ISNUMBER(SEARCH("R59",G116)),0)+IFERROR(--ISNUMBER(SEARCH("R60",G116)),0)+IFERROR(--ISNUMBER(SEARCH("R62",G116)),0)+IFERROR(--ISNUMBER(SEARCH("R63",G116)),0)+IFERROR(--ISNUMBER(SEARCH("R64",G116)),0)+IFERROR(--ISNUMBER(SEARCH("R66",G116)),0)+IFERROR(--ISNUMBER(SEARCH("R67",G116)),0)+IFERROR(--ISNUMBER(SEARCH("R72",G116)),0)+IFERROR(--ISNUMBER(SEARCH("R74",G116)),0)+IFERROR(--ISNUMBER(SEARCH("R75",G116)),0)+IFERROR(--ISNUMBER(SEARCH("R76",G116)),0)+IFERROR(--ISNUMBER(SEARCH("R77",G116)),0)+IFERROR(--ISNUMBER(SEARCH("R79",G116)),0)+IFERROR(--ISNUMBER(SEARCH("R80",G116)),0)+IFERROR(--ISNUMBER(SEARCH("R81",G116)),0)+IFERROR(--ISNUMBER(SEARCH("R83",G116)),0)+IFERROR(--ISNUMBER(SEARCH("R84",G116)),0)+IFERROR(--ISNUMBER(SEARCH("R89",G116)),0)+IFERROR(--ISNUMBER(SEARCH("R94",G116)),0)+IFERROR(--ISNUMBER(SEARCH("R95",G116)),0)+IFERROR(--ISNUMBER(SEARCH("R96",G116)),0)+IFERROR(--ISNUMBER(SEARCH("R98",G116)),0)+IFERROR(--ISNUMBER(SEARCH("R99",G116)),0)+IFERROR(--ISNUMBER(SEARCH("R100",G116)),0)+IFERROR(--ISNUMBER(SEARCH("R104",G116)),0)+IFERROR(--ISNUMBER(SEARCH("R105",G116)),0)+IFERROR(--ISNUMBER(SEARCH("R107",G116)),0)+IFERROR(--ISNUMBER(SEARCH("R108",G116)),0)+IFERROR(--ISNUMBER(SEARCH("R109",G116)),0)+IFERROR(--ISNUMBER(SEARCH("R110",G116)),0)+IFERROR(--ISNUMBER(SEARCH("R112",G116)),0)+IFERROR(--ISNUMBER(SEARCH("R113",G116)),0)+IFERROR(--ISNUMBER(SEARCH("R114",G116)),0)+IFERROR(--ISNUMBER(SEARCH("R118",G116)),0)+IFERROR(--ISNUMBER(SEARCH("R119",G116)),0)+IFERROR(--ISNUMBER(SEARCH("R120",G116)),0)+IFERROR(--ISNUMBER(SEARCH("R122",G116)),0)+IFERROR(--ISNUMBER(SEARCH("R123",G116)),0)+IFERROR(--ISNUMBER(SEARCH("R124",G116)),0)+IFERROR(--ISNUMBER(SEARCH("R128",G116)),0)+IFERROR(--ISNUMBER(SEARCH("R130",G116)),0)+IFERROR(--ISNUMBER(SEARCH("R131",G116)),0)+IFERROR(--ISNUMBER(SEARCH("R132",G116)),0)+IFERROR(--ISNUMBER(SEARCH("R135",G116)),0)+IFERROR(--ISNUMBER(SEARCH("R138",G116)),0)+IFERROR(--ISNUMBER(SEARCH("R141",G116)),0))</f>
        <v/>
      </c>
      <c r="U116" s="58">
        <f>IF(A116="","",IFERROR(--ISNUMBER(SEARCH("R28",G116))*28,0)+IFERROR(--ISNUMBER(SEARCH("R29",G116))*29,0)+IFERROR(--ISNUMBER(SEARCH("R30",G116))*30,0)+IFERROR(--ISNUMBER(SEARCH("R31",G116))*31,0)+IFERROR(--ISNUMBER(SEARCH("R32",G116))*32,0)+IFERROR(--ISNUMBER(SEARCH("R33",G116))*33,0)+IFERROR(--ISNUMBER(SEARCH("R34",G116))*34,0)+IFERROR(--ISNUMBER(SEARCH("R35",G116))*35,0)+IFERROR(--ISNUMBER(SEARCH("R36",G116))*36,0)+IFERROR(--ISNUMBER(SEARCH("R37",G116))*37,0)+IFERROR(--ISNUMBER(SEARCH("R38",G116))*38,0)+IFERROR(--ISNUMBER(SEARCH("R39",G116))*39,0)+IFERROR(--ISNUMBER(SEARCH("R40",G116))*40,0)+IFERROR(--ISNUMBER(SEARCH("R41",G116))*41,0)+IFERROR(--ISNUMBER(SEARCH("R42",G116))*42,0)+IFERROR(--ISNUMBER(SEARCH("R43",G116))*43,0)+IFERROR(--ISNUMBER(SEARCH("R44",G116))*44,0)+IFERROR(--ISNUMBER(SEARCH("R45",G116))*45,0)+IFERROR(--ISNUMBER(SEARCH("R46",G116))*46,0)+IFERROR(--ISNUMBER(SEARCH("R47",G116))*47,0)+IFERROR(--ISNUMBER(SEARCH("R48",G116))*48,0)+IFERROR(--ISNUMBER(SEARCH("R49",G116))*49,0)+IFERROR(--ISNUMBER(SEARCH("R50",G116))*50,0)+IFERROR(--ISNUMBER(SEARCH("R51",G116))*51,0)+IFERROR(--ISNUMBER(SEARCH("R52",G116))*52,0)+IFERROR(--ISNUMBER(SEARCH("R53",G116))*53,0)+IFERROR(--ISNUMBER(SEARCH("R54",G116))*54,0)+IFERROR(--ISNUMBER(SEARCH("R55",G116))*55,0)+IFERROR(--ISNUMBER(SEARCH("R56",G116))*56,0)+IFERROR(--ISNUMBER(SEARCH("R57",G116))*57,0)+IFERROR(--ISNUMBER(SEARCH("R58",G116))*58,0)+IFERROR(--ISNUMBER(SEARCH("R59",G116))*59,0)+IFERROR(--ISNUMBER(SEARCH("R60",G116))*60,0)+IFERROR(--ISNUMBER(SEARCH("R61",G116))*61,0)+IFERROR(--ISNUMBER(SEARCH("R62",G116))*62,0)+IFERROR(--ISNUMBER(SEARCH("R63",G116))*63,0)+IFERROR(--ISNUMBER(SEARCH("R64",G116))*64,0)+IFERROR(--ISNUMBER(SEARCH("R65",G116))*65,0)+IFERROR(--ISNUMBER(SEARCH("R66",G116))*66,0)+IFERROR(--ISNUMBER(SEARCH("R67",G116))*67,0)+IFERROR(--ISNUMBER(SEARCH("R68",G116))*68,0)+IFERROR(--ISNUMBER(SEARCH("R69",G116))*69,0)+IFERROR(--ISNUMBER(SEARCH("R70",G116))*70,0)+IFERROR(--ISNUMBER(SEARCH("R71",G116))*71,0)+IFERROR(--ISNUMBER(SEARCH("R72",G116))*72,0)+IFERROR(--ISNUMBER(SEARCH("R73",G116))*73,0)+IFERROR(--ISNUMBER(SEARCH("R74",G116))*74,0)+IFERROR(--ISNUMBER(SEARCH("R75",G116))*75,0)+IFERROR(--ISNUMBER(SEARCH("R76",G116))*76,0)+IFERROR(--ISNUMBER(SEARCH("R77",G116))*77,0)+IFERROR(--ISNUMBER(SEARCH("R78",G116))*78,0)+IFERROR(--ISNUMBER(SEARCH("R79",G116))*79,0)+IFERROR(--ISNUMBER(SEARCH("R80",G116))*80,0)+IFERROR(--ISNUMBER(SEARCH("R81",G116))*81,0)+IFERROR(--ISNUMBER(SEARCH("R82",G116))*82,0)+IFERROR(--ISNUMBER(SEARCH("R83",G116))*83,0)+IFERROR(--ISNUMBER(SEARCH("R84",G116))*84,0)+IFERROR(--ISNUMBER(SEARCH("R85",G116))*85,0)+IFERROR(--ISNUMBER(SEARCH("R86",G116))*86,0)+IFERROR(--ISNUMBER(SEARCH("R87",G116))*87,0)+IFERROR(--ISNUMBER(SEARCH("R88",G116))*88,0)+IFERROR(--ISNUMBER(SEARCH("R89",G116))*89,0)+IFERROR(--ISNUMBER(SEARCH("R90",G116))*90,0)+IFERROR(--ISNUMBER(SEARCH("R91",G116))*91,0)+IFERROR(--ISNUMBER(SEARCH("R92",G116))*92,0)+IFERROR(--ISNUMBER(SEARCH("R93",G116))*93,0)+IFERROR(--ISNUMBER(SEARCH("R94",G116))*94,0)+IFERROR(--ISNUMBER(SEARCH("R95",G116))*95,0)+IFERROR(--ISNUMBER(SEARCH("R96",G116))*96,0)+IFERROR(--ISNUMBER(SEARCH("R97",G116))*97,0)+IFERROR(--ISNUMBER(SEARCH("R98",G116))*98,0)+IFERROR(--ISNUMBER(SEARCH("R99",G116))*99,0)+IFERROR(--ISNUMBER(SEARCH("R100",G116))*100,0)+IFERROR(--ISNUMBER(SEARCH("R101",G116))*101,0)+IFERROR(--ISNUMBER(SEARCH("R102",G116))*102,0)+IFERROR(--ISNUMBER(SEARCH("R103",G116))*103,0)+IFERROR(--ISNUMBER(SEARCH("R104",G116))*104,0)+IFERROR(--ISNUMBER(SEARCH("R105",G116))*105,0)+IFERROR(--ISNUMBER(SEARCH("R106",G116))*106,0)+IFERROR(--ISNUMBER(SEARCH("R107",G116))*107,0)+IFERROR(--ISNUMBER(SEARCH("R108",G116))*108,0)+IFERROR(--ISNUMBER(SEARCH("R109",G116))*109,0)+IFERROR(--ISNUMBER(SEARCH("R110",G116))*110,0)+IFERROR(--ISNUMBER(SEARCH("R111",G116))*111,0)+IFERROR(--ISNUMBER(SEARCH("R112",G116))*112,0)+IFERROR(--ISNUMBER(SEARCH("R113",G116))*113,0)+IFERROR(--ISNUMBER(SEARCH("R114",G116))*114,0)+IFERROR(--ISNUMBER(SEARCH("R115",G116))*115,0)+IFERROR(--ISNUMBER(SEARCH("R116",G116))*116,0)+IFERROR(--ISNUMBER(SEARCH("R117",G116))*117,0)+IFERROR(--ISNUMBER(SEARCH("R118",G116))*118,0)+IFERROR(--ISNUMBER(SEARCH("R119",G116))*119,0)+IFERROR(--ISNUMBER(SEARCH("R120",G116))*120,0)+IFERROR(--ISNUMBER(SEARCH("R121",G116))*121,0)+IFERROR(--ISNUMBER(SEARCH("R122",G116))*122,0)+IFERROR(--ISNUMBER(SEARCH("R123",G116))*123,0)+IFERROR(--ISNUMBER(SEARCH("R124",G116))*124,0)+IFERROR(--ISNUMBER(SEARCH("R125",G116))*125,0)+IFERROR(--ISNUMBER(SEARCH("R126",G116))*126,0)+IFERROR(--ISNUMBER(SEARCH("R127",G116))*127,0)+IFERROR(--ISNUMBER(SEARCH("R128",G116))*128,0)+IFERROR(--ISNUMBER(SEARCH("R129",G116))*129,0)+IFERROR(--ISNUMBER(SEARCH("R130",G116))*130,0)+IFERROR(--ISNUMBER(SEARCH("R131",G116))*131,0)+IFERROR(--ISNUMBER(SEARCH("R132",G116))*132,0)+IFERROR(--ISNUMBER(SEARCH("R133",G116))*133,0)+IFERROR(--ISNUMBER(SEARCH("R134",G116))*134,0)+IFERROR(--ISNUMBER(SEARCH("R135",G116))*135,0)+IFERROR(--ISNUMBER(SEARCH("R136",G116))*136,0)+IFERROR(--ISNUMBER(SEARCH("R137",G116))*137,0)+IFERROR(--ISNUMBER(SEARCH("R138",G116))*138,0)+IFERROR(--ISNUMBER(SEARCH("R139",G116))*139,0)+IFERROR(--ISNUMBER(SEARCH("R140",G116))*140,0)+IFERROR(--ISNUMBER(SEARCH("R141",G116))*141,0))</f>
        <v/>
      </c>
      <c r="V116" s="59">
        <f>IF(A116="","",IF(K116&lt;&gt;"",K116,J116))</f>
        <v/>
      </c>
      <c r="W116" s="59">
        <f>IF(A116="","",IF(AND(V116=29,O116&lt;&gt;"",COUNTIFS($V$6:$V$505,29,$F$6:$F$505,F116,$C$6:$C$505,C116,$O$6:$O$505,"&lt;&gt;")&gt;1),IF(COUNTIFS($V$6:V116,29,$F$6:F116,F116,$C$6:C116,C116,$O$6:O116,"&lt;&gt;")=1,"Esta es la fila que se debe CONSERVAR (aparición 1 de "&amp;COUNTIFS($V$6:$V$505,29,$F$6:$F$505,F116,$C$6:$C$505,C116,$O$6:$O$505,"&lt;&gt;")&amp;" con el mismo tercero y valor, casilla 29). Si hay más filas iguales, bórreles el valor a ELLAS, no a esta.","DUPLICADO — ya existe otra fila con el mismo tercero y valor para casilla 29 (aparición "&amp;COUNTIFS($V$6:V116,29,$F$6:F116,F116,$C$6:C116,C116,$O$6:O116,"&lt;&gt;")&amp;" de "&amp;COUNTIFS($V$6:$V$505,29,$F$6:$F$505,F116,$C$6:$C$505,C116,$O$6:$O$505,"&lt;&gt;")&amp;"). Para resolverlo: seleccione la celda O"&amp;ROW()&amp;" (columna Valor a declarar de ESTA fila) y presione Supr."),""))</f>
        <v/>
      </c>
      <c r="X116" s="463">
        <f>IF(A116="","",F116)</f>
        <v/>
      </c>
      <c r="Y116" s="463">
        <f>IF(A116="","",SUMIF(Entrada_Manual!$I$88:$I$187,A116,Entrada_Manual!$F$88:$F$187))</f>
        <v/>
      </c>
      <c r="Z116" s="463">
        <f>IF(A116="","",X116-Y116)</f>
        <v/>
      </c>
      <c r="AA116">
        <f>IF(A116="","",SUMPRODUCT((Entrada_Manual!$I$88:$I$187=A116)*1))</f>
        <v/>
      </c>
      <c r="AB116">
        <f>IF(A116="","",IF(S116&lt;=1,"",IF(AA116=0,"PENDIENTE — SIN ASIGNAR",IF(Z116=0,"RESUELTO","PARCIAL — DIFERENCIA "&amp;TEXT(Z116,"#,##0")))))</f>
        <v/>
      </c>
    </row>
    <row r="117" ht="14.25" customHeight="1" s="235">
      <c r="A117" s="47">
        <f>IF(Exogena_RAW!E126&lt;&gt;"",ROW()-5,"")</f>
        <v/>
      </c>
      <c r="B117" s="48">
        <f>IF(A117="","",126)</f>
        <v/>
      </c>
      <c r="C117" s="48">
        <f>IF(A117="","",IFERROR(Exogena_RAW!A126,""))</f>
        <v/>
      </c>
      <c r="D117" s="48">
        <f>IF(A117="","",IFERROR(Exogena_RAW!B126,""))</f>
        <v/>
      </c>
      <c r="E117" s="48">
        <f>IF(A117="","",Exogena_RAW!E126)</f>
        <v/>
      </c>
      <c r="F117" s="461">
        <f>IF(A117="","",Exogena_RAW!F126)</f>
        <v/>
      </c>
      <c r="G117" s="48">
        <f>IF(A117="","",IFERROR(Exogena_RAW!G126,""))</f>
        <v/>
      </c>
      <c r="H117" s="48">
        <f>IF(A117="","",IFERROR(Exogena_RAW!H126,""))</f>
        <v/>
      </c>
      <c r="I117" s="48">
        <f>IF(A117="","",IFERROR(IF(S117&gt;1,"VARIAS CASILLAS",IF(S117=1,IF(T117=1,"PROPUESTA DE CASILLA","REVISIÓN: CASILLA NO DIRECTA"),IF(OR(ISNUMBER(SEARCH("TOPE",UPPER(E117))),ISNUMBER(SEARCH("TOPE",UPPER(G117)))),"SOLO CONTROL",IF(ISNUMBER(SEARCH("RETEN",UPPER(E117))),"RETENCIÓN","REVISAR")))),"REVISAR"))</f>
        <v/>
      </c>
      <c r="J117" s="48">
        <f>IF(A117="","",IF(ISNUMBER(SEARCH("ingreso laboral promedio de los últimos seis meses",E117)),"",IFERROR(IF(AND(S117=1,T117=1),U117,""),"")))</f>
        <v/>
      </c>
      <c r="K117" s="216" t="n"/>
      <c r="L117" s="48">
        <f>IF(A117="","",IFERROR(IF(K117&lt;&gt;"","Casilla elegida por usuario",IF(S117&gt;1,"Varias casillas — elegir en K",IF(J117&lt;&gt;"","Sugerencia directa",IF(S117=1,"No trasladar directo — revisar",IF(OR(ISNUMBER(SEARCH("TOPE",UPPER(E117))),ISNUMBER(SEARCH("TOPE",UPPER(G117)))),"Solo control","Revisar manualmente"))))),"Revisar manualmente"))</f>
        <v/>
      </c>
      <c r="M117" s="461">
        <f>IF(A117="","",IF(IF(K117&lt;&gt;"",K117,J117)="",0,IF(COUNTIFS(Reglas!$I$5:$I$118,IF(K117&lt;&gt;"",K117,J117),Reglas!$J$5:$J$118,"Sí")=1,F117,0)))</f>
        <v/>
      </c>
      <c r="N117" s="56" t="n"/>
      <c r="O117" s="462">
        <f>IF(A117="","",IF(M117=0,"",M117))</f>
        <v/>
      </c>
      <c r="P117" s="461">
        <f>IF(A117="","",IF(O117="",0,IF(ISNUMBER(O117),O117,0)))</f>
        <v/>
      </c>
      <c r="Q117" s="48">
        <f>IF(A117="","",IF(Exogena_RAW!$C$4="","BLOQUEADO: FALTA AÑO",IF(Exogena_RAW!$K$10&lt;&gt;Reglas!$B$5,"BLOQUEADO: AÑO",IF(IF(K117&lt;&gt;"",K117,J117)="",IF(S117&gt;1,"REQUIERE ASIGNACIÓN MANUAL (VARIAS CASILLAS)","INFORMATIVO (sin casilla — no se declara)"),IF(COUNTIFS(Reglas!$I$5:$I$118,IF(K117&lt;&gt;"",K117,J117),Reglas!$J$5:$J$118,"Sí")=0,"BLOQUEADO: CASILLA NO DIRECTA",IF(O117="","EXCLUIDO (valor borrado por el usuario)",IF(_xlfn.ISFORMULA(O117),IF(W117&lt;&gt;"","BORRADOR — VALOR SUGERIDO DIAN ⚠ VER ALERTA","BORRADOR — VALOR SUGERIDO DIAN"),IF(W117&lt;&gt;"","ACEPTADO ⚠ VER ALERTA","ACEPTADO"))))))))</f>
        <v/>
      </c>
      <c r="R117" s="218" t="n"/>
      <c r="S117" s="58">
        <f>IF(A117="","",IFERROR(--ISNUMBER(SEARCH("R28",G117)),0)+IFERROR(--ISNUMBER(SEARCH("R29",G117)),0)+IFERROR(--ISNUMBER(SEARCH("R30",G117)),0)+IFERROR(--ISNUMBER(SEARCH("R31",G117)),0)+IFERROR(--ISNUMBER(SEARCH("R32",G117)),0)+IFERROR(--ISNUMBER(SEARCH("R33",G117)),0)+IFERROR(--ISNUMBER(SEARCH("R34",G117)),0)+IFERROR(--ISNUMBER(SEARCH("R35",G117)),0)+IFERROR(--ISNUMBER(SEARCH("R36",G117)),0)+IFERROR(--ISNUMBER(SEARCH("R37",G117)),0)+IFERROR(--ISNUMBER(SEARCH("R38",G117)),0)+IFERROR(--ISNUMBER(SEARCH("R39",G117)),0)+IFERROR(--ISNUMBER(SEARCH("R40",G117)),0)+IFERROR(--ISNUMBER(SEARCH("R41",G117)),0)+IFERROR(--ISNUMBER(SEARCH("R42",G117)),0)+IFERROR(--ISNUMBER(SEARCH("R43",G117)),0)+IFERROR(--ISNUMBER(SEARCH("R44",G117)),0)+IFERROR(--ISNUMBER(SEARCH("R45",G117)),0)+IFERROR(--ISNUMBER(SEARCH("R46",G117)),0)+IFERROR(--ISNUMBER(SEARCH("R47",G117)),0)+IFERROR(--ISNUMBER(SEARCH("R48",G117)),0)+IFERROR(--ISNUMBER(SEARCH("R49",G117)),0)+IFERROR(--ISNUMBER(SEARCH("R50",G117)),0)+IFERROR(--ISNUMBER(SEARCH("R51",G117)),0)+IFERROR(--ISNUMBER(SEARCH("R52",G117)),0)+IFERROR(--ISNUMBER(SEARCH("R53",G117)),0)+IFERROR(--ISNUMBER(SEARCH("R54",G117)),0)+IFERROR(--ISNUMBER(SEARCH("R55",G117)),0)+IFERROR(--ISNUMBER(SEARCH("R56",G117)),0)+IFERROR(--ISNUMBER(SEARCH("R57",G117)),0)+IFERROR(--ISNUMBER(SEARCH("R58",G117)),0)+IFERROR(--ISNUMBER(SEARCH("R59",G117)),0)+IFERROR(--ISNUMBER(SEARCH("R60",G117)),0)+IFERROR(--ISNUMBER(SEARCH("R61",G117)),0)+IFERROR(--ISNUMBER(SEARCH("R62",G117)),0)+IFERROR(--ISNUMBER(SEARCH("R63",G117)),0)+IFERROR(--ISNUMBER(SEARCH("R64",G117)),0)+IFERROR(--ISNUMBER(SEARCH("R65",G117)),0)+IFERROR(--ISNUMBER(SEARCH("R66",G117)),0)+IFERROR(--ISNUMBER(SEARCH("R67",G117)),0)+IFERROR(--ISNUMBER(SEARCH("R68",G117)),0)+IFERROR(--ISNUMBER(SEARCH("R69",G117)),0)+IFERROR(--ISNUMBER(SEARCH("R70",G117)),0)+IFERROR(--ISNUMBER(SEARCH("R71",G117)),0)+IFERROR(--ISNUMBER(SEARCH("R72",G117)),0)+IFERROR(--ISNUMBER(SEARCH("R73",G117)),0)+IFERROR(--ISNUMBER(SEARCH("R74",G117)),0)+IFERROR(--ISNUMBER(SEARCH("R75",G117)),0)+IFERROR(--ISNUMBER(SEARCH("R76",G117)),0)+IFERROR(--ISNUMBER(SEARCH("R77",G117)),0)+IFERROR(--ISNUMBER(SEARCH("R78",G117)),0)+IFERROR(--ISNUMBER(SEARCH("R79",G117)),0)+IFERROR(--ISNUMBER(SEARCH("R80",G117)),0)+IFERROR(--ISNUMBER(SEARCH("R81",G117)),0)+IFERROR(--ISNUMBER(SEARCH("R82",G117)),0)+IFERROR(--ISNUMBER(SEARCH("R83",G117)),0)+IFERROR(--ISNUMBER(SEARCH("R84",G117)),0)+IFERROR(--ISNUMBER(SEARCH("R85",G117)),0)+IFERROR(--ISNUMBER(SEARCH("R86",G117)),0)+IFERROR(--ISNUMBER(SEARCH("R87",G117)),0)+IFERROR(--ISNUMBER(SEARCH("R88",G117)),0)+IFERROR(--ISNUMBER(SEARCH("R89",G117)),0)+IFERROR(--ISNUMBER(SEARCH("R90",G117)),0)+IFERROR(--ISNUMBER(SEARCH("R91",G117)),0)+IFERROR(--ISNUMBER(SEARCH("R92",G117)),0)+IFERROR(--ISNUMBER(SEARCH("R93",G117)),0)+IFERROR(--ISNUMBER(SEARCH("R94",G117)),0)+IFERROR(--ISNUMBER(SEARCH("R95",G117)),0)+IFERROR(--ISNUMBER(SEARCH("R96",G117)),0)+IFERROR(--ISNUMBER(SEARCH("R97",G117)),0)+IFERROR(--ISNUMBER(SEARCH("R98",G117)),0)+IFERROR(--ISNUMBER(SEARCH("R99",G117)),0)+IFERROR(--ISNUMBER(SEARCH("R100",G117)),0)+IFERROR(--ISNUMBER(SEARCH("R101",G117)),0)+IFERROR(--ISNUMBER(SEARCH("R102",G117)),0)+IFERROR(--ISNUMBER(SEARCH("R103",G117)),0)+IFERROR(--ISNUMBER(SEARCH("R104",G117)),0)+IFERROR(--ISNUMBER(SEARCH("R105",G117)),0)+IFERROR(--ISNUMBER(SEARCH("R106",G117)),0)+IFERROR(--ISNUMBER(SEARCH("R107",G117)),0)+IFERROR(--ISNUMBER(SEARCH("R108",G117)),0)+IFERROR(--ISNUMBER(SEARCH("R109",G117)),0)+IFERROR(--ISNUMBER(SEARCH("R110",G117)),0)+IFERROR(--ISNUMBER(SEARCH("R111",G117)),0)+IFERROR(--ISNUMBER(SEARCH("R112",G117)),0)+IFERROR(--ISNUMBER(SEARCH("R113",G117)),0)+IFERROR(--ISNUMBER(SEARCH("R114",G117)),0)+IFERROR(--ISNUMBER(SEARCH("R115",G117)),0)+IFERROR(--ISNUMBER(SEARCH("R116",G117)),0)+IFERROR(--ISNUMBER(SEARCH("R117",G117)),0)+IFERROR(--ISNUMBER(SEARCH("R118",G117)),0)+IFERROR(--ISNUMBER(SEARCH("R119",G117)),0)+IFERROR(--ISNUMBER(SEARCH("R120",G117)),0)+IFERROR(--ISNUMBER(SEARCH("R121",G117)),0)+IFERROR(--ISNUMBER(SEARCH("R122",G117)),0)+IFERROR(--ISNUMBER(SEARCH("R123",G117)),0)+IFERROR(--ISNUMBER(SEARCH("R124",G117)),0)+IFERROR(--ISNUMBER(SEARCH("R125",G117)),0)+IFERROR(--ISNUMBER(SEARCH("R126",G117)),0)+IFERROR(--ISNUMBER(SEARCH("R127",G117)),0)+IFERROR(--ISNUMBER(SEARCH("R128",G117)),0)+IFERROR(--ISNUMBER(SEARCH("R129",G117)),0)+IFERROR(--ISNUMBER(SEARCH("R130",G117)),0)+IFERROR(--ISNUMBER(SEARCH("R131",G117)),0)+IFERROR(--ISNUMBER(SEARCH("R132",G117)),0)+IFERROR(--ISNUMBER(SEARCH("R133",G117)),0)+IFERROR(--ISNUMBER(SEARCH("R134",G117)),0)+IFERROR(--ISNUMBER(SEARCH("R135",G117)),0)+IFERROR(--ISNUMBER(SEARCH("R136",G117)),0)+IFERROR(--ISNUMBER(SEARCH("R137",G117)),0)+IFERROR(--ISNUMBER(SEARCH("R138",G117)),0)+IFERROR(--ISNUMBER(SEARCH("R139",G117)),0)+IFERROR(--ISNUMBER(SEARCH("R140",G117)),0)+IFERROR(--ISNUMBER(SEARCH("R141",G117)),0))</f>
        <v/>
      </c>
      <c r="T117" s="58">
        <f>IF(A117="","",IFERROR(--ISNUMBER(SEARCH("R28",G117)),0)+IFERROR(--ISNUMBER(SEARCH("R29",G117)),0)+IFERROR(--ISNUMBER(SEARCH("R30",G117)),0)+IFERROR(--ISNUMBER(SEARCH("R32",G117)),0)+IFERROR(--ISNUMBER(SEARCH("R33",G117)),0)+IFERROR(--ISNUMBER(SEARCH("R35",G117)),0)+IFERROR(--ISNUMBER(SEARCH("R36",G117)),0)+IFERROR(--ISNUMBER(SEARCH("R38",G117)),0)+IFERROR(--ISNUMBER(SEARCH("R39",G117)),0)+IFERROR(--ISNUMBER(SEARCH("R43",G117)),0)+IFERROR(--ISNUMBER(SEARCH("R44",G117)),0)+IFERROR(--ISNUMBER(SEARCH("R45",G117)),0)+IFERROR(--ISNUMBER(SEARCH("R47",G117)),0)+IFERROR(--ISNUMBER(SEARCH("R48",G117)),0)+IFERROR(--ISNUMBER(SEARCH("R50",G117)),0)+IFERROR(--ISNUMBER(SEARCH("R51",G117)),0)+IFERROR(--ISNUMBER(SEARCH("R56",G117)),0)+IFERROR(--ISNUMBER(SEARCH("R58",G117)),0)+IFERROR(--ISNUMBER(SEARCH("R59",G117)),0)+IFERROR(--ISNUMBER(SEARCH("R60",G117)),0)+IFERROR(--ISNUMBER(SEARCH("R62",G117)),0)+IFERROR(--ISNUMBER(SEARCH("R63",G117)),0)+IFERROR(--ISNUMBER(SEARCH("R64",G117)),0)+IFERROR(--ISNUMBER(SEARCH("R66",G117)),0)+IFERROR(--ISNUMBER(SEARCH("R67",G117)),0)+IFERROR(--ISNUMBER(SEARCH("R72",G117)),0)+IFERROR(--ISNUMBER(SEARCH("R74",G117)),0)+IFERROR(--ISNUMBER(SEARCH("R75",G117)),0)+IFERROR(--ISNUMBER(SEARCH("R76",G117)),0)+IFERROR(--ISNUMBER(SEARCH("R77",G117)),0)+IFERROR(--ISNUMBER(SEARCH("R79",G117)),0)+IFERROR(--ISNUMBER(SEARCH("R80",G117)),0)+IFERROR(--ISNUMBER(SEARCH("R81",G117)),0)+IFERROR(--ISNUMBER(SEARCH("R83",G117)),0)+IFERROR(--ISNUMBER(SEARCH("R84",G117)),0)+IFERROR(--ISNUMBER(SEARCH("R89",G117)),0)+IFERROR(--ISNUMBER(SEARCH("R94",G117)),0)+IFERROR(--ISNUMBER(SEARCH("R95",G117)),0)+IFERROR(--ISNUMBER(SEARCH("R96",G117)),0)+IFERROR(--ISNUMBER(SEARCH("R98",G117)),0)+IFERROR(--ISNUMBER(SEARCH("R99",G117)),0)+IFERROR(--ISNUMBER(SEARCH("R100",G117)),0)+IFERROR(--ISNUMBER(SEARCH("R104",G117)),0)+IFERROR(--ISNUMBER(SEARCH("R105",G117)),0)+IFERROR(--ISNUMBER(SEARCH("R107",G117)),0)+IFERROR(--ISNUMBER(SEARCH("R108",G117)),0)+IFERROR(--ISNUMBER(SEARCH("R109",G117)),0)+IFERROR(--ISNUMBER(SEARCH("R110",G117)),0)+IFERROR(--ISNUMBER(SEARCH("R112",G117)),0)+IFERROR(--ISNUMBER(SEARCH("R113",G117)),0)+IFERROR(--ISNUMBER(SEARCH("R114",G117)),0)+IFERROR(--ISNUMBER(SEARCH("R118",G117)),0)+IFERROR(--ISNUMBER(SEARCH("R119",G117)),0)+IFERROR(--ISNUMBER(SEARCH("R120",G117)),0)+IFERROR(--ISNUMBER(SEARCH("R122",G117)),0)+IFERROR(--ISNUMBER(SEARCH("R123",G117)),0)+IFERROR(--ISNUMBER(SEARCH("R124",G117)),0)+IFERROR(--ISNUMBER(SEARCH("R128",G117)),0)+IFERROR(--ISNUMBER(SEARCH("R130",G117)),0)+IFERROR(--ISNUMBER(SEARCH("R131",G117)),0)+IFERROR(--ISNUMBER(SEARCH("R132",G117)),0)+IFERROR(--ISNUMBER(SEARCH("R135",G117)),0)+IFERROR(--ISNUMBER(SEARCH("R138",G117)),0)+IFERROR(--ISNUMBER(SEARCH("R141",G117)),0))</f>
        <v/>
      </c>
      <c r="U117" s="58">
        <f>IF(A117="","",IFERROR(--ISNUMBER(SEARCH("R28",G117))*28,0)+IFERROR(--ISNUMBER(SEARCH("R29",G117))*29,0)+IFERROR(--ISNUMBER(SEARCH("R30",G117))*30,0)+IFERROR(--ISNUMBER(SEARCH("R31",G117))*31,0)+IFERROR(--ISNUMBER(SEARCH("R32",G117))*32,0)+IFERROR(--ISNUMBER(SEARCH("R33",G117))*33,0)+IFERROR(--ISNUMBER(SEARCH("R34",G117))*34,0)+IFERROR(--ISNUMBER(SEARCH("R35",G117))*35,0)+IFERROR(--ISNUMBER(SEARCH("R36",G117))*36,0)+IFERROR(--ISNUMBER(SEARCH("R37",G117))*37,0)+IFERROR(--ISNUMBER(SEARCH("R38",G117))*38,0)+IFERROR(--ISNUMBER(SEARCH("R39",G117))*39,0)+IFERROR(--ISNUMBER(SEARCH("R40",G117))*40,0)+IFERROR(--ISNUMBER(SEARCH("R41",G117))*41,0)+IFERROR(--ISNUMBER(SEARCH("R42",G117))*42,0)+IFERROR(--ISNUMBER(SEARCH("R43",G117))*43,0)+IFERROR(--ISNUMBER(SEARCH("R44",G117))*44,0)+IFERROR(--ISNUMBER(SEARCH("R45",G117))*45,0)+IFERROR(--ISNUMBER(SEARCH("R46",G117))*46,0)+IFERROR(--ISNUMBER(SEARCH("R47",G117))*47,0)+IFERROR(--ISNUMBER(SEARCH("R48",G117))*48,0)+IFERROR(--ISNUMBER(SEARCH("R49",G117))*49,0)+IFERROR(--ISNUMBER(SEARCH("R50",G117))*50,0)+IFERROR(--ISNUMBER(SEARCH("R51",G117))*51,0)+IFERROR(--ISNUMBER(SEARCH("R52",G117))*52,0)+IFERROR(--ISNUMBER(SEARCH("R53",G117))*53,0)+IFERROR(--ISNUMBER(SEARCH("R54",G117))*54,0)+IFERROR(--ISNUMBER(SEARCH("R55",G117))*55,0)+IFERROR(--ISNUMBER(SEARCH("R56",G117))*56,0)+IFERROR(--ISNUMBER(SEARCH("R57",G117))*57,0)+IFERROR(--ISNUMBER(SEARCH("R58",G117))*58,0)+IFERROR(--ISNUMBER(SEARCH("R59",G117))*59,0)+IFERROR(--ISNUMBER(SEARCH("R60",G117))*60,0)+IFERROR(--ISNUMBER(SEARCH("R61",G117))*61,0)+IFERROR(--ISNUMBER(SEARCH("R62",G117))*62,0)+IFERROR(--ISNUMBER(SEARCH("R63",G117))*63,0)+IFERROR(--ISNUMBER(SEARCH("R64",G117))*64,0)+IFERROR(--ISNUMBER(SEARCH("R65",G117))*65,0)+IFERROR(--ISNUMBER(SEARCH("R66",G117))*66,0)+IFERROR(--ISNUMBER(SEARCH("R67",G117))*67,0)+IFERROR(--ISNUMBER(SEARCH("R68",G117))*68,0)+IFERROR(--ISNUMBER(SEARCH("R69",G117))*69,0)+IFERROR(--ISNUMBER(SEARCH("R70",G117))*70,0)+IFERROR(--ISNUMBER(SEARCH("R71",G117))*71,0)+IFERROR(--ISNUMBER(SEARCH("R72",G117))*72,0)+IFERROR(--ISNUMBER(SEARCH("R73",G117))*73,0)+IFERROR(--ISNUMBER(SEARCH("R74",G117))*74,0)+IFERROR(--ISNUMBER(SEARCH("R75",G117))*75,0)+IFERROR(--ISNUMBER(SEARCH("R76",G117))*76,0)+IFERROR(--ISNUMBER(SEARCH("R77",G117))*77,0)+IFERROR(--ISNUMBER(SEARCH("R78",G117))*78,0)+IFERROR(--ISNUMBER(SEARCH("R79",G117))*79,0)+IFERROR(--ISNUMBER(SEARCH("R80",G117))*80,0)+IFERROR(--ISNUMBER(SEARCH("R81",G117))*81,0)+IFERROR(--ISNUMBER(SEARCH("R82",G117))*82,0)+IFERROR(--ISNUMBER(SEARCH("R83",G117))*83,0)+IFERROR(--ISNUMBER(SEARCH("R84",G117))*84,0)+IFERROR(--ISNUMBER(SEARCH("R85",G117))*85,0)+IFERROR(--ISNUMBER(SEARCH("R86",G117))*86,0)+IFERROR(--ISNUMBER(SEARCH("R87",G117))*87,0)+IFERROR(--ISNUMBER(SEARCH("R88",G117))*88,0)+IFERROR(--ISNUMBER(SEARCH("R89",G117))*89,0)+IFERROR(--ISNUMBER(SEARCH("R90",G117))*90,0)+IFERROR(--ISNUMBER(SEARCH("R91",G117))*91,0)+IFERROR(--ISNUMBER(SEARCH("R92",G117))*92,0)+IFERROR(--ISNUMBER(SEARCH("R93",G117))*93,0)+IFERROR(--ISNUMBER(SEARCH("R94",G117))*94,0)+IFERROR(--ISNUMBER(SEARCH("R95",G117))*95,0)+IFERROR(--ISNUMBER(SEARCH("R96",G117))*96,0)+IFERROR(--ISNUMBER(SEARCH("R97",G117))*97,0)+IFERROR(--ISNUMBER(SEARCH("R98",G117))*98,0)+IFERROR(--ISNUMBER(SEARCH("R99",G117))*99,0)+IFERROR(--ISNUMBER(SEARCH("R100",G117))*100,0)+IFERROR(--ISNUMBER(SEARCH("R101",G117))*101,0)+IFERROR(--ISNUMBER(SEARCH("R102",G117))*102,0)+IFERROR(--ISNUMBER(SEARCH("R103",G117))*103,0)+IFERROR(--ISNUMBER(SEARCH("R104",G117))*104,0)+IFERROR(--ISNUMBER(SEARCH("R105",G117))*105,0)+IFERROR(--ISNUMBER(SEARCH("R106",G117))*106,0)+IFERROR(--ISNUMBER(SEARCH("R107",G117))*107,0)+IFERROR(--ISNUMBER(SEARCH("R108",G117))*108,0)+IFERROR(--ISNUMBER(SEARCH("R109",G117))*109,0)+IFERROR(--ISNUMBER(SEARCH("R110",G117))*110,0)+IFERROR(--ISNUMBER(SEARCH("R111",G117))*111,0)+IFERROR(--ISNUMBER(SEARCH("R112",G117))*112,0)+IFERROR(--ISNUMBER(SEARCH("R113",G117))*113,0)+IFERROR(--ISNUMBER(SEARCH("R114",G117))*114,0)+IFERROR(--ISNUMBER(SEARCH("R115",G117))*115,0)+IFERROR(--ISNUMBER(SEARCH("R116",G117))*116,0)+IFERROR(--ISNUMBER(SEARCH("R117",G117))*117,0)+IFERROR(--ISNUMBER(SEARCH("R118",G117))*118,0)+IFERROR(--ISNUMBER(SEARCH("R119",G117))*119,0)+IFERROR(--ISNUMBER(SEARCH("R120",G117))*120,0)+IFERROR(--ISNUMBER(SEARCH("R121",G117))*121,0)+IFERROR(--ISNUMBER(SEARCH("R122",G117))*122,0)+IFERROR(--ISNUMBER(SEARCH("R123",G117))*123,0)+IFERROR(--ISNUMBER(SEARCH("R124",G117))*124,0)+IFERROR(--ISNUMBER(SEARCH("R125",G117))*125,0)+IFERROR(--ISNUMBER(SEARCH("R126",G117))*126,0)+IFERROR(--ISNUMBER(SEARCH("R127",G117))*127,0)+IFERROR(--ISNUMBER(SEARCH("R128",G117))*128,0)+IFERROR(--ISNUMBER(SEARCH("R129",G117))*129,0)+IFERROR(--ISNUMBER(SEARCH("R130",G117))*130,0)+IFERROR(--ISNUMBER(SEARCH("R131",G117))*131,0)+IFERROR(--ISNUMBER(SEARCH("R132",G117))*132,0)+IFERROR(--ISNUMBER(SEARCH("R133",G117))*133,0)+IFERROR(--ISNUMBER(SEARCH("R134",G117))*134,0)+IFERROR(--ISNUMBER(SEARCH("R135",G117))*135,0)+IFERROR(--ISNUMBER(SEARCH("R136",G117))*136,0)+IFERROR(--ISNUMBER(SEARCH("R137",G117))*137,0)+IFERROR(--ISNUMBER(SEARCH("R138",G117))*138,0)+IFERROR(--ISNUMBER(SEARCH("R139",G117))*139,0)+IFERROR(--ISNUMBER(SEARCH("R140",G117))*140,0)+IFERROR(--ISNUMBER(SEARCH("R141",G117))*141,0))</f>
        <v/>
      </c>
      <c r="V117" s="59">
        <f>IF(A117="","",IF(K117&lt;&gt;"",K117,J117))</f>
        <v/>
      </c>
      <c r="W117" s="59">
        <f>IF(A117="","",IF(AND(V117=29,O117&lt;&gt;"",COUNTIFS($V$6:$V$505,29,$F$6:$F$505,F117,$C$6:$C$505,C117,$O$6:$O$505,"&lt;&gt;")&gt;1),IF(COUNTIFS($V$6:V117,29,$F$6:F117,F117,$C$6:C117,C117,$O$6:O117,"&lt;&gt;")=1,"Esta es la fila que se debe CONSERVAR (aparición 1 de "&amp;COUNTIFS($V$6:$V$505,29,$F$6:$F$505,F117,$C$6:$C$505,C117,$O$6:$O$505,"&lt;&gt;")&amp;" con el mismo tercero y valor, casilla 29). Si hay más filas iguales, bórreles el valor a ELLAS, no a esta.","DUPLICADO — ya existe otra fila con el mismo tercero y valor para casilla 29 (aparición "&amp;COUNTIFS($V$6:V117,29,$F$6:F117,F117,$C$6:C117,C117,$O$6:O117,"&lt;&gt;")&amp;" de "&amp;COUNTIFS($V$6:$V$505,29,$F$6:$F$505,F117,$C$6:$C$505,C117,$O$6:$O$505,"&lt;&gt;")&amp;"). Para resolverlo: seleccione la celda O"&amp;ROW()&amp;" (columna Valor a declarar de ESTA fila) y presione Supr."),""))</f>
        <v/>
      </c>
      <c r="X117" s="463">
        <f>IF(A117="","",F117)</f>
        <v/>
      </c>
      <c r="Y117" s="463">
        <f>IF(A117="","",SUMIF(Entrada_Manual!$I$88:$I$187,A117,Entrada_Manual!$F$88:$F$187))</f>
        <v/>
      </c>
      <c r="Z117" s="463">
        <f>IF(A117="","",X117-Y117)</f>
        <v/>
      </c>
      <c r="AA117">
        <f>IF(A117="","",SUMPRODUCT((Entrada_Manual!$I$88:$I$187=A117)*1))</f>
        <v/>
      </c>
      <c r="AB117">
        <f>IF(A117="","",IF(S117&lt;=1,"",IF(AA117=0,"PENDIENTE — SIN ASIGNAR",IF(Z117=0,"RESUELTO","PARCIAL — DIFERENCIA "&amp;TEXT(Z117,"#,##0")))))</f>
        <v/>
      </c>
    </row>
    <row r="118" ht="14.25" customHeight="1" s="235">
      <c r="A118" s="47">
        <f>IF(Exogena_RAW!E127&lt;&gt;"",ROW()-5,"")</f>
        <v/>
      </c>
      <c r="B118" s="48">
        <f>IF(A118="","",127)</f>
        <v/>
      </c>
      <c r="C118" s="48">
        <f>IF(A118="","",IFERROR(Exogena_RAW!A127,""))</f>
        <v/>
      </c>
      <c r="D118" s="48">
        <f>IF(A118="","",IFERROR(Exogena_RAW!B127,""))</f>
        <v/>
      </c>
      <c r="E118" s="48">
        <f>IF(A118="","",Exogena_RAW!E127)</f>
        <v/>
      </c>
      <c r="F118" s="461">
        <f>IF(A118="","",Exogena_RAW!F127)</f>
        <v/>
      </c>
      <c r="G118" s="48">
        <f>IF(A118="","",IFERROR(Exogena_RAW!G127,""))</f>
        <v/>
      </c>
      <c r="H118" s="48">
        <f>IF(A118="","",IFERROR(Exogena_RAW!H127,""))</f>
        <v/>
      </c>
      <c r="I118" s="48">
        <f>IF(A118="","",IFERROR(IF(S118&gt;1,"VARIAS CASILLAS",IF(S118=1,IF(T118=1,"PROPUESTA DE CASILLA","REVISIÓN: CASILLA NO DIRECTA"),IF(OR(ISNUMBER(SEARCH("TOPE",UPPER(E118))),ISNUMBER(SEARCH("TOPE",UPPER(G118)))),"SOLO CONTROL",IF(ISNUMBER(SEARCH("RETEN",UPPER(E118))),"RETENCIÓN","REVISAR")))),"REVISAR"))</f>
        <v/>
      </c>
      <c r="J118" s="48">
        <f>IF(A118="","",IF(ISNUMBER(SEARCH("ingreso laboral promedio de los últimos seis meses",E118)),"",IFERROR(IF(AND(S118=1,T118=1),U118,""),"")))</f>
        <v/>
      </c>
      <c r="K118" s="216" t="n"/>
      <c r="L118" s="48">
        <f>IF(A118="","",IFERROR(IF(K118&lt;&gt;"","Casilla elegida por usuario",IF(S118&gt;1,"Varias casillas — elegir en K",IF(J118&lt;&gt;"","Sugerencia directa",IF(S118=1,"No trasladar directo — revisar",IF(OR(ISNUMBER(SEARCH("TOPE",UPPER(E118))),ISNUMBER(SEARCH("TOPE",UPPER(G118)))),"Solo control","Revisar manualmente"))))),"Revisar manualmente"))</f>
        <v/>
      </c>
      <c r="M118" s="461">
        <f>IF(A118="","",IF(IF(K118&lt;&gt;"",K118,J118)="",0,IF(COUNTIFS(Reglas!$I$5:$I$118,IF(K118&lt;&gt;"",K118,J118),Reglas!$J$5:$J$118,"Sí")=1,F118,0)))</f>
        <v/>
      </c>
      <c r="N118" s="56" t="n"/>
      <c r="O118" s="462">
        <f>IF(A118="","",IF(M118=0,"",M118))</f>
        <v/>
      </c>
      <c r="P118" s="461">
        <f>IF(A118="","",IF(O118="",0,IF(ISNUMBER(O118),O118,0)))</f>
        <v/>
      </c>
      <c r="Q118" s="48">
        <f>IF(A118="","",IF(Exogena_RAW!$C$4="","BLOQUEADO: FALTA AÑO",IF(Exogena_RAW!$K$10&lt;&gt;Reglas!$B$5,"BLOQUEADO: AÑO",IF(IF(K118&lt;&gt;"",K118,J118)="",IF(S118&gt;1,"REQUIERE ASIGNACIÓN MANUAL (VARIAS CASILLAS)","INFORMATIVO (sin casilla — no se declara)"),IF(COUNTIFS(Reglas!$I$5:$I$118,IF(K118&lt;&gt;"",K118,J118),Reglas!$J$5:$J$118,"Sí")=0,"BLOQUEADO: CASILLA NO DIRECTA",IF(O118="","EXCLUIDO (valor borrado por el usuario)",IF(_xlfn.ISFORMULA(O118),IF(W118&lt;&gt;"","BORRADOR — VALOR SUGERIDO DIAN ⚠ VER ALERTA","BORRADOR — VALOR SUGERIDO DIAN"),IF(W118&lt;&gt;"","ACEPTADO ⚠ VER ALERTA","ACEPTADO"))))))))</f>
        <v/>
      </c>
      <c r="R118" s="218" t="n"/>
      <c r="S118" s="58">
        <f>IF(A118="","",IFERROR(--ISNUMBER(SEARCH("R28",G118)),0)+IFERROR(--ISNUMBER(SEARCH("R29",G118)),0)+IFERROR(--ISNUMBER(SEARCH("R30",G118)),0)+IFERROR(--ISNUMBER(SEARCH("R31",G118)),0)+IFERROR(--ISNUMBER(SEARCH("R32",G118)),0)+IFERROR(--ISNUMBER(SEARCH("R33",G118)),0)+IFERROR(--ISNUMBER(SEARCH("R34",G118)),0)+IFERROR(--ISNUMBER(SEARCH("R35",G118)),0)+IFERROR(--ISNUMBER(SEARCH("R36",G118)),0)+IFERROR(--ISNUMBER(SEARCH("R37",G118)),0)+IFERROR(--ISNUMBER(SEARCH("R38",G118)),0)+IFERROR(--ISNUMBER(SEARCH("R39",G118)),0)+IFERROR(--ISNUMBER(SEARCH("R40",G118)),0)+IFERROR(--ISNUMBER(SEARCH("R41",G118)),0)+IFERROR(--ISNUMBER(SEARCH("R42",G118)),0)+IFERROR(--ISNUMBER(SEARCH("R43",G118)),0)+IFERROR(--ISNUMBER(SEARCH("R44",G118)),0)+IFERROR(--ISNUMBER(SEARCH("R45",G118)),0)+IFERROR(--ISNUMBER(SEARCH("R46",G118)),0)+IFERROR(--ISNUMBER(SEARCH("R47",G118)),0)+IFERROR(--ISNUMBER(SEARCH("R48",G118)),0)+IFERROR(--ISNUMBER(SEARCH("R49",G118)),0)+IFERROR(--ISNUMBER(SEARCH("R50",G118)),0)+IFERROR(--ISNUMBER(SEARCH("R51",G118)),0)+IFERROR(--ISNUMBER(SEARCH("R52",G118)),0)+IFERROR(--ISNUMBER(SEARCH("R53",G118)),0)+IFERROR(--ISNUMBER(SEARCH("R54",G118)),0)+IFERROR(--ISNUMBER(SEARCH("R55",G118)),0)+IFERROR(--ISNUMBER(SEARCH("R56",G118)),0)+IFERROR(--ISNUMBER(SEARCH("R57",G118)),0)+IFERROR(--ISNUMBER(SEARCH("R58",G118)),0)+IFERROR(--ISNUMBER(SEARCH("R59",G118)),0)+IFERROR(--ISNUMBER(SEARCH("R60",G118)),0)+IFERROR(--ISNUMBER(SEARCH("R61",G118)),0)+IFERROR(--ISNUMBER(SEARCH("R62",G118)),0)+IFERROR(--ISNUMBER(SEARCH("R63",G118)),0)+IFERROR(--ISNUMBER(SEARCH("R64",G118)),0)+IFERROR(--ISNUMBER(SEARCH("R65",G118)),0)+IFERROR(--ISNUMBER(SEARCH("R66",G118)),0)+IFERROR(--ISNUMBER(SEARCH("R67",G118)),0)+IFERROR(--ISNUMBER(SEARCH("R68",G118)),0)+IFERROR(--ISNUMBER(SEARCH("R69",G118)),0)+IFERROR(--ISNUMBER(SEARCH("R70",G118)),0)+IFERROR(--ISNUMBER(SEARCH("R71",G118)),0)+IFERROR(--ISNUMBER(SEARCH("R72",G118)),0)+IFERROR(--ISNUMBER(SEARCH("R73",G118)),0)+IFERROR(--ISNUMBER(SEARCH("R74",G118)),0)+IFERROR(--ISNUMBER(SEARCH("R75",G118)),0)+IFERROR(--ISNUMBER(SEARCH("R76",G118)),0)+IFERROR(--ISNUMBER(SEARCH("R77",G118)),0)+IFERROR(--ISNUMBER(SEARCH("R78",G118)),0)+IFERROR(--ISNUMBER(SEARCH("R79",G118)),0)+IFERROR(--ISNUMBER(SEARCH("R80",G118)),0)+IFERROR(--ISNUMBER(SEARCH("R81",G118)),0)+IFERROR(--ISNUMBER(SEARCH("R82",G118)),0)+IFERROR(--ISNUMBER(SEARCH("R83",G118)),0)+IFERROR(--ISNUMBER(SEARCH("R84",G118)),0)+IFERROR(--ISNUMBER(SEARCH("R85",G118)),0)+IFERROR(--ISNUMBER(SEARCH("R86",G118)),0)+IFERROR(--ISNUMBER(SEARCH("R87",G118)),0)+IFERROR(--ISNUMBER(SEARCH("R88",G118)),0)+IFERROR(--ISNUMBER(SEARCH("R89",G118)),0)+IFERROR(--ISNUMBER(SEARCH("R90",G118)),0)+IFERROR(--ISNUMBER(SEARCH("R91",G118)),0)+IFERROR(--ISNUMBER(SEARCH("R92",G118)),0)+IFERROR(--ISNUMBER(SEARCH("R93",G118)),0)+IFERROR(--ISNUMBER(SEARCH("R94",G118)),0)+IFERROR(--ISNUMBER(SEARCH("R95",G118)),0)+IFERROR(--ISNUMBER(SEARCH("R96",G118)),0)+IFERROR(--ISNUMBER(SEARCH("R97",G118)),0)+IFERROR(--ISNUMBER(SEARCH("R98",G118)),0)+IFERROR(--ISNUMBER(SEARCH("R99",G118)),0)+IFERROR(--ISNUMBER(SEARCH("R100",G118)),0)+IFERROR(--ISNUMBER(SEARCH("R101",G118)),0)+IFERROR(--ISNUMBER(SEARCH("R102",G118)),0)+IFERROR(--ISNUMBER(SEARCH("R103",G118)),0)+IFERROR(--ISNUMBER(SEARCH("R104",G118)),0)+IFERROR(--ISNUMBER(SEARCH("R105",G118)),0)+IFERROR(--ISNUMBER(SEARCH("R106",G118)),0)+IFERROR(--ISNUMBER(SEARCH("R107",G118)),0)+IFERROR(--ISNUMBER(SEARCH("R108",G118)),0)+IFERROR(--ISNUMBER(SEARCH("R109",G118)),0)+IFERROR(--ISNUMBER(SEARCH("R110",G118)),0)+IFERROR(--ISNUMBER(SEARCH("R111",G118)),0)+IFERROR(--ISNUMBER(SEARCH("R112",G118)),0)+IFERROR(--ISNUMBER(SEARCH("R113",G118)),0)+IFERROR(--ISNUMBER(SEARCH("R114",G118)),0)+IFERROR(--ISNUMBER(SEARCH("R115",G118)),0)+IFERROR(--ISNUMBER(SEARCH("R116",G118)),0)+IFERROR(--ISNUMBER(SEARCH("R117",G118)),0)+IFERROR(--ISNUMBER(SEARCH("R118",G118)),0)+IFERROR(--ISNUMBER(SEARCH("R119",G118)),0)+IFERROR(--ISNUMBER(SEARCH("R120",G118)),0)+IFERROR(--ISNUMBER(SEARCH("R121",G118)),0)+IFERROR(--ISNUMBER(SEARCH("R122",G118)),0)+IFERROR(--ISNUMBER(SEARCH("R123",G118)),0)+IFERROR(--ISNUMBER(SEARCH("R124",G118)),0)+IFERROR(--ISNUMBER(SEARCH("R125",G118)),0)+IFERROR(--ISNUMBER(SEARCH("R126",G118)),0)+IFERROR(--ISNUMBER(SEARCH("R127",G118)),0)+IFERROR(--ISNUMBER(SEARCH("R128",G118)),0)+IFERROR(--ISNUMBER(SEARCH("R129",G118)),0)+IFERROR(--ISNUMBER(SEARCH("R130",G118)),0)+IFERROR(--ISNUMBER(SEARCH("R131",G118)),0)+IFERROR(--ISNUMBER(SEARCH("R132",G118)),0)+IFERROR(--ISNUMBER(SEARCH("R133",G118)),0)+IFERROR(--ISNUMBER(SEARCH("R134",G118)),0)+IFERROR(--ISNUMBER(SEARCH("R135",G118)),0)+IFERROR(--ISNUMBER(SEARCH("R136",G118)),0)+IFERROR(--ISNUMBER(SEARCH("R137",G118)),0)+IFERROR(--ISNUMBER(SEARCH("R138",G118)),0)+IFERROR(--ISNUMBER(SEARCH("R139",G118)),0)+IFERROR(--ISNUMBER(SEARCH("R140",G118)),0)+IFERROR(--ISNUMBER(SEARCH("R141",G118)),0))</f>
        <v/>
      </c>
      <c r="T118" s="58">
        <f>IF(A118="","",IFERROR(--ISNUMBER(SEARCH("R28",G118)),0)+IFERROR(--ISNUMBER(SEARCH("R29",G118)),0)+IFERROR(--ISNUMBER(SEARCH("R30",G118)),0)+IFERROR(--ISNUMBER(SEARCH("R32",G118)),0)+IFERROR(--ISNUMBER(SEARCH("R33",G118)),0)+IFERROR(--ISNUMBER(SEARCH("R35",G118)),0)+IFERROR(--ISNUMBER(SEARCH("R36",G118)),0)+IFERROR(--ISNUMBER(SEARCH("R38",G118)),0)+IFERROR(--ISNUMBER(SEARCH("R39",G118)),0)+IFERROR(--ISNUMBER(SEARCH("R43",G118)),0)+IFERROR(--ISNUMBER(SEARCH("R44",G118)),0)+IFERROR(--ISNUMBER(SEARCH("R45",G118)),0)+IFERROR(--ISNUMBER(SEARCH("R47",G118)),0)+IFERROR(--ISNUMBER(SEARCH("R48",G118)),0)+IFERROR(--ISNUMBER(SEARCH("R50",G118)),0)+IFERROR(--ISNUMBER(SEARCH("R51",G118)),0)+IFERROR(--ISNUMBER(SEARCH("R56",G118)),0)+IFERROR(--ISNUMBER(SEARCH("R58",G118)),0)+IFERROR(--ISNUMBER(SEARCH("R59",G118)),0)+IFERROR(--ISNUMBER(SEARCH("R60",G118)),0)+IFERROR(--ISNUMBER(SEARCH("R62",G118)),0)+IFERROR(--ISNUMBER(SEARCH("R63",G118)),0)+IFERROR(--ISNUMBER(SEARCH("R64",G118)),0)+IFERROR(--ISNUMBER(SEARCH("R66",G118)),0)+IFERROR(--ISNUMBER(SEARCH("R67",G118)),0)+IFERROR(--ISNUMBER(SEARCH("R72",G118)),0)+IFERROR(--ISNUMBER(SEARCH("R74",G118)),0)+IFERROR(--ISNUMBER(SEARCH("R75",G118)),0)+IFERROR(--ISNUMBER(SEARCH("R76",G118)),0)+IFERROR(--ISNUMBER(SEARCH("R77",G118)),0)+IFERROR(--ISNUMBER(SEARCH("R79",G118)),0)+IFERROR(--ISNUMBER(SEARCH("R80",G118)),0)+IFERROR(--ISNUMBER(SEARCH("R81",G118)),0)+IFERROR(--ISNUMBER(SEARCH("R83",G118)),0)+IFERROR(--ISNUMBER(SEARCH("R84",G118)),0)+IFERROR(--ISNUMBER(SEARCH("R89",G118)),0)+IFERROR(--ISNUMBER(SEARCH("R94",G118)),0)+IFERROR(--ISNUMBER(SEARCH("R95",G118)),0)+IFERROR(--ISNUMBER(SEARCH("R96",G118)),0)+IFERROR(--ISNUMBER(SEARCH("R98",G118)),0)+IFERROR(--ISNUMBER(SEARCH("R99",G118)),0)+IFERROR(--ISNUMBER(SEARCH("R100",G118)),0)+IFERROR(--ISNUMBER(SEARCH("R104",G118)),0)+IFERROR(--ISNUMBER(SEARCH("R105",G118)),0)+IFERROR(--ISNUMBER(SEARCH("R107",G118)),0)+IFERROR(--ISNUMBER(SEARCH("R108",G118)),0)+IFERROR(--ISNUMBER(SEARCH("R109",G118)),0)+IFERROR(--ISNUMBER(SEARCH("R110",G118)),0)+IFERROR(--ISNUMBER(SEARCH("R112",G118)),0)+IFERROR(--ISNUMBER(SEARCH("R113",G118)),0)+IFERROR(--ISNUMBER(SEARCH("R114",G118)),0)+IFERROR(--ISNUMBER(SEARCH("R118",G118)),0)+IFERROR(--ISNUMBER(SEARCH("R119",G118)),0)+IFERROR(--ISNUMBER(SEARCH("R120",G118)),0)+IFERROR(--ISNUMBER(SEARCH("R122",G118)),0)+IFERROR(--ISNUMBER(SEARCH("R123",G118)),0)+IFERROR(--ISNUMBER(SEARCH("R124",G118)),0)+IFERROR(--ISNUMBER(SEARCH("R128",G118)),0)+IFERROR(--ISNUMBER(SEARCH("R130",G118)),0)+IFERROR(--ISNUMBER(SEARCH("R131",G118)),0)+IFERROR(--ISNUMBER(SEARCH("R132",G118)),0)+IFERROR(--ISNUMBER(SEARCH("R135",G118)),0)+IFERROR(--ISNUMBER(SEARCH("R138",G118)),0)+IFERROR(--ISNUMBER(SEARCH("R141",G118)),0))</f>
        <v/>
      </c>
      <c r="U118" s="58">
        <f>IF(A118="","",IFERROR(--ISNUMBER(SEARCH("R28",G118))*28,0)+IFERROR(--ISNUMBER(SEARCH("R29",G118))*29,0)+IFERROR(--ISNUMBER(SEARCH("R30",G118))*30,0)+IFERROR(--ISNUMBER(SEARCH("R31",G118))*31,0)+IFERROR(--ISNUMBER(SEARCH("R32",G118))*32,0)+IFERROR(--ISNUMBER(SEARCH("R33",G118))*33,0)+IFERROR(--ISNUMBER(SEARCH("R34",G118))*34,0)+IFERROR(--ISNUMBER(SEARCH("R35",G118))*35,0)+IFERROR(--ISNUMBER(SEARCH("R36",G118))*36,0)+IFERROR(--ISNUMBER(SEARCH("R37",G118))*37,0)+IFERROR(--ISNUMBER(SEARCH("R38",G118))*38,0)+IFERROR(--ISNUMBER(SEARCH("R39",G118))*39,0)+IFERROR(--ISNUMBER(SEARCH("R40",G118))*40,0)+IFERROR(--ISNUMBER(SEARCH("R41",G118))*41,0)+IFERROR(--ISNUMBER(SEARCH("R42",G118))*42,0)+IFERROR(--ISNUMBER(SEARCH("R43",G118))*43,0)+IFERROR(--ISNUMBER(SEARCH("R44",G118))*44,0)+IFERROR(--ISNUMBER(SEARCH("R45",G118))*45,0)+IFERROR(--ISNUMBER(SEARCH("R46",G118))*46,0)+IFERROR(--ISNUMBER(SEARCH("R47",G118))*47,0)+IFERROR(--ISNUMBER(SEARCH("R48",G118))*48,0)+IFERROR(--ISNUMBER(SEARCH("R49",G118))*49,0)+IFERROR(--ISNUMBER(SEARCH("R50",G118))*50,0)+IFERROR(--ISNUMBER(SEARCH("R51",G118))*51,0)+IFERROR(--ISNUMBER(SEARCH("R52",G118))*52,0)+IFERROR(--ISNUMBER(SEARCH("R53",G118))*53,0)+IFERROR(--ISNUMBER(SEARCH("R54",G118))*54,0)+IFERROR(--ISNUMBER(SEARCH("R55",G118))*55,0)+IFERROR(--ISNUMBER(SEARCH("R56",G118))*56,0)+IFERROR(--ISNUMBER(SEARCH("R57",G118))*57,0)+IFERROR(--ISNUMBER(SEARCH("R58",G118))*58,0)+IFERROR(--ISNUMBER(SEARCH("R59",G118))*59,0)+IFERROR(--ISNUMBER(SEARCH("R60",G118))*60,0)+IFERROR(--ISNUMBER(SEARCH("R61",G118))*61,0)+IFERROR(--ISNUMBER(SEARCH("R62",G118))*62,0)+IFERROR(--ISNUMBER(SEARCH("R63",G118))*63,0)+IFERROR(--ISNUMBER(SEARCH("R64",G118))*64,0)+IFERROR(--ISNUMBER(SEARCH("R65",G118))*65,0)+IFERROR(--ISNUMBER(SEARCH("R66",G118))*66,0)+IFERROR(--ISNUMBER(SEARCH("R67",G118))*67,0)+IFERROR(--ISNUMBER(SEARCH("R68",G118))*68,0)+IFERROR(--ISNUMBER(SEARCH("R69",G118))*69,0)+IFERROR(--ISNUMBER(SEARCH("R70",G118))*70,0)+IFERROR(--ISNUMBER(SEARCH("R71",G118))*71,0)+IFERROR(--ISNUMBER(SEARCH("R72",G118))*72,0)+IFERROR(--ISNUMBER(SEARCH("R73",G118))*73,0)+IFERROR(--ISNUMBER(SEARCH("R74",G118))*74,0)+IFERROR(--ISNUMBER(SEARCH("R75",G118))*75,0)+IFERROR(--ISNUMBER(SEARCH("R76",G118))*76,0)+IFERROR(--ISNUMBER(SEARCH("R77",G118))*77,0)+IFERROR(--ISNUMBER(SEARCH("R78",G118))*78,0)+IFERROR(--ISNUMBER(SEARCH("R79",G118))*79,0)+IFERROR(--ISNUMBER(SEARCH("R80",G118))*80,0)+IFERROR(--ISNUMBER(SEARCH("R81",G118))*81,0)+IFERROR(--ISNUMBER(SEARCH("R82",G118))*82,0)+IFERROR(--ISNUMBER(SEARCH("R83",G118))*83,0)+IFERROR(--ISNUMBER(SEARCH("R84",G118))*84,0)+IFERROR(--ISNUMBER(SEARCH("R85",G118))*85,0)+IFERROR(--ISNUMBER(SEARCH("R86",G118))*86,0)+IFERROR(--ISNUMBER(SEARCH("R87",G118))*87,0)+IFERROR(--ISNUMBER(SEARCH("R88",G118))*88,0)+IFERROR(--ISNUMBER(SEARCH("R89",G118))*89,0)+IFERROR(--ISNUMBER(SEARCH("R90",G118))*90,0)+IFERROR(--ISNUMBER(SEARCH("R91",G118))*91,0)+IFERROR(--ISNUMBER(SEARCH("R92",G118))*92,0)+IFERROR(--ISNUMBER(SEARCH("R93",G118))*93,0)+IFERROR(--ISNUMBER(SEARCH("R94",G118))*94,0)+IFERROR(--ISNUMBER(SEARCH("R95",G118))*95,0)+IFERROR(--ISNUMBER(SEARCH("R96",G118))*96,0)+IFERROR(--ISNUMBER(SEARCH("R97",G118))*97,0)+IFERROR(--ISNUMBER(SEARCH("R98",G118))*98,0)+IFERROR(--ISNUMBER(SEARCH("R99",G118))*99,0)+IFERROR(--ISNUMBER(SEARCH("R100",G118))*100,0)+IFERROR(--ISNUMBER(SEARCH("R101",G118))*101,0)+IFERROR(--ISNUMBER(SEARCH("R102",G118))*102,0)+IFERROR(--ISNUMBER(SEARCH("R103",G118))*103,0)+IFERROR(--ISNUMBER(SEARCH("R104",G118))*104,0)+IFERROR(--ISNUMBER(SEARCH("R105",G118))*105,0)+IFERROR(--ISNUMBER(SEARCH("R106",G118))*106,0)+IFERROR(--ISNUMBER(SEARCH("R107",G118))*107,0)+IFERROR(--ISNUMBER(SEARCH("R108",G118))*108,0)+IFERROR(--ISNUMBER(SEARCH("R109",G118))*109,0)+IFERROR(--ISNUMBER(SEARCH("R110",G118))*110,0)+IFERROR(--ISNUMBER(SEARCH("R111",G118))*111,0)+IFERROR(--ISNUMBER(SEARCH("R112",G118))*112,0)+IFERROR(--ISNUMBER(SEARCH("R113",G118))*113,0)+IFERROR(--ISNUMBER(SEARCH("R114",G118))*114,0)+IFERROR(--ISNUMBER(SEARCH("R115",G118))*115,0)+IFERROR(--ISNUMBER(SEARCH("R116",G118))*116,0)+IFERROR(--ISNUMBER(SEARCH("R117",G118))*117,0)+IFERROR(--ISNUMBER(SEARCH("R118",G118))*118,0)+IFERROR(--ISNUMBER(SEARCH("R119",G118))*119,0)+IFERROR(--ISNUMBER(SEARCH("R120",G118))*120,0)+IFERROR(--ISNUMBER(SEARCH("R121",G118))*121,0)+IFERROR(--ISNUMBER(SEARCH("R122",G118))*122,0)+IFERROR(--ISNUMBER(SEARCH("R123",G118))*123,0)+IFERROR(--ISNUMBER(SEARCH("R124",G118))*124,0)+IFERROR(--ISNUMBER(SEARCH("R125",G118))*125,0)+IFERROR(--ISNUMBER(SEARCH("R126",G118))*126,0)+IFERROR(--ISNUMBER(SEARCH("R127",G118))*127,0)+IFERROR(--ISNUMBER(SEARCH("R128",G118))*128,0)+IFERROR(--ISNUMBER(SEARCH("R129",G118))*129,0)+IFERROR(--ISNUMBER(SEARCH("R130",G118))*130,0)+IFERROR(--ISNUMBER(SEARCH("R131",G118))*131,0)+IFERROR(--ISNUMBER(SEARCH("R132",G118))*132,0)+IFERROR(--ISNUMBER(SEARCH("R133",G118))*133,0)+IFERROR(--ISNUMBER(SEARCH("R134",G118))*134,0)+IFERROR(--ISNUMBER(SEARCH("R135",G118))*135,0)+IFERROR(--ISNUMBER(SEARCH("R136",G118))*136,0)+IFERROR(--ISNUMBER(SEARCH("R137",G118))*137,0)+IFERROR(--ISNUMBER(SEARCH("R138",G118))*138,0)+IFERROR(--ISNUMBER(SEARCH("R139",G118))*139,0)+IFERROR(--ISNUMBER(SEARCH("R140",G118))*140,0)+IFERROR(--ISNUMBER(SEARCH("R141",G118))*141,0))</f>
        <v/>
      </c>
      <c r="V118" s="59">
        <f>IF(A118="","",IF(K118&lt;&gt;"",K118,J118))</f>
        <v/>
      </c>
      <c r="W118" s="59">
        <f>IF(A118="","",IF(AND(V118=29,O118&lt;&gt;"",COUNTIFS($V$6:$V$505,29,$F$6:$F$505,F118,$C$6:$C$505,C118,$O$6:$O$505,"&lt;&gt;")&gt;1),IF(COUNTIFS($V$6:V118,29,$F$6:F118,F118,$C$6:C118,C118,$O$6:O118,"&lt;&gt;")=1,"Esta es la fila que se debe CONSERVAR (aparición 1 de "&amp;COUNTIFS($V$6:$V$505,29,$F$6:$F$505,F118,$C$6:$C$505,C118,$O$6:$O$505,"&lt;&gt;")&amp;" con el mismo tercero y valor, casilla 29). Si hay más filas iguales, bórreles el valor a ELLAS, no a esta.","DUPLICADO — ya existe otra fila con el mismo tercero y valor para casilla 29 (aparición "&amp;COUNTIFS($V$6:V118,29,$F$6:F118,F118,$C$6:C118,C118,$O$6:O118,"&lt;&gt;")&amp;" de "&amp;COUNTIFS($V$6:$V$505,29,$F$6:$F$505,F118,$C$6:$C$505,C118,$O$6:$O$505,"&lt;&gt;")&amp;"). Para resolverlo: seleccione la celda O"&amp;ROW()&amp;" (columna Valor a declarar de ESTA fila) y presione Supr."),""))</f>
        <v/>
      </c>
      <c r="X118" s="463">
        <f>IF(A118="","",F118)</f>
        <v/>
      </c>
      <c r="Y118" s="463">
        <f>IF(A118="","",SUMIF(Entrada_Manual!$I$88:$I$187,A118,Entrada_Manual!$F$88:$F$187))</f>
        <v/>
      </c>
      <c r="Z118" s="463">
        <f>IF(A118="","",X118-Y118)</f>
        <v/>
      </c>
      <c r="AA118">
        <f>IF(A118="","",SUMPRODUCT((Entrada_Manual!$I$88:$I$187=A118)*1))</f>
        <v/>
      </c>
      <c r="AB118">
        <f>IF(A118="","",IF(S118&lt;=1,"",IF(AA118=0,"PENDIENTE — SIN ASIGNAR",IF(Z118=0,"RESUELTO","PARCIAL — DIFERENCIA "&amp;TEXT(Z118,"#,##0")))))</f>
        <v/>
      </c>
    </row>
    <row r="119" ht="14.25" customHeight="1" s="235">
      <c r="A119" s="47">
        <f>IF(Exogena_RAW!E128&lt;&gt;"",ROW()-5,"")</f>
        <v/>
      </c>
      <c r="B119" s="48">
        <f>IF(A119="","",128)</f>
        <v/>
      </c>
      <c r="C119" s="48">
        <f>IF(A119="","",IFERROR(Exogena_RAW!A128,""))</f>
        <v/>
      </c>
      <c r="D119" s="48">
        <f>IF(A119="","",IFERROR(Exogena_RAW!B128,""))</f>
        <v/>
      </c>
      <c r="E119" s="48">
        <f>IF(A119="","",Exogena_RAW!E128)</f>
        <v/>
      </c>
      <c r="F119" s="461">
        <f>IF(A119="","",Exogena_RAW!F128)</f>
        <v/>
      </c>
      <c r="G119" s="48">
        <f>IF(A119="","",IFERROR(Exogena_RAW!G128,""))</f>
        <v/>
      </c>
      <c r="H119" s="48">
        <f>IF(A119="","",IFERROR(Exogena_RAW!H128,""))</f>
        <v/>
      </c>
      <c r="I119" s="48">
        <f>IF(A119="","",IFERROR(IF(S119&gt;1,"VARIAS CASILLAS",IF(S119=1,IF(T119=1,"PROPUESTA DE CASILLA","REVISIÓN: CASILLA NO DIRECTA"),IF(OR(ISNUMBER(SEARCH("TOPE",UPPER(E119))),ISNUMBER(SEARCH("TOPE",UPPER(G119)))),"SOLO CONTROL",IF(ISNUMBER(SEARCH("RETEN",UPPER(E119))),"RETENCIÓN","REVISAR")))),"REVISAR"))</f>
        <v/>
      </c>
      <c r="J119" s="48">
        <f>IF(A119="","",IF(ISNUMBER(SEARCH("ingreso laboral promedio de los últimos seis meses",E119)),"",IFERROR(IF(AND(S119=1,T119=1),U119,""),"")))</f>
        <v/>
      </c>
      <c r="K119" s="216" t="n"/>
      <c r="L119" s="48">
        <f>IF(A119="","",IFERROR(IF(K119&lt;&gt;"","Casilla elegida por usuario",IF(S119&gt;1,"Varias casillas — elegir en K",IF(J119&lt;&gt;"","Sugerencia directa",IF(S119=1,"No trasladar directo — revisar",IF(OR(ISNUMBER(SEARCH("TOPE",UPPER(E119))),ISNUMBER(SEARCH("TOPE",UPPER(G119)))),"Solo control","Revisar manualmente"))))),"Revisar manualmente"))</f>
        <v/>
      </c>
      <c r="M119" s="461">
        <f>IF(A119="","",IF(IF(K119&lt;&gt;"",K119,J119)="",0,IF(COUNTIFS(Reglas!$I$5:$I$118,IF(K119&lt;&gt;"",K119,J119),Reglas!$J$5:$J$118,"Sí")=1,F119,0)))</f>
        <v/>
      </c>
      <c r="N119" s="56" t="n"/>
      <c r="O119" s="462">
        <f>IF(A119="","",IF(M119=0,"",M119))</f>
        <v/>
      </c>
      <c r="P119" s="461">
        <f>IF(A119="","",IF(O119="",0,IF(ISNUMBER(O119),O119,0)))</f>
        <v/>
      </c>
      <c r="Q119" s="48">
        <f>IF(A119="","",IF(Exogena_RAW!$C$4="","BLOQUEADO: FALTA AÑO",IF(Exogena_RAW!$K$10&lt;&gt;Reglas!$B$5,"BLOQUEADO: AÑO",IF(IF(K119&lt;&gt;"",K119,J119)="",IF(S119&gt;1,"REQUIERE ASIGNACIÓN MANUAL (VARIAS CASILLAS)","INFORMATIVO (sin casilla — no se declara)"),IF(COUNTIFS(Reglas!$I$5:$I$118,IF(K119&lt;&gt;"",K119,J119),Reglas!$J$5:$J$118,"Sí")=0,"BLOQUEADO: CASILLA NO DIRECTA",IF(O119="","EXCLUIDO (valor borrado por el usuario)",IF(_xlfn.ISFORMULA(O119),IF(W119&lt;&gt;"","BORRADOR — VALOR SUGERIDO DIAN ⚠ VER ALERTA","BORRADOR — VALOR SUGERIDO DIAN"),IF(W119&lt;&gt;"","ACEPTADO ⚠ VER ALERTA","ACEPTADO"))))))))</f>
        <v/>
      </c>
      <c r="R119" s="218" t="n"/>
      <c r="S119" s="58">
        <f>IF(A119="","",IFERROR(--ISNUMBER(SEARCH("R28",G119)),0)+IFERROR(--ISNUMBER(SEARCH("R29",G119)),0)+IFERROR(--ISNUMBER(SEARCH("R30",G119)),0)+IFERROR(--ISNUMBER(SEARCH("R31",G119)),0)+IFERROR(--ISNUMBER(SEARCH("R32",G119)),0)+IFERROR(--ISNUMBER(SEARCH("R33",G119)),0)+IFERROR(--ISNUMBER(SEARCH("R34",G119)),0)+IFERROR(--ISNUMBER(SEARCH("R35",G119)),0)+IFERROR(--ISNUMBER(SEARCH("R36",G119)),0)+IFERROR(--ISNUMBER(SEARCH("R37",G119)),0)+IFERROR(--ISNUMBER(SEARCH("R38",G119)),0)+IFERROR(--ISNUMBER(SEARCH("R39",G119)),0)+IFERROR(--ISNUMBER(SEARCH("R40",G119)),0)+IFERROR(--ISNUMBER(SEARCH("R41",G119)),0)+IFERROR(--ISNUMBER(SEARCH("R42",G119)),0)+IFERROR(--ISNUMBER(SEARCH("R43",G119)),0)+IFERROR(--ISNUMBER(SEARCH("R44",G119)),0)+IFERROR(--ISNUMBER(SEARCH("R45",G119)),0)+IFERROR(--ISNUMBER(SEARCH("R46",G119)),0)+IFERROR(--ISNUMBER(SEARCH("R47",G119)),0)+IFERROR(--ISNUMBER(SEARCH("R48",G119)),0)+IFERROR(--ISNUMBER(SEARCH("R49",G119)),0)+IFERROR(--ISNUMBER(SEARCH("R50",G119)),0)+IFERROR(--ISNUMBER(SEARCH("R51",G119)),0)+IFERROR(--ISNUMBER(SEARCH("R52",G119)),0)+IFERROR(--ISNUMBER(SEARCH("R53",G119)),0)+IFERROR(--ISNUMBER(SEARCH("R54",G119)),0)+IFERROR(--ISNUMBER(SEARCH("R55",G119)),0)+IFERROR(--ISNUMBER(SEARCH("R56",G119)),0)+IFERROR(--ISNUMBER(SEARCH("R57",G119)),0)+IFERROR(--ISNUMBER(SEARCH("R58",G119)),0)+IFERROR(--ISNUMBER(SEARCH("R59",G119)),0)+IFERROR(--ISNUMBER(SEARCH("R60",G119)),0)+IFERROR(--ISNUMBER(SEARCH("R61",G119)),0)+IFERROR(--ISNUMBER(SEARCH("R62",G119)),0)+IFERROR(--ISNUMBER(SEARCH("R63",G119)),0)+IFERROR(--ISNUMBER(SEARCH("R64",G119)),0)+IFERROR(--ISNUMBER(SEARCH("R65",G119)),0)+IFERROR(--ISNUMBER(SEARCH("R66",G119)),0)+IFERROR(--ISNUMBER(SEARCH("R67",G119)),0)+IFERROR(--ISNUMBER(SEARCH("R68",G119)),0)+IFERROR(--ISNUMBER(SEARCH("R69",G119)),0)+IFERROR(--ISNUMBER(SEARCH("R70",G119)),0)+IFERROR(--ISNUMBER(SEARCH("R71",G119)),0)+IFERROR(--ISNUMBER(SEARCH("R72",G119)),0)+IFERROR(--ISNUMBER(SEARCH("R73",G119)),0)+IFERROR(--ISNUMBER(SEARCH("R74",G119)),0)+IFERROR(--ISNUMBER(SEARCH("R75",G119)),0)+IFERROR(--ISNUMBER(SEARCH("R76",G119)),0)+IFERROR(--ISNUMBER(SEARCH("R77",G119)),0)+IFERROR(--ISNUMBER(SEARCH("R78",G119)),0)+IFERROR(--ISNUMBER(SEARCH("R79",G119)),0)+IFERROR(--ISNUMBER(SEARCH("R80",G119)),0)+IFERROR(--ISNUMBER(SEARCH("R81",G119)),0)+IFERROR(--ISNUMBER(SEARCH("R82",G119)),0)+IFERROR(--ISNUMBER(SEARCH("R83",G119)),0)+IFERROR(--ISNUMBER(SEARCH("R84",G119)),0)+IFERROR(--ISNUMBER(SEARCH("R85",G119)),0)+IFERROR(--ISNUMBER(SEARCH("R86",G119)),0)+IFERROR(--ISNUMBER(SEARCH("R87",G119)),0)+IFERROR(--ISNUMBER(SEARCH("R88",G119)),0)+IFERROR(--ISNUMBER(SEARCH("R89",G119)),0)+IFERROR(--ISNUMBER(SEARCH("R90",G119)),0)+IFERROR(--ISNUMBER(SEARCH("R91",G119)),0)+IFERROR(--ISNUMBER(SEARCH("R92",G119)),0)+IFERROR(--ISNUMBER(SEARCH("R93",G119)),0)+IFERROR(--ISNUMBER(SEARCH("R94",G119)),0)+IFERROR(--ISNUMBER(SEARCH("R95",G119)),0)+IFERROR(--ISNUMBER(SEARCH("R96",G119)),0)+IFERROR(--ISNUMBER(SEARCH("R97",G119)),0)+IFERROR(--ISNUMBER(SEARCH("R98",G119)),0)+IFERROR(--ISNUMBER(SEARCH("R99",G119)),0)+IFERROR(--ISNUMBER(SEARCH("R100",G119)),0)+IFERROR(--ISNUMBER(SEARCH("R101",G119)),0)+IFERROR(--ISNUMBER(SEARCH("R102",G119)),0)+IFERROR(--ISNUMBER(SEARCH("R103",G119)),0)+IFERROR(--ISNUMBER(SEARCH("R104",G119)),0)+IFERROR(--ISNUMBER(SEARCH("R105",G119)),0)+IFERROR(--ISNUMBER(SEARCH("R106",G119)),0)+IFERROR(--ISNUMBER(SEARCH("R107",G119)),0)+IFERROR(--ISNUMBER(SEARCH("R108",G119)),0)+IFERROR(--ISNUMBER(SEARCH("R109",G119)),0)+IFERROR(--ISNUMBER(SEARCH("R110",G119)),0)+IFERROR(--ISNUMBER(SEARCH("R111",G119)),0)+IFERROR(--ISNUMBER(SEARCH("R112",G119)),0)+IFERROR(--ISNUMBER(SEARCH("R113",G119)),0)+IFERROR(--ISNUMBER(SEARCH("R114",G119)),0)+IFERROR(--ISNUMBER(SEARCH("R115",G119)),0)+IFERROR(--ISNUMBER(SEARCH("R116",G119)),0)+IFERROR(--ISNUMBER(SEARCH("R117",G119)),0)+IFERROR(--ISNUMBER(SEARCH("R118",G119)),0)+IFERROR(--ISNUMBER(SEARCH("R119",G119)),0)+IFERROR(--ISNUMBER(SEARCH("R120",G119)),0)+IFERROR(--ISNUMBER(SEARCH("R121",G119)),0)+IFERROR(--ISNUMBER(SEARCH("R122",G119)),0)+IFERROR(--ISNUMBER(SEARCH("R123",G119)),0)+IFERROR(--ISNUMBER(SEARCH("R124",G119)),0)+IFERROR(--ISNUMBER(SEARCH("R125",G119)),0)+IFERROR(--ISNUMBER(SEARCH("R126",G119)),0)+IFERROR(--ISNUMBER(SEARCH("R127",G119)),0)+IFERROR(--ISNUMBER(SEARCH("R128",G119)),0)+IFERROR(--ISNUMBER(SEARCH("R129",G119)),0)+IFERROR(--ISNUMBER(SEARCH("R130",G119)),0)+IFERROR(--ISNUMBER(SEARCH("R131",G119)),0)+IFERROR(--ISNUMBER(SEARCH("R132",G119)),0)+IFERROR(--ISNUMBER(SEARCH("R133",G119)),0)+IFERROR(--ISNUMBER(SEARCH("R134",G119)),0)+IFERROR(--ISNUMBER(SEARCH("R135",G119)),0)+IFERROR(--ISNUMBER(SEARCH("R136",G119)),0)+IFERROR(--ISNUMBER(SEARCH("R137",G119)),0)+IFERROR(--ISNUMBER(SEARCH("R138",G119)),0)+IFERROR(--ISNUMBER(SEARCH("R139",G119)),0)+IFERROR(--ISNUMBER(SEARCH("R140",G119)),0)+IFERROR(--ISNUMBER(SEARCH("R141",G119)),0))</f>
        <v/>
      </c>
      <c r="T119" s="58">
        <f>IF(A119="","",IFERROR(--ISNUMBER(SEARCH("R28",G119)),0)+IFERROR(--ISNUMBER(SEARCH("R29",G119)),0)+IFERROR(--ISNUMBER(SEARCH("R30",G119)),0)+IFERROR(--ISNUMBER(SEARCH("R32",G119)),0)+IFERROR(--ISNUMBER(SEARCH("R33",G119)),0)+IFERROR(--ISNUMBER(SEARCH("R35",G119)),0)+IFERROR(--ISNUMBER(SEARCH("R36",G119)),0)+IFERROR(--ISNUMBER(SEARCH("R38",G119)),0)+IFERROR(--ISNUMBER(SEARCH("R39",G119)),0)+IFERROR(--ISNUMBER(SEARCH("R43",G119)),0)+IFERROR(--ISNUMBER(SEARCH("R44",G119)),0)+IFERROR(--ISNUMBER(SEARCH("R45",G119)),0)+IFERROR(--ISNUMBER(SEARCH("R47",G119)),0)+IFERROR(--ISNUMBER(SEARCH("R48",G119)),0)+IFERROR(--ISNUMBER(SEARCH("R50",G119)),0)+IFERROR(--ISNUMBER(SEARCH("R51",G119)),0)+IFERROR(--ISNUMBER(SEARCH("R56",G119)),0)+IFERROR(--ISNUMBER(SEARCH("R58",G119)),0)+IFERROR(--ISNUMBER(SEARCH("R59",G119)),0)+IFERROR(--ISNUMBER(SEARCH("R60",G119)),0)+IFERROR(--ISNUMBER(SEARCH("R62",G119)),0)+IFERROR(--ISNUMBER(SEARCH("R63",G119)),0)+IFERROR(--ISNUMBER(SEARCH("R64",G119)),0)+IFERROR(--ISNUMBER(SEARCH("R66",G119)),0)+IFERROR(--ISNUMBER(SEARCH("R67",G119)),0)+IFERROR(--ISNUMBER(SEARCH("R72",G119)),0)+IFERROR(--ISNUMBER(SEARCH("R74",G119)),0)+IFERROR(--ISNUMBER(SEARCH("R75",G119)),0)+IFERROR(--ISNUMBER(SEARCH("R76",G119)),0)+IFERROR(--ISNUMBER(SEARCH("R77",G119)),0)+IFERROR(--ISNUMBER(SEARCH("R79",G119)),0)+IFERROR(--ISNUMBER(SEARCH("R80",G119)),0)+IFERROR(--ISNUMBER(SEARCH("R81",G119)),0)+IFERROR(--ISNUMBER(SEARCH("R83",G119)),0)+IFERROR(--ISNUMBER(SEARCH("R84",G119)),0)+IFERROR(--ISNUMBER(SEARCH("R89",G119)),0)+IFERROR(--ISNUMBER(SEARCH("R94",G119)),0)+IFERROR(--ISNUMBER(SEARCH("R95",G119)),0)+IFERROR(--ISNUMBER(SEARCH("R96",G119)),0)+IFERROR(--ISNUMBER(SEARCH("R98",G119)),0)+IFERROR(--ISNUMBER(SEARCH("R99",G119)),0)+IFERROR(--ISNUMBER(SEARCH("R100",G119)),0)+IFERROR(--ISNUMBER(SEARCH("R104",G119)),0)+IFERROR(--ISNUMBER(SEARCH("R105",G119)),0)+IFERROR(--ISNUMBER(SEARCH("R107",G119)),0)+IFERROR(--ISNUMBER(SEARCH("R108",G119)),0)+IFERROR(--ISNUMBER(SEARCH("R109",G119)),0)+IFERROR(--ISNUMBER(SEARCH("R110",G119)),0)+IFERROR(--ISNUMBER(SEARCH("R112",G119)),0)+IFERROR(--ISNUMBER(SEARCH("R113",G119)),0)+IFERROR(--ISNUMBER(SEARCH("R114",G119)),0)+IFERROR(--ISNUMBER(SEARCH("R118",G119)),0)+IFERROR(--ISNUMBER(SEARCH("R119",G119)),0)+IFERROR(--ISNUMBER(SEARCH("R120",G119)),0)+IFERROR(--ISNUMBER(SEARCH("R122",G119)),0)+IFERROR(--ISNUMBER(SEARCH("R123",G119)),0)+IFERROR(--ISNUMBER(SEARCH("R124",G119)),0)+IFERROR(--ISNUMBER(SEARCH("R128",G119)),0)+IFERROR(--ISNUMBER(SEARCH("R130",G119)),0)+IFERROR(--ISNUMBER(SEARCH("R131",G119)),0)+IFERROR(--ISNUMBER(SEARCH("R132",G119)),0)+IFERROR(--ISNUMBER(SEARCH("R135",G119)),0)+IFERROR(--ISNUMBER(SEARCH("R138",G119)),0)+IFERROR(--ISNUMBER(SEARCH("R141",G119)),0))</f>
        <v/>
      </c>
      <c r="U119" s="58">
        <f>IF(A119="","",IFERROR(--ISNUMBER(SEARCH("R28",G119))*28,0)+IFERROR(--ISNUMBER(SEARCH("R29",G119))*29,0)+IFERROR(--ISNUMBER(SEARCH("R30",G119))*30,0)+IFERROR(--ISNUMBER(SEARCH("R31",G119))*31,0)+IFERROR(--ISNUMBER(SEARCH("R32",G119))*32,0)+IFERROR(--ISNUMBER(SEARCH("R33",G119))*33,0)+IFERROR(--ISNUMBER(SEARCH("R34",G119))*34,0)+IFERROR(--ISNUMBER(SEARCH("R35",G119))*35,0)+IFERROR(--ISNUMBER(SEARCH("R36",G119))*36,0)+IFERROR(--ISNUMBER(SEARCH("R37",G119))*37,0)+IFERROR(--ISNUMBER(SEARCH("R38",G119))*38,0)+IFERROR(--ISNUMBER(SEARCH("R39",G119))*39,0)+IFERROR(--ISNUMBER(SEARCH("R40",G119))*40,0)+IFERROR(--ISNUMBER(SEARCH("R41",G119))*41,0)+IFERROR(--ISNUMBER(SEARCH("R42",G119))*42,0)+IFERROR(--ISNUMBER(SEARCH("R43",G119))*43,0)+IFERROR(--ISNUMBER(SEARCH("R44",G119))*44,0)+IFERROR(--ISNUMBER(SEARCH("R45",G119))*45,0)+IFERROR(--ISNUMBER(SEARCH("R46",G119))*46,0)+IFERROR(--ISNUMBER(SEARCH("R47",G119))*47,0)+IFERROR(--ISNUMBER(SEARCH("R48",G119))*48,0)+IFERROR(--ISNUMBER(SEARCH("R49",G119))*49,0)+IFERROR(--ISNUMBER(SEARCH("R50",G119))*50,0)+IFERROR(--ISNUMBER(SEARCH("R51",G119))*51,0)+IFERROR(--ISNUMBER(SEARCH("R52",G119))*52,0)+IFERROR(--ISNUMBER(SEARCH("R53",G119))*53,0)+IFERROR(--ISNUMBER(SEARCH("R54",G119))*54,0)+IFERROR(--ISNUMBER(SEARCH("R55",G119))*55,0)+IFERROR(--ISNUMBER(SEARCH("R56",G119))*56,0)+IFERROR(--ISNUMBER(SEARCH("R57",G119))*57,0)+IFERROR(--ISNUMBER(SEARCH("R58",G119))*58,0)+IFERROR(--ISNUMBER(SEARCH("R59",G119))*59,0)+IFERROR(--ISNUMBER(SEARCH("R60",G119))*60,0)+IFERROR(--ISNUMBER(SEARCH("R61",G119))*61,0)+IFERROR(--ISNUMBER(SEARCH("R62",G119))*62,0)+IFERROR(--ISNUMBER(SEARCH("R63",G119))*63,0)+IFERROR(--ISNUMBER(SEARCH("R64",G119))*64,0)+IFERROR(--ISNUMBER(SEARCH("R65",G119))*65,0)+IFERROR(--ISNUMBER(SEARCH("R66",G119))*66,0)+IFERROR(--ISNUMBER(SEARCH("R67",G119))*67,0)+IFERROR(--ISNUMBER(SEARCH("R68",G119))*68,0)+IFERROR(--ISNUMBER(SEARCH("R69",G119))*69,0)+IFERROR(--ISNUMBER(SEARCH("R70",G119))*70,0)+IFERROR(--ISNUMBER(SEARCH("R71",G119))*71,0)+IFERROR(--ISNUMBER(SEARCH("R72",G119))*72,0)+IFERROR(--ISNUMBER(SEARCH("R73",G119))*73,0)+IFERROR(--ISNUMBER(SEARCH("R74",G119))*74,0)+IFERROR(--ISNUMBER(SEARCH("R75",G119))*75,0)+IFERROR(--ISNUMBER(SEARCH("R76",G119))*76,0)+IFERROR(--ISNUMBER(SEARCH("R77",G119))*77,0)+IFERROR(--ISNUMBER(SEARCH("R78",G119))*78,0)+IFERROR(--ISNUMBER(SEARCH("R79",G119))*79,0)+IFERROR(--ISNUMBER(SEARCH("R80",G119))*80,0)+IFERROR(--ISNUMBER(SEARCH("R81",G119))*81,0)+IFERROR(--ISNUMBER(SEARCH("R82",G119))*82,0)+IFERROR(--ISNUMBER(SEARCH("R83",G119))*83,0)+IFERROR(--ISNUMBER(SEARCH("R84",G119))*84,0)+IFERROR(--ISNUMBER(SEARCH("R85",G119))*85,0)+IFERROR(--ISNUMBER(SEARCH("R86",G119))*86,0)+IFERROR(--ISNUMBER(SEARCH("R87",G119))*87,0)+IFERROR(--ISNUMBER(SEARCH("R88",G119))*88,0)+IFERROR(--ISNUMBER(SEARCH("R89",G119))*89,0)+IFERROR(--ISNUMBER(SEARCH("R90",G119))*90,0)+IFERROR(--ISNUMBER(SEARCH("R91",G119))*91,0)+IFERROR(--ISNUMBER(SEARCH("R92",G119))*92,0)+IFERROR(--ISNUMBER(SEARCH("R93",G119))*93,0)+IFERROR(--ISNUMBER(SEARCH("R94",G119))*94,0)+IFERROR(--ISNUMBER(SEARCH("R95",G119))*95,0)+IFERROR(--ISNUMBER(SEARCH("R96",G119))*96,0)+IFERROR(--ISNUMBER(SEARCH("R97",G119))*97,0)+IFERROR(--ISNUMBER(SEARCH("R98",G119))*98,0)+IFERROR(--ISNUMBER(SEARCH("R99",G119))*99,0)+IFERROR(--ISNUMBER(SEARCH("R100",G119))*100,0)+IFERROR(--ISNUMBER(SEARCH("R101",G119))*101,0)+IFERROR(--ISNUMBER(SEARCH("R102",G119))*102,0)+IFERROR(--ISNUMBER(SEARCH("R103",G119))*103,0)+IFERROR(--ISNUMBER(SEARCH("R104",G119))*104,0)+IFERROR(--ISNUMBER(SEARCH("R105",G119))*105,0)+IFERROR(--ISNUMBER(SEARCH("R106",G119))*106,0)+IFERROR(--ISNUMBER(SEARCH("R107",G119))*107,0)+IFERROR(--ISNUMBER(SEARCH("R108",G119))*108,0)+IFERROR(--ISNUMBER(SEARCH("R109",G119))*109,0)+IFERROR(--ISNUMBER(SEARCH("R110",G119))*110,0)+IFERROR(--ISNUMBER(SEARCH("R111",G119))*111,0)+IFERROR(--ISNUMBER(SEARCH("R112",G119))*112,0)+IFERROR(--ISNUMBER(SEARCH("R113",G119))*113,0)+IFERROR(--ISNUMBER(SEARCH("R114",G119))*114,0)+IFERROR(--ISNUMBER(SEARCH("R115",G119))*115,0)+IFERROR(--ISNUMBER(SEARCH("R116",G119))*116,0)+IFERROR(--ISNUMBER(SEARCH("R117",G119))*117,0)+IFERROR(--ISNUMBER(SEARCH("R118",G119))*118,0)+IFERROR(--ISNUMBER(SEARCH("R119",G119))*119,0)+IFERROR(--ISNUMBER(SEARCH("R120",G119))*120,0)+IFERROR(--ISNUMBER(SEARCH("R121",G119))*121,0)+IFERROR(--ISNUMBER(SEARCH("R122",G119))*122,0)+IFERROR(--ISNUMBER(SEARCH("R123",G119))*123,0)+IFERROR(--ISNUMBER(SEARCH("R124",G119))*124,0)+IFERROR(--ISNUMBER(SEARCH("R125",G119))*125,0)+IFERROR(--ISNUMBER(SEARCH("R126",G119))*126,0)+IFERROR(--ISNUMBER(SEARCH("R127",G119))*127,0)+IFERROR(--ISNUMBER(SEARCH("R128",G119))*128,0)+IFERROR(--ISNUMBER(SEARCH("R129",G119))*129,0)+IFERROR(--ISNUMBER(SEARCH("R130",G119))*130,0)+IFERROR(--ISNUMBER(SEARCH("R131",G119))*131,0)+IFERROR(--ISNUMBER(SEARCH("R132",G119))*132,0)+IFERROR(--ISNUMBER(SEARCH("R133",G119))*133,0)+IFERROR(--ISNUMBER(SEARCH("R134",G119))*134,0)+IFERROR(--ISNUMBER(SEARCH("R135",G119))*135,0)+IFERROR(--ISNUMBER(SEARCH("R136",G119))*136,0)+IFERROR(--ISNUMBER(SEARCH("R137",G119))*137,0)+IFERROR(--ISNUMBER(SEARCH("R138",G119))*138,0)+IFERROR(--ISNUMBER(SEARCH("R139",G119))*139,0)+IFERROR(--ISNUMBER(SEARCH("R140",G119))*140,0)+IFERROR(--ISNUMBER(SEARCH("R141",G119))*141,0))</f>
        <v/>
      </c>
      <c r="V119" s="59">
        <f>IF(A119="","",IF(K119&lt;&gt;"",K119,J119))</f>
        <v/>
      </c>
      <c r="W119" s="59">
        <f>IF(A119="","",IF(AND(V119=29,O119&lt;&gt;"",COUNTIFS($V$6:$V$505,29,$F$6:$F$505,F119,$C$6:$C$505,C119,$O$6:$O$505,"&lt;&gt;")&gt;1),IF(COUNTIFS($V$6:V119,29,$F$6:F119,F119,$C$6:C119,C119,$O$6:O119,"&lt;&gt;")=1,"Esta es la fila que se debe CONSERVAR (aparición 1 de "&amp;COUNTIFS($V$6:$V$505,29,$F$6:$F$505,F119,$C$6:$C$505,C119,$O$6:$O$505,"&lt;&gt;")&amp;" con el mismo tercero y valor, casilla 29). Si hay más filas iguales, bórreles el valor a ELLAS, no a esta.","DUPLICADO — ya existe otra fila con el mismo tercero y valor para casilla 29 (aparición "&amp;COUNTIFS($V$6:V119,29,$F$6:F119,F119,$C$6:C119,C119,$O$6:O119,"&lt;&gt;")&amp;" de "&amp;COUNTIFS($V$6:$V$505,29,$F$6:$F$505,F119,$C$6:$C$505,C119,$O$6:$O$505,"&lt;&gt;")&amp;"). Para resolverlo: seleccione la celda O"&amp;ROW()&amp;" (columna Valor a declarar de ESTA fila) y presione Supr."),""))</f>
        <v/>
      </c>
      <c r="X119" s="463">
        <f>IF(A119="","",F119)</f>
        <v/>
      </c>
      <c r="Y119" s="463">
        <f>IF(A119="","",SUMIF(Entrada_Manual!$I$88:$I$187,A119,Entrada_Manual!$F$88:$F$187))</f>
        <v/>
      </c>
      <c r="Z119" s="463">
        <f>IF(A119="","",X119-Y119)</f>
        <v/>
      </c>
      <c r="AA119">
        <f>IF(A119="","",SUMPRODUCT((Entrada_Manual!$I$88:$I$187=A119)*1))</f>
        <v/>
      </c>
      <c r="AB119">
        <f>IF(A119="","",IF(S119&lt;=1,"",IF(AA119=0,"PENDIENTE — SIN ASIGNAR",IF(Z119=0,"RESUELTO","PARCIAL — DIFERENCIA "&amp;TEXT(Z119,"#,##0")))))</f>
        <v/>
      </c>
    </row>
    <row r="120" ht="14.25" customHeight="1" s="235">
      <c r="A120" s="47">
        <f>IF(Exogena_RAW!E129&lt;&gt;"",ROW()-5,"")</f>
        <v/>
      </c>
      <c r="B120" s="48">
        <f>IF(A120="","",129)</f>
        <v/>
      </c>
      <c r="C120" s="48">
        <f>IF(A120="","",IFERROR(Exogena_RAW!A129,""))</f>
        <v/>
      </c>
      <c r="D120" s="48">
        <f>IF(A120="","",IFERROR(Exogena_RAW!B129,""))</f>
        <v/>
      </c>
      <c r="E120" s="48">
        <f>IF(A120="","",Exogena_RAW!E129)</f>
        <v/>
      </c>
      <c r="F120" s="461">
        <f>IF(A120="","",Exogena_RAW!F129)</f>
        <v/>
      </c>
      <c r="G120" s="48">
        <f>IF(A120="","",IFERROR(Exogena_RAW!G129,""))</f>
        <v/>
      </c>
      <c r="H120" s="48">
        <f>IF(A120="","",IFERROR(Exogena_RAW!H129,""))</f>
        <v/>
      </c>
      <c r="I120" s="48">
        <f>IF(A120="","",IFERROR(IF(S120&gt;1,"VARIAS CASILLAS",IF(S120=1,IF(T120=1,"PROPUESTA DE CASILLA","REVISIÓN: CASILLA NO DIRECTA"),IF(OR(ISNUMBER(SEARCH("TOPE",UPPER(E120))),ISNUMBER(SEARCH("TOPE",UPPER(G120)))),"SOLO CONTROL",IF(ISNUMBER(SEARCH("RETEN",UPPER(E120))),"RETENCIÓN","REVISAR")))),"REVISAR"))</f>
        <v/>
      </c>
      <c r="J120" s="48">
        <f>IF(A120="","",IF(ISNUMBER(SEARCH("ingreso laboral promedio de los últimos seis meses",E120)),"",IFERROR(IF(AND(S120=1,T120=1),U120,""),"")))</f>
        <v/>
      </c>
      <c r="K120" s="216" t="n"/>
      <c r="L120" s="48">
        <f>IF(A120="","",IFERROR(IF(K120&lt;&gt;"","Casilla elegida por usuario",IF(S120&gt;1,"Varias casillas — elegir en K",IF(J120&lt;&gt;"","Sugerencia directa",IF(S120=1,"No trasladar directo — revisar",IF(OR(ISNUMBER(SEARCH("TOPE",UPPER(E120))),ISNUMBER(SEARCH("TOPE",UPPER(G120)))),"Solo control","Revisar manualmente"))))),"Revisar manualmente"))</f>
        <v/>
      </c>
      <c r="M120" s="461">
        <f>IF(A120="","",IF(IF(K120&lt;&gt;"",K120,J120)="",0,IF(COUNTIFS(Reglas!$I$5:$I$118,IF(K120&lt;&gt;"",K120,J120),Reglas!$J$5:$J$118,"Sí")=1,F120,0)))</f>
        <v/>
      </c>
      <c r="N120" s="56" t="n"/>
      <c r="O120" s="462">
        <f>IF(A120="","",IF(M120=0,"",M120))</f>
        <v/>
      </c>
      <c r="P120" s="461">
        <f>IF(A120="","",IF(O120="",0,IF(ISNUMBER(O120),O120,0)))</f>
        <v/>
      </c>
      <c r="Q120" s="48">
        <f>IF(A120="","",IF(Exogena_RAW!$C$4="","BLOQUEADO: FALTA AÑO",IF(Exogena_RAW!$K$10&lt;&gt;Reglas!$B$5,"BLOQUEADO: AÑO",IF(IF(K120&lt;&gt;"",K120,J120)="",IF(S120&gt;1,"REQUIERE ASIGNACIÓN MANUAL (VARIAS CASILLAS)","INFORMATIVO (sin casilla — no se declara)"),IF(COUNTIFS(Reglas!$I$5:$I$118,IF(K120&lt;&gt;"",K120,J120),Reglas!$J$5:$J$118,"Sí")=0,"BLOQUEADO: CASILLA NO DIRECTA",IF(O120="","EXCLUIDO (valor borrado por el usuario)",IF(_xlfn.ISFORMULA(O120),IF(W120&lt;&gt;"","BORRADOR — VALOR SUGERIDO DIAN ⚠ VER ALERTA","BORRADOR — VALOR SUGERIDO DIAN"),IF(W120&lt;&gt;"","ACEPTADO ⚠ VER ALERTA","ACEPTADO"))))))))</f>
        <v/>
      </c>
      <c r="R120" s="218" t="n"/>
      <c r="S120" s="58">
        <f>IF(A120="","",IFERROR(--ISNUMBER(SEARCH("R28",G120)),0)+IFERROR(--ISNUMBER(SEARCH("R29",G120)),0)+IFERROR(--ISNUMBER(SEARCH("R30",G120)),0)+IFERROR(--ISNUMBER(SEARCH("R31",G120)),0)+IFERROR(--ISNUMBER(SEARCH("R32",G120)),0)+IFERROR(--ISNUMBER(SEARCH("R33",G120)),0)+IFERROR(--ISNUMBER(SEARCH("R34",G120)),0)+IFERROR(--ISNUMBER(SEARCH("R35",G120)),0)+IFERROR(--ISNUMBER(SEARCH("R36",G120)),0)+IFERROR(--ISNUMBER(SEARCH("R37",G120)),0)+IFERROR(--ISNUMBER(SEARCH("R38",G120)),0)+IFERROR(--ISNUMBER(SEARCH("R39",G120)),0)+IFERROR(--ISNUMBER(SEARCH("R40",G120)),0)+IFERROR(--ISNUMBER(SEARCH("R41",G120)),0)+IFERROR(--ISNUMBER(SEARCH("R42",G120)),0)+IFERROR(--ISNUMBER(SEARCH("R43",G120)),0)+IFERROR(--ISNUMBER(SEARCH("R44",G120)),0)+IFERROR(--ISNUMBER(SEARCH("R45",G120)),0)+IFERROR(--ISNUMBER(SEARCH("R46",G120)),0)+IFERROR(--ISNUMBER(SEARCH("R47",G120)),0)+IFERROR(--ISNUMBER(SEARCH("R48",G120)),0)+IFERROR(--ISNUMBER(SEARCH("R49",G120)),0)+IFERROR(--ISNUMBER(SEARCH("R50",G120)),0)+IFERROR(--ISNUMBER(SEARCH("R51",G120)),0)+IFERROR(--ISNUMBER(SEARCH("R52",G120)),0)+IFERROR(--ISNUMBER(SEARCH("R53",G120)),0)+IFERROR(--ISNUMBER(SEARCH("R54",G120)),0)+IFERROR(--ISNUMBER(SEARCH("R55",G120)),0)+IFERROR(--ISNUMBER(SEARCH("R56",G120)),0)+IFERROR(--ISNUMBER(SEARCH("R57",G120)),0)+IFERROR(--ISNUMBER(SEARCH("R58",G120)),0)+IFERROR(--ISNUMBER(SEARCH("R59",G120)),0)+IFERROR(--ISNUMBER(SEARCH("R60",G120)),0)+IFERROR(--ISNUMBER(SEARCH("R61",G120)),0)+IFERROR(--ISNUMBER(SEARCH("R62",G120)),0)+IFERROR(--ISNUMBER(SEARCH("R63",G120)),0)+IFERROR(--ISNUMBER(SEARCH("R64",G120)),0)+IFERROR(--ISNUMBER(SEARCH("R65",G120)),0)+IFERROR(--ISNUMBER(SEARCH("R66",G120)),0)+IFERROR(--ISNUMBER(SEARCH("R67",G120)),0)+IFERROR(--ISNUMBER(SEARCH("R68",G120)),0)+IFERROR(--ISNUMBER(SEARCH("R69",G120)),0)+IFERROR(--ISNUMBER(SEARCH("R70",G120)),0)+IFERROR(--ISNUMBER(SEARCH("R71",G120)),0)+IFERROR(--ISNUMBER(SEARCH("R72",G120)),0)+IFERROR(--ISNUMBER(SEARCH("R73",G120)),0)+IFERROR(--ISNUMBER(SEARCH("R74",G120)),0)+IFERROR(--ISNUMBER(SEARCH("R75",G120)),0)+IFERROR(--ISNUMBER(SEARCH("R76",G120)),0)+IFERROR(--ISNUMBER(SEARCH("R77",G120)),0)+IFERROR(--ISNUMBER(SEARCH("R78",G120)),0)+IFERROR(--ISNUMBER(SEARCH("R79",G120)),0)+IFERROR(--ISNUMBER(SEARCH("R80",G120)),0)+IFERROR(--ISNUMBER(SEARCH("R81",G120)),0)+IFERROR(--ISNUMBER(SEARCH("R82",G120)),0)+IFERROR(--ISNUMBER(SEARCH("R83",G120)),0)+IFERROR(--ISNUMBER(SEARCH("R84",G120)),0)+IFERROR(--ISNUMBER(SEARCH("R85",G120)),0)+IFERROR(--ISNUMBER(SEARCH("R86",G120)),0)+IFERROR(--ISNUMBER(SEARCH("R87",G120)),0)+IFERROR(--ISNUMBER(SEARCH("R88",G120)),0)+IFERROR(--ISNUMBER(SEARCH("R89",G120)),0)+IFERROR(--ISNUMBER(SEARCH("R90",G120)),0)+IFERROR(--ISNUMBER(SEARCH("R91",G120)),0)+IFERROR(--ISNUMBER(SEARCH("R92",G120)),0)+IFERROR(--ISNUMBER(SEARCH("R93",G120)),0)+IFERROR(--ISNUMBER(SEARCH("R94",G120)),0)+IFERROR(--ISNUMBER(SEARCH("R95",G120)),0)+IFERROR(--ISNUMBER(SEARCH("R96",G120)),0)+IFERROR(--ISNUMBER(SEARCH("R97",G120)),0)+IFERROR(--ISNUMBER(SEARCH("R98",G120)),0)+IFERROR(--ISNUMBER(SEARCH("R99",G120)),0)+IFERROR(--ISNUMBER(SEARCH("R100",G120)),0)+IFERROR(--ISNUMBER(SEARCH("R101",G120)),0)+IFERROR(--ISNUMBER(SEARCH("R102",G120)),0)+IFERROR(--ISNUMBER(SEARCH("R103",G120)),0)+IFERROR(--ISNUMBER(SEARCH("R104",G120)),0)+IFERROR(--ISNUMBER(SEARCH("R105",G120)),0)+IFERROR(--ISNUMBER(SEARCH("R106",G120)),0)+IFERROR(--ISNUMBER(SEARCH("R107",G120)),0)+IFERROR(--ISNUMBER(SEARCH("R108",G120)),0)+IFERROR(--ISNUMBER(SEARCH("R109",G120)),0)+IFERROR(--ISNUMBER(SEARCH("R110",G120)),0)+IFERROR(--ISNUMBER(SEARCH("R111",G120)),0)+IFERROR(--ISNUMBER(SEARCH("R112",G120)),0)+IFERROR(--ISNUMBER(SEARCH("R113",G120)),0)+IFERROR(--ISNUMBER(SEARCH("R114",G120)),0)+IFERROR(--ISNUMBER(SEARCH("R115",G120)),0)+IFERROR(--ISNUMBER(SEARCH("R116",G120)),0)+IFERROR(--ISNUMBER(SEARCH("R117",G120)),0)+IFERROR(--ISNUMBER(SEARCH("R118",G120)),0)+IFERROR(--ISNUMBER(SEARCH("R119",G120)),0)+IFERROR(--ISNUMBER(SEARCH("R120",G120)),0)+IFERROR(--ISNUMBER(SEARCH("R121",G120)),0)+IFERROR(--ISNUMBER(SEARCH("R122",G120)),0)+IFERROR(--ISNUMBER(SEARCH("R123",G120)),0)+IFERROR(--ISNUMBER(SEARCH("R124",G120)),0)+IFERROR(--ISNUMBER(SEARCH("R125",G120)),0)+IFERROR(--ISNUMBER(SEARCH("R126",G120)),0)+IFERROR(--ISNUMBER(SEARCH("R127",G120)),0)+IFERROR(--ISNUMBER(SEARCH("R128",G120)),0)+IFERROR(--ISNUMBER(SEARCH("R129",G120)),0)+IFERROR(--ISNUMBER(SEARCH("R130",G120)),0)+IFERROR(--ISNUMBER(SEARCH("R131",G120)),0)+IFERROR(--ISNUMBER(SEARCH("R132",G120)),0)+IFERROR(--ISNUMBER(SEARCH("R133",G120)),0)+IFERROR(--ISNUMBER(SEARCH("R134",G120)),0)+IFERROR(--ISNUMBER(SEARCH("R135",G120)),0)+IFERROR(--ISNUMBER(SEARCH("R136",G120)),0)+IFERROR(--ISNUMBER(SEARCH("R137",G120)),0)+IFERROR(--ISNUMBER(SEARCH("R138",G120)),0)+IFERROR(--ISNUMBER(SEARCH("R139",G120)),0)+IFERROR(--ISNUMBER(SEARCH("R140",G120)),0)+IFERROR(--ISNUMBER(SEARCH("R141",G120)),0))</f>
        <v/>
      </c>
      <c r="T120" s="58">
        <f>IF(A120="","",IFERROR(--ISNUMBER(SEARCH("R28",G120)),0)+IFERROR(--ISNUMBER(SEARCH("R29",G120)),0)+IFERROR(--ISNUMBER(SEARCH("R30",G120)),0)+IFERROR(--ISNUMBER(SEARCH("R32",G120)),0)+IFERROR(--ISNUMBER(SEARCH("R33",G120)),0)+IFERROR(--ISNUMBER(SEARCH("R35",G120)),0)+IFERROR(--ISNUMBER(SEARCH("R36",G120)),0)+IFERROR(--ISNUMBER(SEARCH("R38",G120)),0)+IFERROR(--ISNUMBER(SEARCH("R39",G120)),0)+IFERROR(--ISNUMBER(SEARCH("R43",G120)),0)+IFERROR(--ISNUMBER(SEARCH("R44",G120)),0)+IFERROR(--ISNUMBER(SEARCH("R45",G120)),0)+IFERROR(--ISNUMBER(SEARCH("R47",G120)),0)+IFERROR(--ISNUMBER(SEARCH("R48",G120)),0)+IFERROR(--ISNUMBER(SEARCH("R50",G120)),0)+IFERROR(--ISNUMBER(SEARCH("R51",G120)),0)+IFERROR(--ISNUMBER(SEARCH("R56",G120)),0)+IFERROR(--ISNUMBER(SEARCH("R58",G120)),0)+IFERROR(--ISNUMBER(SEARCH("R59",G120)),0)+IFERROR(--ISNUMBER(SEARCH("R60",G120)),0)+IFERROR(--ISNUMBER(SEARCH("R62",G120)),0)+IFERROR(--ISNUMBER(SEARCH("R63",G120)),0)+IFERROR(--ISNUMBER(SEARCH("R64",G120)),0)+IFERROR(--ISNUMBER(SEARCH("R66",G120)),0)+IFERROR(--ISNUMBER(SEARCH("R67",G120)),0)+IFERROR(--ISNUMBER(SEARCH("R72",G120)),0)+IFERROR(--ISNUMBER(SEARCH("R74",G120)),0)+IFERROR(--ISNUMBER(SEARCH("R75",G120)),0)+IFERROR(--ISNUMBER(SEARCH("R76",G120)),0)+IFERROR(--ISNUMBER(SEARCH("R77",G120)),0)+IFERROR(--ISNUMBER(SEARCH("R79",G120)),0)+IFERROR(--ISNUMBER(SEARCH("R80",G120)),0)+IFERROR(--ISNUMBER(SEARCH("R81",G120)),0)+IFERROR(--ISNUMBER(SEARCH("R83",G120)),0)+IFERROR(--ISNUMBER(SEARCH("R84",G120)),0)+IFERROR(--ISNUMBER(SEARCH("R89",G120)),0)+IFERROR(--ISNUMBER(SEARCH("R94",G120)),0)+IFERROR(--ISNUMBER(SEARCH("R95",G120)),0)+IFERROR(--ISNUMBER(SEARCH("R96",G120)),0)+IFERROR(--ISNUMBER(SEARCH("R98",G120)),0)+IFERROR(--ISNUMBER(SEARCH("R99",G120)),0)+IFERROR(--ISNUMBER(SEARCH("R100",G120)),0)+IFERROR(--ISNUMBER(SEARCH("R104",G120)),0)+IFERROR(--ISNUMBER(SEARCH("R105",G120)),0)+IFERROR(--ISNUMBER(SEARCH("R107",G120)),0)+IFERROR(--ISNUMBER(SEARCH("R108",G120)),0)+IFERROR(--ISNUMBER(SEARCH("R109",G120)),0)+IFERROR(--ISNUMBER(SEARCH("R110",G120)),0)+IFERROR(--ISNUMBER(SEARCH("R112",G120)),0)+IFERROR(--ISNUMBER(SEARCH("R113",G120)),0)+IFERROR(--ISNUMBER(SEARCH("R114",G120)),0)+IFERROR(--ISNUMBER(SEARCH("R118",G120)),0)+IFERROR(--ISNUMBER(SEARCH("R119",G120)),0)+IFERROR(--ISNUMBER(SEARCH("R120",G120)),0)+IFERROR(--ISNUMBER(SEARCH("R122",G120)),0)+IFERROR(--ISNUMBER(SEARCH("R123",G120)),0)+IFERROR(--ISNUMBER(SEARCH("R124",G120)),0)+IFERROR(--ISNUMBER(SEARCH("R128",G120)),0)+IFERROR(--ISNUMBER(SEARCH("R130",G120)),0)+IFERROR(--ISNUMBER(SEARCH("R131",G120)),0)+IFERROR(--ISNUMBER(SEARCH("R132",G120)),0)+IFERROR(--ISNUMBER(SEARCH("R135",G120)),0)+IFERROR(--ISNUMBER(SEARCH("R138",G120)),0)+IFERROR(--ISNUMBER(SEARCH("R141",G120)),0))</f>
        <v/>
      </c>
      <c r="U120" s="58">
        <f>IF(A120="","",IFERROR(--ISNUMBER(SEARCH("R28",G120))*28,0)+IFERROR(--ISNUMBER(SEARCH("R29",G120))*29,0)+IFERROR(--ISNUMBER(SEARCH("R30",G120))*30,0)+IFERROR(--ISNUMBER(SEARCH("R31",G120))*31,0)+IFERROR(--ISNUMBER(SEARCH("R32",G120))*32,0)+IFERROR(--ISNUMBER(SEARCH("R33",G120))*33,0)+IFERROR(--ISNUMBER(SEARCH("R34",G120))*34,0)+IFERROR(--ISNUMBER(SEARCH("R35",G120))*35,0)+IFERROR(--ISNUMBER(SEARCH("R36",G120))*36,0)+IFERROR(--ISNUMBER(SEARCH("R37",G120))*37,0)+IFERROR(--ISNUMBER(SEARCH("R38",G120))*38,0)+IFERROR(--ISNUMBER(SEARCH("R39",G120))*39,0)+IFERROR(--ISNUMBER(SEARCH("R40",G120))*40,0)+IFERROR(--ISNUMBER(SEARCH("R41",G120))*41,0)+IFERROR(--ISNUMBER(SEARCH("R42",G120))*42,0)+IFERROR(--ISNUMBER(SEARCH("R43",G120))*43,0)+IFERROR(--ISNUMBER(SEARCH("R44",G120))*44,0)+IFERROR(--ISNUMBER(SEARCH("R45",G120))*45,0)+IFERROR(--ISNUMBER(SEARCH("R46",G120))*46,0)+IFERROR(--ISNUMBER(SEARCH("R47",G120))*47,0)+IFERROR(--ISNUMBER(SEARCH("R48",G120))*48,0)+IFERROR(--ISNUMBER(SEARCH("R49",G120))*49,0)+IFERROR(--ISNUMBER(SEARCH("R50",G120))*50,0)+IFERROR(--ISNUMBER(SEARCH("R51",G120))*51,0)+IFERROR(--ISNUMBER(SEARCH("R52",G120))*52,0)+IFERROR(--ISNUMBER(SEARCH("R53",G120))*53,0)+IFERROR(--ISNUMBER(SEARCH("R54",G120))*54,0)+IFERROR(--ISNUMBER(SEARCH("R55",G120))*55,0)+IFERROR(--ISNUMBER(SEARCH("R56",G120))*56,0)+IFERROR(--ISNUMBER(SEARCH("R57",G120))*57,0)+IFERROR(--ISNUMBER(SEARCH("R58",G120))*58,0)+IFERROR(--ISNUMBER(SEARCH("R59",G120))*59,0)+IFERROR(--ISNUMBER(SEARCH("R60",G120))*60,0)+IFERROR(--ISNUMBER(SEARCH("R61",G120))*61,0)+IFERROR(--ISNUMBER(SEARCH("R62",G120))*62,0)+IFERROR(--ISNUMBER(SEARCH("R63",G120))*63,0)+IFERROR(--ISNUMBER(SEARCH("R64",G120))*64,0)+IFERROR(--ISNUMBER(SEARCH("R65",G120))*65,0)+IFERROR(--ISNUMBER(SEARCH("R66",G120))*66,0)+IFERROR(--ISNUMBER(SEARCH("R67",G120))*67,0)+IFERROR(--ISNUMBER(SEARCH("R68",G120))*68,0)+IFERROR(--ISNUMBER(SEARCH("R69",G120))*69,0)+IFERROR(--ISNUMBER(SEARCH("R70",G120))*70,0)+IFERROR(--ISNUMBER(SEARCH("R71",G120))*71,0)+IFERROR(--ISNUMBER(SEARCH("R72",G120))*72,0)+IFERROR(--ISNUMBER(SEARCH("R73",G120))*73,0)+IFERROR(--ISNUMBER(SEARCH("R74",G120))*74,0)+IFERROR(--ISNUMBER(SEARCH("R75",G120))*75,0)+IFERROR(--ISNUMBER(SEARCH("R76",G120))*76,0)+IFERROR(--ISNUMBER(SEARCH("R77",G120))*77,0)+IFERROR(--ISNUMBER(SEARCH("R78",G120))*78,0)+IFERROR(--ISNUMBER(SEARCH("R79",G120))*79,0)+IFERROR(--ISNUMBER(SEARCH("R80",G120))*80,0)+IFERROR(--ISNUMBER(SEARCH("R81",G120))*81,0)+IFERROR(--ISNUMBER(SEARCH("R82",G120))*82,0)+IFERROR(--ISNUMBER(SEARCH("R83",G120))*83,0)+IFERROR(--ISNUMBER(SEARCH("R84",G120))*84,0)+IFERROR(--ISNUMBER(SEARCH("R85",G120))*85,0)+IFERROR(--ISNUMBER(SEARCH("R86",G120))*86,0)+IFERROR(--ISNUMBER(SEARCH("R87",G120))*87,0)+IFERROR(--ISNUMBER(SEARCH("R88",G120))*88,0)+IFERROR(--ISNUMBER(SEARCH("R89",G120))*89,0)+IFERROR(--ISNUMBER(SEARCH("R90",G120))*90,0)+IFERROR(--ISNUMBER(SEARCH("R91",G120))*91,0)+IFERROR(--ISNUMBER(SEARCH("R92",G120))*92,0)+IFERROR(--ISNUMBER(SEARCH("R93",G120))*93,0)+IFERROR(--ISNUMBER(SEARCH("R94",G120))*94,0)+IFERROR(--ISNUMBER(SEARCH("R95",G120))*95,0)+IFERROR(--ISNUMBER(SEARCH("R96",G120))*96,0)+IFERROR(--ISNUMBER(SEARCH("R97",G120))*97,0)+IFERROR(--ISNUMBER(SEARCH("R98",G120))*98,0)+IFERROR(--ISNUMBER(SEARCH("R99",G120))*99,0)+IFERROR(--ISNUMBER(SEARCH("R100",G120))*100,0)+IFERROR(--ISNUMBER(SEARCH("R101",G120))*101,0)+IFERROR(--ISNUMBER(SEARCH("R102",G120))*102,0)+IFERROR(--ISNUMBER(SEARCH("R103",G120))*103,0)+IFERROR(--ISNUMBER(SEARCH("R104",G120))*104,0)+IFERROR(--ISNUMBER(SEARCH("R105",G120))*105,0)+IFERROR(--ISNUMBER(SEARCH("R106",G120))*106,0)+IFERROR(--ISNUMBER(SEARCH("R107",G120))*107,0)+IFERROR(--ISNUMBER(SEARCH("R108",G120))*108,0)+IFERROR(--ISNUMBER(SEARCH("R109",G120))*109,0)+IFERROR(--ISNUMBER(SEARCH("R110",G120))*110,0)+IFERROR(--ISNUMBER(SEARCH("R111",G120))*111,0)+IFERROR(--ISNUMBER(SEARCH("R112",G120))*112,0)+IFERROR(--ISNUMBER(SEARCH("R113",G120))*113,0)+IFERROR(--ISNUMBER(SEARCH("R114",G120))*114,0)+IFERROR(--ISNUMBER(SEARCH("R115",G120))*115,0)+IFERROR(--ISNUMBER(SEARCH("R116",G120))*116,0)+IFERROR(--ISNUMBER(SEARCH("R117",G120))*117,0)+IFERROR(--ISNUMBER(SEARCH("R118",G120))*118,0)+IFERROR(--ISNUMBER(SEARCH("R119",G120))*119,0)+IFERROR(--ISNUMBER(SEARCH("R120",G120))*120,0)+IFERROR(--ISNUMBER(SEARCH("R121",G120))*121,0)+IFERROR(--ISNUMBER(SEARCH("R122",G120))*122,0)+IFERROR(--ISNUMBER(SEARCH("R123",G120))*123,0)+IFERROR(--ISNUMBER(SEARCH("R124",G120))*124,0)+IFERROR(--ISNUMBER(SEARCH("R125",G120))*125,0)+IFERROR(--ISNUMBER(SEARCH("R126",G120))*126,0)+IFERROR(--ISNUMBER(SEARCH("R127",G120))*127,0)+IFERROR(--ISNUMBER(SEARCH("R128",G120))*128,0)+IFERROR(--ISNUMBER(SEARCH("R129",G120))*129,0)+IFERROR(--ISNUMBER(SEARCH("R130",G120))*130,0)+IFERROR(--ISNUMBER(SEARCH("R131",G120))*131,0)+IFERROR(--ISNUMBER(SEARCH("R132",G120))*132,0)+IFERROR(--ISNUMBER(SEARCH("R133",G120))*133,0)+IFERROR(--ISNUMBER(SEARCH("R134",G120))*134,0)+IFERROR(--ISNUMBER(SEARCH("R135",G120))*135,0)+IFERROR(--ISNUMBER(SEARCH("R136",G120))*136,0)+IFERROR(--ISNUMBER(SEARCH("R137",G120))*137,0)+IFERROR(--ISNUMBER(SEARCH("R138",G120))*138,0)+IFERROR(--ISNUMBER(SEARCH("R139",G120))*139,0)+IFERROR(--ISNUMBER(SEARCH("R140",G120))*140,0)+IFERROR(--ISNUMBER(SEARCH("R141",G120))*141,0))</f>
        <v/>
      </c>
      <c r="V120" s="59">
        <f>IF(A120="","",IF(K120&lt;&gt;"",K120,J120))</f>
        <v/>
      </c>
      <c r="W120" s="59">
        <f>IF(A120="","",IF(AND(V120=29,O120&lt;&gt;"",COUNTIFS($V$6:$V$505,29,$F$6:$F$505,F120,$C$6:$C$505,C120,$O$6:$O$505,"&lt;&gt;")&gt;1),IF(COUNTIFS($V$6:V120,29,$F$6:F120,F120,$C$6:C120,C120,$O$6:O120,"&lt;&gt;")=1,"Esta es la fila que se debe CONSERVAR (aparición 1 de "&amp;COUNTIFS($V$6:$V$505,29,$F$6:$F$505,F120,$C$6:$C$505,C120,$O$6:$O$505,"&lt;&gt;")&amp;" con el mismo tercero y valor, casilla 29). Si hay más filas iguales, bórreles el valor a ELLAS, no a esta.","DUPLICADO — ya existe otra fila con el mismo tercero y valor para casilla 29 (aparición "&amp;COUNTIFS($V$6:V120,29,$F$6:F120,F120,$C$6:C120,C120,$O$6:O120,"&lt;&gt;")&amp;" de "&amp;COUNTIFS($V$6:$V$505,29,$F$6:$F$505,F120,$C$6:$C$505,C120,$O$6:$O$505,"&lt;&gt;")&amp;"). Para resolverlo: seleccione la celda O"&amp;ROW()&amp;" (columna Valor a declarar de ESTA fila) y presione Supr."),""))</f>
        <v/>
      </c>
      <c r="X120" s="463">
        <f>IF(A120="","",F120)</f>
        <v/>
      </c>
      <c r="Y120" s="463">
        <f>IF(A120="","",SUMIF(Entrada_Manual!$I$88:$I$187,A120,Entrada_Manual!$F$88:$F$187))</f>
        <v/>
      </c>
      <c r="Z120" s="463">
        <f>IF(A120="","",X120-Y120)</f>
        <v/>
      </c>
      <c r="AA120">
        <f>IF(A120="","",SUMPRODUCT((Entrada_Manual!$I$88:$I$187=A120)*1))</f>
        <v/>
      </c>
      <c r="AB120">
        <f>IF(A120="","",IF(S120&lt;=1,"",IF(AA120=0,"PENDIENTE — SIN ASIGNAR",IF(Z120=0,"RESUELTO","PARCIAL — DIFERENCIA "&amp;TEXT(Z120,"#,##0")))))</f>
        <v/>
      </c>
    </row>
    <row r="121" ht="14.25" customHeight="1" s="235">
      <c r="A121" s="47">
        <f>IF(Exogena_RAW!E130&lt;&gt;"",ROW()-5,"")</f>
        <v/>
      </c>
      <c r="B121" s="48">
        <f>IF(A121="","",130)</f>
        <v/>
      </c>
      <c r="C121" s="48">
        <f>IF(A121="","",IFERROR(Exogena_RAW!A130,""))</f>
        <v/>
      </c>
      <c r="D121" s="48">
        <f>IF(A121="","",IFERROR(Exogena_RAW!B130,""))</f>
        <v/>
      </c>
      <c r="E121" s="48">
        <f>IF(A121="","",Exogena_RAW!E130)</f>
        <v/>
      </c>
      <c r="F121" s="461">
        <f>IF(A121="","",Exogena_RAW!F130)</f>
        <v/>
      </c>
      <c r="G121" s="48">
        <f>IF(A121="","",IFERROR(Exogena_RAW!G130,""))</f>
        <v/>
      </c>
      <c r="H121" s="48">
        <f>IF(A121="","",IFERROR(Exogena_RAW!H130,""))</f>
        <v/>
      </c>
      <c r="I121" s="48">
        <f>IF(A121="","",IFERROR(IF(S121&gt;1,"VARIAS CASILLAS",IF(S121=1,IF(T121=1,"PROPUESTA DE CASILLA","REVISIÓN: CASILLA NO DIRECTA"),IF(OR(ISNUMBER(SEARCH("TOPE",UPPER(E121))),ISNUMBER(SEARCH("TOPE",UPPER(G121)))),"SOLO CONTROL",IF(ISNUMBER(SEARCH("RETEN",UPPER(E121))),"RETENCIÓN","REVISAR")))),"REVISAR"))</f>
        <v/>
      </c>
      <c r="J121" s="48">
        <f>IF(A121="","",IF(ISNUMBER(SEARCH("ingreso laboral promedio de los últimos seis meses",E121)),"",IFERROR(IF(AND(S121=1,T121=1),U121,""),"")))</f>
        <v/>
      </c>
      <c r="K121" s="216" t="n"/>
      <c r="L121" s="48">
        <f>IF(A121="","",IFERROR(IF(K121&lt;&gt;"","Casilla elegida por usuario",IF(S121&gt;1,"Varias casillas — elegir en K",IF(J121&lt;&gt;"","Sugerencia directa",IF(S121=1,"No trasladar directo — revisar",IF(OR(ISNUMBER(SEARCH("TOPE",UPPER(E121))),ISNUMBER(SEARCH("TOPE",UPPER(G121)))),"Solo control","Revisar manualmente"))))),"Revisar manualmente"))</f>
        <v/>
      </c>
      <c r="M121" s="461">
        <f>IF(A121="","",IF(IF(K121&lt;&gt;"",K121,J121)="",0,IF(COUNTIFS(Reglas!$I$5:$I$118,IF(K121&lt;&gt;"",K121,J121),Reglas!$J$5:$J$118,"Sí")=1,F121,0)))</f>
        <v/>
      </c>
      <c r="N121" s="56" t="n"/>
      <c r="O121" s="462">
        <f>IF(A121="","",IF(M121=0,"",M121))</f>
        <v/>
      </c>
      <c r="P121" s="461">
        <f>IF(A121="","",IF(O121="",0,IF(ISNUMBER(O121),O121,0)))</f>
        <v/>
      </c>
      <c r="Q121" s="48">
        <f>IF(A121="","",IF(Exogena_RAW!$C$4="","BLOQUEADO: FALTA AÑO",IF(Exogena_RAW!$K$10&lt;&gt;Reglas!$B$5,"BLOQUEADO: AÑO",IF(IF(K121&lt;&gt;"",K121,J121)="",IF(S121&gt;1,"REQUIERE ASIGNACIÓN MANUAL (VARIAS CASILLAS)","INFORMATIVO (sin casilla — no se declara)"),IF(COUNTIFS(Reglas!$I$5:$I$118,IF(K121&lt;&gt;"",K121,J121),Reglas!$J$5:$J$118,"Sí")=0,"BLOQUEADO: CASILLA NO DIRECTA",IF(O121="","EXCLUIDO (valor borrado por el usuario)",IF(_xlfn.ISFORMULA(O121),IF(W121&lt;&gt;"","BORRADOR — VALOR SUGERIDO DIAN ⚠ VER ALERTA","BORRADOR — VALOR SUGERIDO DIAN"),IF(W121&lt;&gt;"","ACEPTADO ⚠ VER ALERTA","ACEPTADO"))))))))</f>
        <v/>
      </c>
      <c r="R121" s="218" t="n"/>
      <c r="S121" s="58">
        <f>IF(A121="","",IFERROR(--ISNUMBER(SEARCH("R28",G121)),0)+IFERROR(--ISNUMBER(SEARCH("R29",G121)),0)+IFERROR(--ISNUMBER(SEARCH("R30",G121)),0)+IFERROR(--ISNUMBER(SEARCH("R31",G121)),0)+IFERROR(--ISNUMBER(SEARCH("R32",G121)),0)+IFERROR(--ISNUMBER(SEARCH("R33",G121)),0)+IFERROR(--ISNUMBER(SEARCH("R34",G121)),0)+IFERROR(--ISNUMBER(SEARCH("R35",G121)),0)+IFERROR(--ISNUMBER(SEARCH("R36",G121)),0)+IFERROR(--ISNUMBER(SEARCH("R37",G121)),0)+IFERROR(--ISNUMBER(SEARCH("R38",G121)),0)+IFERROR(--ISNUMBER(SEARCH("R39",G121)),0)+IFERROR(--ISNUMBER(SEARCH("R40",G121)),0)+IFERROR(--ISNUMBER(SEARCH("R41",G121)),0)+IFERROR(--ISNUMBER(SEARCH("R42",G121)),0)+IFERROR(--ISNUMBER(SEARCH("R43",G121)),0)+IFERROR(--ISNUMBER(SEARCH("R44",G121)),0)+IFERROR(--ISNUMBER(SEARCH("R45",G121)),0)+IFERROR(--ISNUMBER(SEARCH("R46",G121)),0)+IFERROR(--ISNUMBER(SEARCH("R47",G121)),0)+IFERROR(--ISNUMBER(SEARCH("R48",G121)),0)+IFERROR(--ISNUMBER(SEARCH("R49",G121)),0)+IFERROR(--ISNUMBER(SEARCH("R50",G121)),0)+IFERROR(--ISNUMBER(SEARCH("R51",G121)),0)+IFERROR(--ISNUMBER(SEARCH("R52",G121)),0)+IFERROR(--ISNUMBER(SEARCH("R53",G121)),0)+IFERROR(--ISNUMBER(SEARCH("R54",G121)),0)+IFERROR(--ISNUMBER(SEARCH("R55",G121)),0)+IFERROR(--ISNUMBER(SEARCH("R56",G121)),0)+IFERROR(--ISNUMBER(SEARCH("R57",G121)),0)+IFERROR(--ISNUMBER(SEARCH("R58",G121)),0)+IFERROR(--ISNUMBER(SEARCH("R59",G121)),0)+IFERROR(--ISNUMBER(SEARCH("R60",G121)),0)+IFERROR(--ISNUMBER(SEARCH("R61",G121)),0)+IFERROR(--ISNUMBER(SEARCH("R62",G121)),0)+IFERROR(--ISNUMBER(SEARCH("R63",G121)),0)+IFERROR(--ISNUMBER(SEARCH("R64",G121)),0)+IFERROR(--ISNUMBER(SEARCH("R65",G121)),0)+IFERROR(--ISNUMBER(SEARCH("R66",G121)),0)+IFERROR(--ISNUMBER(SEARCH("R67",G121)),0)+IFERROR(--ISNUMBER(SEARCH("R68",G121)),0)+IFERROR(--ISNUMBER(SEARCH("R69",G121)),0)+IFERROR(--ISNUMBER(SEARCH("R70",G121)),0)+IFERROR(--ISNUMBER(SEARCH("R71",G121)),0)+IFERROR(--ISNUMBER(SEARCH("R72",G121)),0)+IFERROR(--ISNUMBER(SEARCH("R73",G121)),0)+IFERROR(--ISNUMBER(SEARCH("R74",G121)),0)+IFERROR(--ISNUMBER(SEARCH("R75",G121)),0)+IFERROR(--ISNUMBER(SEARCH("R76",G121)),0)+IFERROR(--ISNUMBER(SEARCH("R77",G121)),0)+IFERROR(--ISNUMBER(SEARCH("R78",G121)),0)+IFERROR(--ISNUMBER(SEARCH("R79",G121)),0)+IFERROR(--ISNUMBER(SEARCH("R80",G121)),0)+IFERROR(--ISNUMBER(SEARCH("R81",G121)),0)+IFERROR(--ISNUMBER(SEARCH("R82",G121)),0)+IFERROR(--ISNUMBER(SEARCH("R83",G121)),0)+IFERROR(--ISNUMBER(SEARCH("R84",G121)),0)+IFERROR(--ISNUMBER(SEARCH("R85",G121)),0)+IFERROR(--ISNUMBER(SEARCH("R86",G121)),0)+IFERROR(--ISNUMBER(SEARCH("R87",G121)),0)+IFERROR(--ISNUMBER(SEARCH("R88",G121)),0)+IFERROR(--ISNUMBER(SEARCH("R89",G121)),0)+IFERROR(--ISNUMBER(SEARCH("R90",G121)),0)+IFERROR(--ISNUMBER(SEARCH("R91",G121)),0)+IFERROR(--ISNUMBER(SEARCH("R92",G121)),0)+IFERROR(--ISNUMBER(SEARCH("R93",G121)),0)+IFERROR(--ISNUMBER(SEARCH("R94",G121)),0)+IFERROR(--ISNUMBER(SEARCH("R95",G121)),0)+IFERROR(--ISNUMBER(SEARCH("R96",G121)),0)+IFERROR(--ISNUMBER(SEARCH("R97",G121)),0)+IFERROR(--ISNUMBER(SEARCH("R98",G121)),0)+IFERROR(--ISNUMBER(SEARCH("R99",G121)),0)+IFERROR(--ISNUMBER(SEARCH("R100",G121)),0)+IFERROR(--ISNUMBER(SEARCH("R101",G121)),0)+IFERROR(--ISNUMBER(SEARCH("R102",G121)),0)+IFERROR(--ISNUMBER(SEARCH("R103",G121)),0)+IFERROR(--ISNUMBER(SEARCH("R104",G121)),0)+IFERROR(--ISNUMBER(SEARCH("R105",G121)),0)+IFERROR(--ISNUMBER(SEARCH("R106",G121)),0)+IFERROR(--ISNUMBER(SEARCH("R107",G121)),0)+IFERROR(--ISNUMBER(SEARCH("R108",G121)),0)+IFERROR(--ISNUMBER(SEARCH("R109",G121)),0)+IFERROR(--ISNUMBER(SEARCH("R110",G121)),0)+IFERROR(--ISNUMBER(SEARCH("R111",G121)),0)+IFERROR(--ISNUMBER(SEARCH("R112",G121)),0)+IFERROR(--ISNUMBER(SEARCH("R113",G121)),0)+IFERROR(--ISNUMBER(SEARCH("R114",G121)),0)+IFERROR(--ISNUMBER(SEARCH("R115",G121)),0)+IFERROR(--ISNUMBER(SEARCH("R116",G121)),0)+IFERROR(--ISNUMBER(SEARCH("R117",G121)),0)+IFERROR(--ISNUMBER(SEARCH("R118",G121)),0)+IFERROR(--ISNUMBER(SEARCH("R119",G121)),0)+IFERROR(--ISNUMBER(SEARCH("R120",G121)),0)+IFERROR(--ISNUMBER(SEARCH("R121",G121)),0)+IFERROR(--ISNUMBER(SEARCH("R122",G121)),0)+IFERROR(--ISNUMBER(SEARCH("R123",G121)),0)+IFERROR(--ISNUMBER(SEARCH("R124",G121)),0)+IFERROR(--ISNUMBER(SEARCH("R125",G121)),0)+IFERROR(--ISNUMBER(SEARCH("R126",G121)),0)+IFERROR(--ISNUMBER(SEARCH("R127",G121)),0)+IFERROR(--ISNUMBER(SEARCH("R128",G121)),0)+IFERROR(--ISNUMBER(SEARCH("R129",G121)),0)+IFERROR(--ISNUMBER(SEARCH("R130",G121)),0)+IFERROR(--ISNUMBER(SEARCH("R131",G121)),0)+IFERROR(--ISNUMBER(SEARCH("R132",G121)),0)+IFERROR(--ISNUMBER(SEARCH("R133",G121)),0)+IFERROR(--ISNUMBER(SEARCH("R134",G121)),0)+IFERROR(--ISNUMBER(SEARCH("R135",G121)),0)+IFERROR(--ISNUMBER(SEARCH("R136",G121)),0)+IFERROR(--ISNUMBER(SEARCH("R137",G121)),0)+IFERROR(--ISNUMBER(SEARCH("R138",G121)),0)+IFERROR(--ISNUMBER(SEARCH("R139",G121)),0)+IFERROR(--ISNUMBER(SEARCH("R140",G121)),0)+IFERROR(--ISNUMBER(SEARCH("R141",G121)),0))</f>
        <v/>
      </c>
      <c r="T121" s="58">
        <f>IF(A121="","",IFERROR(--ISNUMBER(SEARCH("R28",G121)),0)+IFERROR(--ISNUMBER(SEARCH("R29",G121)),0)+IFERROR(--ISNUMBER(SEARCH("R30",G121)),0)+IFERROR(--ISNUMBER(SEARCH("R32",G121)),0)+IFERROR(--ISNUMBER(SEARCH("R33",G121)),0)+IFERROR(--ISNUMBER(SEARCH("R35",G121)),0)+IFERROR(--ISNUMBER(SEARCH("R36",G121)),0)+IFERROR(--ISNUMBER(SEARCH("R38",G121)),0)+IFERROR(--ISNUMBER(SEARCH("R39",G121)),0)+IFERROR(--ISNUMBER(SEARCH("R43",G121)),0)+IFERROR(--ISNUMBER(SEARCH("R44",G121)),0)+IFERROR(--ISNUMBER(SEARCH("R45",G121)),0)+IFERROR(--ISNUMBER(SEARCH("R47",G121)),0)+IFERROR(--ISNUMBER(SEARCH("R48",G121)),0)+IFERROR(--ISNUMBER(SEARCH("R50",G121)),0)+IFERROR(--ISNUMBER(SEARCH("R51",G121)),0)+IFERROR(--ISNUMBER(SEARCH("R56",G121)),0)+IFERROR(--ISNUMBER(SEARCH("R58",G121)),0)+IFERROR(--ISNUMBER(SEARCH("R59",G121)),0)+IFERROR(--ISNUMBER(SEARCH("R60",G121)),0)+IFERROR(--ISNUMBER(SEARCH("R62",G121)),0)+IFERROR(--ISNUMBER(SEARCH("R63",G121)),0)+IFERROR(--ISNUMBER(SEARCH("R64",G121)),0)+IFERROR(--ISNUMBER(SEARCH("R66",G121)),0)+IFERROR(--ISNUMBER(SEARCH("R67",G121)),0)+IFERROR(--ISNUMBER(SEARCH("R72",G121)),0)+IFERROR(--ISNUMBER(SEARCH("R74",G121)),0)+IFERROR(--ISNUMBER(SEARCH("R75",G121)),0)+IFERROR(--ISNUMBER(SEARCH("R76",G121)),0)+IFERROR(--ISNUMBER(SEARCH("R77",G121)),0)+IFERROR(--ISNUMBER(SEARCH("R79",G121)),0)+IFERROR(--ISNUMBER(SEARCH("R80",G121)),0)+IFERROR(--ISNUMBER(SEARCH("R81",G121)),0)+IFERROR(--ISNUMBER(SEARCH("R83",G121)),0)+IFERROR(--ISNUMBER(SEARCH("R84",G121)),0)+IFERROR(--ISNUMBER(SEARCH("R89",G121)),0)+IFERROR(--ISNUMBER(SEARCH("R94",G121)),0)+IFERROR(--ISNUMBER(SEARCH("R95",G121)),0)+IFERROR(--ISNUMBER(SEARCH("R96",G121)),0)+IFERROR(--ISNUMBER(SEARCH("R98",G121)),0)+IFERROR(--ISNUMBER(SEARCH("R99",G121)),0)+IFERROR(--ISNUMBER(SEARCH("R100",G121)),0)+IFERROR(--ISNUMBER(SEARCH("R104",G121)),0)+IFERROR(--ISNUMBER(SEARCH("R105",G121)),0)+IFERROR(--ISNUMBER(SEARCH("R107",G121)),0)+IFERROR(--ISNUMBER(SEARCH("R108",G121)),0)+IFERROR(--ISNUMBER(SEARCH("R109",G121)),0)+IFERROR(--ISNUMBER(SEARCH("R110",G121)),0)+IFERROR(--ISNUMBER(SEARCH("R112",G121)),0)+IFERROR(--ISNUMBER(SEARCH("R113",G121)),0)+IFERROR(--ISNUMBER(SEARCH("R114",G121)),0)+IFERROR(--ISNUMBER(SEARCH("R118",G121)),0)+IFERROR(--ISNUMBER(SEARCH("R119",G121)),0)+IFERROR(--ISNUMBER(SEARCH("R120",G121)),0)+IFERROR(--ISNUMBER(SEARCH("R122",G121)),0)+IFERROR(--ISNUMBER(SEARCH("R123",G121)),0)+IFERROR(--ISNUMBER(SEARCH("R124",G121)),0)+IFERROR(--ISNUMBER(SEARCH("R128",G121)),0)+IFERROR(--ISNUMBER(SEARCH("R130",G121)),0)+IFERROR(--ISNUMBER(SEARCH("R131",G121)),0)+IFERROR(--ISNUMBER(SEARCH("R132",G121)),0)+IFERROR(--ISNUMBER(SEARCH("R135",G121)),0)+IFERROR(--ISNUMBER(SEARCH("R138",G121)),0)+IFERROR(--ISNUMBER(SEARCH("R141",G121)),0))</f>
        <v/>
      </c>
      <c r="U121" s="58">
        <f>IF(A121="","",IFERROR(--ISNUMBER(SEARCH("R28",G121))*28,0)+IFERROR(--ISNUMBER(SEARCH("R29",G121))*29,0)+IFERROR(--ISNUMBER(SEARCH("R30",G121))*30,0)+IFERROR(--ISNUMBER(SEARCH("R31",G121))*31,0)+IFERROR(--ISNUMBER(SEARCH("R32",G121))*32,0)+IFERROR(--ISNUMBER(SEARCH("R33",G121))*33,0)+IFERROR(--ISNUMBER(SEARCH("R34",G121))*34,0)+IFERROR(--ISNUMBER(SEARCH("R35",G121))*35,0)+IFERROR(--ISNUMBER(SEARCH("R36",G121))*36,0)+IFERROR(--ISNUMBER(SEARCH("R37",G121))*37,0)+IFERROR(--ISNUMBER(SEARCH("R38",G121))*38,0)+IFERROR(--ISNUMBER(SEARCH("R39",G121))*39,0)+IFERROR(--ISNUMBER(SEARCH("R40",G121))*40,0)+IFERROR(--ISNUMBER(SEARCH("R41",G121))*41,0)+IFERROR(--ISNUMBER(SEARCH("R42",G121))*42,0)+IFERROR(--ISNUMBER(SEARCH("R43",G121))*43,0)+IFERROR(--ISNUMBER(SEARCH("R44",G121))*44,0)+IFERROR(--ISNUMBER(SEARCH("R45",G121))*45,0)+IFERROR(--ISNUMBER(SEARCH("R46",G121))*46,0)+IFERROR(--ISNUMBER(SEARCH("R47",G121))*47,0)+IFERROR(--ISNUMBER(SEARCH("R48",G121))*48,0)+IFERROR(--ISNUMBER(SEARCH("R49",G121))*49,0)+IFERROR(--ISNUMBER(SEARCH("R50",G121))*50,0)+IFERROR(--ISNUMBER(SEARCH("R51",G121))*51,0)+IFERROR(--ISNUMBER(SEARCH("R52",G121))*52,0)+IFERROR(--ISNUMBER(SEARCH("R53",G121))*53,0)+IFERROR(--ISNUMBER(SEARCH("R54",G121))*54,0)+IFERROR(--ISNUMBER(SEARCH("R55",G121))*55,0)+IFERROR(--ISNUMBER(SEARCH("R56",G121))*56,0)+IFERROR(--ISNUMBER(SEARCH("R57",G121))*57,0)+IFERROR(--ISNUMBER(SEARCH("R58",G121))*58,0)+IFERROR(--ISNUMBER(SEARCH("R59",G121))*59,0)+IFERROR(--ISNUMBER(SEARCH("R60",G121))*60,0)+IFERROR(--ISNUMBER(SEARCH("R61",G121))*61,0)+IFERROR(--ISNUMBER(SEARCH("R62",G121))*62,0)+IFERROR(--ISNUMBER(SEARCH("R63",G121))*63,0)+IFERROR(--ISNUMBER(SEARCH("R64",G121))*64,0)+IFERROR(--ISNUMBER(SEARCH("R65",G121))*65,0)+IFERROR(--ISNUMBER(SEARCH("R66",G121))*66,0)+IFERROR(--ISNUMBER(SEARCH("R67",G121))*67,0)+IFERROR(--ISNUMBER(SEARCH("R68",G121))*68,0)+IFERROR(--ISNUMBER(SEARCH("R69",G121))*69,0)+IFERROR(--ISNUMBER(SEARCH("R70",G121))*70,0)+IFERROR(--ISNUMBER(SEARCH("R71",G121))*71,0)+IFERROR(--ISNUMBER(SEARCH("R72",G121))*72,0)+IFERROR(--ISNUMBER(SEARCH("R73",G121))*73,0)+IFERROR(--ISNUMBER(SEARCH("R74",G121))*74,0)+IFERROR(--ISNUMBER(SEARCH("R75",G121))*75,0)+IFERROR(--ISNUMBER(SEARCH("R76",G121))*76,0)+IFERROR(--ISNUMBER(SEARCH("R77",G121))*77,0)+IFERROR(--ISNUMBER(SEARCH("R78",G121))*78,0)+IFERROR(--ISNUMBER(SEARCH("R79",G121))*79,0)+IFERROR(--ISNUMBER(SEARCH("R80",G121))*80,0)+IFERROR(--ISNUMBER(SEARCH("R81",G121))*81,0)+IFERROR(--ISNUMBER(SEARCH("R82",G121))*82,0)+IFERROR(--ISNUMBER(SEARCH("R83",G121))*83,0)+IFERROR(--ISNUMBER(SEARCH("R84",G121))*84,0)+IFERROR(--ISNUMBER(SEARCH("R85",G121))*85,0)+IFERROR(--ISNUMBER(SEARCH("R86",G121))*86,0)+IFERROR(--ISNUMBER(SEARCH("R87",G121))*87,0)+IFERROR(--ISNUMBER(SEARCH("R88",G121))*88,0)+IFERROR(--ISNUMBER(SEARCH("R89",G121))*89,0)+IFERROR(--ISNUMBER(SEARCH("R90",G121))*90,0)+IFERROR(--ISNUMBER(SEARCH("R91",G121))*91,0)+IFERROR(--ISNUMBER(SEARCH("R92",G121))*92,0)+IFERROR(--ISNUMBER(SEARCH("R93",G121))*93,0)+IFERROR(--ISNUMBER(SEARCH("R94",G121))*94,0)+IFERROR(--ISNUMBER(SEARCH("R95",G121))*95,0)+IFERROR(--ISNUMBER(SEARCH("R96",G121))*96,0)+IFERROR(--ISNUMBER(SEARCH("R97",G121))*97,0)+IFERROR(--ISNUMBER(SEARCH("R98",G121))*98,0)+IFERROR(--ISNUMBER(SEARCH("R99",G121))*99,0)+IFERROR(--ISNUMBER(SEARCH("R100",G121))*100,0)+IFERROR(--ISNUMBER(SEARCH("R101",G121))*101,0)+IFERROR(--ISNUMBER(SEARCH("R102",G121))*102,0)+IFERROR(--ISNUMBER(SEARCH("R103",G121))*103,0)+IFERROR(--ISNUMBER(SEARCH("R104",G121))*104,0)+IFERROR(--ISNUMBER(SEARCH("R105",G121))*105,0)+IFERROR(--ISNUMBER(SEARCH("R106",G121))*106,0)+IFERROR(--ISNUMBER(SEARCH("R107",G121))*107,0)+IFERROR(--ISNUMBER(SEARCH("R108",G121))*108,0)+IFERROR(--ISNUMBER(SEARCH("R109",G121))*109,0)+IFERROR(--ISNUMBER(SEARCH("R110",G121))*110,0)+IFERROR(--ISNUMBER(SEARCH("R111",G121))*111,0)+IFERROR(--ISNUMBER(SEARCH("R112",G121))*112,0)+IFERROR(--ISNUMBER(SEARCH("R113",G121))*113,0)+IFERROR(--ISNUMBER(SEARCH("R114",G121))*114,0)+IFERROR(--ISNUMBER(SEARCH("R115",G121))*115,0)+IFERROR(--ISNUMBER(SEARCH("R116",G121))*116,0)+IFERROR(--ISNUMBER(SEARCH("R117",G121))*117,0)+IFERROR(--ISNUMBER(SEARCH("R118",G121))*118,0)+IFERROR(--ISNUMBER(SEARCH("R119",G121))*119,0)+IFERROR(--ISNUMBER(SEARCH("R120",G121))*120,0)+IFERROR(--ISNUMBER(SEARCH("R121",G121))*121,0)+IFERROR(--ISNUMBER(SEARCH("R122",G121))*122,0)+IFERROR(--ISNUMBER(SEARCH("R123",G121))*123,0)+IFERROR(--ISNUMBER(SEARCH("R124",G121))*124,0)+IFERROR(--ISNUMBER(SEARCH("R125",G121))*125,0)+IFERROR(--ISNUMBER(SEARCH("R126",G121))*126,0)+IFERROR(--ISNUMBER(SEARCH("R127",G121))*127,0)+IFERROR(--ISNUMBER(SEARCH("R128",G121))*128,0)+IFERROR(--ISNUMBER(SEARCH("R129",G121))*129,0)+IFERROR(--ISNUMBER(SEARCH("R130",G121))*130,0)+IFERROR(--ISNUMBER(SEARCH("R131",G121))*131,0)+IFERROR(--ISNUMBER(SEARCH("R132",G121))*132,0)+IFERROR(--ISNUMBER(SEARCH("R133",G121))*133,0)+IFERROR(--ISNUMBER(SEARCH("R134",G121))*134,0)+IFERROR(--ISNUMBER(SEARCH("R135",G121))*135,0)+IFERROR(--ISNUMBER(SEARCH("R136",G121))*136,0)+IFERROR(--ISNUMBER(SEARCH("R137",G121))*137,0)+IFERROR(--ISNUMBER(SEARCH("R138",G121))*138,0)+IFERROR(--ISNUMBER(SEARCH("R139",G121))*139,0)+IFERROR(--ISNUMBER(SEARCH("R140",G121))*140,0)+IFERROR(--ISNUMBER(SEARCH("R141",G121))*141,0))</f>
        <v/>
      </c>
      <c r="V121" s="59">
        <f>IF(A121="","",IF(K121&lt;&gt;"",K121,J121))</f>
        <v/>
      </c>
      <c r="W121" s="59">
        <f>IF(A121="","",IF(AND(V121=29,O121&lt;&gt;"",COUNTIFS($V$6:$V$505,29,$F$6:$F$505,F121,$C$6:$C$505,C121,$O$6:$O$505,"&lt;&gt;")&gt;1),IF(COUNTIFS($V$6:V121,29,$F$6:F121,F121,$C$6:C121,C121,$O$6:O121,"&lt;&gt;")=1,"Esta es la fila que se debe CONSERVAR (aparición 1 de "&amp;COUNTIFS($V$6:$V$505,29,$F$6:$F$505,F121,$C$6:$C$505,C121,$O$6:$O$505,"&lt;&gt;")&amp;" con el mismo tercero y valor, casilla 29). Si hay más filas iguales, bórreles el valor a ELLAS, no a esta.","DUPLICADO — ya existe otra fila con el mismo tercero y valor para casilla 29 (aparición "&amp;COUNTIFS($V$6:V121,29,$F$6:F121,F121,$C$6:C121,C121,$O$6:O121,"&lt;&gt;")&amp;" de "&amp;COUNTIFS($V$6:$V$505,29,$F$6:$F$505,F121,$C$6:$C$505,C121,$O$6:$O$505,"&lt;&gt;")&amp;"). Para resolverlo: seleccione la celda O"&amp;ROW()&amp;" (columna Valor a declarar de ESTA fila) y presione Supr."),""))</f>
        <v/>
      </c>
      <c r="X121" s="463">
        <f>IF(A121="","",F121)</f>
        <v/>
      </c>
      <c r="Y121" s="463">
        <f>IF(A121="","",SUMIF(Entrada_Manual!$I$88:$I$187,A121,Entrada_Manual!$F$88:$F$187))</f>
        <v/>
      </c>
      <c r="Z121" s="463">
        <f>IF(A121="","",X121-Y121)</f>
        <v/>
      </c>
      <c r="AA121">
        <f>IF(A121="","",SUMPRODUCT((Entrada_Manual!$I$88:$I$187=A121)*1))</f>
        <v/>
      </c>
      <c r="AB121">
        <f>IF(A121="","",IF(S121&lt;=1,"",IF(AA121=0,"PENDIENTE — SIN ASIGNAR",IF(Z121=0,"RESUELTO","PARCIAL — DIFERENCIA "&amp;TEXT(Z121,"#,##0")))))</f>
        <v/>
      </c>
    </row>
    <row r="122" ht="14.25" customHeight="1" s="235">
      <c r="A122" s="47">
        <f>IF(Exogena_RAW!E131&lt;&gt;"",ROW()-5,"")</f>
        <v/>
      </c>
      <c r="B122" s="48">
        <f>IF(A122="","",131)</f>
        <v/>
      </c>
      <c r="C122" s="48">
        <f>IF(A122="","",IFERROR(Exogena_RAW!A131,""))</f>
        <v/>
      </c>
      <c r="D122" s="48">
        <f>IF(A122="","",IFERROR(Exogena_RAW!B131,""))</f>
        <v/>
      </c>
      <c r="E122" s="48">
        <f>IF(A122="","",Exogena_RAW!E131)</f>
        <v/>
      </c>
      <c r="F122" s="461">
        <f>IF(A122="","",Exogena_RAW!F131)</f>
        <v/>
      </c>
      <c r="G122" s="48">
        <f>IF(A122="","",IFERROR(Exogena_RAW!G131,""))</f>
        <v/>
      </c>
      <c r="H122" s="48">
        <f>IF(A122="","",IFERROR(Exogena_RAW!H131,""))</f>
        <v/>
      </c>
      <c r="I122" s="48">
        <f>IF(A122="","",IFERROR(IF(S122&gt;1,"VARIAS CASILLAS",IF(S122=1,IF(T122=1,"PROPUESTA DE CASILLA","REVISIÓN: CASILLA NO DIRECTA"),IF(OR(ISNUMBER(SEARCH("TOPE",UPPER(E122))),ISNUMBER(SEARCH("TOPE",UPPER(G122)))),"SOLO CONTROL",IF(ISNUMBER(SEARCH("RETEN",UPPER(E122))),"RETENCIÓN","REVISAR")))),"REVISAR"))</f>
        <v/>
      </c>
      <c r="J122" s="48">
        <f>IF(A122="","",IF(ISNUMBER(SEARCH("ingreso laboral promedio de los últimos seis meses",E122)),"",IFERROR(IF(AND(S122=1,T122=1),U122,""),"")))</f>
        <v/>
      </c>
      <c r="K122" s="216" t="n"/>
      <c r="L122" s="48">
        <f>IF(A122="","",IFERROR(IF(K122&lt;&gt;"","Casilla elegida por usuario",IF(S122&gt;1,"Varias casillas — elegir en K",IF(J122&lt;&gt;"","Sugerencia directa",IF(S122=1,"No trasladar directo — revisar",IF(OR(ISNUMBER(SEARCH("TOPE",UPPER(E122))),ISNUMBER(SEARCH("TOPE",UPPER(G122)))),"Solo control","Revisar manualmente"))))),"Revisar manualmente"))</f>
        <v/>
      </c>
      <c r="M122" s="461">
        <f>IF(A122="","",IF(IF(K122&lt;&gt;"",K122,J122)="",0,IF(COUNTIFS(Reglas!$I$5:$I$118,IF(K122&lt;&gt;"",K122,J122),Reglas!$J$5:$J$118,"Sí")=1,F122,0)))</f>
        <v/>
      </c>
      <c r="N122" s="56" t="n"/>
      <c r="O122" s="462">
        <f>IF(A122="","",IF(M122=0,"",M122))</f>
        <v/>
      </c>
      <c r="P122" s="461">
        <f>IF(A122="","",IF(O122="",0,IF(ISNUMBER(O122),O122,0)))</f>
        <v/>
      </c>
      <c r="Q122" s="48">
        <f>IF(A122="","",IF(Exogena_RAW!$C$4="","BLOQUEADO: FALTA AÑO",IF(Exogena_RAW!$K$10&lt;&gt;Reglas!$B$5,"BLOQUEADO: AÑO",IF(IF(K122&lt;&gt;"",K122,J122)="",IF(S122&gt;1,"REQUIERE ASIGNACIÓN MANUAL (VARIAS CASILLAS)","INFORMATIVO (sin casilla — no se declara)"),IF(COUNTIFS(Reglas!$I$5:$I$118,IF(K122&lt;&gt;"",K122,J122),Reglas!$J$5:$J$118,"Sí")=0,"BLOQUEADO: CASILLA NO DIRECTA",IF(O122="","EXCLUIDO (valor borrado por el usuario)",IF(_xlfn.ISFORMULA(O122),IF(W122&lt;&gt;"","BORRADOR — VALOR SUGERIDO DIAN ⚠ VER ALERTA","BORRADOR — VALOR SUGERIDO DIAN"),IF(W122&lt;&gt;"","ACEPTADO ⚠ VER ALERTA","ACEPTADO"))))))))</f>
        <v/>
      </c>
      <c r="R122" s="218" t="n"/>
      <c r="S122" s="58">
        <f>IF(A122="","",IFERROR(--ISNUMBER(SEARCH("R28",G122)),0)+IFERROR(--ISNUMBER(SEARCH("R29",G122)),0)+IFERROR(--ISNUMBER(SEARCH("R30",G122)),0)+IFERROR(--ISNUMBER(SEARCH("R31",G122)),0)+IFERROR(--ISNUMBER(SEARCH("R32",G122)),0)+IFERROR(--ISNUMBER(SEARCH("R33",G122)),0)+IFERROR(--ISNUMBER(SEARCH("R34",G122)),0)+IFERROR(--ISNUMBER(SEARCH("R35",G122)),0)+IFERROR(--ISNUMBER(SEARCH("R36",G122)),0)+IFERROR(--ISNUMBER(SEARCH("R37",G122)),0)+IFERROR(--ISNUMBER(SEARCH("R38",G122)),0)+IFERROR(--ISNUMBER(SEARCH("R39",G122)),0)+IFERROR(--ISNUMBER(SEARCH("R40",G122)),0)+IFERROR(--ISNUMBER(SEARCH("R41",G122)),0)+IFERROR(--ISNUMBER(SEARCH("R42",G122)),0)+IFERROR(--ISNUMBER(SEARCH("R43",G122)),0)+IFERROR(--ISNUMBER(SEARCH("R44",G122)),0)+IFERROR(--ISNUMBER(SEARCH("R45",G122)),0)+IFERROR(--ISNUMBER(SEARCH("R46",G122)),0)+IFERROR(--ISNUMBER(SEARCH("R47",G122)),0)+IFERROR(--ISNUMBER(SEARCH("R48",G122)),0)+IFERROR(--ISNUMBER(SEARCH("R49",G122)),0)+IFERROR(--ISNUMBER(SEARCH("R50",G122)),0)+IFERROR(--ISNUMBER(SEARCH("R51",G122)),0)+IFERROR(--ISNUMBER(SEARCH("R52",G122)),0)+IFERROR(--ISNUMBER(SEARCH("R53",G122)),0)+IFERROR(--ISNUMBER(SEARCH("R54",G122)),0)+IFERROR(--ISNUMBER(SEARCH("R55",G122)),0)+IFERROR(--ISNUMBER(SEARCH("R56",G122)),0)+IFERROR(--ISNUMBER(SEARCH("R57",G122)),0)+IFERROR(--ISNUMBER(SEARCH("R58",G122)),0)+IFERROR(--ISNUMBER(SEARCH("R59",G122)),0)+IFERROR(--ISNUMBER(SEARCH("R60",G122)),0)+IFERROR(--ISNUMBER(SEARCH("R61",G122)),0)+IFERROR(--ISNUMBER(SEARCH("R62",G122)),0)+IFERROR(--ISNUMBER(SEARCH("R63",G122)),0)+IFERROR(--ISNUMBER(SEARCH("R64",G122)),0)+IFERROR(--ISNUMBER(SEARCH("R65",G122)),0)+IFERROR(--ISNUMBER(SEARCH("R66",G122)),0)+IFERROR(--ISNUMBER(SEARCH("R67",G122)),0)+IFERROR(--ISNUMBER(SEARCH("R68",G122)),0)+IFERROR(--ISNUMBER(SEARCH("R69",G122)),0)+IFERROR(--ISNUMBER(SEARCH("R70",G122)),0)+IFERROR(--ISNUMBER(SEARCH("R71",G122)),0)+IFERROR(--ISNUMBER(SEARCH("R72",G122)),0)+IFERROR(--ISNUMBER(SEARCH("R73",G122)),0)+IFERROR(--ISNUMBER(SEARCH("R74",G122)),0)+IFERROR(--ISNUMBER(SEARCH("R75",G122)),0)+IFERROR(--ISNUMBER(SEARCH("R76",G122)),0)+IFERROR(--ISNUMBER(SEARCH("R77",G122)),0)+IFERROR(--ISNUMBER(SEARCH("R78",G122)),0)+IFERROR(--ISNUMBER(SEARCH("R79",G122)),0)+IFERROR(--ISNUMBER(SEARCH("R80",G122)),0)+IFERROR(--ISNUMBER(SEARCH("R81",G122)),0)+IFERROR(--ISNUMBER(SEARCH("R82",G122)),0)+IFERROR(--ISNUMBER(SEARCH("R83",G122)),0)+IFERROR(--ISNUMBER(SEARCH("R84",G122)),0)+IFERROR(--ISNUMBER(SEARCH("R85",G122)),0)+IFERROR(--ISNUMBER(SEARCH("R86",G122)),0)+IFERROR(--ISNUMBER(SEARCH("R87",G122)),0)+IFERROR(--ISNUMBER(SEARCH("R88",G122)),0)+IFERROR(--ISNUMBER(SEARCH("R89",G122)),0)+IFERROR(--ISNUMBER(SEARCH("R90",G122)),0)+IFERROR(--ISNUMBER(SEARCH("R91",G122)),0)+IFERROR(--ISNUMBER(SEARCH("R92",G122)),0)+IFERROR(--ISNUMBER(SEARCH("R93",G122)),0)+IFERROR(--ISNUMBER(SEARCH("R94",G122)),0)+IFERROR(--ISNUMBER(SEARCH("R95",G122)),0)+IFERROR(--ISNUMBER(SEARCH("R96",G122)),0)+IFERROR(--ISNUMBER(SEARCH("R97",G122)),0)+IFERROR(--ISNUMBER(SEARCH("R98",G122)),0)+IFERROR(--ISNUMBER(SEARCH("R99",G122)),0)+IFERROR(--ISNUMBER(SEARCH("R100",G122)),0)+IFERROR(--ISNUMBER(SEARCH("R101",G122)),0)+IFERROR(--ISNUMBER(SEARCH("R102",G122)),0)+IFERROR(--ISNUMBER(SEARCH("R103",G122)),0)+IFERROR(--ISNUMBER(SEARCH("R104",G122)),0)+IFERROR(--ISNUMBER(SEARCH("R105",G122)),0)+IFERROR(--ISNUMBER(SEARCH("R106",G122)),0)+IFERROR(--ISNUMBER(SEARCH("R107",G122)),0)+IFERROR(--ISNUMBER(SEARCH("R108",G122)),0)+IFERROR(--ISNUMBER(SEARCH("R109",G122)),0)+IFERROR(--ISNUMBER(SEARCH("R110",G122)),0)+IFERROR(--ISNUMBER(SEARCH("R111",G122)),0)+IFERROR(--ISNUMBER(SEARCH("R112",G122)),0)+IFERROR(--ISNUMBER(SEARCH("R113",G122)),0)+IFERROR(--ISNUMBER(SEARCH("R114",G122)),0)+IFERROR(--ISNUMBER(SEARCH("R115",G122)),0)+IFERROR(--ISNUMBER(SEARCH("R116",G122)),0)+IFERROR(--ISNUMBER(SEARCH("R117",G122)),0)+IFERROR(--ISNUMBER(SEARCH("R118",G122)),0)+IFERROR(--ISNUMBER(SEARCH("R119",G122)),0)+IFERROR(--ISNUMBER(SEARCH("R120",G122)),0)+IFERROR(--ISNUMBER(SEARCH("R121",G122)),0)+IFERROR(--ISNUMBER(SEARCH("R122",G122)),0)+IFERROR(--ISNUMBER(SEARCH("R123",G122)),0)+IFERROR(--ISNUMBER(SEARCH("R124",G122)),0)+IFERROR(--ISNUMBER(SEARCH("R125",G122)),0)+IFERROR(--ISNUMBER(SEARCH("R126",G122)),0)+IFERROR(--ISNUMBER(SEARCH("R127",G122)),0)+IFERROR(--ISNUMBER(SEARCH("R128",G122)),0)+IFERROR(--ISNUMBER(SEARCH("R129",G122)),0)+IFERROR(--ISNUMBER(SEARCH("R130",G122)),0)+IFERROR(--ISNUMBER(SEARCH("R131",G122)),0)+IFERROR(--ISNUMBER(SEARCH("R132",G122)),0)+IFERROR(--ISNUMBER(SEARCH("R133",G122)),0)+IFERROR(--ISNUMBER(SEARCH("R134",G122)),0)+IFERROR(--ISNUMBER(SEARCH("R135",G122)),0)+IFERROR(--ISNUMBER(SEARCH("R136",G122)),0)+IFERROR(--ISNUMBER(SEARCH("R137",G122)),0)+IFERROR(--ISNUMBER(SEARCH("R138",G122)),0)+IFERROR(--ISNUMBER(SEARCH("R139",G122)),0)+IFERROR(--ISNUMBER(SEARCH("R140",G122)),0)+IFERROR(--ISNUMBER(SEARCH("R141",G122)),0))</f>
        <v/>
      </c>
      <c r="T122" s="58">
        <f>IF(A122="","",IFERROR(--ISNUMBER(SEARCH("R28",G122)),0)+IFERROR(--ISNUMBER(SEARCH("R29",G122)),0)+IFERROR(--ISNUMBER(SEARCH("R30",G122)),0)+IFERROR(--ISNUMBER(SEARCH("R32",G122)),0)+IFERROR(--ISNUMBER(SEARCH("R33",G122)),0)+IFERROR(--ISNUMBER(SEARCH("R35",G122)),0)+IFERROR(--ISNUMBER(SEARCH("R36",G122)),0)+IFERROR(--ISNUMBER(SEARCH("R38",G122)),0)+IFERROR(--ISNUMBER(SEARCH("R39",G122)),0)+IFERROR(--ISNUMBER(SEARCH("R43",G122)),0)+IFERROR(--ISNUMBER(SEARCH("R44",G122)),0)+IFERROR(--ISNUMBER(SEARCH("R45",G122)),0)+IFERROR(--ISNUMBER(SEARCH("R47",G122)),0)+IFERROR(--ISNUMBER(SEARCH("R48",G122)),0)+IFERROR(--ISNUMBER(SEARCH("R50",G122)),0)+IFERROR(--ISNUMBER(SEARCH("R51",G122)),0)+IFERROR(--ISNUMBER(SEARCH("R56",G122)),0)+IFERROR(--ISNUMBER(SEARCH("R58",G122)),0)+IFERROR(--ISNUMBER(SEARCH("R59",G122)),0)+IFERROR(--ISNUMBER(SEARCH("R60",G122)),0)+IFERROR(--ISNUMBER(SEARCH("R62",G122)),0)+IFERROR(--ISNUMBER(SEARCH("R63",G122)),0)+IFERROR(--ISNUMBER(SEARCH("R64",G122)),0)+IFERROR(--ISNUMBER(SEARCH("R66",G122)),0)+IFERROR(--ISNUMBER(SEARCH("R67",G122)),0)+IFERROR(--ISNUMBER(SEARCH("R72",G122)),0)+IFERROR(--ISNUMBER(SEARCH("R74",G122)),0)+IFERROR(--ISNUMBER(SEARCH("R75",G122)),0)+IFERROR(--ISNUMBER(SEARCH("R76",G122)),0)+IFERROR(--ISNUMBER(SEARCH("R77",G122)),0)+IFERROR(--ISNUMBER(SEARCH("R79",G122)),0)+IFERROR(--ISNUMBER(SEARCH("R80",G122)),0)+IFERROR(--ISNUMBER(SEARCH("R81",G122)),0)+IFERROR(--ISNUMBER(SEARCH("R83",G122)),0)+IFERROR(--ISNUMBER(SEARCH("R84",G122)),0)+IFERROR(--ISNUMBER(SEARCH("R89",G122)),0)+IFERROR(--ISNUMBER(SEARCH("R94",G122)),0)+IFERROR(--ISNUMBER(SEARCH("R95",G122)),0)+IFERROR(--ISNUMBER(SEARCH("R96",G122)),0)+IFERROR(--ISNUMBER(SEARCH("R98",G122)),0)+IFERROR(--ISNUMBER(SEARCH("R99",G122)),0)+IFERROR(--ISNUMBER(SEARCH("R100",G122)),0)+IFERROR(--ISNUMBER(SEARCH("R104",G122)),0)+IFERROR(--ISNUMBER(SEARCH("R105",G122)),0)+IFERROR(--ISNUMBER(SEARCH("R107",G122)),0)+IFERROR(--ISNUMBER(SEARCH("R108",G122)),0)+IFERROR(--ISNUMBER(SEARCH("R109",G122)),0)+IFERROR(--ISNUMBER(SEARCH("R110",G122)),0)+IFERROR(--ISNUMBER(SEARCH("R112",G122)),0)+IFERROR(--ISNUMBER(SEARCH("R113",G122)),0)+IFERROR(--ISNUMBER(SEARCH("R114",G122)),0)+IFERROR(--ISNUMBER(SEARCH("R118",G122)),0)+IFERROR(--ISNUMBER(SEARCH("R119",G122)),0)+IFERROR(--ISNUMBER(SEARCH("R120",G122)),0)+IFERROR(--ISNUMBER(SEARCH("R122",G122)),0)+IFERROR(--ISNUMBER(SEARCH("R123",G122)),0)+IFERROR(--ISNUMBER(SEARCH("R124",G122)),0)+IFERROR(--ISNUMBER(SEARCH("R128",G122)),0)+IFERROR(--ISNUMBER(SEARCH("R130",G122)),0)+IFERROR(--ISNUMBER(SEARCH("R131",G122)),0)+IFERROR(--ISNUMBER(SEARCH("R132",G122)),0)+IFERROR(--ISNUMBER(SEARCH("R135",G122)),0)+IFERROR(--ISNUMBER(SEARCH("R138",G122)),0)+IFERROR(--ISNUMBER(SEARCH("R141",G122)),0))</f>
        <v/>
      </c>
      <c r="U122" s="58">
        <f>IF(A122="","",IFERROR(--ISNUMBER(SEARCH("R28",G122))*28,0)+IFERROR(--ISNUMBER(SEARCH("R29",G122))*29,0)+IFERROR(--ISNUMBER(SEARCH("R30",G122))*30,0)+IFERROR(--ISNUMBER(SEARCH("R31",G122))*31,0)+IFERROR(--ISNUMBER(SEARCH("R32",G122))*32,0)+IFERROR(--ISNUMBER(SEARCH("R33",G122))*33,0)+IFERROR(--ISNUMBER(SEARCH("R34",G122))*34,0)+IFERROR(--ISNUMBER(SEARCH("R35",G122))*35,0)+IFERROR(--ISNUMBER(SEARCH("R36",G122))*36,0)+IFERROR(--ISNUMBER(SEARCH("R37",G122))*37,0)+IFERROR(--ISNUMBER(SEARCH("R38",G122))*38,0)+IFERROR(--ISNUMBER(SEARCH("R39",G122))*39,0)+IFERROR(--ISNUMBER(SEARCH("R40",G122))*40,0)+IFERROR(--ISNUMBER(SEARCH("R41",G122))*41,0)+IFERROR(--ISNUMBER(SEARCH("R42",G122))*42,0)+IFERROR(--ISNUMBER(SEARCH("R43",G122))*43,0)+IFERROR(--ISNUMBER(SEARCH("R44",G122))*44,0)+IFERROR(--ISNUMBER(SEARCH("R45",G122))*45,0)+IFERROR(--ISNUMBER(SEARCH("R46",G122))*46,0)+IFERROR(--ISNUMBER(SEARCH("R47",G122))*47,0)+IFERROR(--ISNUMBER(SEARCH("R48",G122))*48,0)+IFERROR(--ISNUMBER(SEARCH("R49",G122))*49,0)+IFERROR(--ISNUMBER(SEARCH("R50",G122))*50,0)+IFERROR(--ISNUMBER(SEARCH("R51",G122))*51,0)+IFERROR(--ISNUMBER(SEARCH("R52",G122))*52,0)+IFERROR(--ISNUMBER(SEARCH("R53",G122))*53,0)+IFERROR(--ISNUMBER(SEARCH("R54",G122))*54,0)+IFERROR(--ISNUMBER(SEARCH("R55",G122))*55,0)+IFERROR(--ISNUMBER(SEARCH("R56",G122))*56,0)+IFERROR(--ISNUMBER(SEARCH("R57",G122))*57,0)+IFERROR(--ISNUMBER(SEARCH("R58",G122))*58,0)+IFERROR(--ISNUMBER(SEARCH("R59",G122))*59,0)+IFERROR(--ISNUMBER(SEARCH("R60",G122))*60,0)+IFERROR(--ISNUMBER(SEARCH("R61",G122))*61,0)+IFERROR(--ISNUMBER(SEARCH("R62",G122))*62,0)+IFERROR(--ISNUMBER(SEARCH("R63",G122))*63,0)+IFERROR(--ISNUMBER(SEARCH("R64",G122))*64,0)+IFERROR(--ISNUMBER(SEARCH("R65",G122))*65,0)+IFERROR(--ISNUMBER(SEARCH("R66",G122))*66,0)+IFERROR(--ISNUMBER(SEARCH("R67",G122))*67,0)+IFERROR(--ISNUMBER(SEARCH("R68",G122))*68,0)+IFERROR(--ISNUMBER(SEARCH("R69",G122))*69,0)+IFERROR(--ISNUMBER(SEARCH("R70",G122))*70,0)+IFERROR(--ISNUMBER(SEARCH("R71",G122))*71,0)+IFERROR(--ISNUMBER(SEARCH("R72",G122))*72,0)+IFERROR(--ISNUMBER(SEARCH("R73",G122))*73,0)+IFERROR(--ISNUMBER(SEARCH("R74",G122))*74,0)+IFERROR(--ISNUMBER(SEARCH("R75",G122))*75,0)+IFERROR(--ISNUMBER(SEARCH("R76",G122))*76,0)+IFERROR(--ISNUMBER(SEARCH("R77",G122))*77,0)+IFERROR(--ISNUMBER(SEARCH("R78",G122))*78,0)+IFERROR(--ISNUMBER(SEARCH("R79",G122))*79,0)+IFERROR(--ISNUMBER(SEARCH("R80",G122))*80,0)+IFERROR(--ISNUMBER(SEARCH("R81",G122))*81,0)+IFERROR(--ISNUMBER(SEARCH("R82",G122))*82,0)+IFERROR(--ISNUMBER(SEARCH("R83",G122))*83,0)+IFERROR(--ISNUMBER(SEARCH("R84",G122))*84,0)+IFERROR(--ISNUMBER(SEARCH("R85",G122))*85,0)+IFERROR(--ISNUMBER(SEARCH("R86",G122))*86,0)+IFERROR(--ISNUMBER(SEARCH("R87",G122))*87,0)+IFERROR(--ISNUMBER(SEARCH("R88",G122))*88,0)+IFERROR(--ISNUMBER(SEARCH("R89",G122))*89,0)+IFERROR(--ISNUMBER(SEARCH("R90",G122))*90,0)+IFERROR(--ISNUMBER(SEARCH("R91",G122))*91,0)+IFERROR(--ISNUMBER(SEARCH("R92",G122))*92,0)+IFERROR(--ISNUMBER(SEARCH("R93",G122))*93,0)+IFERROR(--ISNUMBER(SEARCH("R94",G122))*94,0)+IFERROR(--ISNUMBER(SEARCH("R95",G122))*95,0)+IFERROR(--ISNUMBER(SEARCH("R96",G122))*96,0)+IFERROR(--ISNUMBER(SEARCH("R97",G122))*97,0)+IFERROR(--ISNUMBER(SEARCH("R98",G122))*98,0)+IFERROR(--ISNUMBER(SEARCH("R99",G122))*99,0)+IFERROR(--ISNUMBER(SEARCH("R100",G122))*100,0)+IFERROR(--ISNUMBER(SEARCH("R101",G122))*101,0)+IFERROR(--ISNUMBER(SEARCH("R102",G122))*102,0)+IFERROR(--ISNUMBER(SEARCH("R103",G122))*103,0)+IFERROR(--ISNUMBER(SEARCH("R104",G122))*104,0)+IFERROR(--ISNUMBER(SEARCH("R105",G122))*105,0)+IFERROR(--ISNUMBER(SEARCH("R106",G122))*106,0)+IFERROR(--ISNUMBER(SEARCH("R107",G122))*107,0)+IFERROR(--ISNUMBER(SEARCH("R108",G122))*108,0)+IFERROR(--ISNUMBER(SEARCH("R109",G122))*109,0)+IFERROR(--ISNUMBER(SEARCH("R110",G122))*110,0)+IFERROR(--ISNUMBER(SEARCH("R111",G122))*111,0)+IFERROR(--ISNUMBER(SEARCH("R112",G122))*112,0)+IFERROR(--ISNUMBER(SEARCH("R113",G122))*113,0)+IFERROR(--ISNUMBER(SEARCH("R114",G122))*114,0)+IFERROR(--ISNUMBER(SEARCH("R115",G122))*115,0)+IFERROR(--ISNUMBER(SEARCH("R116",G122))*116,0)+IFERROR(--ISNUMBER(SEARCH("R117",G122))*117,0)+IFERROR(--ISNUMBER(SEARCH("R118",G122))*118,0)+IFERROR(--ISNUMBER(SEARCH("R119",G122))*119,0)+IFERROR(--ISNUMBER(SEARCH("R120",G122))*120,0)+IFERROR(--ISNUMBER(SEARCH("R121",G122))*121,0)+IFERROR(--ISNUMBER(SEARCH("R122",G122))*122,0)+IFERROR(--ISNUMBER(SEARCH("R123",G122))*123,0)+IFERROR(--ISNUMBER(SEARCH("R124",G122))*124,0)+IFERROR(--ISNUMBER(SEARCH("R125",G122))*125,0)+IFERROR(--ISNUMBER(SEARCH("R126",G122))*126,0)+IFERROR(--ISNUMBER(SEARCH("R127",G122))*127,0)+IFERROR(--ISNUMBER(SEARCH("R128",G122))*128,0)+IFERROR(--ISNUMBER(SEARCH("R129",G122))*129,0)+IFERROR(--ISNUMBER(SEARCH("R130",G122))*130,0)+IFERROR(--ISNUMBER(SEARCH("R131",G122))*131,0)+IFERROR(--ISNUMBER(SEARCH("R132",G122))*132,0)+IFERROR(--ISNUMBER(SEARCH("R133",G122))*133,0)+IFERROR(--ISNUMBER(SEARCH("R134",G122))*134,0)+IFERROR(--ISNUMBER(SEARCH("R135",G122))*135,0)+IFERROR(--ISNUMBER(SEARCH("R136",G122))*136,0)+IFERROR(--ISNUMBER(SEARCH("R137",G122))*137,0)+IFERROR(--ISNUMBER(SEARCH("R138",G122))*138,0)+IFERROR(--ISNUMBER(SEARCH("R139",G122))*139,0)+IFERROR(--ISNUMBER(SEARCH("R140",G122))*140,0)+IFERROR(--ISNUMBER(SEARCH("R141",G122))*141,0))</f>
        <v/>
      </c>
      <c r="V122" s="59">
        <f>IF(A122="","",IF(K122&lt;&gt;"",K122,J122))</f>
        <v/>
      </c>
      <c r="W122" s="59">
        <f>IF(A122="","",IF(AND(V122=29,O122&lt;&gt;"",COUNTIFS($V$6:$V$505,29,$F$6:$F$505,F122,$C$6:$C$505,C122,$O$6:$O$505,"&lt;&gt;")&gt;1),IF(COUNTIFS($V$6:V122,29,$F$6:F122,F122,$C$6:C122,C122,$O$6:O122,"&lt;&gt;")=1,"Esta es la fila que se debe CONSERVAR (aparición 1 de "&amp;COUNTIFS($V$6:$V$505,29,$F$6:$F$505,F122,$C$6:$C$505,C122,$O$6:$O$505,"&lt;&gt;")&amp;" con el mismo tercero y valor, casilla 29). Si hay más filas iguales, bórreles el valor a ELLAS, no a esta.","DUPLICADO — ya existe otra fila con el mismo tercero y valor para casilla 29 (aparición "&amp;COUNTIFS($V$6:V122,29,$F$6:F122,F122,$C$6:C122,C122,$O$6:O122,"&lt;&gt;")&amp;" de "&amp;COUNTIFS($V$6:$V$505,29,$F$6:$F$505,F122,$C$6:$C$505,C122,$O$6:$O$505,"&lt;&gt;")&amp;"). Para resolverlo: seleccione la celda O"&amp;ROW()&amp;" (columna Valor a declarar de ESTA fila) y presione Supr."),""))</f>
        <v/>
      </c>
      <c r="X122" s="463">
        <f>IF(A122="","",F122)</f>
        <v/>
      </c>
      <c r="Y122" s="463">
        <f>IF(A122="","",SUMIF(Entrada_Manual!$I$88:$I$187,A122,Entrada_Manual!$F$88:$F$187))</f>
        <v/>
      </c>
      <c r="Z122" s="463">
        <f>IF(A122="","",X122-Y122)</f>
        <v/>
      </c>
      <c r="AA122">
        <f>IF(A122="","",SUMPRODUCT((Entrada_Manual!$I$88:$I$187=A122)*1))</f>
        <v/>
      </c>
      <c r="AB122">
        <f>IF(A122="","",IF(S122&lt;=1,"",IF(AA122=0,"PENDIENTE — SIN ASIGNAR",IF(Z122=0,"RESUELTO","PARCIAL — DIFERENCIA "&amp;TEXT(Z122,"#,##0")))))</f>
        <v/>
      </c>
    </row>
    <row r="123" ht="14.25" customHeight="1" s="235">
      <c r="A123" s="47">
        <f>IF(Exogena_RAW!E132&lt;&gt;"",ROW()-5,"")</f>
        <v/>
      </c>
      <c r="B123" s="48">
        <f>IF(A123="","",132)</f>
        <v/>
      </c>
      <c r="C123" s="48">
        <f>IF(A123="","",IFERROR(Exogena_RAW!A132,""))</f>
        <v/>
      </c>
      <c r="D123" s="48">
        <f>IF(A123="","",IFERROR(Exogena_RAW!B132,""))</f>
        <v/>
      </c>
      <c r="E123" s="48">
        <f>IF(A123="","",Exogena_RAW!E132)</f>
        <v/>
      </c>
      <c r="F123" s="461">
        <f>IF(A123="","",Exogena_RAW!F132)</f>
        <v/>
      </c>
      <c r="G123" s="48">
        <f>IF(A123="","",IFERROR(Exogena_RAW!G132,""))</f>
        <v/>
      </c>
      <c r="H123" s="48">
        <f>IF(A123="","",IFERROR(Exogena_RAW!H132,""))</f>
        <v/>
      </c>
      <c r="I123" s="48">
        <f>IF(A123="","",IFERROR(IF(S123&gt;1,"VARIAS CASILLAS",IF(S123=1,IF(T123=1,"PROPUESTA DE CASILLA","REVISIÓN: CASILLA NO DIRECTA"),IF(OR(ISNUMBER(SEARCH("TOPE",UPPER(E123))),ISNUMBER(SEARCH("TOPE",UPPER(G123)))),"SOLO CONTROL",IF(ISNUMBER(SEARCH("RETEN",UPPER(E123))),"RETENCIÓN","REVISAR")))),"REVISAR"))</f>
        <v/>
      </c>
      <c r="J123" s="48">
        <f>IF(A123="","",IF(ISNUMBER(SEARCH("ingreso laboral promedio de los últimos seis meses",E123)),"",IFERROR(IF(AND(S123=1,T123=1),U123,""),"")))</f>
        <v/>
      </c>
      <c r="K123" s="216" t="n"/>
      <c r="L123" s="48">
        <f>IF(A123="","",IFERROR(IF(K123&lt;&gt;"","Casilla elegida por usuario",IF(S123&gt;1,"Varias casillas — elegir en K",IF(J123&lt;&gt;"","Sugerencia directa",IF(S123=1,"No trasladar directo — revisar",IF(OR(ISNUMBER(SEARCH("TOPE",UPPER(E123))),ISNUMBER(SEARCH("TOPE",UPPER(G123)))),"Solo control","Revisar manualmente"))))),"Revisar manualmente"))</f>
        <v/>
      </c>
      <c r="M123" s="461">
        <f>IF(A123="","",IF(IF(K123&lt;&gt;"",K123,J123)="",0,IF(COUNTIFS(Reglas!$I$5:$I$118,IF(K123&lt;&gt;"",K123,J123),Reglas!$J$5:$J$118,"Sí")=1,F123,0)))</f>
        <v/>
      </c>
      <c r="N123" s="56" t="n"/>
      <c r="O123" s="462">
        <f>IF(A123="","",IF(M123=0,"",M123))</f>
        <v/>
      </c>
      <c r="P123" s="461">
        <f>IF(A123="","",IF(O123="",0,IF(ISNUMBER(O123),O123,0)))</f>
        <v/>
      </c>
      <c r="Q123" s="48">
        <f>IF(A123="","",IF(Exogena_RAW!$C$4="","BLOQUEADO: FALTA AÑO",IF(Exogena_RAW!$K$10&lt;&gt;Reglas!$B$5,"BLOQUEADO: AÑO",IF(IF(K123&lt;&gt;"",K123,J123)="",IF(S123&gt;1,"REQUIERE ASIGNACIÓN MANUAL (VARIAS CASILLAS)","INFORMATIVO (sin casilla — no se declara)"),IF(COUNTIFS(Reglas!$I$5:$I$118,IF(K123&lt;&gt;"",K123,J123),Reglas!$J$5:$J$118,"Sí")=0,"BLOQUEADO: CASILLA NO DIRECTA",IF(O123="","EXCLUIDO (valor borrado por el usuario)",IF(_xlfn.ISFORMULA(O123),IF(W123&lt;&gt;"","BORRADOR — VALOR SUGERIDO DIAN ⚠ VER ALERTA","BORRADOR — VALOR SUGERIDO DIAN"),IF(W123&lt;&gt;"","ACEPTADO ⚠ VER ALERTA","ACEPTADO"))))))))</f>
        <v/>
      </c>
      <c r="R123" s="218" t="n"/>
      <c r="S123" s="58">
        <f>IF(A123="","",IFERROR(--ISNUMBER(SEARCH("R28",G123)),0)+IFERROR(--ISNUMBER(SEARCH("R29",G123)),0)+IFERROR(--ISNUMBER(SEARCH("R30",G123)),0)+IFERROR(--ISNUMBER(SEARCH("R31",G123)),0)+IFERROR(--ISNUMBER(SEARCH("R32",G123)),0)+IFERROR(--ISNUMBER(SEARCH("R33",G123)),0)+IFERROR(--ISNUMBER(SEARCH("R34",G123)),0)+IFERROR(--ISNUMBER(SEARCH("R35",G123)),0)+IFERROR(--ISNUMBER(SEARCH("R36",G123)),0)+IFERROR(--ISNUMBER(SEARCH("R37",G123)),0)+IFERROR(--ISNUMBER(SEARCH("R38",G123)),0)+IFERROR(--ISNUMBER(SEARCH("R39",G123)),0)+IFERROR(--ISNUMBER(SEARCH("R40",G123)),0)+IFERROR(--ISNUMBER(SEARCH("R41",G123)),0)+IFERROR(--ISNUMBER(SEARCH("R42",G123)),0)+IFERROR(--ISNUMBER(SEARCH("R43",G123)),0)+IFERROR(--ISNUMBER(SEARCH("R44",G123)),0)+IFERROR(--ISNUMBER(SEARCH("R45",G123)),0)+IFERROR(--ISNUMBER(SEARCH("R46",G123)),0)+IFERROR(--ISNUMBER(SEARCH("R47",G123)),0)+IFERROR(--ISNUMBER(SEARCH("R48",G123)),0)+IFERROR(--ISNUMBER(SEARCH("R49",G123)),0)+IFERROR(--ISNUMBER(SEARCH("R50",G123)),0)+IFERROR(--ISNUMBER(SEARCH("R51",G123)),0)+IFERROR(--ISNUMBER(SEARCH("R52",G123)),0)+IFERROR(--ISNUMBER(SEARCH("R53",G123)),0)+IFERROR(--ISNUMBER(SEARCH("R54",G123)),0)+IFERROR(--ISNUMBER(SEARCH("R55",G123)),0)+IFERROR(--ISNUMBER(SEARCH("R56",G123)),0)+IFERROR(--ISNUMBER(SEARCH("R57",G123)),0)+IFERROR(--ISNUMBER(SEARCH("R58",G123)),0)+IFERROR(--ISNUMBER(SEARCH("R59",G123)),0)+IFERROR(--ISNUMBER(SEARCH("R60",G123)),0)+IFERROR(--ISNUMBER(SEARCH("R61",G123)),0)+IFERROR(--ISNUMBER(SEARCH("R62",G123)),0)+IFERROR(--ISNUMBER(SEARCH("R63",G123)),0)+IFERROR(--ISNUMBER(SEARCH("R64",G123)),0)+IFERROR(--ISNUMBER(SEARCH("R65",G123)),0)+IFERROR(--ISNUMBER(SEARCH("R66",G123)),0)+IFERROR(--ISNUMBER(SEARCH("R67",G123)),0)+IFERROR(--ISNUMBER(SEARCH("R68",G123)),0)+IFERROR(--ISNUMBER(SEARCH("R69",G123)),0)+IFERROR(--ISNUMBER(SEARCH("R70",G123)),0)+IFERROR(--ISNUMBER(SEARCH("R71",G123)),0)+IFERROR(--ISNUMBER(SEARCH("R72",G123)),0)+IFERROR(--ISNUMBER(SEARCH("R73",G123)),0)+IFERROR(--ISNUMBER(SEARCH("R74",G123)),0)+IFERROR(--ISNUMBER(SEARCH("R75",G123)),0)+IFERROR(--ISNUMBER(SEARCH("R76",G123)),0)+IFERROR(--ISNUMBER(SEARCH("R77",G123)),0)+IFERROR(--ISNUMBER(SEARCH("R78",G123)),0)+IFERROR(--ISNUMBER(SEARCH("R79",G123)),0)+IFERROR(--ISNUMBER(SEARCH("R80",G123)),0)+IFERROR(--ISNUMBER(SEARCH("R81",G123)),0)+IFERROR(--ISNUMBER(SEARCH("R82",G123)),0)+IFERROR(--ISNUMBER(SEARCH("R83",G123)),0)+IFERROR(--ISNUMBER(SEARCH("R84",G123)),0)+IFERROR(--ISNUMBER(SEARCH("R85",G123)),0)+IFERROR(--ISNUMBER(SEARCH("R86",G123)),0)+IFERROR(--ISNUMBER(SEARCH("R87",G123)),0)+IFERROR(--ISNUMBER(SEARCH("R88",G123)),0)+IFERROR(--ISNUMBER(SEARCH("R89",G123)),0)+IFERROR(--ISNUMBER(SEARCH("R90",G123)),0)+IFERROR(--ISNUMBER(SEARCH("R91",G123)),0)+IFERROR(--ISNUMBER(SEARCH("R92",G123)),0)+IFERROR(--ISNUMBER(SEARCH("R93",G123)),0)+IFERROR(--ISNUMBER(SEARCH("R94",G123)),0)+IFERROR(--ISNUMBER(SEARCH("R95",G123)),0)+IFERROR(--ISNUMBER(SEARCH("R96",G123)),0)+IFERROR(--ISNUMBER(SEARCH("R97",G123)),0)+IFERROR(--ISNUMBER(SEARCH("R98",G123)),0)+IFERROR(--ISNUMBER(SEARCH("R99",G123)),0)+IFERROR(--ISNUMBER(SEARCH("R100",G123)),0)+IFERROR(--ISNUMBER(SEARCH("R101",G123)),0)+IFERROR(--ISNUMBER(SEARCH("R102",G123)),0)+IFERROR(--ISNUMBER(SEARCH("R103",G123)),0)+IFERROR(--ISNUMBER(SEARCH("R104",G123)),0)+IFERROR(--ISNUMBER(SEARCH("R105",G123)),0)+IFERROR(--ISNUMBER(SEARCH("R106",G123)),0)+IFERROR(--ISNUMBER(SEARCH("R107",G123)),0)+IFERROR(--ISNUMBER(SEARCH("R108",G123)),0)+IFERROR(--ISNUMBER(SEARCH("R109",G123)),0)+IFERROR(--ISNUMBER(SEARCH("R110",G123)),0)+IFERROR(--ISNUMBER(SEARCH("R111",G123)),0)+IFERROR(--ISNUMBER(SEARCH("R112",G123)),0)+IFERROR(--ISNUMBER(SEARCH("R113",G123)),0)+IFERROR(--ISNUMBER(SEARCH("R114",G123)),0)+IFERROR(--ISNUMBER(SEARCH("R115",G123)),0)+IFERROR(--ISNUMBER(SEARCH("R116",G123)),0)+IFERROR(--ISNUMBER(SEARCH("R117",G123)),0)+IFERROR(--ISNUMBER(SEARCH("R118",G123)),0)+IFERROR(--ISNUMBER(SEARCH("R119",G123)),0)+IFERROR(--ISNUMBER(SEARCH("R120",G123)),0)+IFERROR(--ISNUMBER(SEARCH("R121",G123)),0)+IFERROR(--ISNUMBER(SEARCH("R122",G123)),0)+IFERROR(--ISNUMBER(SEARCH("R123",G123)),0)+IFERROR(--ISNUMBER(SEARCH("R124",G123)),0)+IFERROR(--ISNUMBER(SEARCH("R125",G123)),0)+IFERROR(--ISNUMBER(SEARCH("R126",G123)),0)+IFERROR(--ISNUMBER(SEARCH("R127",G123)),0)+IFERROR(--ISNUMBER(SEARCH("R128",G123)),0)+IFERROR(--ISNUMBER(SEARCH("R129",G123)),0)+IFERROR(--ISNUMBER(SEARCH("R130",G123)),0)+IFERROR(--ISNUMBER(SEARCH("R131",G123)),0)+IFERROR(--ISNUMBER(SEARCH("R132",G123)),0)+IFERROR(--ISNUMBER(SEARCH("R133",G123)),0)+IFERROR(--ISNUMBER(SEARCH("R134",G123)),0)+IFERROR(--ISNUMBER(SEARCH("R135",G123)),0)+IFERROR(--ISNUMBER(SEARCH("R136",G123)),0)+IFERROR(--ISNUMBER(SEARCH("R137",G123)),0)+IFERROR(--ISNUMBER(SEARCH("R138",G123)),0)+IFERROR(--ISNUMBER(SEARCH("R139",G123)),0)+IFERROR(--ISNUMBER(SEARCH("R140",G123)),0)+IFERROR(--ISNUMBER(SEARCH("R141",G123)),0))</f>
        <v/>
      </c>
      <c r="T123" s="58">
        <f>IF(A123="","",IFERROR(--ISNUMBER(SEARCH("R28",G123)),0)+IFERROR(--ISNUMBER(SEARCH("R29",G123)),0)+IFERROR(--ISNUMBER(SEARCH("R30",G123)),0)+IFERROR(--ISNUMBER(SEARCH("R32",G123)),0)+IFERROR(--ISNUMBER(SEARCH("R33",G123)),0)+IFERROR(--ISNUMBER(SEARCH("R35",G123)),0)+IFERROR(--ISNUMBER(SEARCH("R36",G123)),0)+IFERROR(--ISNUMBER(SEARCH("R38",G123)),0)+IFERROR(--ISNUMBER(SEARCH("R39",G123)),0)+IFERROR(--ISNUMBER(SEARCH("R43",G123)),0)+IFERROR(--ISNUMBER(SEARCH("R44",G123)),0)+IFERROR(--ISNUMBER(SEARCH("R45",G123)),0)+IFERROR(--ISNUMBER(SEARCH("R47",G123)),0)+IFERROR(--ISNUMBER(SEARCH("R48",G123)),0)+IFERROR(--ISNUMBER(SEARCH("R50",G123)),0)+IFERROR(--ISNUMBER(SEARCH("R51",G123)),0)+IFERROR(--ISNUMBER(SEARCH("R56",G123)),0)+IFERROR(--ISNUMBER(SEARCH("R58",G123)),0)+IFERROR(--ISNUMBER(SEARCH("R59",G123)),0)+IFERROR(--ISNUMBER(SEARCH("R60",G123)),0)+IFERROR(--ISNUMBER(SEARCH("R62",G123)),0)+IFERROR(--ISNUMBER(SEARCH("R63",G123)),0)+IFERROR(--ISNUMBER(SEARCH("R64",G123)),0)+IFERROR(--ISNUMBER(SEARCH("R66",G123)),0)+IFERROR(--ISNUMBER(SEARCH("R67",G123)),0)+IFERROR(--ISNUMBER(SEARCH("R72",G123)),0)+IFERROR(--ISNUMBER(SEARCH("R74",G123)),0)+IFERROR(--ISNUMBER(SEARCH("R75",G123)),0)+IFERROR(--ISNUMBER(SEARCH("R76",G123)),0)+IFERROR(--ISNUMBER(SEARCH("R77",G123)),0)+IFERROR(--ISNUMBER(SEARCH("R79",G123)),0)+IFERROR(--ISNUMBER(SEARCH("R80",G123)),0)+IFERROR(--ISNUMBER(SEARCH("R81",G123)),0)+IFERROR(--ISNUMBER(SEARCH("R83",G123)),0)+IFERROR(--ISNUMBER(SEARCH("R84",G123)),0)+IFERROR(--ISNUMBER(SEARCH("R89",G123)),0)+IFERROR(--ISNUMBER(SEARCH("R94",G123)),0)+IFERROR(--ISNUMBER(SEARCH("R95",G123)),0)+IFERROR(--ISNUMBER(SEARCH("R96",G123)),0)+IFERROR(--ISNUMBER(SEARCH("R98",G123)),0)+IFERROR(--ISNUMBER(SEARCH("R99",G123)),0)+IFERROR(--ISNUMBER(SEARCH("R100",G123)),0)+IFERROR(--ISNUMBER(SEARCH("R104",G123)),0)+IFERROR(--ISNUMBER(SEARCH("R105",G123)),0)+IFERROR(--ISNUMBER(SEARCH("R107",G123)),0)+IFERROR(--ISNUMBER(SEARCH("R108",G123)),0)+IFERROR(--ISNUMBER(SEARCH("R109",G123)),0)+IFERROR(--ISNUMBER(SEARCH("R110",G123)),0)+IFERROR(--ISNUMBER(SEARCH("R112",G123)),0)+IFERROR(--ISNUMBER(SEARCH("R113",G123)),0)+IFERROR(--ISNUMBER(SEARCH("R114",G123)),0)+IFERROR(--ISNUMBER(SEARCH("R118",G123)),0)+IFERROR(--ISNUMBER(SEARCH("R119",G123)),0)+IFERROR(--ISNUMBER(SEARCH("R120",G123)),0)+IFERROR(--ISNUMBER(SEARCH("R122",G123)),0)+IFERROR(--ISNUMBER(SEARCH("R123",G123)),0)+IFERROR(--ISNUMBER(SEARCH("R124",G123)),0)+IFERROR(--ISNUMBER(SEARCH("R128",G123)),0)+IFERROR(--ISNUMBER(SEARCH("R130",G123)),0)+IFERROR(--ISNUMBER(SEARCH("R131",G123)),0)+IFERROR(--ISNUMBER(SEARCH("R132",G123)),0)+IFERROR(--ISNUMBER(SEARCH("R135",G123)),0)+IFERROR(--ISNUMBER(SEARCH("R138",G123)),0)+IFERROR(--ISNUMBER(SEARCH("R141",G123)),0))</f>
        <v/>
      </c>
      <c r="U123" s="58">
        <f>IF(A123="","",IFERROR(--ISNUMBER(SEARCH("R28",G123))*28,0)+IFERROR(--ISNUMBER(SEARCH("R29",G123))*29,0)+IFERROR(--ISNUMBER(SEARCH("R30",G123))*30,0)+IFERROR(--ISNUMBER(SEARCH("R31",G123))*31,0)+IFERROR(--ISNUMBER(SEARCH("R32",G123))*32,0)+IFERROR(--ISNUMBER(SEARCH("R33",G123))*33,0)+IFERROR(--ISNUMBER(SEARCH("R34",G123))*34,0)+IFERROR(--ISNUMBER(SEARCH("R35",G123))*35,0)+IFERROR(--ISNUMBER(SEARCH("R36",G123))*36,0)+IFERROR(--ISNUMBER(SEARCH("R37",G123))*37,0)+IFERROR(--ISNUMBER(SEARCH("R38",G123))*38,0)+IFERROR(--ISNUMBER(SEARCH("R39",G123))*39,0)+IFERROR(--ISNUMBER(SEARCH("R40",G123))*40,0)+IFERROR(--ISNUMBER(SEARCH("R41",G123))*41,0)+IFERROR(--ISNUMBER(SEARCH("R42",G123))*42,0)+IFERROR(--ISNUMBER(SEARCH("R43",G123))*43,0)+IFERROR(--ISNUMBER(SEARCH("R44",G123))*44,0)+IFERROR(--ISNUMBER(SEARCH("R45",G123))*45,0)+IFERROR(--ISNUMBER(SEARCH("R46",G123))*46,0)+IFERROR(--ISNUMBER(SEARCH("R47",G123))*47,0)+IFERROR(--ISNUMBER(SEARCH("R48",G123))*48,0)+IFERROR(--ISNUMBER(SEARCH("R49",G123))*49,0)+IFERROR(--ISNUMBER(SEARCH("R50",G123))*50,0)+IFERROR(--ISNUMBER(SEARCH("R51",G123))*51,0)+IFERROR(--ISNUMBER(SEARCH("R52",G123))*52,0)+IFERROR(--ISNUMBER(SEARCH("R53",G123))*53,0)+IFERROR(--ISNUMBER(SEARCH("R54",G123))*54,0)+IFERROR(--ISNUMBER(SEARCH("R55",G123))*55,0)+IFERROR(--ISNUMBER(SEARCH("R56",G123))*56,0)+IFERROR(--ISNUMBER(SEARCH("R57",G123))*57,0)+IFERROR(--ISNUMBER(SEARCH("R58",G123))*58,0)+IFERROR(--ISNUMBER(SEARCH("R59",G123))*59,0)+IFERROR(--ISNUMBER(SEARCH("R60",G123))*60,0)+IFERROR(--ISNUMBER(SEARCH("R61",G123))*61,0)+IFERROR(--ISNUMBER(SEARCH("R62",G123))*62,0)+IFERROR(--ISNUMBER(SEARCH("R63",G123))*63,0)+IFERROR(--ISNUMBER(SEARCH("R64",G123))*64,0)+IFERROR(--ISNUMBER(SEARCH("R65",G123))*65,0)+IFERROR(--ISNUMBER(SEARCH("R66",G123))*66,0)+IFERROR(--ISNUMBER(SEARCH("R67",G123))*67,0)+IFERROR(--ISNUMBER(SEARCH("R68",G123))*68,0)+IFERROR(--ISNUMBER(SEARCH("R69",G123))*69,0)+IFERROR(--ISNUMBER(SEARCH("R70",G123))*70,0)+IFERROR(--ISNUMBER(SEARCH("R71",G123))*71,0)+IFERROR(--ISNUMBER(SEARCH("R72",G123))*72,0)+IFERROR(--ISNUMBER(SEARCH("R73",G123))*73,0)+IFERROR(--ISNUMBER(SEARCH("R74",G123))*74,0)+IFERROR(--ISNUMBER(SEARCH("R75",G123))*75,0)+IFERROR(--ISNUMBER(SEARCH("R76",G123))*76,0)+IFERROR(--ISNUMBER(SEARCH("R77",G123))*77,0)+IFERROR(--ISNUMBER(SEARCH("R78",G123))*78,0)+IFERROR(--ISNUMBER(SEARCH("R79",G123))*79,0)+IFERROR(--ISNUMBER(SEARCH("R80",G123))*80,0)+IFERROR(--ISNUMBER(SEARCH("R81",G123))*81,0)+IFERROR(--ISNUMBER(SEARCH("R82",G123))*82,0)+IFERROR(--ISNUMBER(SEARCH("R83",G123))*83,0)+IFERROR(--ISNUMBER(SEARCH("R84",G123))*84,0)+IFERROR(--ISNUMBER(SEARCH("R85",G123))*85,0)+IFERROR(--ISNUMBER(SEARCH("R86",G123))*86,0)+IFERROR(--ISNUMBER(SEARCH("R87",G123))*87,0)+IFERROR(--ISNUMBER(SEARCH("R88",G123))*88,0)+IFERROR(--ISNUMBER(SEARCH("R89",G123))*89,0)+IFERROR(--ISNUMBER(SEARCH("R90",G123))*90,0)+IFERROR(--ISNUMBER(SEARCH("R91",G123))*91,0)+IFERROR(--ISNUMBER(SEARCH("R92",G123))*92,0)+IFERROR(--ISNUMBER(SEARCH("R93",G123))*93,0)+IFERROR(--ISNUMBER(SEARCH("R94",G123))*94,0)+IFERROR(--ISNUMBER(SEARCH("R95",G123))*95,0)+IFERROR(--ISNUMBER(SEARCH("R96",G123))*96,0)+IFERROR(--ISNUMBER(SEARCH("R97",G123))*97,0)+IFERROR(--ISNUMBER(SEARCH("R98",G123))*98,0)+IFERROR(--ISNUMBER(SEARCH("R99",G123))*99,0)+IFERROR(--ISNUMBER(SEARCH("R100",G123))*100,0)+IFERROR(--ISNUMBER(SEARCH("R101",G123))*101,0)+IFERROR(--ISNUMBER(SEARCH("R102",G123))*102,0)+IFERROR(--ISNUMBER(SEARCH("R103",G123))*103,0)+IFERROR(--ISNUMBER(SEARCH("R104",G123))*104,0)+IFERROR(--ISNUMBER(SEARCH("R105",G123))*105,0)+IFERROR(--ISNUMBER(SEARCH("R106",G123))*106,0)+IFERROR(--ISNUMBER(SEARCH("R107",G123))*107,0)+IFERROR(--ISNUMBER(SEARCH("R108",G123))*108,0)+IFERROR(--ISNUMBER(SEARCH("R109",G123))*109,0)+IFERROR(--ISNUMBER(SEARCH("R110",G123))*110,0)+IFERROR(--ISNUMBER(SEARCH("R111",G123))*111,0)+IFERROR(--ISNUMBER(SEARCH("R112",G123))*112,0)+IFERROR(--ISNUMBER(SEARCH("R113",G123))*113,0)+IFERROR(--ISNUMBER(SEARCH("R114",G123))*114,0)+IFERROR(--ISNUMBER(SEARCH("R115",G123))*115,0)+IFERROR(--ISNUMBER(SEARCH("R116",G123))*116,0)+IFERROR(--ISNUMBER(SEARCH("R117",G123))*117,0)+IFERROR(--ISNUMBER(SEARCH("R118",G123))*118,0)+IFERROR(--ISNUMBER(SEARCH("R119",G123))*119,0)+IFERROR(--ISNUMBER(SEARCH("R120",G123))*120,0)+IFERROR(--ISNUMBER(SEARCH("R121",G123))*121,0)+IFERROR(--ISNUMBER(SEARCH("R122",G123))*122,0)+IFERROR(--ISNUMBER(SEARCH("R123",G123))*123,0)+IFERROR(--ISNUMBER(SEARCH("R124",G123))*124,0)+IFERROR(--ISNUMBER(SEARCH("R125",G123))*125,0)+IFERROR(--ISNUMBER(SEARCH("R126",G123))*126,0)+IFERROR(--ISNUMBER(SEARCH("R127",G123))*127,0)+IFERROR(--ISNUMBER(SEARCH("R128",G123))*128,0)+IFERROR(--ISNUMBER(SEARCH("R129",G123))*129,0)+IFERROR(--ISNUMBER(SEARCH("R130",G123))*130,0)+IFERROR(--ISNUMBER(SEARCH("R131",G123))*131,0)+IFERROR(--ISNUMBER(SEARCH("R132",G123))*132,0)+IFERROR(--ISNUMBER(SEARCH("R133",G123))*133,0)+IFERROR(--ISNUMBER(SEARCH("R134",G123))*134,0)+IFERROR(--ISNUMBER(SEARCH("R135",G123))*135,0)+IFERROR(--ISNUMBER(SEARCH("R136",G123))*136,0)+IFERROR(--ISNUMBER(SEARCH("R137",G123))*137,0)+IFERROR(--ISNUMBER(SEARCH("R138",G123))*138,0)+IFERROR(--ISNUMBER(SEARCH("R139",G123))*139,0)+IFERROR(--ISNUMBER(SEARCH("R140",G123))*140,0)+IFERROR(--ISNUMBER(SEARCH("R141",G123))*141,0))</f>
        <v/>
      </c>
      <c r="V123" s="59">
        <f>IF(A123="","",IF(K123&lt;&gt;"",K123,J123))</f>
        <v/>
      </c>
      <c r="W123" s="59">
        <f>IF(A123="","",IF(AND(V123=29,O123&lt;&gt;"",COUNTIFS($V$6:$V$505,29,$F$6:$F$505,F123,$C$6:$C$505,C123,$O$6:$O$505,"&lt;&gt;")&gt;1),IF(COUNTIFS($V$6:V123,29,$F$6:F123,F123,$C$6:C123,C123,$O$6:O123,"&lt;&gt;")=1,"Esta es la fila que se debe CONSERVAR (aparición 1 de "&amp;COUNTIFS($V$6:$V$505,29,$F$6:$F$505,F123,$C$6:$C$505,C123,$O$6:$O$505,"&lt;&gt;")&amp;" con el mismo tercero y valor, casilla 29). Si hay más filas iguales, bórreles el valor a ELLAS, no a esta.","DUPLICADO — ya existe otra fila con el mismo tercero y valor para casilla 29 (aparición "&amp;COUNTIFS($V$6:V123,29,$F$6:F123,F123,$C$6:C123,C123,$O$6:O123,"&lt;&gt;")&amp;" de "&amp;COUNTIFS($V$6:$V$505,29,$F$6:$F$505,F123,$C$6:$C$505,C123,$O$6:$O$505,"&lt;&gt;")&amp;"). Para resolverlo: seleccione la celda O"&amp;ROW()&amp;" (columna Valor a declarar de ESTA fila) y presione Supr."),""))</f>
        <v/>
      </c>
      <c r="X123" s="463">
        <f>IF(A123="","",F123)</f>
        <v/>
      </c>
      <c r="Y123" s="463">
        <f>IF(A123="","",SUMIF(Entrada_Manual!$I$88:$I$187,A123,Entrada_Manual!$F$88:$F$187))</f>
        <v/>
      </c>
      <c r="Z123" s="463">
        <f>IF(A123="","",X123-Y123)</f>
        <v/>
      </c>
      <c r="AA123">
        <f>IF(A123="","",SUMPRODUCT((Entrada_Manual!$I$88:$I$187=A123)*1))</f>
        <v/>
      </c>
      <c r="AB123">
        <f>IF(A123="","",IF(S123&lt;=1,"",IF(AA123=0,"PENDIENTE — SIN ASIGNAR",IF(Z123=0,"RESUELTO","PARCIAL — DIFERENCIA "&amp;TEXT(Z123,"#,##0")))))</f>
        <v/>
      </c>
    </row>
    <row r="124" ht="14.25" customHeight="1" s="235">
      <c r="A124" s="47">
        <f>IF(Exogena_RAW!E133&lt;&gt;"",ROW()-5,"")</f>
        <v/>
      </c>
      <c r="B124" s="48">
        <f>IF(A124="","",133)</f>
        <v/>
      </c>
      <c r="C124" s="48">
        <f>IF(A124="","",IFERROR(Exogena_RAW!A133,""))</f>
        <v/>
      </c>
      <c r="D124" s="48">
        <f>IF(A124="","",IFERROR(Exogena_RAW!B133,""))</f>
        <v/>
      </c>
      <c r="E124" s="48">
        <f>IF(A124="","",Exogena_RAW!E133)</f>
        <v/>
      </c>
      <c r="F124" s="461">
        <f>IF(A124="","",Exogena_RAW!F133)</f>
        <v/>
      </c>
      <c r="G124" s="48">
        <f>IF(A124="","",IFERROR(Exogena_RAW!G133,""))</f>
        <v/>
      </c>
      <c r="H124" s="48">
        <f>IF(A124="","",IFERROR(Exogena_RAW!H133,""))</f>
        <v/>
      </c>
      <c r="I124" s="48">
        <f>IF(A124="","",IFERROR(IF(S124&gt;1,"VARIAS CASILLAS",IF(S124=1,IF(T124=1,"PROPUESTA DE CASILLA","REVISIÓN: CASILLA NO DIRECTA"),IF(OR(ISNUMBER(SEARCH("TOPE",UPPER(E124))),ISNUMBER(SEARCH("TOPE",UPPER(G124)))),"SOLO CONTROL",IF(ISNUMBER(SEARCH("RETEN",UPPER(E124))),"RETENCIÓN","REVISAR")))),"REVISAR"))</f>
        <v/>
      </c>
      <c r="J124" s="48">
        <f>IF(A124="","",IF(ISNUMBER(SEARCH("ingreso laboral promedio de los últimos seis meses",E124)),"",IFERROR(IF(AND(S124=1,T124=1),U124,""),"")))</f>
        <v/>
      </c>
      <c r="K124" s="216" t="n"/>
      <c r="L124" s="48">
        <f>IF(A124="","",IFERROR(IF(K124&lt;&gt;"","Casilla elegida por usuario",IF(S124&gt;1,"Varias casillas — elegir en K",IF(J124&lt;&gt;"","Sugerencia directa",IF(S124=1,"No trasladar directo — revisar",IF(OR(ISNUMBER(SEARCH("TOPE",UPPER(E124))),ISNUMBER(SEARCH("TOPE",UPPER(G124)))),"Solo control","Revisar manualmente"))))),"Revisar manualmente"))</f>
        <v/>
      </c>
      <c r="M124" s="461">
        <f>IF(A124="","",IF(IF(K124&lt;&gt;"",K124,J124)="",0,IF(COUNTIFS(Reglas!$I$5:$I$118,IF(K124&lt;&gt;"",K124,J124),Reglas!$J$5:$J$118,"Sí")=1,F124,0)))</f>
        <v/>
      </c>
      <c r="N124" s="56" t="n"/>
      <c r="O124" s="462">
        <f>IF(A124="","",IF(M124=0,"",M124))</f>
        <v/>
      </c>
      <c r="P124" s="461">
        <f>IF(A124="","",IF(O124="",0,IF(ISNUMBER(O124),O124,0)))</f>
        <v/>
      </c>
      <c r="Q124" s="48">
        <f>IF(A124="","",IF(Exogena_RAW!$C$4="","BLOQUEADO: FALTA AÑO",IF(Exogena_RAW!$K$10&lt;&gt;Reglas!$B$5,"BLOQUEADO: AÑO",IF(IF(K124&lt;&gt;"",K124,J124)="",IF(S124&gt;1,"REQUIERE ASIGNACIÓN MANUAL (VARIAS CASILLAS)","INFORMATIVO (sin casilla — no se declara)"),IF(COUNTIFS(Reglas!$I$5:$I$118,IF(K124&lt;&gt;"",K124,J124),Reglas!$J$5:$J$118,"Sí")=0,"BLOQUEADO: CASILLA NO DIRECTA",IF(O124="","EXCLUIDO (valor borrado por el usuario)",IF(_xlfn.ISFORMULA(O124),IF(W124&lt;&gt;"","BORRADOR — VALOR SUGERIDO DIAN ⚠ VER ALERTA","BORRADOR — VALOR SUGERIDO DIAN"),IF(W124&lt;&gt;"","ACEPTADO ⚠ VER ALERTA","ACEPTADO"))))))))</f>
        <v/>
      </c>
      <c r="R124" s="218" t="n"/>
      <c r="S124" s="58">
        <f>IF(A124="","",IFERROR(--ISNUMBER(SEARCH("R28",G124)),0)+IFERROR(--ISNUMBER(SEARCH("R29",G124)),0)+IFERROR(--ISNUMBER(SEARCH("R30",G124)),0)+IFERROR(--ISNUMBER(SEARCH("R31",G124)),0)+IFERROR(--ISNUMBER(SEARCH("R32",G124)),0)+IFERROR(--ISNUMBER(SEARCH("R33",G124)),0)+IFERROR(--ISNUMBER(SEARCH("R34",G124)),0)+IFERROR(--ISNUMBER(SEARCH("R35",G124)),0)+IFERROR(--ISNUMBER(SEARCH("R36",G124)),0)+IFERROR(--ISNUMBER(SEARCH("R37",G124)),0)+IFERROR(--ISNUMBER(SEARCH("R38",G124)),0)+IFERROR(--ISNUMBER(SEARCH("R39",G124)),0)+IFERROR(--ISNUMBER(SEARCH("R40",G124)),0)+IFERROR(--ISNUMBER(SEARCH("R41",G124)),0)+IFERROR(--ISNUMBER(SEARCH("R42",G124)),0)+IFERROR(--ISNUMBER(SEARCH("R43",G124)),0)+IFERROR(--ISNUMBER(SEARCH("R44",G124)),0)+IFERROR(--ISNUMBER(SEARCH("R45",G124)),0)+IFERROR(--ISNUMBER(SEARCH("R46",G124)),0)+IFERROR(--ISNUMBER(SEARCH("R47",G124)),0)+IFERROR(--ISNUMBER(SEARCH("R48",G124)),0)+IFERROR(--ISNUMBER(SEARCH("R49",G124)),0)+IFERROR(--ISNUMBER(SEARCH("R50",G124)),0)+IFERROR(--ISNUMBER(SEARCH("R51",G124)),0)+IFERROR(--ISNUMBER(SEARCH("R52",G124)),0)+IFERROR(--ISNUMBER(SEARCH("R53",G124)),0)+IFERROR(--ISNUMBER(SEARCH("R54",G124)),0)+IFERROR(--ISNUMBER(SEARCH("R55",G124)),0)+IFERROR(--ISNUMBER(SEARCH("R56",G124)),0)+IFERROR(--ISNUMBER(SEARCH("R57",G124)),0)+IFERROR(--ISNUMBER(SEARCH("R58",G124)),0)+IFERROR(--ISNUMBER(SEARCH("R59",G124)),0)+IFERROR(--ISNUMBER(SEARCH("R60",G124)),0)+IFERROR(--ISNUMBER(SEARCH("R61",G124)),0)+IFERROR(--ISNUMBER(SEARCH("R62",G124)),0)+IFERROR(--ISNUMBER(SEARCH("R63",G124)),0)+IFERROR(--ISNUMBER(SEARCH("R64",G124)),0)+IFERROR(--ISNUMBER(SEARCH("R65",G124)),0)+IFERROR(--ISNUMBER(SEARCH("R66",G124)),0)+IFERROR(--ISNUMBER(SEARCH("R67",G124)),0)+IFERROR(--ISNUMBER(SEARCH("R68",G124)),0)+IFERROR(--ISNUMBER(SEARCH("R69",G124)),0)+IFERROR(--ISNUMBER(SEARCH("R70",G124)),0)+IFERROR(--ISNUMBER(SEARCH("R71",G124)),0)+IFERROR(--ISNUMBER(SEARCH("R72",G124)),0)+IFERROR(--ISNUMBER(SEARCH("R73",G124)),0)+IFERROR(--ISNUMBER(SEARCH("R74",G124)),0)+IFERROR(--ISNUMBER(SEARCH("R75",G124)),0)+IFERROR(--ISNUMBER(SEARCH("R76",G124)),0)+IFERROR(--ISNUMBER(SEARCH("R77",G124)),0)+IFERROR(--ISNUMBER(SEARCH("R78",G124)),0)+IFERROR(--ISNUMBER(SEARCH("R79",G124)),0)+IFERROR(--ISNUMBER(SEARCH("R80",G124)),0)+IFERROR(--ISNUMBER(SEARCH("R81",G124)),0)+IFERROR(--ISNUMBER(SEARCH("R82",G124)),0)+IFERROR(--ISNUMBER(SEARCH("R83",G124)),0)+IFERROR(--ISNUMBER(SEARCH("R84",G124)),0)+IFERROR(--ISNUMBER(SEARCH("R85",G124)),0)+IFERROR(--ISNUMBER(SEARCH("R86",G124)),0)+IFERROR(--ISNUMBER(SEARCH("R87",G124)),0)+IFERROR(--ISNUMBER(SEARCH("R88",G124)),0)+IFERROR(--ISNUMBER(SEARCH("R89",G124)),0)+IFERROR(--ISNUMBER(SEARCH("R90",G124)),0)+IFERROR(--ISNUMBER(SEARCH("R91",G124)),0)+IFERROR(--ISNUMBER(SEARCH("R92",G124)),0)+IFERROR(--ISNUMBER(SEARCH("R93",G124)),0)+IFERROR(--ISNUMBER(SEARCH("R94",G124)),0)+IFERROR(--ISNUMBER(SEARCH("R95",G124)),0)+IFERROR(--ISNUMBER(SEARCH("R96",G124)),0)+IFERROR(--ISNUMBER(SEARCH("R97",G124)),0)+IFERROR(--ISNUMBER(SEARCH("R98",G124)),0)+IFERROR(--ISNUMBER(SEARCH("R99",G124)),0)+IFERROR(--ISNUMBER(SEARCH("R100",G124)),0)+IFERROR(--ISNUMBER(SEARCH("R101",G124)),0)+IFERROR(--ISNUMBER(SEARCH("R102",G124)),0)+IFERROR(--ISNUMBER(SEARCH("R103",G124)),0)+IFERROR(--ISNUMBER(SEARCH("R104",G124)),0)+IFERROR(--ISNUMBER(SEARCH("R105",G124)),0)+IFERROR(--ISNUMBER(SEARCH("R106",G124)),0)+IFERROR(--ISNUMBER(SEARCH("R107",G124)),0)+IFERROR(--ISNUMBER(SEARCH("R108",G124)),0)+IFERROR(--ISNUMBER(SEARCH("R109",G124)),0)+IFERROR(--ISNUMBER(SEARCH("R110",G124)),0)+IFERROR(--ISNUMBER(SEARCH("R111",G124)),0)+IFERROR(--ISNUMBER(SEARCH("R112",G124)),0)+IFERROR(--ISNUMBER(SEARCH("R113",G124)),0)+IFERROR(--ISNUMBER(SEARCH("R114",G124)),0)+IFERROR(--ISNUMBER(SEARCH("R115",G124)),0)+IFERROR(--ISNUMBER(SEARCH("R116",G124)),0)+IFERROR(--ISNUMBER(SEARCH("R117",G124)),0)+IFERROR(--ISNUMBER(SEARCH("R118",G124)),0)+IFERROR(--ISNUMBER(SEARCH("R119",G124)),0)+IFERROR(--ISNUMBER(SEARCH("R120",G124)),0)+IFERROR(--ISNUMBER(SEARCH("R121",G124)),0)+IFERROR(--ISNUMBER(SEARCH("R122",G124)),0)+IFERROR(--ISNUMBER(SEARCH("R123",G124)),0)+IFERROR(--ISNUMBER(SEARCH("R124",G124)),0)+IFERROR(--ISNUMBER(SEARCH("R125",G124)),0)+IFERROR(--ISNUMBER(SEARCH("R126",G124)),0)+IFERROR(--ISNUMBER(SEARCH("R127",G124)),0)+IFERROR(--ISNUMBER(SEARCH("R128",G124)),0)+IFERROR(--ISNUMBER(SEARCH("R129",G124)),0)+IFERROR(--ISNUMBER(SEARCH("R130",G124)),0)+IFERROR(--ISNUMBER(SEARCH("R131",G124)),0)+IFERROR(--ISNUMBER(SEARCH("R132",G124)),0)+IFERROR(--ISNUMBER(SEARCH("R133",G124)),0)+IFERROR(--ISNUMBER(SEARCH("R134",G124)),0)+IFERROR(--ISNUMBER(SEARCH("R135",G124)),0)+IFERROR(--ISNUMBER(SEARCH("R136",G124)),0)+IFERROR(--ISNUMBER(SEARCH("R137",G124)),0)+IFERROR(--ISNUMBER(SEARCH("R138",G124)),0)+IFERROR(--ISNUMBER(SEARCH("R139",G124)),0)+IFERROR(--ISNUMBER(SEARCH("R140",G124)),0)+IFERROR(--ISNUMBER(SEARCH("R141",G124)),0))</f>
        <v/>
      </c>
      <c r="T124" s="58">
        <f>IF(A124="","",IFERROR(--ISNUMBER(SEARCH("R28",G124)),0)+IFERROR(--ISNUMBER(SEARCH("R29",G124)),0)+IFERROR(--ISNUMBER(SEARCH("R30",G124)),0)+IFERROR(--ISNUMBER(SEARCH("R32",G124)),0)+IFERROR(--ISNUMBER(SEARCH("R33",G124)),0)+IFERROR(--ISNUMBER(SEARCH("R35",G124)),0)+IFERROR(--ISNUMBER(SEARCH("R36",G124)),0)+IFERROR(--ISNUMBER(SEARCH("R38",G124)),0)+IFERROR(--ISNUMBER(SEARCH("R39",G124)),0)+IFERROR(--ISNUMBER(SEARCH("R43",G124)),0)+IFERROR(--ISNUMBER(SEARCH("R44",G124)),0)+IFERROR(--ISNUMBER(SEARCH("R45",G124)),0)+IFERROR(--ISNUMBER(SEARCH("R47",G124)),0)+IFERROR(--ISNUMBER(SEARCH("R48",G124)),0)+IFERROR(--ISNUMBER(SEARCH("R50",G124)),0)+IFERROR(--ISNUMBER(SEARCH("R51",G124)),0)+IFERROR(--ISNUMBER(SEARCH("R56",G124)),0)+IFERROR(--ISNUMBER(SEARCH("R58",G124)),0)+IFERROR(--ISNUMBER(SEARCH("R59",G124)),0)+IFERROR(--ISNUMBER(SEARCH("R60",G124)),0)+IFERROR(--ISNUMBER(SEARCH("R62",G124)),0)+IFERROR(--ISNUMBER(SEARCH("R63",G124)),0)+IFERROR(--ISNUMBER(SEARCH("R64",G124)),0)+IFERROR(--ISNUMBER(SEARCH("R66",G124)),0)+IFERROR(--ISNUMBER(SEARCH("R67",G124)),0)+IFERROR(--ISNUMBER(SEARCH("R72",G124)),0)+IFERROR(--ISNUMBER(SEARCH("R74",G124)),0)+IFERROR(--ISNUMBER(SEARCH("R75",G124)),0)+IFERROR(--ISNUMBER(SEARCH("R76",G124)),0)+IFERROR(--ISNUMBER(SEARCH("R77",G124)),0)+IFERROR(--ISNUMBER(SEARCH("R79",G124)),0)+IFERROR(--ISNUMBER(SEARCH("R80",G124)),0)+IFERROR(--ISNUMBER(SEARCH("R81",G124)),0)+IFERROR(--ISNUMBER(SEARCH("R83",G124)),0)+IFERROR(--ISNUMBER(SEARCH("R84",G124)),0)+IFERROR(--ISNUMBER(SEARCH("R89",G124)),0)+IFERROR(--ISNUMBER(SEARCH("R94",G124)),0)+IFERROR(--ISNUMBER(SEARCH("R95",G124)),0)+IFERROR(--ISNUMBER(SEARCH("R96",G124)),0)+IFERROR(--ISNUMBER(SEARCH("R98",G124)),0)+IFERROR(--ISNUMBER(SEARCH("R99",G124)),0)+IFERROR(--ISNUMBER(SEARCH("R100",G124)),0)+IFERROR(--ISNUMBER(SEARCH("R104",G124)),0)+IFERROR(--ISNUMBER(SEARCH("R105",G124)),0)+IFERROR(--ISNUMBER(SEARCH("R107",G124)),0)+IFERROR(--ISNUMBER(SEARCH("R108",G124)),0)+IFERROR(--ISNUMBER(SEARCH("R109",G124)),0)+IFERROR(--ISNUMBER(SEARCH("R110",G124)),0)+IFERROR(--ISNUMBER(SEARCH("R112",G124)),0)+IFERROR(--ISNUMBER(SEARCH("R113",G124)),0)+IFERROR(--ISNUMBER(SEARCH("R114",G124)),0)+IFERROR(--ISNUMBER(SEARCH("R118",G124)),0)+IFERROR(--ISNUMBER(SEARCH("R119",G124)),0)+IFERROR(--ISNUMBER(SEARCH("R120",G124)),0)+IFERROR(--ISNUMBER(SEARCH("R122",G124)),0)+IFERROR(--ISNUMBER(SEARCH("R123",G124)),0)+IFERROR(--ISNUMBER(SEARCH("R124",G124)),0)+IFERROR(--ISNUMBER(SEARCH("R128",G124)),0)+IFERROR(--ISNUMBER(SEARCH("R130",G124)),0)+IFERROR(--ISNUMBER(SEARCH("R131",G124)),0)+IFERROR(--ISNUMBER(SEARCH("R132",G124)),0)+IFERROR(--ISNUMBER(SEARCH("R135",G124)),0)+IFERROR(--ISNUMBER(SEARCH("R138",G124)),0)+IFERROR(--ISNUMBER(SEARCH("R141",G124)),0))</f>
        <v/>
      </c>
      <c r="U124" s="58">
        <f>IF(A124="","",IFERROR(--ISNUMBER(SEARCH("R28",G124))*28,0)+IFERROR(--ISNUMBER(SEARCH("R29",G124))*29,0)+IFERROR(--ISNUMBER(SEARCH("R30",G124))*30,0)+IFERROR(--ISNUMBER(SEARCH("R31",G124))*31,0)+IFERROR(--ISNUMBER(SEARCH("R32",G124))*32,0)+IFERROR(--ISNUMBER(SEARCH("R33",G124))*33,0)+IFERROR(--ISNUMBER(SEARCH("R34",G124))*34,0)+IFERROR(--ISNUMBER(SEARCH("R35",G124))*35,0)+IFERROR(--ISNUMBER(SEARCH("R36",G124))*36,0)+IFERROR(--ISNUMBER(SEARCH("R37",G124))*37,0)+IFERROR(--ISNUMBER(SEARCH("R38",G124))*38,0)+IFERROR(--ISNUMBER(SEARCH("R39",G124))*39,0)+IFERROR(--ISNUMBER(SEARCH("R40",G124))*40,0)+IFERROR(--ISNUMBER(SEARCH("R41",G124))*41,0)+IFERROR(--ISNUMBER(SEARCH("R42",G124))*42,0)+IFERROR(--ISNUMBER(SEARCH("R43",G124))*43,0)+IFERROR(--ISNUMBER(SEARCH("R44",G124))*44,0)+IFERROR(--ISNUMBER(SEARCH("R45",G124))*45,0)+IFERROR(--ISNUMBER(SEARCH("R46",G124))*46,0)+IFERROR(--ISNUMBER(SEARCH("R47",G124))*47,0)+IFERROR(--ISNUMBER(SEARCH("R48",G124))*48,0)+IFERROR(--ISNUMBER(SEARCH("R49",G124))*49,0)+IFERROR(--ISNUMBER(SEARCH("R50",G124))*50,0)+IFERROR(--ISNUMBER(SEARCH("R51",G124))*51,0)+IFERROR(--ISNUMBER(SEARCH("R52",G124))*52,0)+IFERROR(--ISNUMBER(SEARCH("R53",G124))*53,0)+IFERROR(--ISNUMBER(SEARCH("R54",G124))*54,0)+IFERROR(--ISNUMBER(SEARCH("R55",G124))*55,0)+IFERROR(--ISNUMBER(SEARCH("R56",G124))*56,0)+IFERROR(--ISNUMBER(SEARCH("R57",G124))*57,0)+IFERROR(--ISNUMBER(SEARCH("R58",G124))*58,0)+IFERROR(--ISNUMBER(SEARCH("R59",G124))*59,0)+IFERROR(--ISNUMBER(SEARCH("R60",G124))*60,0)+IFERROR(--ISNUMBER(SEARCH("R61",G124))*61,0)+IFERROR(--ISNUMBER(SEARCH("R62",G124))*62,0)+IFERROR(--ISNUMBER(SEARCH("R63",G124))*63,0)+IFERROR(--ISNUMBER(SEARCH("R64",G124))*64,0)+IFERROR(--ISNUMBER(SEARCH("R65",G124))*65,0)+IFERROR(--ISNUMBER(SEARCH("R66",G124))*66,0)+IFERROR(--ISNUMBER(SEARCH("R67",G124))*67,0)+IFERROR(--ISNUMBER(SEARCH("R68",G124))*68,0)+IFERROR(--ISNUMBER(SEARCH("R69",G124))*69,0)+IFERROR(--ISNUMBER(SEARCH("R70",G124))*70,0)+IFERROR(--ISNUMBER(SEARCH("R71",G124))*71,0)+IFERROR(--ISNUMBER(SEARCH("R72",G124))*72,0)+IFERROR(--ISNUMBER(SEARCH("R73",G124))*73,0)+IFERROR(--ISNUMBER(SEARCH("R74",G124))*74,0)+IFERROR(--ISNUMBER(SEARCH("R75",G124))*75,0)+IFERROR(--ISNUMBER(SEARCH("R76",G124))*76,0)+IFERROR(--ISNUMBER(SEARCH("R77",G124))*77,0)+IFERROR(--ISNUMBER(SEARCH("R78",G124))*78,0)+IFERROR(--ISNUMBER(SEARCH("R79",G124))*79,0)+IFERROR(--ISNUMBER(SEARCH("R80",G124))*80,0)+IFERROR(--ISNUMBER(SEARCH("R81",G124))*81,0)+IFERROR(--ISNUMBER(SEARCH("R82",G124))*82,0)+IFERROR(--ISNUMBER(SEARCH("R83",G124))*83,0)+IFERROR(--ISNUMBER(SEARCH("R84",G124))*84,0)+IFERROR(--ISNUMBER(SEARCH("R85",G124))*85,0)+IFERROR(--ISNUMBER(SEARCH("R86",G124))*86,0)+IFERROR(--ISNUMBER(SEARCH("R87",G124))*87,0)+IFERROR(--ISNUMBER(SEARCH("R88",G124))*88,0)+IFERROR(--ISNUMBER(SEARCH("R89",G124))*89,0)+IFERROR(--ISNUMBER(SEARCH("R90",G124))*90,0)+IFERROR(--ISNUMBER(SEARCH("R91",G124))*91,0)+IFERROR(--ISNUMBER(SEARCH("R92",G124))*92,0)+IFERROR(--ISNUMBER(SEARCH("R93",G124))*93,0)+IFERROR(--ISNUMBER(SEARCH("R94",G124))*94,0)+IFERROR(--ISNUMBER(SEARCH("R95",G124))*95,0)+IFERROR(--ISNUMBER(SEARCH("R96",G124))*96,0)+IFERROR(--ISNUMBER(SEARCH("R97",G124))*97,0)+IFERROR(--ISNUMBER(SEARCH("R98",G124))*98,0)+IFERROR(--ISNUMBER(SEARCH("R99",G124))*99,0)+IFERROR(--ISNUMBER(SEARCH("R100",G124))*100,0)+IFERROR(--ISNUMBER(SEARCH("R101",G124))*101,0)+IFERROR(--ISNUMBER(SEARCH("R102",G124))*102,0)+IFERROR(--ISNUMBER(SEARCH("R103",G124))*103,0)+IFERROR(--ISNUMBER(SEARCH("R104",G124))*104,0)+IFERROR(--ISNUMBER(SEARCH("R105",G124))*105,0)+IFERROR(--ISNUMBER(SEARCH("R106",G124))*106,0)+IFERROR(--ISNUMBER(SEARCH("R107",G124))*107,0)+IFERROR(--ISNUMBER(SEARCH("R108",G124))*108,0)+IFERROR(--ISNUMBER(SEARCH("R109",G124))*109,0)+IFERROR(--ISNUMBER(SEARCH("R110",G124))*110,0)+IFERROR(--ISNUMBER(SEARCH("R111",G124))*111,0)+IFERROR(--ISNUMBER(SEARCH("R112",G124))*112,0)+IFERROR(--ISNUMBER(SEARCH("R113",G124))*113,0)+IFERROR(--ISNUMBER(SEARCH("R114",G124))*114,0)+IFERROR(--ISNUMBER(SEARCH("R115",G124))*115,0)+IFERROR(--ISNUMBER(SEARCH("R116",G124))*116,0)+IFERROR(--ISNUMBER(SEARCH("R117",G124))*117,0)+IFERROR(--ISNUMBER(SEARCH("R118",G124))*118,0)+IFERROR(--ISNUMBER(SEARCH("R119",G124))*119,0)+IFERROR(--ISNUMBER(SEARCH("R120",G124))*120,0)+IFERROR(--ISNUMBER(SEARCH("R121",G124))*121,0)+IFERROR(--ISNUMBER(SEARCH("R122",G124))*122,0)+IFERROR(--ISNUMBER(SEARCH("R123",G124))*123,0)+IFERROR(--ISNUMBER(SEARCH("R124",G124))*124,0)+IFERROR(--ISNUMBER(SEARCH("R125",G124))*125,0)+IFERROR(--ISNUMBER(SEARCH("R126",G124))*126,0)+IFERROR(--ISNUMBER(SEARCH("R127",G124))*127,0)+IFERROR(--ISNUMBER(SEARCH("R128",G124))*128,0)+IFERROR(--ISNUMBER(SEARCH("R129",G124))*129,0)+IFERROR(--ISNUMBER(SEARCH("R130",G124))*130,0)+IFERROR(--ISNUMBER(SEARCH("R131",G124))*131,0)+IFERROR(--ISNUMBER(SEARCH("R132",G124))*132,0)+IFERROR(--ISNUMBER(SEARCH("R133",G124))*133,0)+IFERROR(--ISNUMBER(SEARCH("R134",G124))*134,0)+IFERROR(--ISNUMBER(SEARCH("R135",G124))*135,0)+IFERROR(--ISNUMBER(SEARCH("R136",G124))*136,0)+IFERROR(--ISNUMBER(SEARCH("R137",G124))*137,0)+IFERROR(--ISNUMBER(SEARCH("R138",G124))*138,0)+IFERROR(--ISNUMBER(SEARCH("R139",G124))*139,0)+IFERROR(--ISNUMBER(SEARCH("R140",G124))*140,0)+IFERROR(--ISNUMBER(SEARCH("R141",G124))*141,0))</f>
        <v/>
      </c>
      <c r="V124" s="59">
        <f>IF(A124="","",IF(K124&lt;&gt;"",K124,J124))</f>
        <v/>
      </c>
      <c r="W124" s="59">
        <f>IF(A124="","",IF(AND(V124=29,O124&lt;&gt;"",COUNTIFS($V$6:$V$505,29,$F$6:$F$505,F124,$C$6:$C$505,C124,$O$6:$O$505,"&lt;&gt;")&gt;1),IF(COUNTIFS($V$6:V124,29,$F$6:F124,F124,$C$6:C124,C124,$O$6:O124,"&lt;&gt;")=1,"Esta es la fila que se debe CONSERVAR (aparición 1 de "&amp;COUNTIFS($V$6:$V$505,29,$F$6:$F$505,F124,$C$6:$C$505,C124,$O$6:$O$505,"&lt;&gt;")&amp;" con el mismo tercero y valor, casilla 29). Si hay más filas iguales, bórreles el valor a ELLAS, no a esta.","DUPLICADO — ya existe otra fila con el mismo tercero y valor para casilla 29 (aparición "&amp;COUNTIFS($V$6:V124,29,$F$6:F124,F124,$C$6:C124,C124,$O$6:O124,"&lt;&gt;")&amp;" de "&amp;COUNTIFS($V$6:$V$505,29,$F$6:$F$505,F124,$C$6:$C$505,C124,$O$6:$O$505,"&lt;&gt;")&amp;"). Para resolverlo: seleccione la celda O"&amp;ROW()&amp;" (columna Valor a declarar de ESTA fila) y presione Supr."),""))</f>
        <v/>
      </c>
      <c r="X124" s="463">
        <f>IF(A124="","",F124)</f>
        <v/>
      </c>
      <c r="Y124" s="463">
        <f>IF(A124="","",SUMIF(Entrada_Manual!$I$88:$I$187,A124,Entrada_Manual!$F$88:$F$187))</f>
        <v/>
      </c>
      <c r="Z124" s="463">
        <f>IF(A124="","",X124-Y124)</f>
        <v/>
      </c>
      <c r="AA124">
        <f>IF(A124="","",SUMPRODUCT((Entrada_Manual!$I$88:$I$187=A124)*1))</f>
        <v/>
      </c>
      <c r="AB124">
        <f>IF(A124="","",IF(S124&lt;=1,"",IF(AA124=0,"PENDIENTE — SIN ASIGNAR",IF(Z124=0,"RESUELTO","PARCIAL — DIFERENCIA "&amp;TEXT(Z124,"#,##0")))))</f>
        <v/>
      </c>
    </row>
    <row r="125" ht="14.25" customHeight="1" s="235">
      <c r="A125" s="47">
        <f>IF(Exogena_RAW!E134&lt;&gt;"",ROW()-5,"")</f>
        <v/>
      </c>
      <c r="B125" s="48">
        <f>IF(A125="","",134)</f>
        <v/>
      </c>
      <c r="C125" s="48">
        <f>IF(A125="","",IFERROR(Exogena_RAW!A134,""))</f>
        <v/>
      </c>
      <c r="D125" s="48">
        <f>IF(A125="","",IFERROR(Exogena_RAW!B134,""))</f>
        <v/>
      </c>
      <c r="E125" s="48">
        <f>IF(A125="","",Exogena_RAW!E134)</f>
        <v/>
      </c>
      <c r="F125" s="461">
        <f>IF(A125="","",Exogena_RAW!F134)</f>
        <v/>
      </c>
      <c r="G125" s="48">
        <f>IF(A125="","",IFERROR(Exogena_RAW!G134,""))</f>
        <v/>
      </c>
      <c r="H125" s="48">
        <f>IF(A125="","",IFERROR(Exogena_RAW!H134,""))</f>
        <v/>
      </c>
      <c r="I125" s="48">
        <f>IF(A125="","",IFERROR(IF(S125&gt;1,"VARIAS CASILLAS",IF(S125=1,IF(T125=1,"PROPUESTA DE CASILLA","REVISIÓN: CASILLA NO DIRECTA"),IF(OR(ISNUMBER(SEARCH("TOPE",UPPER(E125))),ISNUMBER(SEARCH("TOPE",UPPER(G125)))),"SOLO CONTROL",IF(ISNUMBER(SEARCH("RETEN",UPPER(E125))),"RETENCIÓN","REVISAR")))),"REVISAR"))</f>
        <v/>
      </c>
      <c r="J125" s="48">
        <f>IF(A125="","",IF(ISNUMBER(SEARCH("ingreso laboral promedio de los últimos seis meses",E125)),"",IFERROR(IF(AND(S125=1,T125=1),U125,""),"")))</f>
        <v/>
      </c>
      <c r="K125" s="216" t="n"/>
      <c r="L125" s="48">
        <f>IF(A125="","",IFERROR(IF(K125&lt;&gt;"","Casilla elegida por usuario",IF(S125&gt;1,"Varias casillas — elegir en K",IF(J125&lt;&gt;"","Sugerencia directa",IF(S125=1,"No trasladar directo — revisar",IF(OR(ISNUMBER(SEARCH("TOPE",UPPER(E125))),ISNUMBER(SEARCH("TOPE",UPPER(G125)))),"Solo control","Revisar manualmente"))))),"Revisar manualmente"))</f>
        <v/>
      </c>
      <c r="M125" s="461">
        <f>IF(A125="","",IF(IF(K125&lt;&gt;"",K125,J125)="",0,IF(COUNTIFS(Reglas!$I$5:$I$118,IF(K125&lt;&gt;"",K125,J125),Reglas!$J$5:$J$118,"Sí")=1,F125,0)))</f>
        <v/>
      </c>
      <c r="N125" s="56" t="n"/>
      <c r="O125" s="462">
        <f>IF(A125="","",IF(M125=0,"",M125))</f>
        <v/>
      </c>
      <c r="P125" s="461">
        <f>IF(A125="","",IF(O125="",0,IF(ISNUMBER(O125),O125,0)))</f>
        <v/>
      </c>
      <c r="Q125" s="48">
        <f>IF(A125="","",IF(Exogena_RAW!$C$4="","BLOQUEADO: FALTA AÑO",IF(Exogena_RAW!$K$10&lt;&gt;Reglas!$B$5,"BLOQUEADO: AÑO",IF(IF(K125&lt;&gt;"",K125,J125)="",IF(S125&gt;1,"REQUIERE ASIGNACIÓN MANUAL (VARIAS CASILLAS)","INFORMATIVO (sin casilla — no se declara)"),IF(COUNTIFS(Reglas!$I$5:$I$118,IF(K125&lt;&gt;"",K125,J125),Reglas!$J$5:$J$118,"Sí")=0,"BLOQUEADO: CASILLA NO DIRECTA",IF(O125="","EXCLUIDO (valor borrado por el usuario)",IF(_xlfn.ISFORMULA(O125),IF(W125&lt;&gt;"","BORRADOR — VALOR SUGERIDO DIAN ⚠ VER ALERTA","BORRADOR — VALOR SUGERIDO DIAN"),IF(W125&lt;&gt;"","ACEPTADO ⚠ VER ALERTA","ACEPTADO"))))))))</f>
        <v/>
      </c>
      <c r="R125" s="218" t="n"/>
      <c r="S125" s="58">
        <f>IF(A125="","",IFERROR(--ISNUMBER(SEARCH("R28",G125)),0)+IFERROR(--ISNUMBER(SEARCH("R29",G125)),0)+IFERROR(--ISNUMBER(SEARCH("R30",G125)),0)+IFERROR(--ISNUMBER(SEARCH("R31",G125)),0)+IFERROR(--ISNUMBER(SEARCH("R32",G125)),0)+IFERROR(--ISNUMBER(SEARCH("R33",G125)),0)+IFERROR(--ISNUMBER(SEARCH("R34",G125)),0)+IFERROR(--ISNUMBER(SEARCH("R35",G125)),0)+IFERROR(--ISNUMBER(SEARCH("R36",G125)),0)+IFERROR(--ISNUMBER(SEARCH("R37",G125)),0)+IFERROR(--ISNUMBER(SEARCH("R38",G125)),0)+IFERROR(--ISNUMBER(SEARCH("R39",G125)),0)+IFERROR(--ISNUMBER(SEARCH("R40",G125)),0)+IFERROR(--ISNUMBER(SEARCH("R41",G125)),0)+IFERROR(--ISNUMBER(SEARCH("R42",G125)),0)+IFERROR(--ISNUMBER(SEARCH("R43",G125)),0)+IFERROR(--ISNUMBER(SEARCH("R44",G125)),0)+IFERROR(--ISNUMBER(SEARCH("R45",G125)),0)+IFERROR(--ISNUMBER(SEARCH("R46",G125)),0)+IFERROR(--ISNUMBER(SEARCH("R47",G125)),0)+IFERROR(--ISNUMBER(SEARCH("R48",G125)),0)+IFERROR(--ISNUMBER(SEARCH("R49",G125)),0)+IFERROR(--ISNUMBER(SEARCH("R50",G125)),0)+IFERROR(--ISNUMBER(SEARCH("R51",G125)),0)+IFERROR(--ISNUMBER(SEARCH("R52",G125)),0)+IFERROR(--ISNUMBER(SEARCH("R53",G125)),0)+IFERROR(--ISNUMBER(SEARCH("R54",G125)),0)+IFERROR(--ISNUMBER(SEARCH("R55",G125)),0)+IFERROR(--ISNUMBER(SEARCH("R56",G125)),0)+IFERROR(--ISNUMBER(SEARCH("R57",G125)),0)+IFERROR(--ISNUMBER(SEARCH("R58",G125)),0)+IFERROR(--ISNUMBER(SEARCH("R59",G125)),0)+IFERROR(--ISNUMBER(SEARCH("R60",G125)),0)+IFERROR(--ISNUMBER(SEARCH("R61",G125)),0)+IFERROR(--ISNUMBER(SEARCH("R62",G125)),0)+IFERROR(--ISNUMBER(SEARCH("R63",G125)),0)+IFERROR(--ISNUMBER(SEARCH("R64",G125)),0)+IFERROR(--ISNUMBER(SEARCH("R65",G125)),0)+IFERROR(--ISNUMBER(SEARCH("R66",G125)),0)+IFERROR(--ISNUMBER(SEARCH("R67",G125)),0)+IFERROR(--ISNUMBER(SEARCH("R68",G125)),0)+IFERROR(--ISNUMBER(SEARCH("R69",G125)),0)+IFERROR(--ISNUMBER(SEARCH("R70",G125)),0)+IFERROR(--ISNUMBER(SEARCH("R71",G125)),0)+IFERROR(--ISNUMBER(SEARCH("R72",G125)),0)+IFERROR(--ISNUMBER(SEARCH("R73",G125)),0)+IFERROR(--ISNUMBER(SEARCH("R74",G125)),0)+IFERROR(--ISNUMBER(SEARCH("R75",G125)),0)+IFERROR(--ISNUMBER(SEARCH("R76",G125)),0)+IFERROR(--ISNUMBER(SEARCH("R77",G125)),0)+IFERROR(--ISNUMBER(SEARCH("R78",G125)),0)+IFERROR(--ISNUMBER(SEARCH("R79",G125)),0)+IFERROR(--ISNUMBER(SEARCH("R80",G125)),0)+IFERROR(--ISNUMBER(SEARCH("R81",G125)),0)+IFERROR(--ISNUMBER(SEARCH("R82",G125)),0)+IFERROR(--ISNUMBER(SEARCH("R83",G125)),0)+IFERROR(--ISNUMBER(SEARCH("R84",G125)),0)+IFERROR(--ISNUMBER(SEARCH("R85",G125)),0)+IFERROR(--ISNUMBER(SEARCH("R86",G125)),0)+IFERROR(--ISNUMBER(SEARCH("R87",G125)),0)+IFERROR(--ISNUMBER(SEARCH("R88",G125)),0)+IFERROR(--ISNUMBER(SEARCH("R89",G125)),0)+IFERROR(--ISNUMBER(SEARCH("R90",G125)),0)+IFERROR(--ISNUMBER(SEARCH("R91",G125)),0)+IFERROR(--ISNUMBER(SEARCH("R92",G125)),0)+IFERROR(--ISNUMBER(SEARCH("R93",G125)),0)+IFERROR(--ISNUMBER(SEARCH("R94",G125)),0)+IFERROR(--ISNUMBER(SEARCH("R95",G125)),0)+IFERROR(--ISNUMBER(SEARCH("R96",G125)),0)+IFERROR(--ISNUMBER(SEARCH("R97",G125)),0)+IFERROR(--ISNUMBER(SEARCH("R98",G125)),0)+IFERROR(--ISNUMBER(SEARCH("R99",G125)),0)+IFERROR(--ISNUMBER(SEARCH("R100",G125)),0)+IFERROR(--ISNUMBER(SEARCH("R101",G125)),0)+IFERROR(--ISNUMBER(SEARCH("R102",G125)),0)+IFERROR(--ISNUMBER(SEARCH("R103",G125)),0)+IFERROR(--ISNUMBER(SEARCH("R104",G125)),0)+IFERROR(--ISNUMBER(SEARCH("R105",G125)),0)+IFERROR(--ISNUMBER(SEARCH("R106",G125)),0)+IFERROR(--ISNUMBER(SEARCH("R107",G125)),0)+IFERROR(--ISNUMBER(SEARCH("R108",G125)),0)+IFERROR(--ISNUMBER(SEARCH("R109",G125)),0)+IFERROR(--ISNUMBER(SEARCH("R110",G125)),0)+IFERROR(--ISNUMBER(SEARCH("R111",G125)),0)+IFERROR(--ISNUMBER(SEARCH("R112",G125)),0)+IFERROR(--ISNUMBER(SEARCH("R113",G125)),0)+IFERROR(--ISNUMBER(SEARCH("R114",G125)),0)+IFERROR(--ISNUMBER(SEARCH("R115",G125)),0)+IFERROR(--ISNUMBER(SEARCH("R116",G125)),0)+IFERROR(--ISNUMBER(SEARCH("R117",G125)),0)+IFERROR(--ISNUMBER(SEARCH("R118",G125)),0)+IFERROR(--ISNUMBER(SEARCH("R119",G125)),0)+IFERROR(--ISNUMBER(SEARCH("R120",G125)),0)+IFERROR(--ISNUMBER(SEARCH("R121",G125)),0)+IFERROR(--ISNUMBER(SEARCH("R122",G125)),0)+IFERROR(--ISNUMBER(SEARCH("R123",G125)),0)+IFERROR(--ISNUMBER(SEARCH("R124",G125)),0)+IFERROR(--ISNUMBER(SEARCH("R125",G125)),0)+IFERROR(--ISNUMBER(SEARCH("R126",G125)),0)+IFERROR(--ISNUMBER(SEARCH("R127",G125)),0)+IFERROR(--ISNUMBER(SEARCH("R128",G125)),0)+IFERROR(--ISNUMBER(SEARCH("R129",G125)),0)+IFERROR(--ISNUMBER(SEARCH("R130",G125)),0)+IFERROR(--ISNUMBER(SEARCH("R131",G125)),0)+IFERROR(--ISNUMBER(SEARCH("R132",G125)),0)+IFERROR(--ISNUMBER(SEARCH("R133",G125)),0)+IFERROR(--ISNUMBER(SEARCH("R134",G125)),0)+IFERROR(--ISNUMBER(SEARCH("R135",G125)),0)+IFERROR(--ISNUMBER(SEARCH("R136",G125)),0)+IFERROR(--ISNUMBER(SEARCH("R137",G125)),0)+IFERROR(--ISNUMBER(SEARCH("R138",G125)),0)+IFERROR(--ISNUMBER(SEARCH("R139",G125)),0)+IFERROR(--ISNUMBER(SEARCH("R140",G125)),0)+IFERROR(--ISNUMBER(SEARCH("R141",G125)),0))</f>
        <v/>
      </c>
      <c r="T125" s="58">
        <f>IF(A125="","",IFERROR(--ISNUMBER(SEARCH("R28",G125)),0)+IFERROR(--ISNUMBER(SEARCH("R29",G125)),0)+IFERROR(--ISNUMBER(SEARCH("R30",G125)),0)+IFERROR(--ISNUMBER(SEARCH("R32",G125)),0)+IFERROR(--ISNUMBER(SEARCH("R33",G125)),0)+IFERROR(--ISNUMBER(SEARCH("R35",G125)),0)+IFERROR(--ISNUMBER(SEARCH("R36",G125)),0)+IFERROR(--ISNUMBER(SEARCH("R38",G125)),0)+IFERROR(--ISNUMBER(SEARCH("R39",G125)),0)+IFERROR(--ISNUMBER(SEARCH("R43",G125)),0)+IFERROR(--ISNUMBER(SEARCH("R44",G125)),0)+IFERROR(--ISNUMBER(SEARCH("R45",G125)),0)+IFERROR(--ISNUMBER(SEARCH("R47",G125)),0)+IFERROR(--ISNUMBER(SEARCH("R48",G125)),0)+IFERROR(--ISNUMBER(SEARCH("R50",G125)),0)+IFERROR(--ISNUMBER(SEARCH("R51",G125)),0)+IFERROR(--ISNUMBER(SEARCH("R56",G125)),0)+IFERROR(--ISNUMBER(SEARCH("R58",G125)),0)+IFERROR(--ISNUMBER(SEARCH("R59",G125)),0)+IFERROR(--ISNUMBER(SEARCH("R60",G125)),0)+IFERROR(--ISNUMBER(SEARCH("R62",G125)),0)+IFERROR(--ISNUMBER(SEARCH("R63",G125)),0)+IFERROR(--ISNUMBER(SEARCH("R64",G125)),0)+IFERROR(--ISNUMBER(SEARCH("R66",G125)),0)+IFERROR(--ISNUMBER(SEARCH("R67",G125)),0)+IFERROR(--ISNUMBER(SEARCH("R72",G125)),0)+IFERROR(--ISNUMBER(SEARCH("R74",G125)),0)+IFERROR(--ISNUMBER(SEARCH("R75",G125)),0)+IFERROR(--ISNUMBER(SEARCH("R76",G125)),0)+IFERROR(--ISNUMBER(SEARCH("R77",G125)),0)+IFERROR(--ISNUMBER(SEARCH("R79",G125)),0)+IFERROR(--ISNUMBER(SEARCH("R80",G125)),0)+IFERROR(--ISNUMBER(SEARCH("R81",G125)),0)+IFERROR(--ISNUMBER(SEARCH("R83",G125)),0)+IFERROR(--ISNUMBER(SEARCH("R84",G125)),0)+IFERROR(--ISNUMBER(SEARCH("R89",G125)),0)+IFERROR(--ISNUMBER(SEARCH("R94",G125)),0)+IFERROR(--ISNUMBER(SEARCH("R95",G125)),0)+IFERROR(--ISNUMBER(SEARCH("R96",G125)),0)+IFERROR(--ISNUMBER(SEARCH("R98",G125)),0)+IFERROR(--ISNUMBER(SEARCH("R99",G125)),0)+IFERROR(--ISNUMBER(SEARCH("R100",G125)),0)+IFERROR(--ISNUMBER(SEARCH("R104",G125)),0)+IFERROR(--ISNUMBER(SEARCH("R105",G125)),0)+IFERROR(--ISNUMBER(SEARCH("R107",G125)),0)+IFERROR(--ISNUMBER(SEARCH("R108",G125)),0)+IFERROR(--ISNUMBER(SEARCH("R109",G125)),0)+IFERROR(--ISNUMBER(SEARCH("R110",G125)),0)+IFERROR(--ISNUMBER(SEARCH("R112",G125)),0)+IFERROR(--ISNUMBER(SEARCH("R113",G125)),0)+IFERROR(--ISNUMBER(SEARCH("R114",G125)),0)+IFERROR(--ISNUMBER(SEARCH("R118",G125)),0)+IFERROR(--ISNUMBER(SEARCH("R119",G125)),0)+IFERROR(--ISNUMBER(SEARCH("R120",G125)),0)+IFERROR(--ISNUMBER(SEARCH("R122",G125)),0)+IFERROR(--ISNUMBER(SEARCH("R123",G125)),0)+IFERROR(--ISNUMBER(SEARCH("R124",G125)),0)+IFERROR(--ISNUMBER(SEARCH("R128",G125)),0)+IFERROR(--ISNUMBER(SEARCH("R130",G125)),0)+IFERROR(--ISNUMBER(SEARCH("R131",G125)),0)+IFERROR(--ISNUMBER(SEARCH("R132",G125)),0)+IFERROR(--ISNUMBER(SEARCH("R135",G125)),0)+IFERROR(--ISNUMBER(SEARCH("R138",G125)),0)+IFERROR(--ISNUMBER(SEARCH("R141",G125)),0))</f>
        <v/>
      </c>
      <c r="U125" s="58">
        <f>IF(A125="","",IFERROR(--ISNUMBER(SEARCH("R28",G125))*28,0)+IFERROR(--ISNUMBER(SEARCH("R29",G125))*29,0)+IFERROR(--ISNUMBER(SEARCH("R30",G125))*30,0)+IFERROR(--ISNUMBER(SEARCH("R31",G125))*31,0)+IFERROR(--ISNUMBER(SEARCH("R32",G125))*32,0)+IFERROR(--ISNUMBER(SEARCH("R33",G125))*33,0)+IFERROR(--ISNUMBER(SEARCH("R34",G125))*34,0)+IFERROR(--ISNUMBER(SEARCH("R35",G125))*35,0)+IFERROR(--ISNUMBER(SEARCH("R36",G125))*36,0)+IFERROR(--ISNUMBER(SEARCH("R37",G125))*37,0)+IFERROR(--ISNUMBER(SEARCH("R38",G125))*38,0)+IFERROR(--ISNUMBER(SEARCH("R39",G125))*39,0)+IFERROR(--ISNUMBER(SEARCH("R40",G125))*40,0)+IFERROR(--ISNUMBER(SEARCH("R41",G125))*41,0)+IFERROR(--ISNUMBER(SEARCH("R42",G125))*42,0)+IFERROR(--ISNUMBER(SEARCH("R43",G125))*43,0)+IFERROR(--ISNUMBER(SEARCH("R44",G125))*44,0)+IFERROR(--ISNUMBER(SEARCH("R45",G125))*45,0)+IFERROR(--ISNUMBER(SEARCH("R46",G125))*46,0)+IFERROR(--ISNUMBER(SEARCH("R47",G125))*47,0)+IFERROR(--ISNUMBER(SEARCH("R48",G125))*48,0)+IFERROR(--ISNUMBER(SEARCH("R49",G125))*49,0)+IFERROR(--ISNUMBER(SEARCH("R50",G125))*50,0)+IFERROR(--ISNUMBER(SEARCH("R51",G125))*51,0)+IFERROR(--ISNUMBER(SEARCH("R52",G125))*52,0)+IFERROR(--ISNUMBER(SEARCH("R53",G125))*53,0)+IFERROR(--ISNUMBER(SEARCH("R54",G125))*54,0)+IFERROR(--ISNUMBER(SEARCH("R55",G125))*55,0)+IFERROR(--ISNUMBER(SEARCH("R56",G125))*56,0)+IFERROR(--ISNUMBER(SEARCH("R57",G125))*57,0)+IFERROR(--ISNUMBER(SEARCH("R58",G125))*58,0)+IFERROR(--ISNUMBER(SEARCH("R59",G125))*59,0)+IFERROR(--ISNUMBER(SEARCH("R60",G125))*60,0)+IFERROR(--ISNUMBER(SEARCH("R61",G125))*61,0)+IFERROR(--ISNUMBER(SEARCH("R62",G125))*62,0)+IFERROR(--ISNUMBER(SEARCH("R63",G125))*63,0)+IFERROR(--ISNUMBER(SEARCH("R64",G125))*64,0)+IFERROR(--ISNUMBER(SEARCH("R65",G125))*65,0)+IFERROR(--ISNUMBER(SEARCH("R66",G125))*66,0)+IFERROR(--ISNUMBER(SEARCH("R67",G125))*67,0)+IFERROR(--ISNUMBER(SEARCH("R68",G125))*68,0)+IFERROR(--ISNUMBER(SEARCH("R69",G125))*69,0)+IFERROR(--ISNUMBER(SEARCH("R70",G125))*70,0)+IFERROR(--ISNUMBER(SEARCH("R71",G125))*71,0)+IFERROR(--ISNUMBER(SEARCH("R72",G125))*72,0)+IFERROR(--ISNUMBER(SEARCH("R73",G125))*73,0)+IFERROR(--ISNUMBER(SEARCH("R74",G125))*74,0)+IFERROR(--ISNUMBER(SEARCH("R75",G125))*75,0)+IFERROR(--ISNUMBER(SEARCH("R76",G125))*76,0)+IFERROR(--ISNUMBER(SEARCH("R77",G125))*77,0)+IFERROR(--ISNUMBER(SEARCH("R78",G125))*78,0)+IFERROR(--ISNUMBER(SEARCH("R79",G125))*79,0)+IFERROR(--ISNUMBER(SEARCH("R80",G125))*80,0)+IFERROR(--ISNUMBER(SEARCH("R81",G125))*81,0)+IFERROR(--ISNUMBER(SEARCH("R82",G125))*82,0)+IFERROR(--ISNUMBER(SEARCH("R83",G125))*83,0)+IFERROR(--ISNUMBER(SEARCH("R84",G125))*84,0)+IFERROR(--ISNUMBER(SEARCH("R85",G125))*85,0)+IFERROR(--ISNUMBER(SEARCH("R86",G125))*86,0)+IFERROR(--ISNUMBER(SEARCH("R87",G125))*87,0)+IFERROR(--ISNUMBER(SEARCH("R88",G125))*88,0)+IFERROR(--ISNUMBER(SEARCH("R89",G125))*89,0)+IFERROR(--ISNUMBER(SEARCH("R90",G125))*90,0)+IFERROR(--ISNUMBER(SEARCH("R91",G125))*91,0)+IFERROR(--ISNUMBER(SEARCH("R92",G125))*92,0)+IFERROR(--ISNUMBER(SEARCH("R93",G125))*93,0)+IFERROR(--ISNUMBER(SEARCH("R94",G125))*94,0)+IFERROR(--ISNUMBER(SEARCH("R95",G125))*95,0)+IFERROR(--ISNUMBER(SEARCH("R96",G125))*96,0)+IFERROR(--ISNUMBER(SEARCH("R97",G125))*97,0)+IFERROR(--ISNUMBER(SEARCH("R98",G125))*98,0)+IFERROR(--ISNUMBER(SEARCH("R99",G125))*99,0)+IFERROR(--ISNUMBER(SEARCH("R100",G125))*100,0)+IFERROR(--ISNUMBER(SEARCH("R101",G125))*101,0)+IFERROR(--ISNUMBER(SEARCH("R102",G125))*102,0)+IFERROR(--ISNUMBER(SEARCH("R103",G125))*103,0)+IFERROR(--ISNUMBER(SEARCH("R104",G125))*104,0)+IFERROR(--ISNUMBER(SEARCH("R105",G125))*105,0)+IFERROR(--ISNUMBER(SEARCH("R106",G125))*106,0)+IFERROR(--ISNUMBER(SEARCH("R107",G125))*107,0)+IFERROR(--ISNUMBER(SEARCH("R108",G125))*108,0)+IFERROR(--ISNUMBER(SEARCH("R109",G125))*109,0)+IFERROR(--ISNUMBER(SEARCH("R110",G125))*110,0)+IFERROR(--ISNUMBER(SEARCH("R111",G125))*111,0)+IFERROR(--ISNUMBER(SEARCH("R112",G125))*112,0)+IFERROR(--ISNUMBER(SEARCH("R113",G125))*113,0)+IFERROR(--ISNUMBER(SEARCH("R114",G125))*114,0)+IFERROR(--ISNUMBER(SEARCH("R115",G125))*115,0)+IFERROR(--ISNUMBER(SEARCH("R116",G125))*116,0)+IFERROR(--ISNUMBER(SEARCH("R117",G125))*117,0)+IFERROR(--ISNUMBER(SEARCH("R118",G125))*118,0)+IFERROR(--ISNUMBER(SEARCH("R119",G125))*119,0)+IFERROR(--ISNUMBER(SEARCH("R120",G125))*120,0)+IFERROR(--ISNUMBER(SEARCH("R121",G125))*121,0)+IFERROR(--ISNUMBER(SEARCH("R122",G125))*122,0)+IFERROR(--ISNUMBER(SEARCH("R123",G125))*123,0)+IFERROR(--ISNUMBER(SEARCH("R124",G125))*124,0)+IFERROR(--ISNUMBER(SEARCH("R125",G125))*125,0)+IFERROR(--ISNUMBER(SEARCH("R126",G125))*126,0)+IFERROR(--ISNUMBER(SEARCH("R127",G125))*127,0)+IFERROR(--ISNUMBER(SEARCH("R128",G125))*128,0)+IFERROR(--ISNUMBER(SEARCH("R129",G125))*129,0)+IFERROR(--ISNUMBER(SEARCH("R130",G125))*130,0)+IFERROR(--ISNUMBER(SEARCH("R131",G125))*131,0)+IFERROR(--ISNUMBER(SEARCH("R132",G125))*132,0)+IFERROR(--ISNUMBER(SEARCH("R133",G125))*133,0)+IFERROR(--ISNUMBER(SEARCH("R134",G125))*134,0)+IFERROR(--ISNUMBER(SEARCH("R135",G125))*135,0)+IFERROR(--ISNUMBER(SEARCH("R136",G125))*136,0)+IFERROR(--ISNUMBER(SEARCH("R137",G125))*137,0)+IFERROR(--ISNUMBER(SEARCH("R138",G125))*138,0)+IFERROR(--ISNUMBER(SEARCH("R139",G125))*139,0)+IFERROR(--ISNUMBER(SEARCH("R140",G125))*140,0)+IFERROR(--ISNUMBER(SEARCH("R141",G125))*141,0))</f>
        <v/>
      </c>
      <c r="V125" s="59">
        <f>IF(A125="","",IF(K125&lt;&gt;"",K125,J125))</f>
        <v/>
      </c>
      <c r="W125" s="59">
        <f>IF(A125="","",IF(AND(V125=29,O125&lt;&gt;"",COUNTIFS($V$6:$V$505,29,$F$6:$F$505,F125,$C$6:$C$505,C125,$O$6:$O$505,"&lt;&gt;")&gt;1),IF(COUNTIFS($V$6:V125,29,$F$6:F125,F125,$C$6:C125,C125,$O$6:O125,"&lt;&gt;")=1,"Esta es la fila que se debe CONSERVAR (aparición 1 de "&amp;COUNTIFS($V$6:$V$505,29,$F$6:$F$505,F125,$C$6:$C$505,C125,$O$6:$O$505,"&lt;&gt;")&amp;" con el mismo tercero y valor, casilla 29). Si hay más filas iguales, bórreles el valor a ELLAS, no a esta.","DUPLICADO — ya existe otra fila con el mismo tercero y valor para casilla 29 (aparición "&amp;COUNTIFS($V$6:V125,29,$F$6:F125,F125,$C$6:C125,C125,$O$6:O125,"&lt;&gt;")&amp;" de "&amp;COUNTIFS($V$6:$V$505,29,$F$6:$F$505,F125,$C$6:$C$505,C125,$O$6:$O$505,"&lt;&gt;")&amp;"). Para resolverlo: seleccione la celda O"&amp;ROW()&amp;" (columna Valor a declarar de ESTA fila) y presione Supr."),""))</f>
        <v/>
      </c>
      <c r="X125" s="463">
        <f>IF(A125="","",F125)</f>
        <v/>
      </c>
      <c r="Y125" s="463">
        <f>IF(A125="","",SUMIF(Entrada_Manual!$I$88:$I$187,A125,Entrada_Manual!$F$88:$F$187))</f>
        <v/>
      </c>
      <c r="Z125" s="463">
        <f>IF(A125="","",X125-Y125)</f>
        <v/>
      </c>
      <c r="AA125">
        <f>IF(A125="","",SUMPRODUCT((Entrada_Manual!$I$88:$I$187=A125)*1))</f>
        <v/>
      </c>
      <c r="AB125">
        <f>IF(A125="","",IF(S125&lt;=1,"",IF(AA125=0,"PENDIENTE — SIN ASIGNAR",IF(Z125=0,"RESUELTO","PARCIAL — DIFERENCIA "&amp;TEXT(Z125,"#,##0")))))</f>
        <v/>
      </c>
    </row>
    <row r="126" ht="14.25" customHeight="1" s="235">
      <c r="A126" s="47">
        <f>IF(Exogena_RAW!E135&lt;&gt;"",ROW()-5,"")</f>
        <v/>
      </c>
      <c r="B126" s="48">
        <f>IF(A126="","",135)</f>
        <v/>
      </c>
      <c r="C126" s="48">
        <f>IF(A126="","",IFERROR(Exogena_RAW!A135,""))</f>
        <v/>
      </c>
      <c r="D126" s="48">
        <f>IF(A126="","",IFERROR(Exogena_RAW!B135,""))</f>
        <v/>
      </c>
      <c r="E126" s="48">
        <f>IF(A126="","",Exogena_RAW!E135)</f>
        <v/>
      </c>
      <c r="F126" s="461">
        <f>IF(A126="","",Exogena_RAW!F135)</f>
        <v/>
      </c>
      <c r="G126" s="48">
        <f>IF(A126="","",IFERROR(Exogena_RAW!G135,""))</f>
        <v/>
      </c>
      <c r="H126" s="48">
        <f>IF(A126="","",IFERROR(Exogena_RAW!H135,""))</f>
        <v/>
      </c>
      <c r="I126" s="48">
        <f>IF(A126="","",IFERROR(IF(S126&gt;1,"VARIAS CASILLAS",IF(S126=1,IF(T126=1,"PROPUESTA DE CASILLA","REVISIÓN: CASILLA NO DIRECTA"),IF(OR(ISNUMBER(SEARCH("TOPE",UPPER(E126))),ISNUMBER(SEARCH("TOPE",UPPER(G126)))),"SOLO CONTROL",IF(ISNUMBER(SEARCH("RETEN",UPPER(E126))),"RETENCIÓN","REVISAR")))),"REVISAR"))</f>
        <v/>
      </c>
      <c r="J126" s="48">
        <f>IF(A126="","",IF(ISNUMBER(SEARCH("ingreso laboral promedio de los últimos seis meses",E126)),"",IFERROR(IF(AND(S126=1,T126=1),U126,""),"")))</f>
        <v/>
      </c>
      <c r="K126" s="216" t="n"/>
      <c r="L126" s="48">
        <f>IF(A126="","",IFERROR(IF(K126&lt;&gt;"","Casilla elegida por usuario",IF(S126&gt;1,"Varias casillas — elegir en K",IF(J126&lt;&gt;"","Sugerencia directa",IF(S126=1,"No trasladar directo — revisar",IF(OR(ISNUMBER(SEARCH("TOPE",UPPER(E126))),ISNUMBER(SEARCH("TOPE",UPPER(G126)))),"Solo control","Revisar manualmente"))))),"Revisar manualmente"))</f>
        <v/>
      </c>
      <c r="M126" s="461">
        <f>IF(A126="","",IF(IF(K126&lt;&gt;"",K126,J126)="",0,IF(COUNTIFS(Reglas!$I$5:$I$118,IF(K126&lt;&gt;"",K126,J126),Reglas!$J$5:$J$118,"Sí")=1,F126,0)))</f>
        <v/>
      </c>
      <c r="N126" s="56" t="n"/>
      <c r="O126" s="462">
        <f>IF(A126="","",IF(M126=0,"",M126))</f>
        <v/>
      </c>
      <c r="P126" s="461">
        <f>IF(A126="","",IF(O126="",0,IF(ISNUMBER(O126),O126,0)))</f>
        <v/>
      </c>
      <c r="Q126" s="48">
        <f>IF(A126="","",IF(Exogena_RAW!$C$4="","BLOQUEADO: FALTA AÑO",IF(Exogena_RAW!$K$10&lt;&gt;Reglas!$B$5,"BLOQUEADO: AÑO",IF(IF(K126&lt;&gt;"",K126,J126)="",IF(S126&gt;1,"REQUIERE ASIGNACIÓN MANUAL (VARIAS CASILLAS)","INFORMATIVO (sin casilla — no se declara)"),IF(COUNTIFS(Reglas!$I$5:$I$118,IF(K126&lt;&gt;"",K126,J126),Reglas!$J$5:$J$118,"Sí")=0,"BLOQUEADO: CASILLA NO DIRECTA",IF(O126="","EXCLUIDO (valor borrado por el usuario)",IF(_xlfn.ISFORMULA(O126),IF(W126&lt;&gt;"","BORRADOR — VALOR SUGERIDO DIAN ⚠ VER ALERTA","BORRADOR — VALOR SUGERIDO DIAN"),IF(W126&lt;&gt;"","ACEPTADO ⚠ VER ALERTA","ACEPTADO"))))))))</f>
        <v/>
      </c>
      <c r="R126" s="218" t="n"/>
      <c r="S126" s="58">
        <f>IF(A126="","",IFERROR(--ISNUMBER(SEARCH("R28",G126)),0)+IFERROR(--ISNUMBER(SEARCH("R29",G126)),0)+IFERROR(--ISNUMBER(SEARCH("R30",G126)),0)+IFERROR(--ISNUMBER(SEARCH("R31",G126)),0)+IFERROR(--ISNUMBER(SEARCH("R32",G126)),0)+IFERROR(--ISNUMBER(SEARCH("R33",G126)),0)+IFERROR(--ISNUMBER(SEARCH("R34",G126)),0)+IFERROR(--ISNUMBER(SEARCH("R35",G126)),0)+IFERROR(--ISNUMBER(SEARCH("R36",G126)),0)+IFERROR(--ISNUMBER(SEARCH("R37",G126)),0)+IFERROR(--ISNUMBER(SEARCH("R38",G126)),0)+IFERROR(--ISNUMBER(SEARCH("R39",G126)),0)+IFERROR(--ISNUMBER(SEARCH("R40",G126)),0)+IFERROR(--ISNUMBER(SEARCH("R41",G126)),0)+IFERROR(--ISNUMBER(SEARCH("R42",G126)),0)+IFERROR(--ISNUMBER(SEARCH("R43",G126)),0)+IFERROR(--ISNUMBER(SEARCH("R44",G126)),0)+IFERROR(--ISNUMBER(SEARCH("R45",G126)),0)+IFERROR(--ISNUMBER(SEARCH("R46",G126)),0)+IFERROR(--ISNUMBER(SEARCH("R47",G126)),0)+IFERROR(--ISNUMBER(SEARCH("R48",G126)),0)+IFERROR(--ISNUMBER(SEARCH("R49",G126)),0)+IFERROR(--ISNUMBER(SEARCH("R50",G126)),0)+IFERROR(--ISNUMBER(SEARCH("R51",G126)),0)+IFERROR(--ISNUMBER(SEARCH("R52",G126)),0)+IFERROR(--ISNUMBER(SEARCH("R53",G126)),0)+IFERROR(--ISNUMBER(SEARCH("R54",G126)),0)+IFERROR(--ISNUMBER(SEARCH("R55",G126)),0)+IFERROR(--ISNUMBER(SEARCH("R56",G126)),0)+IFERROR(--ISNUMBER(SEARCH("R57",G126)),0)+IFERROR(--ISNUMBER(SEARCH("R58",G126)),0)+IFERROR(--ISNUMBER(SEARCH("R59",G126)),0)+IFERROR(--ISNUMBER(SEARCH("R60",G126)),0)+IFERROR(--ISNUMBER(SEARCH("R61",G126)),0)+IFERROR(--ISNUMBER(SEARCH("R62",G126)),0)+IFERROR(--ISNUMBER(SEARCH("R63",G126)),0)+IFERROR(--ISNUMBER(SEARCH("R64",G126)),0)+IFERROR(--ISNUMBER(SEARCH("R65",G126)),0)+IFERROR(--ISNUMBER(SEARCH("R66",G126)),0)+IFERROR(--ISNUMBER(SEARCH("R67",G126)),0)+IFERROR(--ISNUMBER(SEARCH("R68",G126)),0)+IFERROR(--ISNUMBER(SEARCH("R69",G126)),0)+IFERROR(--ISNUMBER(SEARCH("R70",G126)),0)+IFERROR(--ISNUMBER(SEARCH("R71",G126)),0)+IFERROR(--ISNUMBER(SEARCH("R72",G126)),0)+IFERROR(--ISNUMBER(SEARCH("R73",G126)),0)+IFERROR(--ISNUMBER(SEARCH("R74",G126)),0)+IFERROR(--ISNUMBER(SEARCH("R75",G126)),0)+IFERROR(--ISNUMBER(SEARCH("R76",G126)),0)+IFERROR(--ISNUMBER(SEARCH("R77",G126)),0)+IFERROR(--ISNUMBER(SEARCH("R78",G126)),0)+IFERROR(--ISNUMBER(SEARCH("R79",G126)),0)+IFERROR(--ISNUMBER(SEARCH("R80",G126)),0)+IFERROR(--ISNUMBER(SEARCH("R81",G126)),0)+IFERROR(--ISNUMBER(SEARCH("R82",G126)),0)+IFERROR(--ISNUMBER(SEARCH("R83",G126)),0)+IFERROR(--ISNUMBER(SEARCH("R84",G126)),0)+IFERROR(--ISNUMBER(SEARCH("R85",G126)),0)+IFERROR(--ISNUMBER(SEARCH("R86",G126)),0)+IFERROR(--ISNUMBER(SEARCH("R87",G126)),0)+IFERROR(--ISNUMBER(SEARCH("R88",G126)),0)+IFERROR(--ISNUMBER(SEARCH("R89",G126)),0)+IFERROR(--ISNUMBER(SEARCH("R90",G126)),0)+IFERROR(--ISNUMBER(SEARCH("R91",G126)),0)+IFERROR(--ISNUMBER(SEARCH("R92",G126)),0)+IFERROR(--ISNUMBER(SEARCH("R93",G126)),0)+IFERROR(--ISNUMBER(SEARCH("R94",G126)),0)+IFERROR(--ISNUMBER(SEARCH("R95",G126)),0)+IFERROR(--ISNUMBER(SEARCH("R96",G126)),0)+IFERROR(--ISNUMBER(SEARCH("R97",G126)),0)+IFERROR(--ISNUMBER(SEARCH("R98",G126)),0)+IFERROR(--ISNUMBER(SEARCH("R99",G126)),0)+IFERROR(--ISNUMBER(SEARCH("R100",G126)),0)+IFERROR(--ISNUMBER(SEARCH("R101",G126)),0)+IFERROR(--ISNUMBER(SEARCH("R102",G126)),0)+IFERROR(--ISNUMBER(SEARCH("R103",G126)),0)+IFERROR(--ISNUMBER(SEARCH("R104",G126)),0)+IFERROR(--ISNUMBER(SEARCH("R105",G126)),0)+IFERROR(--ISNUMBER(SEARCH("R106",G126)),0)+IFERROR(--ISNUMBER(SEARCH("R107",G126)),0)+IFERROR(--ISNUMBER(SEARCH("R108",G126)),0)+IFERROR(--ISNUMBER(SEARCH("R109",G126)),0)+IFERROR(--ISNUMBER(SEARCH("R110",G126)),0)+IFERROR(--ISNUMBER(SEARCH("R111",G126)),0)+IFERROR(--ISNUMBER(SEARCH("R112",G126)),0)+IFERROR(--ISNUMBER(SEARCH("R113",G126)),0)+IFERROR(--ISNUMBER(SEARCH("R114",G126)),0)+IFERROR(--ISNUMBER(SEARCH("R115",G126)),0)+IFERROR(--ISNUMBER(SEARCH("R116",G126)),0)+IFERROR(--ISNUMBER(SEARCH("R117",G126)),0)+IFERROR(--ISNUMBER(SEARCH("R118",G126)),0)+IFERROR(--ISNUMBER(SEARCH("R119",G126)),0)+IFERROR(--ISNUMBER(SEARCH("R120",G126)),0)+IFERROR(--ISNUMBER(SEARCH("R121",G126)),0)+IFERROR(--ISNUMBER(SEARCH("R122",G126)),0)+IFERROR(--ISNUMBER(SEARCH("R123",G126)),0)+IFERROR(--ISNUMBER(SEARCH("R124",G126)),0)+IFERROR(--ISNUMBER(SEARCH("R125",G126)),0)+IFERROR(--ISNUMBER(SEARCH("R126",G126)),0)+IFERROR(--ISNUMBER(SEARCH("R127",G126)),0)+IFERROR(--ISNUMBER(SEARCH("R128",G126)),0)+IFERROR(--ISNUMBER(SEARCH("R129",G126)),0)+IFERROR(--ISNUMBER(SEARCH("R130",G126)),0)+IFERROR(--ISNUMBER(SEARCH("R131",G126)),0)+IFERROR(--ISNUMBER(SEARCH("R132",G126)),0)+IFERROR(--ISNUMBER(SEARCH("R133",G126)),0)+IFERROR(--ISNUMBER(SEARCH("R134",G126)),0)+IFERROR(--ISNUMBER(SEARCH("R135",G126)),0)+IFERROR(--ISNUMBER(SEARCH("R136",G126)),0)+IFERROR(--ISNUMBER(SEARCH("R137",G126)),0)+IFERROR(--ISNUMBER(SEARCH("R138",G126)),0)+IFERROR(--ISNUMBER(SEARCH("R139",G126)),0)+IFERROR(--ISNUMBER(SEARCH("R140",G126)),0)+IFERROR(--ISNUMBER(SEARCH("R141",G126)),0))</f>
        <v/>
      </c>
      <c r="T126" s="58">
        <f>IF(A126="","",IFERROR(--ISNUMBER(SEARCH("R28",G126)),0)+IFERROR(--ISNUMBER(SEARCH("R29",G126)),0)+IFERROR(--ISNUMBER(SEARCH("R30",G126)),0)+IFERROR(--ISNUMBER(SEARCH("R32",G126)),0)+IFERROR(--ISNUMBER(SEARCH("R33",G126)),0)+IFERROR(--ISNUMBER(SEARCH("R35",G126)),0)+IFERROR(--ISNUMBER(SEARCH("R36",G126)),0)+IFERROR(--ISNUMBER(SEARCH("R38",G126)),0)+IFERROR(--ISNUMBER(SEARCH("R39",G126)),0)+IFERROR(--ISNUMBER(SEARCH("R43",G126)),0)+IFERROR(--ISNUMBER(SEARCH("R44",G126)),0)+IFERROR(--ISNUMBER(SEARCH("R45",G126)),0)+IFERROR(--ISNUMBER(SEARCH("R47",G126)),0)+IFERROR(--ISNUMBER(SEARCH("R48",G126)),0)+IFERROR(--ISNUMBER(SEARCH("R50",G126)),0)+IFERROR(--ISNUMBER(SEARCH("R51",G126)),0)+IFERROR(--ISNUMBER(SEARCH("R56",G126)),0)+IFERROR(--ISNUMBER(SEARCH("R58",G126)),0)+IFERROR(--ISNUMBER(SEARCH("R59",G126)),0)+IFERROR(--ISNUMBER(SEARCH("R60",G126)),0)+IFERROR(--ISNUMBER(SEARCH("R62",G126)),0)+IFERROR(--ISNUMBER(SEARCH("R63",G126)),0)+IFERROR(--ISNUMBER(SEARCH("R64",G126)),0)+IFERROR(--ISNUMBER(SEARCH("R66",G126)),0)+IFERROR(--ISNUMBER(SEARCH("R67",G126)),0)+IFERROR(--ISNUMBER(SEARCH("R72",G126)),0)+IFERROR(--ISNUMBER(SEARCH("R74",G126)),0)+IFERROR(--ISNUMBER(SEARCH("R75",G126)),0)+IFERROR(--ISNUMBER(SEARCH("R76",G126)),0)+IFERROR(--ISNUMBER(SEARCH("R77",G126)),0)+IFERROR(--ISNUMBER(SEARCH("R79",G126)),0)+IFERROR(--ISNUMBER(SEARCH("R80",G126)),0)+IFERROR(--ISNUMBER(SEARCH("R81",G126)),0)+IFERROR(--ISNUMBER(SEARCH("R83",G126)),0)+IFERROR(--ISNUMBER(SEARCH("R84",G126)),0)+IFERROR(--ISNUMBER(SEARCH("R89",G126)),0)+IFERROR(--ISNUMBER(SEARCH("R94",G126)),0)+IFERROR(--ISNUMBER(SEARCH("R95",G126)),0)+IFERROR(--ISNUMBER(SEARCH("R96",G126)),0)+IFERROR(--ISNUMBER(SEARCH("R98",G126)),0)+IFERROR(--ISNUMBER(SEARCH("R99",G126)),0)+IFERROR(--ISNUMBER(SEARCH("R100",G126)),0)+IFERROR(--ISNUMBER(SEARCH("R104",G126)),0)+IFERROR(--ISNUMBER(SEARCH("R105",G126)),0)+IFERROR(--ISNUMBER(SEARCH("R107",G126)),0)+IFERROR(--ISNUMBER(SEARCH("R108",G126)),0)+IFERROR(--ISNUMBER(SEARCH("R109",G126)),0)+IFERROR(--ISNUMBER(SEARCH("R110",G126)),0)+IFERROR(--ISNUMBER(SEARCH("R112",G126)),0)+IFERROR(--ISNUMBER(SEARCH("R113",G126)),0)+IFERROR(--ISNUMBER(SEARCH("R114",G126)),0)+IFERROR(--ISNUMBER(SEARCH("R118",G126)),0)+IFERROR(--ISNUMBER(SEARCH("R119",G126)),0)+IFERROR(--ISNUMBER(SEARCH("R120",G126)),0)+IFERROR(--ISNUMBER(SEARCH("R122",G126)),0)+IFERROR(--ISNUMBER(SEARCH("R123",G126)),0)+IFERROR(--ISNUMBER(SEARCH("R124",G126)),0)+IFERROR(--ISNUMBER(SEARCH("R128",G126)),0)+IFERROR(--ISNUMBER(SEARCH("R130",G126)),0)+IFERROR(--ISNUMBER(SEARCH("R131",G126)),0)+IFERROR(--ISNUMBER(SEARCH("R132",G126)),0)+IFERROR(--ISNUMBER(SEARCH("R135",G126)),0)+IFERROR(--ISNUMBER(SEARCH("R138",G126)),0)+IFERROR(--ISNUMBER(SEARCH("R141",G126)),0))</f>
        <v/>
      </c>
      <c r="U126" s="58">
        <f>IF(A126="","",IFERROR(--ISNUMBER(SEARCH("R28",G126))*28,0)+IFERROR(--ISNUMBER(SEARCH("R29",G126))*29,0)+IFERROR(--ISNUMBER(SEARCH("R30",G126))*30,0)+IFERROR(--ISNUMBER(SEARCH("R31",G126))*31,0)+IFERROR(--ISNUMBER(SEARCH("R32",G126))*32,0)+IFERROR(--ISNUMBER(SEARCH("R33",G126))*33,0)+IFERROR(--ISNUMBER(SEARCH("R34",G126))*34,0)+IFERROR(--ISNUMBER(SEARCH("R35",G126))*35,0)+IFERROR(--ISNUMBER(SEARCH("R36",G126))*36,0)+IFERROR(--ISNUMBER(SEARCH("R37",G126))*37,0)+IFERROR(--ISNUMBER(SEARCH("R38",G126))*38,0)+IFERROR(--ISNUMBER(SEARCH("R39",G126))*39,0)+IFERROR(--ISNUMBER(SEARCH("R40",G126))*40,0)+IFERROR(--ISNUMBER(SEARCH("R41",G126))*41,0)+IFERROR(--ISNUMBER(SEARCH("R42",G126))*42,0)+IFERROR(--ISNUMBER(SEARCH("R43",G126))*43,0)+IFERROR(--ISNUMBER(SEARCH("R44",G126))*44,0)+IFERROR(--ISNUMBER(SEARCH("R45",G126))*45,0)+IFERROR(--ISNUMBER(SEARCH("R46",G126))*46,0)+IFERROR(--ISNUMBER(SEARCH("R47",G126))*47,0)+IFERROR(--ISNUMBER(SEARCH("R48",G126))*48,0)+IFERROR(--ISNUMBER(SEARCH("R49",G126))*49,0)+IFERROR(--ISNUMBER(SEARCH("R50",G126))*50,0)+IFERROR(--ISNUMBER(SEARCH("R51",G126))*51,0)+IFERROR(--ISNUMBER(SEARCH("R52",G126))*52,0)+IFERROR(--ISNUMBER(SEARCH("R53",G126))*53,0)+IFERROR(--ISNUMBER(SEARCH("R54",G126))*54,0)+IFERROR(--ISNUMBER(SEARCH("R55",G126))*55,0)+IFERROR(--ISNUMBER(SEARCH("R56",G126))*56,0)+IFERROR(--ISNUMBER(SEARCH("R57",G126))*57,0)+IFERROR(--ISNUMBER(SEARCH("R58",G126))*58,0)+IFERROR(--ISNUMBER(SEARCH("R59",G126))*59,0)+IFERROR(--ISNUMBER(SEARCH("R60",G126))*60,0)+IFERROR(--ISNUMBER(SEARCH("R61",G126))*61,0)+IFERROR(--ISNUMBER(SEARCH("R62",G126))*62,0)+IFERROR(--ISNUMBER(SEARCH("R63",G126))*63,0)+IFERROR(--ISNUMBER(SEARCH("R64",G126))*64,0)+IFERROR(--ISNUMBER(SEARCH("R65",G126))*65,0)+IFERROR(--ISNUMBER(SEARCH("R66",G126))*66,0)+IFERROR(--ISNUMBER(SEARCH("R67",G126))*67,0)+IFERROR(--ISNUMBER(SEARCH("R68",G126))*68,0)+IFERROR(--ISNUMBER(SEARCH("R69",G126))*69,0)+IFERROR(--ISNUMBER(SEARCH("R70",G126))*70,0)+IFERROR(--ISNUMBER(SEARCH("R71",G126))*71,0)+IFERROR(--ISNUMBER(SEARCH("R72",G126))*72,0)+IFERROR(--ISNUMBER(SEARCH("R73",G126))*73,0)+IFERROR(--ISNUMBER(SEARCH("R74",G126))*74,0)+IFERROR(--ISNUMBER(SEARCH("R75",G126))*75,0)+IFERROR(--ISNUMBER(SEARCH("R76",G126))*76,0)+IFERROR(--ISNUMBER(SEARCH("R77",G126))*77,0)+IFERROR(--ISNUMBER(SEARCH("R78",G126))*78,0)+IFERROR(--ISNUMBER(SEARCH("R79",G126))*79,0)+IFERROR(--ISNUMBER(SEARCH("R80",G126))*80,0)+IFERROR(--ISNUMBER(SEARCH("R81",G126))*81,0)+IFERROR(--ISNUMBER(SEARCH("R82",G126))*82,0)+IFERROR(--ISNUMBER(SEARCH("R83",G126))*83,0)+IFERROR(--ISNUMBER(SEARCH("R84",G126))*84,0)+IFERROR(--ISNUMBER(SEARCH("R85",G126))*85,0)+IFERROR(--ISNUMBER(SEARCH("R86",G126))*86,0)+IFERROR(--ISNUMBER(SEARCH("R87",G126))*87,0)+IFERROR(--ISNUMBER(SEARCH("R88",G126))*88,0)+IFERROR(--ISNUMBER(SEARCH("R89",G126))*89,0)+IFERROR(--ISNUMBER(SEARCH("R90",G126))*90,0)+IFERROR(--ISNUMBER(SEARCH("R91",G126))*91,0)+IFERROR(--ISNUMBER(SEARCH("R92",G126))*92,0)+IFERROR(--ISNUMBER(SEARCH("R93",G126))*93,0)+IFERROR(--ISNUMBER(SEARCH("R94",G126))*94,0)+IFERROR(--ISNUMBER(SEARCH("R95",G126))*95,0)+IFERROR(--ISNUMBER(SEARCH("R96",G126))*96,0)+IFERROR(--ISNUMBER(SEARCH("R97",G126))*97,0)+IFERROR(--ISNUMBER(SEARCH("R98",G126))*98,0)+IFERROR(--ISNUMBER(SEARCH("R99",G126))*99,0)+IFERROR(--ISNUMBER(SEARCH("R100",G126))*100,0)+IFERROR(--ISNUMBER(SEARCH("R101",G126))*101,0)+IFERROR(--ISNUMBER(SEARCH("R102",G126))*102,0)+IFERROR(--ISNUMBER(SEARCH("R103",G126))*103,0)+IFERROR(--ISNUMBER(SEARCH("R104",G126))*104,0)+IFERROR(--ISNUMBER(SEARCH("R105",G126))*105,0)+IFERROR(--ISNUMBER(SEARCH("R106",G126))*106,0)+IFERROR(--ISNUMBER(SEARCH("R107",G126))*107,0)+IFERROR(--ISNUMBER(SEARCH("R108",G126))*108,0)+IFERROR(--ISNUMBER(SEARCH("R109",G126))*109,0)+IFERROR(--ISNUMBER(SEARCH("R110",G126))*110,0)+IFERROR(--ISNUMBER(SEARCH("R111",G126))*111,0)+IFERROR(--ISNUMBER(SEARCH("R112",G126))*112,0)+IFERROR(--ISNUMBER(SEARCH("R113",G126))*113,0)+IFERROR(--ISNUMBER(SEARCH("R114",G126))*114,0)+IFERROR(--ISNUMBER(SEARCH("R115",G126))*115,0)+IFERROR(--ISNUMBER(SEARCH("R116",G126))*116,0)+IFERROR(--ISNUMBER(SEARCH("R117",G126))*117,0)+IFERROR(--ISNUMBER(SEARCH("R118",G126))*118,0)+IFERROR(--ISNUMBER(SEARCH("R119",G126))*119,0)+IFERROR(--ISNUMBER(SEARCH("R120",G126))*120,0)+IFERROR(--ISNUMBER(SEARCH("R121",G126))*121,0)+IFERROR(--ISNUMBER(SEARCH("R122",G126))*122,0)+IFERROR(--ISNUMBER(SEARCH("R123",G126))*123,0)+IFERROR(--ISNUMBER(SEARCH("R124",G126))*124,0)+IFERROR(--ISNUMBER(SEARCH("R125",G126))*125,0)+IFERROR(--ISNUMBER(SEARCH("R126",G126))*126,0)+IFERROR(--ISNUMBER(SEARCH("R127",G126))*127,0)+IFERROR(--ISNUMBER(SEARCH("R128",G126))*128,0)+IFERROR(--ISNUMBER(SEARCH("R129",G126))*129,0)+IFERROR(--ISNUMBER(SEARCH("R130",G126))*130,0)+IFERROR(--ISNUMBER(SEARCH("R131",G126))*131,0)+IFERROR(--ISNUMBER(SEARCH("R132",G126))*132,0)+IFERROR(--ISNUMBER(SEARCH("R133",G126))*133,0)+IFERROR(--ISNUMBER(SEARCH("R134",G126))*134,0)+IFERROR(--ISNUMBER(SEARCH("R135",G126))*135,0)+IFERROR(--ISNUMBER(SEARCH("R136",G126))*136,0)+IFERROR(--ISNUMBER(SEARCH("R137",G126))*137,0)+IFERROR(--ISNUMBER(SEARCH("R138",G126))*138,0)+IFERROR(--ISNUMBER(SEARCH("R139",G126))*139,0)+IFERROR(--ISNUMBER(SEARCH("R140",G126))*140,0)+IFERROR(--ISNUMBER(SEARCH("R141",G126))*141,0))</f>
        <v/>
      </c>
      <c r="V126" s="59">
        <f>IF(A126="","",IF(K126&lt;&gt;"",K126,J126))</f>
        <v/>
      </c>
      <c r="W126" s="59">
        <f>IF(A126="","",IF(AND(V126=29,O126&lt;&gt;"",COUNTIFS($V$6:$V$505,29,$F$6:$F$505,F126,$C$6:$C$505,C126,$O$6:$O$505,"&lt;&gt;")&gt;1),IF(COUNTIFS($V$6:V126,29,$F$6:F126,F126,$C$6:C126,C126,$O$6:O126,"&lt;&gt;")=1,"Esta es la fila que se debe CONSERVAR (aparición 1 de "&amp;COUNTIFS($V$6:$V$505,29,$F$6:$F$505,F126,$C$6:$C$505,C126,$O$6:$O$505,"&lt;&gt;")&amp;" con el mismo tercero y valor, casilla 29). Si hay más filas iguales, bórreles el valor a ELLAS, no a esta.","DUPLICADO — ya existe otra fila con el mismo tercero y valor para casilla 29 (aparición "&amp;COUNTIFS($V$6:V126,29,$F$6:F126,F126,$C$6:C126,C126,$O$6:O126,"&lt;&gt;")&amp;" de "&amp;COUNTIFS($V$6:$V$505,29,$F$6:$F$505,F126,$C$6:$C$505,C126,$O$6:$O$505,"&lt;&gt;")&amp;"). Para resolverlo: seleccione la celda O"&amp;ROW()&amp;" (columna Valor a declarar de ESTA fila) y presione Supr."),""))</f>
        <v/>
      </c>
      <c r="X126" s="463">
        <f>IF(A126="","",F126)</f>
        <v/>
      </c>
      <c r="Y126" s="463">
        <f>IF(A126="","",SUMIF(Entrada_Manual!$I$88:$I$187,A126,Entrada_Manual!$F$88:$F$187))</f>
        <v/>
      </c>
      <c r="Z126" s="463">
        <f>IF(A126="","",X126-Y126)</f>
        <v/>
      </c>
      <c r="AA126">
        <f>IF(A126="","",SUMPRODUCT((Entrada_Manual!$I$88:$I$187=A126)*1))</f>
        <v/>
      </c>
      <c r="AB126">
        <f>IF(A126="","",IF(S126&lt;=1,"",IF(AA126=0,"PENDIENTE — SIN ASIGNAR",IF(Z126=0,"RESUELTO","PARCIAL — DIFERENCIA "&amp;TEXT(Z126,"#,##0")))))</f>
        <v/>
      </c>
    </row>
    <row r="127" ht="14.25" customHeight="1" s="235">
      <c r="A127" s="47">
        <f>IF(Exogena_RAW!E136&lt;&gt;"",ROW()-5,"")</f>
        <v/>
      </c>
      <c r="B127" s="48">
        <f>IF(A127="","",136)</f>
        <v/>
      </c>
      <c r="C127" s="48">
        <f>IF(A127="","",IFERROR(Exogena_RAW!A136,""))</f>
        <v/>
      </c>
      <c r="D127" s="48">
        <f>IF(A127="","",IFERROR(Exogena_RAW!B136,""))</f>
        <v/>
      </c>
      <c r="E127" s="48">
        <f>IF(A127="","",Exogena_RAW!E136)</f>
        <v/>
      </c>
      <c r="F127" s="461">
        <f>IF(A127="","",Exogena_RAW!F136)</f>
        <v/>
      </c>
      <c r="G127" s="48">
        <f>IF(A127="","",IFERROR(Exogena_RAW!G136,""))</f>
        <v/>
      </c>
      <c r="H127" s="48">
        <f>IF(A127="","",IFERROR(Exogena_RAW!H136,""))</f>
        <v/>
      </c>
      <c r="I127" s="48">
        <f>IF(A127="","",IFERROR(IF(S127&gt;1,"VARIAS CASILLAS",IF(S127=1,IF(T127=1,"PROPUESTA DE CASILLA","REVISIÓN: CASILLA NO DIRECTA"),IF(OR(ISNUMBER(SEARCH("TOPE",UPPER(E127))),ISNUMBER(SEARCH("TOPE",UPPER(G127)))),"SOLO CONTROL",IF(ISNUMBER(SEARCH("RETEN",UPPER(E127))),"RETENCIÓN","REVISAR")))),"REVISAR"))</f>
        <v/>
      </c>
      <c r="J127" s="48">
        <f>IF(A127="","",IF(ISNUMBER(SEARCH("ingreso laboral promedio de los últimos seis meses",E127)),"",IFERROR(IF(AND(S127=1,T127=1),U127,""),"")))</f>
        <v/>
      </c>
      <c r="K127" s="216" t="n"/>
      <c r="L127" s="48">
        <f>IF(A127="","",IFERROR(IF(K127&lt;&gt;"","Casilla elegida por usuario",IF(S127&gt;1,"Varias casillas — elegir en K",IF(J127&lt;&gt;"","Sugerencia directa",IF(S127=1,"No trasladar directo — revisar",IF(OR(ISNUMBER(SEARCH("TOPE",UPPER(E127))),ISNUMBER(SEARCH("TOPE",UPPER(G127)))),"Solo control","Revisar manualmente"))))),"Revisar manualmente"))</f>
        <v/>
      </c>
      <c r="M127" s="461">
        <f>IF(A127="","",IF(IF(K127&lt;&gt;"",K127,J127)="",0,IF(COUNTIFS(Reglas!$I$5:$I$118,IF(K127&lt;&gt;"",K127,J127),Reglas!$J$5:$J$118,"Sí")=1,F127,0)))</f>
        <v/>
      </c>
      <c r="N127" s="56" t="n"/>
      <c r="O127" s="462">
        <f>IF(A127="","",IF(M127=0,"",M127))</f>
        <v/>
      </c>
      <c r="P127" s="461">
        <f>IF(A127="","",IF(O127="",0,IF(ISNUMBER(O127),O127,0)))</f>
        <v/>
      </c>
      <c r="Q127" s="48">
        <f>IF(A127="","",IF(Exogena_RAW!$C$4="","BLOQUEADO: FALTA AÑO",IF(Exogena_RAW!$K$10&lt;&gt;Reglas!$B$5,"BLOQUEADO: AÑO",IF(IF(K127&lt;&gt;"",K127,J127)="",IF(S127&gt;1,"REQUIERE ASIGNACIÓN MANUAL (VARIAS CASILLAS)","INFORMATIVO (sin casilla — no se declara)"),IF(COUNTIFS(Reglas!$I$5:$I$118,IF(K127&lt;&gt;"",K127,J127),Reglas!$J$5:$J$118,"Sí")=0,"BLOQUEADO: CASILLA NO DIRECTA",IF(O127="","EXCLUIDO (valor borrado por el usuario)",IF(_xlfn.ISFORMULA(O127),IF(W127&lt;&gt;"","BORRADOR — VALOR SUGERIDO DIAN ⚠ VER ALERTA","BORRADOR — VALOR SUGERIDO DIAN"),IF(W127&lt;&gt;"","ACEPTADO ⚠ VER ALERTA","ACEPTADO"))))))))</f>
        <v/>
      </c>
      <c r="R127" s="218" t="n"/>
      <c r="S127" s="58">
        <f>IF(A127="","",IFERROR(--ISNUMBER(SEARCH("R28",G127)),0)+IFERROR(--ISNUMBER(SEARCH("R29",G127)),0)+IFERROR(--ISNUMBER(SEARCH("R30",G127)),0)+IFERROR(--ISNUMBER(SEARCH("R31",G127)),0)+IFERROR(--ISNUMBER(SEARCH("R32",G127)),0)+IFERROR(--ISNUMBER(SEARCH("R33",G127)),0)+IFERROR(--ISNUMBER(SEARCH("R34",G127)),0)+IFERROR(--ISNUMBER(SEARCH("R35",G127)),0)+IFERROR(--ISNUMBER(SEARCH("R36",G127)),0)+IFERROR(--ISNUMBER(SEARCH("R37",G127)),0)+IFERROR(--ISNUMBER(SEARCH("R38",G127)),0)+IFERROR(--ISNUMBER(SEARCH("R39",G127)),0)+IFERROR(--ISNUMBER(SEARCH("R40",G127)),0)+IFERROR(--ISNUMBER(SEARCH("R41",G127)),0)+IFERROR(--ISNUMBER(SEARCH("R42",G127)),0)+IFERROR(--ISNUMBER(SEARCH("R43",G127)),0)+IFERROR(--ISNUMBER(SEARCH("R44",G127)),0)+IFERROR(--ISNUMBER(SEARCH("R45",G127)),0)+IFERROR(--ISNUMBER(SEARCH("R46",G127)),0)+IFERROR(--ISNUMBER(SEARCH("R47",G127)),0)+IFERROR(--ISNUMBER(SEARCH("R48",G127)),0)+IFERROR(--ISNUMBER(SEARCH("R49",G127)),0)+IFERROR(--ISNUMBER(SEARCH("R50",G127)),0)+IFERROR(--ISNUMBER(SEARCH("R51",G127)),0)+IFERROR(--ISNUMBER(SEARCH("R52",G127)),0)+IFERROR(--ISNUMBER(SEARCH("R53",G127)),0)+IFERROR(--ISNUMBER(SEARCH("R54",G127)),0)+IFERROR(--ISNUMBER(SEARCH("R55",G127)),0)+IFERROR(--ISNUMBER(SEARCH("R56",G127)),0)+IFERROR(--ISNUMBER(SEARCH("R57",G127)),0)+IFERROR(--ISNUMBER(SEARCH("R58",G127)),0)+IFERROR(--ISNUMBER(SEARCH("R59",G127)),0)+IFERROR(--ISNUMBER(SEARCH("R60",G127)),0)+IFERROR(--ISNUMBER(SEARCH("R61",G127)),0)+IFERROR(--ISNUMBER(SEARCH("R62",G127)),0)+IFERROR(--ISNUMBER(SEARCH("R63",G127)),0)+IFERROR(--ISNUMBER(SEARCH("R64",G127)),0)+IFERROR(--ISNUMBER(SEARCH("R65",G127)),0)+IFERROR(--ISNUMBER(SEARCH("R66",G127)),0)+IFERROR(--ISNUMBER(SEARCH("R67",G127)),0)+IFERROR(--ISNUMBER(SEARCH("R68",G127)),0)+IFERROR(--ISNUMBER(SEARCH("R69",G127)),0)+IFERROR(--ISNUMBER(SEARCH("R70",G127)),0)+IFERROR(--ISNUMBER(SEARCH("R71",G127)),0)+IFERROR(--ISNUMBER(SEARCH("R72",G127)),0)+IFERROR(--ISNUMBER(SEARCH("R73",G127)),0)+IFERROR(--ISNUMBER(SEARCH("R74",G127)),0)+IFERROR(--ISNUMBER(SEARCH("R75",G127)),0)+IFERROR(--ISNUMBER(SEARCH("R76",G127)),0)+IFERROR(--ISNUMBER(SEARCH("R77",G127)),0)+IFERROR(--ISNUMBER(SEARCH("R78",G127)),0)+IFERROR(--ISNUMBER(SEARCH("R79",G127)),0)+IFERROR(--ISNUMBER(SEARCH("R80",G127)),0)+IFERROR(--ISNUMBER(SEARCH("R81",G127)),0)+IFERROR(--ISNUMBER(SEARCH("R82",G127)),0)+IFERROR(--ISNUMBER(SEARCH("R83",G127)),0)+IFERROR(--ISNUMBER(SEARCH("R84",G127)),0)+IFERROR(--ISNUMBER(SEARCH("R85",G127)),0)+IFERROR(--ISNUMBER(SEARCH("R86",G127)),0)+IFERROR(--ISNUMBER(SEARCH("R87",G127)),0)+IFERROR(--ISNUMBER(SEARCH("R88",G127)),0)+IFERROR(--ISNUMBER(SEARCH("R89",G127)),0)+IFERROR(--ISNUMBER(SEARCH("R90",G127)),0)+IFERROR(--ISNUMBER(SEARCH("R91",G127)),0)+IFERROR(--ISNUMBER(SEARCH("R92",G127)),0)+IFERROR(--ISNUMBER(SEARCH("R93",G127)),0)+IFERROR(--ISNUMBER(SEARCH("R94",G127)),0)+IFERROR(--ISNUMBER(SEARCH("R95",G127)),0)+IFERROR(--ISNUMBER(SEARCH("R96",G127)),0)+IFERROR(--ISNUMBER(SEARCH("R97",G127)),0)+IFERROR(--ISNUMBER(SEARCH("R98",G127)),0)+IFERROR(--ISNUMBER(SEARCH("R99",G127)),0)+IFERROR(--ISNUMBER(SEARCH("R100",G127)),0)+IFERROR(--ISNUMBER(SEARCH("R101",G127)),0)+IFERROR(--ISNUMBER(SEARCH("R102",G127)),0)+IFERROR(--ISNUMBER(SEARCH("R103",G127)),0)+IFERROR(--ISNUMBER(SEARCH("R104",G127)),0)+IFERROR(--ISNUMBER(SEARCH("R105",G127)),0)+IFERROR(--ISNUMBER(SEARCH("R106",G127)),0)+IFERROR(--ISNUMBER(SEARCH("R107",G127)),0)+IFERROR(--ISNUMBER(SEARCH("R108",G127)),0)+IFERROR(--ISNUMBER(SEARCH("R109",G127)),0)+IFERROR(--ISNUMBER(SEARCH("R110",G127)),0)+IFERROR(--ISNUMBER(SEARCH("R111",G127)),0)+IFERROR(--ISNUMBER(SEARCH("R112",G127)),0)+IFERROR(--ISNUMBER(SEARCH("R113",G127)),0)+IFERROR(--ISNUMBER(SEARCH("R114",G127)),0)+IFERROR(--ISNUMBER(SEARCH("R115",G127)),0)+IFERROR(--ISNUMBER(SEARCH("R116",G127)),0)+IFERROR(--ISNUMBER(SEARCH("R117",G127)),0)+IFERROR(--ISNUMBER(SEARCH("R118",G127)),0)+IFERROR(--ISNUMBER(SEARCH("R119",G127)),0)+IFERROR(--ISNUMBER(SEARCH("R120",G127)),0)+IFERROR(--ISNUMBER(SEARCH("R121",G127)),0)+IFERROR(--ISNUMBER(SEARCH("R122",G127)),0)+IFERROR(--ISNUMBER(SEARCH("R123",G127)),0)+IFERROR(--ISNUMBER(SEARCH("R124",G127)),0)+IFERROR(--ISNUMBER(SEARCH("R125",G127)),0)+IFERROR(--ISNUMBER(SEARCH("R126",G127)),0)+IFERROR(--ISNUMBER(SEARCH("R127",G127)),0)+IFERROR(--ISNUMBER(SEARCH("R128",G127)),0)+IFERROR(--ISNUMBER(SEARCH("R129",G127)),0)+IFERROR(--ISNUMBER(SEARCH("R130",G127)),0)+IFERROR(--ISNUMBER(SEARCH("R131",G127)),0)+IFERROR(--ISNUMBER(SEARCH("R132",G127)),0)+IFERROR(--ISNUMBER(SEARCH("R133",G127)),0)+IFERROR(--ISNUMBER(SEARCH("R134",G127)),0)+IFERROR(--ISNUMBER(SEARCH("R135",G127)),0)+IFERROR(--ISNUMBER(SEARCH("R136",G127)),0)+IFERROR(--ISNUMBER(SEARCH("R137",G127)),0)+IFERROR(--ISNUMBER(SEARCH("R138",G127)),0)+IFERROR(--ISNUMBER(SEARCH("R139",G127)),0)+IFERROR(--ISNUMBER(SEARCH("R140",G127)),0)+IFERROR(--ISNUMBER(SEARCH("R141",G127)),0))</f>
        <v/>
      </c>
      <c r="T127" s="58">
        <f>IF(A127="","",IFERROR(--ISNUMBER(SEARCH("R28",G127)),0)+IFERROR(--ISNUMBER(SEARCH("R29",G127)),0)+IFERROR(--ISNUMBER(SEARCH("R30",G127)),0)+IFERROR(--ISNUMBER(SEARCH("R32",G127)),0)+IFERROR(--ISNUMBER(SEARCH("R33",G127)),0)+IFERROR(--ISNUMBER(SEARCH("R35",G127)),0)+IFERROR(--ISNUMBER(SEARCH("R36",G127)),0)+IFERROR(--ISNUMBER(SEARCH("R38",G127)),0)+IFERROR(--ISNUMBER(SEARCH("R39",G127)),0)+IFERROR(--ISNUMBER(SEARCH("R43",G127)),0)+IFERROR(--ISNUMBER(SEARCH("R44",G127)),0)+IFERROR(--ISNUMBER(SEARCH("R45",G127)),0)+IFERROR(--ISNUMBER(SEARCH("R47",G127)),0)+IFERROR(--ISNUMBER(SEARCH("R48",G127)),0)+IFERROR(--ISNUMBER(SEARCH("R50",G127)),0)+IFERROR(--ISNUMBER(SEARCH("R51",G127)),0)+IFERROR(--ISNUMBER(SEARCH("R56",G127)),0)+IFERROR(--ISNUMBER(SEARCH("R58",G127)),0)+IFERROR(--ISNUMBER(SEARCH("R59",G127)),0)+IFERROR(--ISNUMBER(SEARCH("R60",G127)),0)+IFERROR(--ISNUMBER(SEARCH("R62",G127)),0)+IFERROR(--ISNUMBER(SEARCH("R63",G127)),0)+IFERROR(--ISNUMBER(SEARCH("R64",G127)),0)+IFERROR(--ISNUMBER(SEARCH("R66",G127)),0)+IFERROR(--ISNUMBER(SEARCH("R67",G127)),0)+IFERROR(--ISNUMBER(SEARCH("R72",G127)),0)+IFERROR(--ISNUMBER(SEARCH("R74",G127)),0)+IFERROR(--ISNUMBER(SEARCH("R75",G127)),0)+IFERROR(--ISNUMBER(SEARCH("R76",G127)),0)+IFERROR(--ISNUMBER(SEARCH("R77",G127)),0)+IFERROR(--ISNUMBER(SEARCH("R79",G127)),0)+IFERROR(--ISNUMBER(SEARCH("R80",G127)),0)+IFERROR(--ISNUMBER(SEARCH("R81",G127)),0)+IFERROR(--ISNUMBER(SEARCH("R83",G127)),0)+IFERROR(--ISNUMBER(SEARCH("R84",G127)),0)+IFERROR(--ISNUMBER(SEARCH("R89",G127)),0)+IFERROR(--ISNUMBER(SEARCH("R94",G127)),0)+IFERROR(--ISNUMBER(SEARCH("R95",G127)),0)+IFERROR(--ISNUMBER(SEARCH("R96",G127)),0)+IFERROR(--ISNUMBER(SEARCH("R98",G127)),0)+IFERROR(--ISNUMBER(SEARCH("R99",G127)),0)+IFERROR(--ISNUMBER(SEARCH("R100",G127)),0)+IFERROR(--ISNUMBER(SEARCH("R104",G127)),0)+IFERROR(--ISNUMBER(SEARCH("R105",G127)),0)+IFERROR(--ISNUMBER(SEARCH("R107",G127)),0)+IFERROR(--ISNUMBER(SEARCH("R108",G127)),0)+IFERROR(--ISNUMBER(SEARCH("R109",G127)),0)+IFERROR(--ISNUMBER(SEARCH("R110",G127)),0)+IFERROR(--ISNUMBER(SEARCH("R112",G127)),0)+IFERROR(--ISNUMBER(SEARCH("R113",G127)),0)+IFERROR(--ISNUMBER(SEARCH("R114",G127)),0)+IFERROR(--ISNUMBER(SEARCH("R118",G127)),0)+IFERROR(--ISNUMBER(SEARCH("R119",G127)),0)+IFERROR(--ISNUMBER(SEARCH("R120",G127)),0)+IFERROR(--ISNUMBER(SEARCH("R122",G127)),0)+IFERROR(--ISNUMBER(SEARCH("R123",G127)),0)+IFERROR(--ISNUMBER(SEARCH("R124",G127)),0)+IFERROR(--ISNUMBER(SEARCH("R128",G127)),0)+IFERROR(--ISNUMBER(SEARCH("R130",G127)),0)+IFERROR(--ISNUMBER(SEARCH("R131",G127)),0)+IFERROR(--ISNUMBER(SEARCH("R132",G127)),0)+IFERROR(--ISNUMBER(SEARCH("R135",G127)),0)+IFERROR(--ISNUMBER(SEARCH("R138",G127)),0)+IFERROR(--ISNUMBER(SEARCH("R141",G127)),0))</f>
        <v/>
      </c>
      <c r="U127" s="58">
        <f>IF(A127="","",IFERROR(--ISNUMBER(SEARCH("R28",G127))*28,0)+IFERROR(--ISNUMBER(SEARCH("R29",G127))*29,0)+IFERROR(--ISNUMBER(SEARCH("R30",G127))*30,0)+IFERROR(--ISNUMBER(SEARCH("R31",G127))*31,0)+IFERROR(--ISNUMBER(SEARCH("R32",G127))*32,0)+IFERROR(--ISNUMBER(SEARCH("R33",G127))*33,0)+IFERROR(--ISNUMBER(SEARCH("R34",G127))*34,0)+IFERROR(--ISNUMBER(SEARCH("R35",G127))*35,0)+IFERROR(--ISNUMBER(SEARCH("R36",G127))*36,0)+IFERROR(--ISNUMBER(SEARCH("R37",G127))*37,0)+IFERROR(--ISNUMBER(SEARCH("R38",G127))*38,0)+IFERROR(--ISNUMBER(SEARCH("R39",G127))*39,0)+IFERROR(--ISNUMBER(SEARCH("R40",G127))*40,0)+IFERROR(--ISNUMBER(SEARCH("R41",G127))*41,0)+IFERROR(--ISNUMBER(SEARCH("R42",G127))*42,0)+IFERROR(--ISNUMBER(SEARCH("R43",G127))*43,0)+IFERROR(--ISNUMBER(SEARCH("R44",G127))*44,0)+IFERROR(--ISNUMBER(SEARCH("R45",G127))*45,0)+IFERROR(--ISNUMBER(SEARCH("R46",G127))*46,0)+IFERROR(--ISNUMBER(SEARCH("R47",G127))*47,0)+IFERROR(--ISNUMBER(SEARCH("R48",G127))*48,0)+IFERROR(--ISNUMBER(SEARCH("R49",G127))*49,0)+IFERROR(--ISNUMBER(SEARCH("R50",G127))*50,0)+IFERROR(--ISNUMBER(SEARCH("R51",G127))*51,0)+IFERROR(--ISNUMBER(SEARCH("R52",G127))*52,0)+IFERROR(--ISNUMBER(SEARCH("R53",G127))*53,0)+IFERROR(--ISNUMBER(SEARCH("R54",G127))*54,0)+IFERROR(--ISNUMBER(SEARCH("R55",G127))*55,0)+IFERROR(--ISNUMBER(SEARCH("R56",G127))*56,0)+IFERROR(--ISNUMBER(SEARCH("R57",G127))*57,0)+IFERROR(--ISNUMBER(SEARCH("R58",G127))*58,0)+IFERROR(--ISNUMBER(SEARCH("R59",G127))*59,0)+IFERROR(--ISNUMBER(SEARCH("R60",G127))*60,0)+IFERROR(--ISNUMBER(SEARCH("R61",G127))*61,0)+IFERROR(--ISNUMBER(SEARCH("R62",G127))*62,0)+IFERROR(--ISNUMBER(SEARCH("R63",G127))*63,0)+IFERROR(--ISNUMBER(SEARCH("R64",G127))*64,0)+IFERROR(--ISNUMBER(SEARCH("R65",G127))*65,0)+IFERROR(--ISNUMBER(SEARCH("R66",G127))*66,0)+IFERROR(--ISNUMBER(SEARCH("R67",G127))*67,0)+IFERROR(--ISNUMBER(SEARCH("R68",G127))*68,0)+IFERROR(--ISNUMBER(SEARCH("R69",G127))*69,0)+IFERROR(--ISNUMBER(SEARCH("R70",G127))*70,0)+IFERROR(--ISNUMBER(SEARCH("R71",G127))*71,0)+IFERROR(--ISNUMBER(SEARCH("R72",G127))*72,0)+IFERROR(--ISNUMBER(SEARCH("R73",G127))*73,0)+IFERROR(--ISNUMBER(SEARCH("R74",G127))*74,0)+IFERROR(--ISNUMBER(SEARCH("R75",G127))*75,0)+IFERROR(--ISNUMBER(SEARCH("R76",G127))*76,0)+IFERROR(--ISNUMBER(SEARCH("R77",G127))*77,0)+IFERROR(--ISNUMBER(SEARCH("R78",G127))*78,0)+IFERROR(--ISNUMBER(SEARCH("R79",G127))*79,0)+IFERROR(--ISNUMBER(SEARCH("R80",G127))*80,0)+IFERROR(--ISNUMBER(SEARCH("R81",G127))*81,0)+IFERROR(--ISNUMBER(SEARCH("R82",G127))*82,0)+IFERROR(--ISNUMBER(SEARCH("R83",G127))*83,0)+IFERROR(--ISNUMBER(SEARCH("R84",G127))*84,0)+IFERROR(--ISNUMBER(SEARCH("R85",G127))*85,0)+IFERROR(--ISNUMBER(SEARCH("R86",G127))*86,0)+IFERROR(--ISNUMBER(SEARCH("R87",G127))*87,0)+IFERROR(--ISNUMBER(SEARCH("R88",G127))*88,0)+IFERROR(--ISNUMBER(SEARCH("R89",G127))*89,0)+IFERROR(--ISNUMBER(SEARCH("R90",G127))*90,0)+IFERROR(--ISNUMBER(SEARCH("R91",G127))*91,0)+IFERROR(--ISNUMBER(SEARCH("R92",G127))*92,0)+IFERROR(--ISNUMBER(SEARCH("R93",G127))*93,0)+IFERROR(--ISNUMBER(SEARCH("R94",G127))*94,0)+IFERROR(--ISNUMBER(SEARCH("R95",G127))*95,0)+IFERROR(--ISNUMBER(SEARCH("R96",G127))*96,0)+IFERROR(--ISNUMBER(SEARCH("R97",G127))*97,0)+IFERROR(--ISNUMBER(SEARCH("R98",G127))*98,0)+IFERROR(--ISNUMBER(SEARCH("R99",G127))*99,0)+IFERROR(--ISNUMBER(SEARCH("R100",G127))*100,0)+IFERROR(--ISNUMBER(SEARCH("R101",G127))*101,0)+IFERROR(--ISNUMBER(SEARCH("R102",G127))*102,0)+IFERROR(--ISNUMBER(SEARCH("R103",G127))*103,0)+IFERROR(--ISNUMBER(SEARCH("R104",G127))*104,0)+IFERROR(--ISNUMBER(SEARCH("R105",G127))*105,0)+IFERROR(--ISNUMBER(SEARCH("R106",G127))*106,0)+IFERROR(--ISNUMBER(SEARCH("R107",G127))*107,0)+IFERROR(--ISNUMBER(SEARCH("R108",G127))*108,0)+IFERROR(--ISNUMBER(SEARCH("R109",G127))*109,0)+IFERROR(--ISNUMBER(SEARCH("R110",G127))*110,0)+IFERROR(--ISNUMBER(SEARCH("R111",G127))*111,0)+IFERROR(--ISNUMBER(SEARCH("R112",G127))*112,0)+IFERROR(--ISNUMBER(SEARCH("R113",G127))*113,0)+IFERROR(--ISNUMBER(SEARCH("R114",G127))*114,0)+IFERROR(--ISNUMBER(SEARCH("R115",G127))*115,0)+IFERROR(--ISNUMBER(SEARCH("R116",G127))*116,0)+IFERROR(--ISNUMBER(SEARCH("R117",G127))*117,0)+IFERROR(--ISNUMBER(SEARCH("R118",G127))*118,0)+IFERROR(--ISNUMBER(SEARCH("R119",G127))*119,0)+IFERROR(--ISNUMBER(SEARCH("R120",G127))*120,0)+IFERROR(--ISNUMBER(SEARCH("R121",G127))*121,0)+IFERROR(--ISNUMBER(SEARCH("R122",G127))*122,0)+IFERROR(--ISNUMBER(SEARCH("R123",G127))*123,0)+IFERROR(--ISNUMBER(SEARCH("R124",G127))*124,0)+IFERROR(--ISNUMBER(SEARCH("R125",G127))*125,0)+IFERROR(--ISNUMBER(SEARCH("R126",G127))*126,0)+IFERROR(--ISNUMBER(SEARCH("R127",G127))*127,0)+IFERROR(--ISNUMBER(SEARCH("R128",G127))*128,0)+IFERROR(--ISNUMBER(SEARCH("R129",G127))*129,0)+IFERROR(--ISNUMBER(SEARCH("R130",G127))*130,0)+IFERROR(--ISNUMBER(SEARCH("R131",G127))*131,0)+IFERROR(--ISNUMBER(SEARCH("R132",G127))*132,0)+IFERROR(--ISNUMBER(SEARCH("R133",G127))*133,0)+IFERROR(--ISNUMBER(SEARCH("R134",G127))*134,0)+IFERROR(--ISNUMBER(SEARCH("R135",G127))*135,0)+IFERROR(--ISNUMBER(SEARCH("R136",G127))*136,0)+IFERROR(--ISNUMBER(SEARCH("R137",G127))*137,0)+IFERROR(--ISNUMBER(SEARCH("R138",G127))*138,0)+IFERROR(--ISNUMBER(SEARCH("R139",G127))*139,0)+IFERROR(--ISNUMBER(SEARCH("R140",G127))*140,0)+IFERROR(--ISNUMBER(SEARCH("R141",G127))*141,0))</f>
        <v/>
      </c>
      <c r="V127" s="59">
        <f>IF(A127="","",IF(K127&lt;&gt;"",K127,J127))</f>
        <v/>
      </c>
      <c r="W127" s="59">
        <f>IF(A127="","",IF(AND(V127=29,O127&lt;&gt;"",COUNTIFS($V$6:$V$505,29,$F$6:$F$505,F127,$C$6:$C$505,C127,$O$6:$O$505,"&lt;&gt;")&gt;1),IF(COUNTIFS($V$6:V127,29,$F$6:F127,F127,$C$6:C127,C127,$O$6:O127,"&lt;&gt;")=1,"Esta es la fila que se debe CONSERVAR (aparición 1 de "&amp;COUNTIFS($V$6:$V$505,29,$F$6:$F$505,F127,$C$6:$C$505,C127,$O$6:$O$505,"&lt;&gt;")&amp;" con el mismo tercero y valor, casilla 29). Si hay más filas iguales, bórreles el valor a ELLAS, no a esta.","DUPLICADO — ya existe otra fila con el mismo tercero y valor para casilla 29 (aparición "&amp;COUNTIFS($V$6:V127,29,$F$6:F127,F127,$C$6:C127,C127,$O$6:O127,"&lt;&gt;")&amp;" de "&amp;COUNTIFS($V$6:$V$505,29,$F$6:$F$505,F127,$C$6:$C$505,C127,$O$6:$O$505,"&lt;&gt;")&amp;"). Para resolverlo: seleccione la celda O"&amp;ROW()&amp;" (columna Valor a declarar de ESTA fila) y presione Supr."),""))</f>
        <v/>
      </c>
      <c r="X127" s="463">
        <f>IF(A127="","",F127)</f>
        <v/>
      </c>
      <c r="Y127" s="463">
        <f>IF(A127="","",SUMIF(Entrada_Manual!$I$88:$I$187,A127,Entrada_Manual!$F$88:$F$187))</f>
        <v/>
      </c>
      <c r="Z127" s="463">
        <f>IF(A127="","",X127-Y127)</f>
        <v/>
      </c>
      <c r="AA127">
        <f>IF(A127="","",SUMPRODUCT((Entrada_Manual!$I$88:$I$187=A127)*1))</f>
        <v/>
      </c>
      <c r="AB127">
        <f>IF(A127="","",IF(S127&lt;=1,"",IF(AA127=0,"PENDIENTE — SIN ASIGNAR",IF(Z127=0,"RESUELTO","PARCIAL — DIFERENCIA "&amp;TEXT(Z127,"#,##0")))))</f>
        <v/>
      </c>
    </row>
    <row r="128" ht="14.25" customHeight="1" s="235">
      <c r="A128" s="47">
        <f>IF(Exogena_RAW!E137&lt;&gt;"",ROW()-5,"")</f>
        <v/>
      </c>
      <c r="B128" s="48">
        <f>IF(A128="","",137)</f>
        <v/>
      </c>
      <c r="C128" s="48">
        <f>IF(A128="","",IFERROR(Exogena_RAW!A137,""))</f>
        <v/>
      </c>
      <c r="D128" s="48">
        <f>IF(A128="","",IFERROR(Exogena_RAW!B137,""))</f>
        <v/>
      </c>
      <c r="E128" s="48">
        <f>IF(A128="","",Exogena_RAW!E137)</f>
        <v/>
      </c>
      <c r="F128" s="461">
        <f>IF(A128="","",Exogena_RAW!F137)</f>
        <v/>
      </c>
      <c r="G128" s="48">
        <f>IF(A128="","",IFERROR(Exogena_RAW!G137,""))</f>
        <v/>
      </c>
      <c r="H128" s="48">
        <f>IF(A128="","",IFERROR(Exogena_RAW!H137,""))</f>
        <v/>
      </c>
      <c r="I128" s="48">
        <f>IF(A128="","",IFERROR(IF(S128&gt;1,"VARIAS CASILLAS",IF(S128=1,IF(T128=1,"PROPUESTA DE CASILLA","REVISIÓN: CASILLA NO DIRECTA"),IF(OR(ISNUMBER(SEARCH("TOPE",UPPER(E128))),ISNUMBER(SEARCH("TOPE",UPPER(G128)))),"SOLO CONTROL",IF(ISNUMBER(SEARCH("RETEN",UPPER(E128))),"RETENCIÓN","REVISAR")))),"REVISAR"))</f>
        <v/>
      </c>
      <c r="J128" s="48">
        <f>IF(A128="","",IF(ISNUMBER(SEARCH("ingreso laboral promedio de los últimos seis meses",E128)),"",IFERROR(IF(AND(S128=1,T128=1),U128,""),"")))</f>
        <v/>
      </c>
      <c r="K128" s="216" t="n"/>
      <c r="L128" s="48">
        <f>IF(A128="","",IFERROR(IF(K128&lt;&gt;"","Casilla elegida por usuario",IF(S128&gt;1,"Varias casillas — elegir en K",IF(J128&lt;&gt;"","Sugerencia directa",IF(S128=1,"No trasladar directo — revisar",IF(OR(ISNUMBER(SEARCH("TOPE",UPPER(E128))),ISNUMBER(SEARCH("TOPE",UPPER(G128)))),"Solo control","Revisar manualmente"))))),"Revisar manualmente"))</f>
        <v/>
      </c>
      <c r="M128" s="461">
        <f>IF(A128="","",IF(IF(K128&lt;&gt;"",K128,J128)="",0,IF(COUNTIFS(Reglas!$I$5:$I$118,IF(K128&lt;&gt;"",K128,J128),Reglas!$J$5:$J$118,"Sí")=1,F128,0)))</f>
        <v/>
      </c>
      <c r="N128" s="56" t="n"/>
      <c r="O128" s="462">
        <f>IF(A128="","",IF(M128=0,"",M128))</f>
        <v/>
      </c>
      <c r="P128" s="461">
        <f>IF(A128="","",IF(O128="",0,IF(ISNUMBER(O128),O128,0)))</f>
        <v/>
      </c>
      <c r="Q128" s="48">
        <f>IF(A128="","",IF(Exogena_RAW!$C$4="","BLOQUEADO: FALTA AÑO",IF(Exogena_RAW!$K$10&lt;&gt;Reglas!$B$5,"BLOQUEADO: AÑO",IF(IF(K128&lt;&gt;"",K128,J128)="",IF(S128&gt;1,"REQUIERE ASIGNACIÓN MANUAL (VARIAS CASILLAS)","INFORMATIVO (sin casilla — no se declara)"),IF(COUNTIFS(Reglas!$I$5:$I$118,IF(K128&lt;&gt;"",K128,J128),Reglas!$J$5:$J$118,"Sí")=0,"BLOQUEADO: CASILLA NO DIRECTA",IF(O128="","EXCLUIDO (valor borrado por el usuario)",IF(_xlfn.ISFORMULA(O128),IF(W128&lt;&gt;"","BORRADOR — VALOR SUGERIDO DIAN ⚠ VER ALERTA","BORRADOR — VALOR SUGERIDO DIAN"),IF(W128&lt;&gt;"","ACEPTADO ⚠ VER ALERTA","ACEPTADO"))))))))</f>
        <v/>
      </c>
      <c r="R128" s="218" t="n"/>
      <c r="S128" s="58">
        <f>IF(A128="","",IFERROR(--ISNUMBER(SEARCH("R28",G128)),0)+IFERROR(--ISNUMBER(SEARCH("R29",G128)),0)+IFERROR(--ISNUMBER(SEARCH("R30",G128)),0)+IFERROR(--ISNUMBER(SEARCH("R31",G128)),0)+IFERROR(--ISNUMBER(SEARCH("R32",G128)),0)+IFERROR(--ISNUMBER(SEARCH("R33",G128)),0)+IFERROR(--ISNUMBER(SEARCH("R34",G128)),0)+IFERROR(--ISNUMBER(SEARCH("R35",G128)),0)+IFERROR(--ISNUMBER(SEARCH("R36",G128)),0)+IFERROR(--ISNUMBER(SEARCH("R37",G128)),0)+IFERROR(--ISNUMBER(SEARCH("R38",G128)),0)+IFERROR(--ISNUMBER(SEARCH("R39",G128)),0)+IFERROR(--ISNUMBER(SEARCH("R40",G128)),0)+IFERROR(--ISNUMBER(SEARCH("R41",G128)),0)+IFERROR(--ISNUMBER(SEARCH("R42",G128)),0)+IFERROR(--ISNUMBER(SEARCH("R43",G128)),0)+IFERROR(--ISNUMBER(SEARCH("R44",G128)),0)+IFERROR(--ISNUMBER(SEARCH("R45",G128)),0)+IFERROR(--ISNUMBER(SEARCH("R46",G128)),0)+IFERROR(--ISNUMBER(SEARCH("R47",G128)),0)+IFERROR(--ISNUMBER(SEARCH("R48",G128)),0)+IFERROR(--ISNUMBER(SEARCH("R49",G128)),0)+IFERROR(--ISNUMBER(SEARCH("R50",G128)),0)+IFERROR(--ISNUMBER(SEARCH("R51",G128)),0)+IFERROR(--ISNUMBER(SEARCH("R52",G128)),0)+IFERROR(--ISNUMBER(SEARCH("R53",G128)),0)+IFERROR(--ISNUMBER(SEARCH("R54",G128)),0)+IFERROR(--ISNUMBER(SEARCH("R55",G128)),0)+IFERROR(--ISNUMBER(SEARCH("R56",G128)),0)+IFERROR(--ISNUMBER(SEARCH("R57",G128)),0)+IFERROR(--ISNUMBER(SEARCH("R58",G128)),0)+IFERROR(--ISNUMBER(SEARCH("R59",G128)),0)+IFERROR(--ISNUMBER(SEARCH("R60",G128)),0)+IFERROR(--ISNUMBER(SEARCH("R61",G128)),0)+IFERROR(--ISNUMBER(SEARCH("R62",G128)),0)+IFERROR(--ISNUMBER(SEARCH("R63",G128)),0)+IFERROR(--ISNUMBER(SEARCH("R64",G128)),0)+IFERROR(--ISNUMBER(SEARCH("R65",G128)),0)+IFERROR(--ISNUMBER(SEARCH("R66",G128)),0)+IFERROR(--ISNUMBER(SEARCH("R67",G128)),0)+IFERROR(--ISNUMBER(SEARCH("R68",G128)),0)+IFERROR(--ISNUMBER(SEARCH("R69",G128)),0)+IFERROR(--ISNUMBER(SEARCH("R70",G128)),0)+IFERROR(--ISNUMBER(SEARCH("R71",G128)),0)+IFERROR(--ISNUMBER(SEARCH("R72",G128)),0)+IFERROR(--ISNUMBER(SEARCH("R73",G128)),0)+IFERROR(--ISNUMBER(SEARCH("R74",G128)),0)+IFERROR(--ISNUMBER(SEARCH("R75",G128)),0)+IFERROR(--ISNUMBER(SEARCH("R76",G128)),0)+IFERROR(--ISNUMBER(SEARCH("R77",G128)),0)+IFERROR(--ISNUMBER(SEARCH("R78",G128)),0)+IFERROR(--ISNUMBER(SEARCH("R79",G128)),0)+IFERROR(--ISNUMBER(SEARCH("R80",G128)),0)+IFERROR(--ISNUMBER(SEARCH("R81",G128)),0)+IFERROR(--ISNUMBER(SEARCH("R82",G128)),0)+IFERROR(--ISNUMBER(SEARCH("R83",G128)),0)+IFERROR(--ISNUMBER(SEARCH("R84",G128)),0)+IFERROR(--ISNUMBER(SEARCH("R85",G128)),0)+IFERROR(--ISNUMBER(SEARCH("R86",G128)),0)+IFERROR(--ISNUMBER(SEARCH("R87",G128)),0)+IFERROR(--ISNUMBER(SEARCH("R88",G128)),0)+IFERROR(--ISNUMBER(SEARCH("R89",G128)),0)+IFERROR(--ISNUMBER(SEARCH("R90",G128)),0)+IFERROR(--ISNUMBER(SEARCH("R91",G128)),0)+IFERROR(--ISNUMBER(SEARCH("R92",G128)),0)+IFERROR(--ISNUMBER(SEARCH("R93",G128)),0)+IFERROR(--ISNUMBER(SEARCH("R94",G128)),0)+IFERROR(--ISNUMBER(SEARCH("R95",G128)),0)+IFERROR(--ISNUMBER(SEARCH("R96",G128)),0)+IFERROR(--ISNUMBER(SEARCH("R97",G128)),0)+IFERROR(--ISNUMBER(SEARCH("R98",G128)),0)+IFERROR(--ISNUMBER(SEARCH("R99",G128)),0)+IFERROR(--ISNUMBER(SEARCH("R100",G128)),0)+IFERROR(--ISNUMBER(SEARCH("R101",G128)),0)+IFERROR(--ISNUMBER(SEARCH("R102",G128)),0)+IFERROR(--ISNUMBER(SEARCH("R103",G128)),0)+IFERROR(--ISNUMBER(SEARCH("R104",G128)),0)+IFERROR(--ISNUMBER(SEARCH("R105",G128)),0)+IFERROR(--ISNUMBER(SEARCH("R106",G128)),0)+IFERROR(--ISNUMBER(SEARCH("R107",G128)),0)+IFERROR(--ISNUMBER(SEARCH("R108",G128)),0)+IFERROR(--ISNUMBER(SEARCH("R109",G128)),0)+IFERROR(--ISNUMBER(SEARCH("R110",G128)),0)+IFERROR(--ISNUMBER(SEARCH("R111",G128)),0)+IFERROR(--ISNUMBER(SEARCH("R112",G128)),0)+IFERROR(--ISNUMBER(SEARCH("R113",G128)),0)+IFERROR(--ISNUMBER(SEARCH("R114",G128)),0)+IFERROR(--ISNUMBER(SEARCH("R115",G128)),0)+IFERROR(--ISNUMBER(SEARCH("R116",G128)),0)+IFERROR(--ISNUMBER(SEARCH("R117",G128)),0)+IFERROR(--ISNUMBER(SEARCH("R118",G128)),0)+IFERROR(--ISNUMBER(SEARCH("R119",G128)),0)+IFERROR(--ISNUMBER(SEARCH("R120",G128)),0)+IFERROR(--ISNUMBER(SEARCH("R121",G128)),0)+IFERROR(--ISNUMBER(SEARCH("R122",G128)),0)+IFERROR(--ISNUMBER(SEARCH("R123",G128)),0)+IFERROR(--ISNUMBER(SEARCH("R124",G128)),0)+IFERROR(--ISNUMBER(SEARCH("R125",G128)),0)+IFERROR(--ISNUMBER(SEARCH("R126",G128)),0)+IFERROR(--ISNUMBER(SEARCH("R127",G128)),0)+IFERROR(--ISNUMBER(SEARCH("R128",G128)),0)+IFERROR(--ISNUMBER(SEARCH("R129",G128)),0)+IFERROR(--ISNUMBER(SEARCH("R130",G128)),0)+IFERROR(--ISNUMBER(SEARCH("R131",G128)),0)+IFERROR(--ISNUMBER(SEARCH("R132",G128)),0)+IFERROR(--ISNUMBER(SEARCH("R133",G128)),0)+IFERROR(--ISNUMBER(SEARCH("R134",G128)),0)+IFERROR(--ISNUMBER(SEARCH("R135",G128)),0)+IFERROR(--ISNUMBER(SEARCH("R136",G128)),0)+IFERROR(--ISNUMBER(SEARCH("R137",G128)),0)+IFERROR(--ISNUMBER(SEARCH("R138",G128)),0)+IFERROR(--ISNUMBER(SEARCH("R139",G128)),0)+IFERROR(--ISNUMBER(SEARCH("R140",G128)),0)+IFERROR(--ISNUMBER(SEARCH("R141",G128)),0))</f>
        <v/>
      </c>
      <c r="T128" s="58">
        <f>IF(A128="","",IFERROR(--ISNUMBER(SEARCH("R28",G128)),0)+IFERROR(--ISNUMBER(SEARCH("R29",G128)),0)+IFERROR(--ISNUMBER(SEARCH("R30",G128)),0)+IFERROR(--ISNUMBER(SEARCH("R32",G128)),0)+IFERROR(--ISNUMBER(SEARCH("R33",G128)),0)+IFERROR(--ISNUMBER(SEARCH("R35",G128)),0)+IFERROR(--ISNUMBER(SEARCH("R36",G128)),0)+IFERROR(--ISNUMBER(SEARCH("R38",G128)),0)+IFERROR(--ISNUMBER(SEARCH("R39",G128)),0)+IFERROR(--ISNUMBER(SEARCH("R43",G128)),0)+IFERROR(--ISNUMBER(SEARCH("R44",G128)),0)+IFERROR(--ISNUMBER(SEARCH("R45",G128)),0)+IFERROR(--ISNUMBER(SEARCH("R47",G128)),0)+IFERROR(--ISNUMBER(SEARCH("R48",G128)),0)+IFERROR(--ISNUMBER(SEARCH("R50",G128)),0)+IFERROR(--ISNUMBER(SEARCH("R51",G128)),0)+IFERROR(--ISNUMBER(SEARCH("R56",G128)),0)+IFERROR(--ISNUMBER(SEARCH("R58",G128)),0)+IFERROR(--ISNUMBER(SEARCH("R59",G128)),0)+IFERROR(--ISNUMBER(SEARCH("R60",G128)),0)+IFERROR(--ISNUMBER(SEARCH("R62",G128)),0)+IFERROR(--ISNUMBER(SEARCH("R63",G128)),0)+IFERROR(--ISNUMBER(SEARCH("R64",G128)),0)+IFERROR(--ISNUMBER(SEARCH("R66",G128)),0)+IFERROR(--ISNUMBER(SEARCH("R67",G128)),0)+IFERROR(--ISNUMBER(SEARCH("R72",G128)),0)+IFERROR(--ISNUMBER(SEARCH("R74",G128)),0)+IFERROR(--ISNUMBER(SEARCH("R75",G128)),0)+IFERROR(--ISNUMBER(SEARCH("R76",G128)),0)+IFERROR(--ISNUMBER(SEARCH("R77",G128)),0)+IFERROR(--ISNUMBER(SEARCH("R79",G128)),0)+IFERROR(--ISNUMBER(SEARCH("R80",G128)),0)+IFERROR(--ISNUMBER(SEARCH("R81",G128)),0)+IFERROR(--ISNUMBER(SEARCH("R83",G128)),0)+IFERROR(--ISNUMBER(SEARCH("R84",G128)),0)+IFERROR(--ISNUMBER(SEARCH("R89",G128)),0)+IFERROR(--ISNUMBER(SEARCH("R94",G128)),0)+IFERROR(--ISNUMBER(SEARCH("R95",G128)),0)+IFERROR(--ISNUMBER(SEARCH("R96",G128)),0)+IFERROR(--ISNUMBER(SEARCH("R98",G128)),0)+IFERROR(--ISNUMBER(SEARCH("R99",G128)),0)+IFERROR(--ISNUMBER(SEARCH("R100",G128)),0)+IFERROR(--ISNUMBER(SEARCH("R104",G128)),0)+IFERROR(--ISNUMBER(SEARCH("R105",G128)),0)+IFERROR(--ISNUMBER(SEARCH("R107",G128)),0)+IFERROR(--ISNUMBER(SEARCH("R108",G128)),0)+IFERROR(--ISNUMBER(SEARCH("R109",G128)),0)+IFERROR(--ISNUMBER(SEARCH("R110",G128)),0)+IFERROR(--ISNUMBER(SEARCH("R112",G128)),0)+IFERROR(--ISNUMBER(SEARCH("R113",G128)),0)+IFERROR(--ISNUMBER(SEARCH("R114",G128)),0)+IFERROR(--ISNUMBER(SEARCH("R118",G128)),0)+IFERROR(--ISNUMBER(SEARCH("R119",G128)),0)+IFERROR(--ISNUMBER(SEARCH("R120",G128)),0)+IFERROR(--ISNUMBER(SEARCH("R122",G128)),0)+IFERROR(--ISNUMBER(SEARCH("R123",G128)),0)+IFERROR(--ISNUMBER(SEARCH("R124",G128)),0)+IFERROR(--ISNUMBER(SEARCH("R128",G128)),0)+IFERROR(--ISNUMBER(SEARCH("R130",G128)),0)+IFERROR(--ISNUMBER(SEARCH("R131",G128)),0)+IFERROR(--ISNUMBER(SEARCH("R132",G128)),0)+IFERROR(--ISNUMBER(SEARCH("R135",G128)),0)+IFERROR(--ISNUMBER(SEARCH("R138",G128)),0)+IFERROR(--ISNUMBER(SEARCH("R141",G128)),0))</f>
        <v/>
      </c>
      <c r="U128" s="58">
        <f>IF(A128="","",IFERROR(--ISNUMBER(SEARCH("R28",G128))*28,0)+IFERROR(--ISNUMBER(SEARCH("R29",G128))*29,0)+IFERROR(--ISNUMBER(SEARCH("R30",G128))*30,0)+IFERROR(--ISNUMBER(SEARCH("R31",G128))*31,0)+IFERROR(--ISNUMBER(SEARCH("R32",G128))*32,0)+IFERROR(--ISNUMBER(SEARCH("R33",G128))*33,0)+IFERROR(--ISNUMBER(SEARCH("R34",G128))*34,0)+IFERROR(--ISNUMBER(SEARCH("R35",G128))*35,0)+IFERROR(--ISNUMBER(SEARCH("R36",G128))*36,0)+IFERROR(--ISNUMBER(SEARCH("R37",G128))*37,0)+IFERROR(--ISNUMBER(SEARCH("R38",G128))*38,0)+IFERROR(--ISNUMBER(SEARCH("R39",G128))*39,0)+IFERROR(--ISNUMBER(SEARCH("R40",G128))*40,0)+IFERROR(--ISNUMBER(SEARCH("R41",G128))*41,0)+IFERROR(--ISNUMBER(SEARCH("R42",G128))*42,0)+IFERROR(--ISNUMBER(SEARCH("R43",G128))*43,0)+IFERROR(--ISNUMBER(SEARCH("R44",G128))*44,0)+IFERROR(--ISNUMBER(SEARCH("R45",G128))*45,0)+IFERROR(--ISNUMBER(SEARCH("R46",G128))*46,0)+IFERROR(--ISNUMBER(SEARCH("R47",G128))*47,0)+IFERROR(--ISNUMBER(SEARCH("R48",G128))*48,0)+IFERROR(--ISNUMBER(SEARCH("R49",G128))*49,0)+IFERROR(--ISNUMBER(SEARCH("R50",G128))*50,0)+IFERROR(--ISNUMBER(SEARCH("R51",G128))*51,0)+IFERROR(--ISNUMBER(SEARCH("R52",G128))*52,0)+IFERROR(--ISNUMBER(SEARCH("R53",G128))*53,0)+IFERROR(--ISNUMBER(SEARCH("R54",G128))*54,0)+IFERROR(--ISNUMBER(SEARCH("R55",G128))*55,0)+IFERROR(--ISNUMBER(SEARCH("R56",G128))*56,0)+IFERROR(--ISNUMBER(SEARCH("R57",G128))*57,0)+IFERROR(--ISNUMBER(SEARCH("R58",G128))*58,0)+IFERROR(--ISNUMBER(SEARCH("R59",G128))*59,0)+IFERROR(--ISNUMBER(SEARCH("R60",G128))*60,0)+IFERROR(--ISNUMBER(SEARCH("R61",G128))*61,0)+IFERROR(--ISNUMBER(SEARCH("R62",G128))*62,0)+IFERROR(--ISNUMBER(SEARCH("R63",G128))*63,0)+IFERROR(--ISNUMBER(SEARCH("R64",G128))*64,0)+IFERROR(--ISNUMBER(SEARCH("R65",G128))*65,0)+IFERROR(--ISNUMBER(SEARCH("R66",G128))*66,0)+IFERROR(--ISNUMBER(SEARCH("R67",G128))*67,0)+IFERROR(--ISNUMBER(SEARCH("R68",G128))*68,0)+IFERROR(--ISNUMBER(SEARCH("R69",G128))*69,0)+IFERROR(--ISNUMBER(SEARCH("R70",G128))*70,0)+IFERROR(--ISNUMBER(SEARCH("R71",G128))*71,0)+IFERROR(--ISNUMBER(SEARCH("R72",G128))*72,0)+IFERROR(--ISNUMBER(SEARCH("R73",G128))*73,0)+IFERROR(--ISNUMBER(SEARCH("R74",G128))*74,0)+IFERROR(--ISNUMBER(SEARCH("R75",G128))*75,0)+IFERROR(--ISNUMBER(SEARCH("R76",G128))*76,0)+IFERROR(--ISNUMBER(SEARCH("R77",G128))*77,0)+IFERROR(--ISNUMBER(SEARCH("R78",G128))*78,0)+IFERROR(--ISNUMBER(SEARCH("R79",G128))*79,0)+IFERROR(--ISNUMBER(SEARCH("R80",G128))*80,0)+IFERROR(--ISNUMBER(SEARCH("R81",G128))*81,0)+IFERROR(--ISNUMBER(SEARCH("R82",G128))*82,0)+IFERROR(--ISNUMBER(SEARCH("R83",G128))*83,0)+IFERROR(--ISNUMBER(SEARCH("R84",G128))*84,0)+IFERROR(--ISNUMBER(SEARCH("R85",G128))*85,0)+IFERROR(--ISNUMBER(SEARCH("R86",G128))*86,0)+IFERROR(--ISNUMBER(SEARCH("R87",G128))*87,0)+IFERROR(--ISNUMBER(SEARCH("R88",G128))*88,0)+IFERROR(--ISNUMBER(SEARCH("R89",G128))*89,0)+IFERROR(--ISNUMBER(SEARCH("R90",G128))*90,0)+IFERROR(--ISNUMBER(SEARCH("R91",G128))*91,0)+IFERROR(--ISNUMBER(SEARCH("R92",G128))*92,0)+IFERROR(--ISNUMBER(SEARCH("R93",G128))*93,0)+IFERROR(--ISNUMBER(SEARCH("R94",G128))*94,0)+IFERROR(--ISNUMBER(SEARCH("R95",G128))*95,0)+IFERROR(--ISNUMBER(SEARCH("R96",G128))*96,0)+IFERROR(--ISNUMBER(SEARCH("R97",G128))*97,0)+IFERROR(--ISNUMBER(SEARCH("R98",G128))*98,0)+IFERROR(--ISNUMBER(SEARCH("R99",G128))*99,0)+IFERROR(--ISNUMBER(SEARCH("R100",G128))*100,0)+IFERROR(--ISNUMBER(SEARCH("R101",G128))*101,0)+IFERROR(--ISNUMBER(SEARCH("R102",G128))*102,0)+IFERROR(--ISNUMBER(SEARCH("R103",G128))*103,0)+IFERROR(--ISNUMBER(SEARCH("R104",G128))*104,0)+IFERROR(--ISNUMBER(SEARCH("R105",G128))*105,0)+IFERROR(--ISNUMBER(SEARCH("R106",G128))*106,0)+IFERROR(--ISNUMBER(SEARCH("R107",G128))*107,0)+IFERROR(--ISNUMBER(SEARCH("R108",G128))*108,0)+IFERROR(--ISNUMBER(SEARCH("R109",G128))*109,0)+IFERROR(--ISNUMBER(SEARCH("R110",G128))*110,0)+IFERROR(--ISNUMBER(SEARCH("R111",G128))*111,0)+IFERROR(--ISNUMBER(SEARCH("R112",G128))*112,0)+IFERROR(--ISNUMBER(SEARCH("R113",G128))*113,0)+IFERROR(--ISNUMBER(SEARCH("R114",G128))*114,0)+IFERROR(--ISNUMBER(SEARCH("R115",G128))*115,0)+IFERROR(--ISNUMBER(SEARCH("R116",G128))*116,0)+IFERROR(--ISNUMBER(SEARCH("R117",G128))*117,0)+IFERROR(--ISNUMBER(SEARCH("R118",G128))*118,0)+IFERROR(--ISNUMBER(SEARCH("R119",G128))*119,0)+IFERROR(--ISNUMBER(SEARCH("R120",G128))*120,0)+IFERROR(--ISNUMBER(SEARCH("R121",G128))*121,0)+IFERROR(--ISNUMBER(SEARCH("R122",G128))*122,0)+IFERROR(--ISNUMBER(SEARCH("R123",G128))*123,0)+IFERROR(--ISNUMBER(SEARCH("R124",G128))*124,0)+IFERROR(--ISNUMBER(SEARCH("R125",G128))*125,0)+IFERROR(--ISNUMBER(SEARCH("R126",G128))*126,0)+IFERROR(--ISNUMBER(SEARCH("R127",G128))*127,0)+IFERROR(--ISNUMBER(SEARCH("R128",G128))*128,0)+IFERROR(--ISNUMBER(SEARCH("R129",G128))*129,0)+IFERROR(--ISNUMBER(SEARCH("R130",G128))*130,0)+IFERROR(--ISNUMBER(SEARCH("R131",G128))*131,0)+IFERROR(--ISNUMBER(SEARCH("R132",G128))*132,0)+IFERROR(--ISNUMBER(SEARCH("R133",G128))*133,0)+IFERROR(--ISNUMBER(SEARCH("R134",G128))*134,0)+IFERROR(--ISNUMBER(SEARCH("R135",G128))*135,0)+IFERROR(--ISNUMBER(SEARCH("R136",G128))*136,0)+IFERROR(--ISNUMBER(SEARCH("R137",G128))*137,0)+IFERROR(--ISNUMBER(SEARCH("R138",G128))*138,0)+IFERROR(--ISNUMBER(SEARCH("R139",G128))*139,0)+IFERROR(--ISNUMBER(SEARCH("R140",G128))*140,0)+IFERROR(--ISNUMBER(SEARCH("R141",G128))*141,0))</f>
        <v/>
      </c>
      <c r="V128" s="59">
        <f>IF(A128="","",IF(K128&lt;&gt;"",K128,J128))</f>
        <v/>
      </c>
      <c r="W128" s="59">
        <f>IF(A128="","",IF(AND(V128=29,O128&lt;&gt;"",COUNTIFS($V$6:$V$505,29,$F$6:$F$505,F128,$C$6:$C$505,C128,$O$6:$O$505,"&lt;&gt;")&gt;1),IF(COUNTIFS($V$6:V128,29,$F$6:F128,F128,$C$6:C128,C128,$O$6:O128,"&lt;&gt;")=1,"Esta es la fila que se debe CONSERVAR (aparición 1 de "&amp;COUNTIFS($V$6:$V$505,29,$F$6:$F$505,F128,$C$6:$C$505,C128,$O$6:$O$505,"&lt;&gt;")&amp;" con el mismo tercero y valor, casilla 29). Si hay más filas iguales, bórreles el valor a ELLAS, no a esta.","DUPLICADO — ya existe otra fila con el mismo tercero y valor para casilla 29 (aparición "&amp;COUNTIFS($V$6:V128,29,$F$6:F128,F128,$C$6:C128,C128,$O$6:O128,"&lt;&gt;")&amp;" de "&amp;COUNTIFS($V$6:$V$505,29,$F$6:$F$505,F128,$C$6:$C$505,C128,$O$6:$O$505,"&lt;&gt;")&amp;"). Para resolverlo: seleccione la celda O"&amp;ROW()&amp;" (columna Valor a declarar de ESTA fila) y presione Supr."),""))</f>
        <v/>
      </c>
      <c r="X128" s="463">
        <f>IF(A128="","",F128)</f>
        <v/>
      </c>
      <c r="Y128" s="463">
        <f>IF(A128="","",SUMIF(Entrada_Manual!$I$88:$I$187,A128,Entrada_Manual!$F$88:$F$187))</f>
        <v/>
      </c>
      <c r="Z128" s="463">
        <f>IF(A128="","",X128-Y128)</f>
        <v/>
      </c>
      <c r="AA128">
        <f>IF(A128="","",SUMPRODUCT((Entrada_Manual!$I$88:$I$187=A128)*1))</f>
        <v/>
      </c>
      <c r="AB128">
        <f>IF(A128="","",IF(S128&lt;=1,"",IF(AA128=0,"PENDIENTE — SIN ASIGNAR",IF(Z128=0,"RESUELTO","PARCIAL — DIFERENCIA "&amp;TEXT(Z128,"#,##0")))))</f>
        <v/>
      </c>
    </row>
    <row r="129" ht="14.25" customHeight="1" s="235">
      <c r="A129" s="47">
        <f>IF(Exogena_RAW!E138&lt;&gt;"",ROW()-5,"")</f>
        <v/>
      </c>
      <c r="B129" s="48">
        <f>IF(A129="","",138)</f>
        <v/>
      </c>
      <c r="C129" s="48">
        <f>IF(A129="","",IFERROR(Exogena_RAW!A138,""))</f>
        <v/>
      </c>
      <c r="D129" s="48">
        <f>IF(A129="","",IFERROR(Exogena_RAW!B138,""))</f>
        <v/>
      </c>
      <c r="E129" s="48">
        <f>IF(A129="","",Exogena_RAW!E138)</f>
        <v/>
      </c>
      <c r="F129" s="461">
        <f>IF(A129="","",Exogena_RAW!F138)</f>
        <v/>
      </c>
      <c r="G129" s="48">
        <f>IF(A129="","",IFERROR(Exogena_RAW!G138,""))</f>
        <v/>
      </c>
      <c r="H129" s="48">
        <f>IF(A129="","",IFERROR(Exogena_RAW!H138,""))</f>
        <v/>
      </c>
      <c r="I129" s="48">
        <f>IF(A129="","",IFERROR(IF(S129&gt;1,"VARIAS CASILLAS",IF(S129=1,IF(T129=1,"PROPUESTA DE CASILLA","REVISIÓN: CASILLA NO DIRECTA"),IF(OR(ISNUMBER(SEARCH("TOPE",UPPER(E129))),ISNUMBER(SEARCH("TOPE",UPPER(G129)))),"SOLO CONTROL",IF(ISNUMBER(SEARCH("RETEN",UPPER(E129))),"RETENCIÓN","REVISAR")))),"REVISAR"))</f>
        <v/>
      </c>
      <c r="J129" s="48">
        <f>IF(A129="","",IF(ISNUMBER(SEARCH("ingreso laboral promedio de los últimos seis meses",E129)),"",IFERROR(IF(AND(S129=1,T129=1),U129,""),"")))</f>
        <v/>
      </c>
      <c r="K129" s="216" t="n"/>
      <c r="L129" s="48">
        <f>IF(A129="","",IFERROR(IF(K129&lt;&gt;"","Casilla elegida por usuario",IF(S129&gt;1,"Varias casillas — elegir en K",IF(J129&lt;&gt;"","Sugerencia directa",IF(S129=1,"No trasladar directo — revisar",IF(OR(ISNUMBER(SEARCH("TOPE",UPPER(E129))),ISNUMBER(SEARCH("TOPE",UPPER(G129)))),"Solo control","Revisar manualmente"))))),"Revisar manualmente"))</f>
        <v/>
      </c>
      <c r="M129" s="461">
        <f>IF(A129="","",IF(IF(K129&lt;&gt;"",K129,J129)="",0,IF(COUNTIFS(Reglas!$I$5:$I$118,IF(K129&lt;&gt;"",K129,J129),Reglas!$J$5:$J$118,"Sí")=1,F129,0)))</f>
        <v/>
      </c>
      <c r="N129" s="56" t="n"/>
      <c r="O129" s="462">
        <f>IF(A129="","",IF(M129=0,"",M129))</f>
        <v/>
      </c>
      <c r="P129" s="461">
        <f>IF(A129="","",IF(O129="",0,IF(ISNUMBER(O129),O129,0)))</f>
        <v/>
      </c>
      <c r="Q129" s="48">
        <f>IF(A129="","",IF(Exogena_RAW!$C$4="","BLOQUEADO: FALTA AÑO",IF(Exogena_RAW!$K$10&lt;&gt;Reglas!$B$5,"BLOQUEADO: AÑO",IF(IF(K129&lt;&gt;"",K129,J129)="",IF(S129&gt;1,"REQUIERE ASIGNACIÓN MANUAL (VARIAS CASILLAS)","INFORMATIVO (sin casilla — no se declara)"),IF(COUNTIFS(Reglas!$I$5:$I$118,IF(K129&lt;&gt;"",K129,J129),Reglas!$J$5:$J$118,"Sí")=0,"BLOQUEADO: CASILLA NO DIRECTA",IF(O129="","EXCLUIDO (valor borrado por el usuario)",IF(_xlfn.ISFORMULA(O129),IF(W129&lt;&gt;"","BORRADOR — VALOR SUGERIDO DIAN ⚠ VER ALERTA","BORRADOR — VALOR SUGERIDO DIAN"),IF(W129&lt;&gt;"","ACEPTADO ⚠ VER ALERTA","ACEPTADO"))))))))</f>
        <v/>
      </c>
      <c r="R129" s="218" t="n"/>
      <c r="S129" s="58">
        <f>IF(A129="","",IFERROR(--ISNUMBER(SEARCH("R28",G129)),0)+IFERROR(--ISNUMBER(SEARCH("R29",G129)),0)+IFERROR(--ISNUMBER(SEARCH("R30",G129)),0)+IFERROR(--ISNUMBER(SEARCH("R31",G129)),0)+IFERROR(--ISNUMBER(SEARCH("R32",G129)),0)+IFERROR(--ISNUMBER(SEARCH("R33",G129)),0)+IFERROR(--ISNUMBER(SEARCH("R34",G129)),0)+IFERROR(--ISNUMBER(SEARCH("R35",G129)),0)+IFERROR(--ISNUMBER(SEARCH("R36",G129)),0)+IFERROR(--ISNUMBER(SEARCH("R37",G129)),0)+IFERROR(--ISNUMBER(SEARCH("R38",G129)),0)+IFERROR(--ISNUMBER(SEARCH("R39",G129)),0)+IFERROR(--ISNUMBER(SEARCH("R40",G129)),0)+IFERROR(--ISNUMBER(SEARCH("R41",G129)),0)+IFERROR(--ISNUMBER(SEARCH("R42",G129)),0)+IFERROR(--ISNUMBER(SEARCH("R43",G129)),0)+IFERROR(--ISNUMBER(SEARCH("R44",G129)),0)+IFERROR(--ISNUMBER(SEARCH("R45",G129)),0)+IFERROR(--ISNUMBER(SEARCH("R46",G129)),0)+IFERROR(--ISNUMBER(SEARCH("R47",G129)),0)+IFERROR(--ISNUMBER(SEARCH("R48",G129)),0)+IFERROR(--ISNUMBER(SEARCH("R49",G129)),0)+IFERROR(--ISNUMBER(SEARCH("R50",G129)),0)+IFERROR(--ISNUMBER(SEARCH("R51",G129)),0)+IFERROR(--ISNUMBER(SEARCH("R52",G129)),0)+IFERROR(--ISNUMBER(SEARCH("R53",G129)),0)+IFERROR(--ISNUMBER(SEARCH("R54",G129)),0)+IFERROR(--ISNUMBER(SEARCH("R55",G129)),0)+IFERROR(--ISNUMBER(SEARCH("R56",G129)),0)+IFERROR(--ISNUMBER(SEARCH("R57",G129)),0)+IFERROR(--ISNUMBER(SEARCH("R58",G129)),0)+IFERROR(--ISNUMBER(SEARCH("R59",G129)),0)+IFERROR(--ISNUMBER(SEARCH("R60",G129)),0)+IFERROR(--ISNUMBER(SEARCH("R61",G129)),0)+IFERROR(--ISNUMBER(SEARCH("R62",G129)),0)+IFERROR(--ISNUMBER(SEARCH("R63",G129)),0)+IFERROR(--ISNUMBER(SEARCH("R64",G129)),0)+IFERROR(--ISNUMBER(SEARCH("R65",G129)),0)+IFERROR(--ISNUMBER(SEARCH("R66",G129)),0)+IFERROR(--ISNUMBER(SEARCH("R67",G129)),0)+IFERROR(--ISNUMBER(SEARCH("R68",G129)),0)+IFERROR(--ISNUMBER(SEARCH("R69",G129)),0)+IFERROR(--ISNUMBER(SEARCH("R70",G129)),0)+IFERROR(--ISNUMBER(SEARCH("R71",G129)),0)+IFERROR(--ISNUMBER(SEARCH("R72",G129)),0)+IFERROR(--ISNUMBER(SEARCH("R73",G129)),0)+IFERROR(--ISNUMBER(SEARCH("R74",G129)),0)+IFERROR(--ISNUMBER(SEARCH("R75",G129)),0)+IFERROR(--ISNUMBER(SEARCH("R76",G129)),0)+IFERROR(--ISNUMBER(SEARCH("R77",G129)),0)+IFERROR(--ISNUMBER(SEARCH("R78",G129)),0)+IFERROR(--ISNUMBER(SEARCH("R79",G129)),0)+IFERROR(--ISNUMBER(SEARCH("R80",G129)),0)+IFERROR(--ISNUMBER(SEARCH("R81",G129)),0)+IFERROR(--ISNUMBER(SEARCH("R82",G129)),0)+IFERROR(--ISNUMBER(SEARCH("R83",G129)),0)+IFERROR(--ISNUMBER(SEARCH("R84",G129)),0)+IFERROR(--ISNUMBER(SEARCH("R85",G129)),0)+IFERROR(--ISNUMBER(SEARCH("R86",G129)),0)+IFERROR(--ISNUMBER(SEARCH("R87",G129)),0)+IFERROR(--ISNUMBER(SEARCH("R88",G129)),0)+IFERROR(--ISNUMBER(SEARCH("R89",G129)),0)+IFERROR(--ISNUMBER(SEARCH("R90",G129)),0)+IFERROR(--ISNUMBER(SEARCH("R91",G129)),0)+IFERROR(--ISNUMBER(SEARCH("R92",G129)),0)+IFERROR(--ISNUMBER(SEARCH("R93",G129)),0)+IFERROR(--ISNUMBER(SEARCH("R94",G129)),0)+IFERROR(--ISNUMBER(SEARCH("R95",G129)),0)+IFERROR(--ISNUMBER(SEARCH("R96",G129)),0)+IFERROR(--ISNUMBER(SEARCH("R97",G129)),0)+IFERROR(--ISNUMBER(SEARCH("R98",G129)),0)+IFERROR(--ISNUMBER(SEARCH("R99",G129)),0)+IFERROR(--ISNUMBER(SEARCH("R100",G129)),0)+IFERROR(--ISNUMBER(SEARCH("R101",G129)),0)+IFERROR(--ISNUMBER(SEARCH("R102",G129)),0)+IFERROR(--ISNUMBER(SEARCH("R103",G129)),0)+IFERROR(--ISNUMBER(SEARCH("R104",G129)),0)+IFERROR(--ISNUMBER(SEARCH("R105",G129)),0)+IFERROR(--ISNUMBER(SEARCH("R106",G129)),0)+IFERROR(--ISNUMBER(SEARCH("R107",G129)),0)+IFERROR(--ISNUMBER(SEARCH("R108",G129)),0)+IFERROR(--ISNUMBER(SEARCH("R109",G129)),0)+IFERROR(--ISNUMBER(SEARCH("R110",G129)),0)+IFERROR(--ISNUMBER(SEARCH("R111",G129)),0)+IFERROR(--ISNUMBER(SEARCH("R112",G129)),0)+IFERROR(--ISNUMBER(SEARCH("R113",G129)),0)+IFERROR(--ISNUMBER(SEARCH("R114",G129)),0)+IFERROR(--ISNUMBER(SEARCH("R115",G129)),0)+IFERROR(--ISNUMBER(SEARCH("R116",G129)),0)+IFERROR(--ISNUMBER(SEARCH("R117",G129)),0)+IFERROR(--ISNUMBER(SEARCH("R118",G129)),0)+IFERROR(--ISNUMBER(SEARCH("R119",G129)),0)+IFERROR(--ISNUMBER(SEARCH("R120",G129)),0)+IFERROR(--ISNUMBER(SEARCH("R121",G129)),0)+IFERROR(--ISNUMBER(SEARCH("R122",G129)),0)+IFERROR(--ISNUMBER(SEARCH("R123",G129)),0)+IFERROR(--ISNUMBER(SEARCH("R124",G129)),0)+IFERROR(--ISNUMBER(SEARCH("R125",G129)),0)+IFERROR(--ISNUMBER(SEARCH("R126",G129)),0)+IFERROR(--ISNUMBER(SEARCH("R127",G129)),0)+IFERROR(--ISNUMBER(SEARCH("R128",G129)),0)+IFERROR(--ISNUMBER(SEARCH("R129",G129)),0)+IFERROR(--ISNUMBER(SEARCH("R130",G129)),0)+IFERROR(--ISNUMBER(SEARCH("R131",G129)),0)+IFERROR(--ISNUMBER(SEARCH("R132",G129)),0)+IFERROR(--ISNUMBER(SEARCH("R133",G129)),0)+IFERROR(--ISNUMBER(SEARCH("R134",G129)),0)+IFERROR(--ISNUMBER(SEARCH("R135",G129)),0)+IFERROR(--ISNUMBER(SEARCH("R136",G129)),0)+IFERROR(--ISNUMBER(SEARCH("R137",G129)),0)+IFERROR(--ISNUMBER(SEARCH("R138",G129)),0)+IFERROR(--ISNUMBER(SEARCH("R139",G129)),0)+IFERROR(--ISNUMBER(SEARCH("R140",G129)),0)+IFERROR(--ISNUMBER(SEARCH("R141",G129)),0))</f>
        <v/>
      </c>
      <c r="T129" s="58">
        <f>IF(A129="","",IFERROR(--ISNUMBER(SEARCH("R28",G129)),0)+IFERROR(--ISNUMBER(SEARCH("R29",G129)),0)+IFERROR(--ISNUMBER(SEARCH("R30",G129)),0)+IFERROR(--ISNUMBER(SEARCH("R32",G129)),0)+IFERROR(--ISNUMBER(SEARCH("R33",G129)),0)+IFERROR(--ISNUMBER(SEARCH("R35",G129)),0)+IFERROR(--ISNUMBER(SEARCH("R36",G129)),0)+IFERROR(--ISNUMBER(SEARCH("R38",G129)),0)+IFERROR(--ISNUMBER(SEARCH("R39",G129)),0)+IFERROR(--ISNUMBER(SEARCH("R43",G129)),0)+IFERROR(--ISNUMBER(SEARCH("R44",G129)),0)+IFERROR(--ISNUMBER(SEARCH("R45",G129)),0)+IFERROR(--ISNUMBER(SEARCH("R47",G129)),0)+IFERROR(--ISNUMBER(SEARCH("R48",G129)),0)+IFERROR(--ISNUMBER(SEARCH("R50",G129)),0)+IFERROR(--ISNUMBER(SEARCH("R51",G129)),0)+IFERROR(--ISNUMBER(SEARCH("R56",G129)),0)+IFERROR(--ISNUMBER(SEARCH("R58",G129)),0)+IFERROR(--ISNUMBER(SEARCH("R59",G129)),0)+IFERROR(--ISNUMBER(SEARCH("R60",G129)),0)+IFERROR(--ISNUMBER(SEARCH("R62",G129)),0)+IFERROR(--ISNUMBER(SEARCH("R63",G129)),0)+IFERROR(--ISNUMBER(SEARCH("R64",G129)),0)+IFERROR(--ISNUMBER(SEARCH("R66",G129)),0)+IFERROR(--ISNUMBER(SEARCH("R67",G129)),0)+IFERROR(--ISNUMBER(SEARCH("R72",G129)),0)+IFERROR(--ISNUMBER(SEARCH("R74",G129)),0)+IFERROR(--ISNUMBER(SEARCH("R75",G129)),0)+IFERROR(--ISNUMBER(SEARCH("R76",G129)),0)+IFERROR(--ISNUMBER(SEARCH("R77",G129)),0)+IFERROR(--ISNUMBER(SEARCH("R79",G129)),0)+IFERROR(--ISNUMBER(SEARCH("R80",G129)),0)+IFERROR(--ISNUMBER(SEARCH("R81",G129)),0)+IFERROR(--ISNUMBER(SEARCH("R83",G129)),0)+IFERROR(--ISNUMBER(SEARCH("R84",G129)),0)+IFERROR(--ISNUMBER(SEARCH("R89",G129)),0)+IFERROR(--ISNUMBER(SEARCH("R94",G129)),0)+IFERROR(--ISNUMBER(SEARCH("R95",G129)),0)+IFERROR(--ISNUMBER(SEARCH("R96",G129)),0)+IFERROR(--ISNUMBER(SEARCH("R98",G129)),0)+IFERROR(--ISNUMBER(SEARCH("R99",G129)),0)+IFERROR(--ISNUMBER(SEARCH("R100",G129)),0)+IFERROR(--ISNUMBER(SEARCH("R104",G129)),0)+IFERROR(--ISNUMBER(SEARCH("R105",G129)),0)+IFERROR(--ISNUMBER(SEARCH("R107",G129)),0)+IFERROR(--ISNUMBER(SEARCH("R108",G129)),0)+IFERROR(--ISNUMBER(SEARCH("R109",G129)),0)+IFERROR(--ISNUMBER(SEARCH("R110",G129)),0)+IFERROR(--ISNUMBER(SEARCH("R112",G129)),0)+IFERROR(--ISNUMBER(SEARCH("R113",G129)),0)+IFERROR(--ISNUMBER(SEARCH("R114",G129)),0)+IFERROR(--ISNUMBER(SEARCH("R118",G129)),0)+IFERROR(--ISNUMBER(SEARCH("R119",G129)),0)+IFERROR(--ISNUMBER(SEARCH("R120",G129)),0)+IFERROR(--ISNUMBER(SEARCH("R122",G129)),0)+IFERROR(--ISNUMBER(SEARCH("R123",G129)),0)+IFERROR(--ISNUMBER(SEARCH("R124",G129)),0)+IFERROR(--ISNUMBER(SEARCH("R128",G129)),0)+IFERROR(--ISNUMBER(SEARCH("R130",G129)),0)+IFERROR(--ISNUMBER(SEARCH("R131",G129)),0)+IFERROR(--ISNUMBER(SEARCH("R132",G129)),0)+IFERROR(--ISNUMBER(SEARCH("R135",G129)),0)+IFERROR(--ISNUMBER(SEARCH("R138",G129)),0)+IFERROR(--ISNUMBER(SEARCH("R141",G129)),0))</f>
        <v/>
      </c>
      <c r="U129" s="58">
        <f>IF(A129="","",IFERROR(--ISNUMBER(SEARCH("R28",G129))*28,0)+IFERROR(--ISNUMBER(SEARCH("R29",G129))*29,0)+IFERROR(--ISNUMBER(SEARCH("R30",G129))*30,0)+IFERROR(--ISNUMBER(SEARCH("R31",G129))*31,0)+IFERROR(--ISNUMBER(SEARCH("R32",G129))*32,0)+IFERROR(--ISNUMBER(SEARCH("R33",G129))*33,0)+IFERROR(--ISNUMBER(SEARCH("R34",G129))*34,0)+IFERROR(--ISNUMBER(SEARCH("R35",G129))*35,0)+IFERROR(--ISNUMBER(SEARCH("R36",G129))*36,0)+IFERROR(--ISNUMBER(SEARCH("R37",G129))*37,0)+IFERROR(--ISNUMBER(SEARCH("R38",G129))*38,0)+IFERROR(--ISNUMBER(SEARCH("R39",G129))*39,0)+IFERROR(--ISNUMBER(SEARCH("R40",G129))*40,0)+IFERROR(--ISNUMBER(SEARCH("R41",G129))*41,0)+IFERROR(--ISNUMBER(SEARCH("R42",G129))*42,0)+IFERROR(--ISNUMBER(SEARCH("R43",G129))*43,0)+IFERROR(--ISNUMBER(SEARCH("R44",G129))*44,0)+IFERROR(--ISNUMBER(SEARCH("R45",G129))*45,0)+IFERROR(--ISNUMBER(SEARCH("R46",G129))*46,0)+IFERROR(--ISNUMBER(SEARCH("R47",G129))*47,0)+IFERROR(--ISNUMBER(SEARCH("R48",G129))*48,0)+IFERROR(--ISNUMBER(SEARCH("R49",G129))*49,0)+IFERROR(--ISNUMBER(SEARCH("R50",G129))*50,0)+IFERROR(--ISNUMBER(SEARCH("R51",G129))*51,0)+IFERROR(--ISNUMBER(SEARCH("R52",G129))*52,0)+IFERROR(--ISNUMBER(SEARCH("R53",G129))*53,0)+IFERROR(--ISNUMBER(SEARCH("R54",G129))*54,0)+IFERROR(--ISNUMBER(SEARCH("R55",G129))*55,0)+IFERROR(--ISNUMBER(SEARCH("R56",G129))*56,0)+IFERROR(--ISNUMBER(SEARCH("R57",G129))*57,0)+IFERROR(--ISNUMBER(SEARCH("R58",G129))*58,0)+IFERROR(--ISNUMBER(SEARCH("R59",G129))*59,0)+IFERROR(--ISNUMBER(SEARCH("R60",G129))*60,0)+IFERROR(--ISNUMBER(SEARCH("R61",G129))*61,0)+IFERROR(--ISNUMBER(SEARCH("R62",G129))*62,0)+IFERROR(--ISNUMBER(SEARCH("R63",G129))*63,0)+IFERROR(--ISNUMBER(SEARCH("R64",G129))*64,0)+IFERROR(--ISNUMBER(SEARCH("R65",G129))*65,0)+IFERROR(--ISNUMBER(SEARCH("R66",G129))*66,0)+IFERROR(--ISNUMBER(SEARCH("R67",G129))*67,0)+IFERROR(--ISNUMBER(SEARCH("R68",G129))*68,0)+IFERROR(--ISNUMBER(SEARCH("R69",G129))*69,0)+IFERROR(--ISNUMBER(SEARCH("R70",G129))*70,0)+IFERROR(--ISNUMBER(SEARCH("R71",G129))*71,0)+IFERROR(--ISNUMBER(SEARCH("R72",G129))*72,0)+IFERROR(--ISNUMBER(SEARCH("R73",G129))*73,0)+IFERROR(--ISNUMBER(SEARCH("R74",G129))*74,0)+IFERROR(--ISNUMBER(SEARCH("R75",G129))*75,0)+IFERROR(--ISNUMBER(SEARCH("R76",G129))*76,0)+IFERROR(--ISNUMBER(SEARCH("R77",G129))*77,0)+IFERROR(--ISNUMBER(SEARCH("R78",G129))*78,0)+IFERROR(--ISNUMBER(SEARCH("R79",G129))*79,0)+IFERROR(--ISNUMBER(SEARCH("R80",G129))*80,0)+IFERROR(--ISNUMBER(SEARCH("R81",G129))*81,0)+IFERROR(--ISNUMBER(SEARCH("R82",G129))*82,0)+IFERROR(--ISNUMBER(SEARCH("R83",G129))*83,0)+IFERROR(--ISNUMBER(SEARCH("R84",G129))*84,0)+IFERROR(--ISNUMBER(SEARCH("R85",G129))*85,0)+IFERROR(--ISNUMBER(SEARCH("R86",G129))*86,0)+IFERROR(--ISNUMBER(SEARCH("R87",G129))*87,0)+IFERROR(--ISNUMBER(SEARCH("R88",G129))*88,0)+IFERROR(--ISNUMBER(SEARCH("R89",G129))*89,0)+IFERROR(--ISNUMBER(SEARCH("R90",G129))*90,0)+IFERROR(--ISNUMBER(SEARCH("R91",G129))*91,0)+IFERROR(--ISNUMBER(SEARCH("R92",G129))*92,0)+IFERROR(--ISNUMBER(SEARCH("R93",G129))*93,0)+IFERROR(--ISNUMBER(SEARCH("R94",G129))*94,0)+IFERROR(--ISNUMBER(SEARCH("R95",G129))*95,0)+IFERROR(--ISNUMBER(SEARCH("R96",G129))*96,0)+IFERROR(--ISNUMBER(SEARCH("R97",G129))*97,0)+IFERROR(--ISNUMBER(SEARCH("R98",G129))*98,0)+IFERROR(--ISNUMBER(SEARCH("R99",G129))*99,0)+IFERROR(--ISNUMBER(SEARCH("R100",G129))*100,0)+IFERROR(--ISNUMBER(SEARCH("R101",G129))*101,0)+IFERROR(--ISNUMBER(SEARCH("R102",G129))*102,0)+IFERROR(--ISNUMBER(SEARCH("R103",G129))*103,0)+IFERROR(--ISNUMBER(SEARCH("R104",G129))*104,0)+IFERROR(--ISNUMBER(SEARCH("R105",G129))*105,0)+IFERROR(--ISNUMBER(SEARCH("R106",G129))*106,0)+IFERROR(--ISNUMBER(SEARCH("R107",G129))*107,0)+IFERROR(--ISNUMBER(SEARCH("R108",G129))*108,0)+IFERROR(--ISNUMBER(SEARCH("R109",G129))*109,0)+IFERROR(--ISNUMBER(SEARCH("R110",G129))*110,0)+IFERROR(--ISNUMBER(SEARCH("R111",G129))*111,0)+IFERROR(--ISNUMBER(SEARCH("R112",G129))*112,0)+IFERROR(--ISNUMBER(SEARCH("R113",G129))*113,0)+IFERROR(--ISNUMBER(SEARCH("R114",G129))*114,0)+IFERROR(--ISNUMBER(SEARCH("R115",G129))*115,0)+IFERROR(--ISNUMBER(SEARCH("R116",G129))*116,0)+IFERROR(--ISNUMBER(SEARCH("R117",G129))*117,0)+IFERROR(--ISNUMBER(SEARCH("R118",G129))*118,0)+IFERROR(--ISNUMBER(SEARCH("R119",G129))*119,0)+IFERROR(--ISNUMBER(SEARCH("R120",G129))*120,0)+IFERROR(--ISNUMBER(SEARCH("R121",G129))*121,0)+IFERROR(--ISNUMBER(SEARCH("R122",G129))*122,0)+IFERROR(--ISNUMBER(SEARCH("R123",G129))*123,0)+IFERROR(--ISNUMBER(SEARCH("R124",G129))*124,0)+IFERROR(--ISNUMBER(SEARCH("R125",G129))*125,0)+IFERROR(--ISNUMBER(SEARCH("R126",G129))*126,0)+IFERROR(--ISNUMBER(SEARCH("R127",G129))*127,0)+IFERROR(--ISNUMBER(SEARCH("R128",G129))*128,0)+IFERROR(--ISNUMBER(SEARCH("R129",G129))*129,0)+IFERROR(--ISNUMBER(SEARCH("R130",G129))*130,0)+IFERROR(--ISNUMBER(SEARCH("R131",G129))*131,0)+IFERROR(--ISNUMBER(SEARCH("R132",G129))*132,0)+IFERROR(--ISNUMBER(SEARCH("R133",G129))*133,0)+IFERROR(--ISNUMBER(SEARCH("R134",G129))*134,0)+IFERROR(--ISNUMBER(SEARCH("R135",G129))*135,0)+IFERROR(--ISNUMBER(SEARCH("R136",G129))*136,0)+IFERROR(--ISNUMBER(SEARCH("R137",G129))*137,0)+IFERROR(--ISNUMBER(SEARCH("R138",G129))*138,0)+IFERROR(--ISNUMBER(SEARCH("R139",G129))*139,0)+IFERROR(--ISNUMBER(SEARCH("R140",G129))*140,0)+IFERROR(--ISNUMBER(SEARCH("R141",G129))*141,0))</f>
        <v/>
      </c>
      <c r="V129" s="59">
        <f>IF(A129="","",IF(K129&lt;&gt;"",K129,J129))</f>
        <v/>
      </c>
      <c r="W129" s="59">
        <f>IF(A129="","",IF(AND(V129=29,O129&lt;&gt;"",COUNTIFS($V$6:$V$505,29,$F$6:$F$505,F129,$C$6:$C$505,C129,$O$6:$O$505,"&lt;&gt;")&gt;1),IF(COUNTIFS($V$6:V129,29,$F$6:F129,F129,$C$6:C129,C129,$O$6:O129,"&lt;&gt;")=1,"Esta es la fila que se debe CONSERVAR (aparición 1 de "&amp;COUNTIFS($V$6:$V$505,29,$F$6:$F$505,F129,$C$6:$C$505,C129,$O$6:$O$505,"&lt;&gt;")&amp;" con el mismo tercero y valor, casilla 29). Si hay más filas iguales, bórreles el valor a ELLAS, no a esta.","DUPLICADO — ya existe otra fila con el mismo tercero y valor para casilla 29 (aparición "&amp;COUNTIFS($V$6:V129,29,$F$6:F129,F129,$C$6:C129,C129,$O$6:O129,"&lt;&gt;")&amp;" de "&amp;COUNTIFS($V$6:$V$505,29,$F$6:$F$505,F129,$C$6:$C$505,C129,$O$6:$O$505,"&lt;&gt;")&amp;"). Para resolverlo: seleccione la celda O"&amp;ROW()&amp;" (columna Valor a declarar de ESTA fila) y presione Supr."),""))</f>
        <v/>
      </c>
      <c r="X129" s="463">
        <f>IF(A129="","",F129)</f>
        <v/>
      </c>
      <c r="Y129" s="463">
        <f>IF(A129="","",SUMIF(Entrada_Manual!$I$88:$I$187,A129,Entrada_Manual!$F$88:$F$187))</f>
        <v/>
      </c>
      <c r="Z129" s="463">
        <f>IF(A129="","",X129-Y129)</f>
        <v/>
      </c>
      <c r="AA129">
        <f>IF(A129="","",SUMPRODUCT((Entrada_Manual!$I$88:$I$187=A129)*1))</f>
        <v/>
      </c>
      <c r="AB129">
        <f>IF(A129="","",IF(S129&lt;=1,"",IF(AA129=0,"PENDIENTE — SIN ASIGNAR",IF(Z129=0,"RESUELTO","PARCIAL — DIFERENCIA "&amp;TEXT(Z129,"#,##0")))))</f>
        <v/>
      </c>
    </row>
    <row r="130" ht="14.25" customHeight="1" s="235">
      <c r="A130" s="47">
        <f>IF(Exogena_RAW!E139&lt;&gt;"",ROW()-5,"")</f>
        <v/>
      </c>
      <c r="B130" s="48">
        <f>IF(A130="","",139)</f>
        <v/>
      </c>
      <c r="C130" s="48">
        <f>IF(A130="","",IFERROR(Exogena_RAW!A139,""))</f>
        <v/>
      </c>
      <c r="D130" s="48">
        <f>IF(A130="","",IFERROR(Exogena_RAW!B139,""))</f>
        <v/>
      </c>
      <c r="E130" s="48">
        <f>IF(A130="","",Exogena_RAW!E139)</f>
        <v/>
      </c>
      <c r="F130" s="461">
        <f>IF(A130="","",Exogena_RAW!F139)</f>
        <v/>
      </c>
      <c r="G130" s="48">
        <f>IF(A130="","",IFERROR(Exogena_RAW!G139,""))</f>
        <v/>
      </c>
      <c r="H130" s="48">
        <f>IF(A130="","",IFERROR(Exogena_RAW!H139,""))</f>
        <v/>
      </c>
      <c r="I130" s="48">
        <f>IF(A130="","",IFERROR(IF(S130&gt;1,"VARIAS CASILLAS",IF(S130=1,IF(T130=1,"PROPUESTA DE CASILLA","REVISIÓN: CASILLA NO DIRECTA"),IF(OR(ISNUMBER(SEARCH("TOPE",UPPER(E130))),ISNUMBER(SEARCH("TOPE",UPPER(G130)))),"SOLO CONTROL",IF(ISNUMBER(SEARCH("RETEN",UPPER(E130))),"RETENCIÓN","REVISAR")))),"REVISAR"))</f>
        <v/>
      </c>
      <c r="J130" s="48">
        <f>IF(A130="","",IF(ISNUMBER(SEARCH("ingreso laboral promedio de los últimos seis meses",E130)),"",IFERROR(IF(AND(S130=1,T130=1),U130,""),"")))</f>
        <v/>
      </c>
      <c r="K130" s="216" t="n"/>
      <c r="L130" s="48">
        <f>IF(A130="","",IFERROR(IF(K130&lt;&gt;"","Casilla elegida por usuario",IF(S130&gt;1,"Varias casillas — elegir en K",IF(J130&lt;&gt;"","Sugerencia directa",IF(S130=1,"No trasladar directo — revisar",IF(OR(ISNUMBER(SEARCH("TOPE",UPPER(E130))),ISNUMBER(SEARCH("TOPE",UPPER(G130)))),"Solo control","Revisar manualmente"))))),"Revisar manualmente"))</f>
        <v/>
      </c>
      <c r="M130" s="461">
        <f>IF(A130="","",IF(IF(K130&lt;&gt;"",K130,J130)="",0,IF(COUNTIFS(Reglas!$I$5:$I$118,IF(K130&lt;&gt;"",K130,J130),Reglas!$J$5:$J$118,"Sí")=1,F130,0)))</f>
        <v/>
      </c>
      <c r="N130" s="56" t="n"/>
      <c r="O130" s="462">
        <f>IF(A130="","",IF(M130=0,"",M130))</f>
        <v/>
      </c>
      <c r="P130" s="461">
        <f>IF(A130="","",IF(O130="",0,IF(ISNUMBER(O130),O130,0)))</f>
        <v/>
      </c>
      <c r="Q130" s="48">
        <f>IF(A130="","",IF(Exogena_RAW!$C$4="","BLOQUEADO: FALTA AÑO",IF(Exogena_RAW!$K$10&lt;&gt;Reglas!$B$5,"BLOQUEADO: AÑO",IF(IF(K130&lt;&gt;"",K130,J130)="",IF(S130&gt;1,"REQUIERE ASIGNACIÓN MANUAL (VARIAS CASILLAS)","INFORMATIVO (sin casilla — no se declara)"),IF(COUNTIFS(Reglas!$I$5:$I$118,IF(K130&lt;&gt;"",K130,J130),Reglas!$J$5:$J$118,"Sí")=0,"BLOQUEADO: CASILLA NO DIRECTA",IF(O130="","EXCLUIDO (valor borrado por el usuario)",IF(_xlfn.ISFORMULA(O130),IF(W130&lt;&gt;"","BORRADOR — VALOR SUGERIDO DIAN ⚠ VER ALERTA","BORRADOR — VALOR SUGERIDO DIAN"),IF(W130&lt;&gt;"","ACEPTADO ⚠ VER ALERTA","ACEPTADO"))))))))</f>
        <v/>
      </c>
      <c r="R130" s="218" t="n"/>
      <c r="S130" s="58">
        <f>IF(A130="","",IFERROR(--ISNUMBER(SEARCH("R28",G130)),0)+IFERROR(--ISNUMBER(SEARCH("R29",G130)),0)+IFERROR(--ISNUMBER(SEARCH("R30",G130)),0)+IFERROR(--ISNUMBER(SEARCH("R31",G130)),0)+IFERROR(--ISNUMBER(SEARCH("R32",G130)),0)+IFERROR(--ISNUMBER(SEARCH("R33",G130)),0)+IFERROR(--ISNUMBER(SEARCH("R34",G130)),0)+IFERROR(--ISNUMBER(SEARCH("R35",G130)),0)+IFERROR(--ISNUMBER(SEARCH("R36",G130)),0)+IFERROR(--ISNUMBER(SEARCH("R37",G130)),0)+IFERROR(--ISNUMBER(SEARCH("R38",G130)),0)+IFERROR(--ISNUMBER(SEARCH("R39",G130)),0)+IFERROR(--ISNUMBER(SEARCH("R40",G130)),0)+IFERROR(--ISNUMBER(SEARCH("R41",G130)),0)+IFERROR(--ISNUMBER(SEARCH("R42",G130)),0)+IFERROR(--ISNUMBER(SEARCH("R43",G130)),0)+IFERROR(--ISNUMBER(SEARCH("R44",G130)),0)+IFERROR(--ISNUMBER(SEARCH("R45",G130)),0)+IFERROR(--ISNUMBER(SEARCH("R46",G130)),0)+IFERROR(--ISNUMBER(SEARCH("R47",G130)),0)+IFERROR(--ISNUMBER(SEARCH("R48",G130)),0)+IFERROR(--ISNUMBER(SEARCH("R49",G130)),0)+IFERROR(--ISNUMBER(SEARCH("R50",G130)),0)+IFERROR(--ISNUMBER(SEARCH("R51",G130)),0)+IFERROR(--ISNUMBER(SEARCH("R52",G130)),0)+IFERROR(--ISNUMBER(SEARCH("R53",G130)),0)+IFERROR(--ISNUMBER(SEARCH("R54",G130)),0)+IFERROR(--ISNUMBER(SEARCH("R55",G130)),0)+IFERROR(--ISNUMBER(SEARCH("R56",G130)),0)+IFERROR(--ISNUMBER(SEARCH("R57",G130)),0)+IFERROR(--ISNUMBER(SEARCH("R58",G130)),0)+IFERROR(--ISNUMBER(SEARCH("R59",G130)),0)+IFERROR(--ISNUMBER(SEARCH("R60",G130)),0)+IFERROR(--ISNUMBER(SEARCH("R61",G130)),0)+IFERROR(--ISNUMBER(SEARCH("R62",G130)),0)+IFERROR(--ISNUMBER(SEARCH("R63",G130)),0)+IFERROR(--ISNUMBER(SEARCH("R64",G130)),0)+IFERROR(--ISNUMBER(SEARCH("R65",G130)),0)+IFERROR(--ISNUMBER(SEARCH("R66",G130)),0)+IFERROR(--ISNUMBER(SEARCH("R67",G130)),0)+IFERROR(--ISNUMBER(SEARCH("R68",G130)),0)+IFERROR(--ISNUMBER(SEARCH("R69",G130)),0)+IFERROR(--ISNUMBER(SEARCH("R70",G130)),0)+IFERROR(--ISNUMBER(SEARCH("R71",G130)),0)+IFERROR(--ISNUMBER(SEARCH("R72",G130)),0)+IFERROR(--ISNUMBER(SEARCH("R73",G130)),0)+IFERROR(--ISNUMBER(SEARCH("R74",G130)),0)+IFERROR(--ISNUMBER(SEARCH("R75",G130)),0)+IFERROR(--ISNUMBER(SEARCH("R76",G130)),0)+IFERROR(--ISNUMBER(SEARCH("R77",G130)),0)+IFERROR(--ISNUMBER(SEARCH("R78",G130)),0)+IFERROR(--ISNUMBER(SEARCH("R79",G130)),0)+IFERROR(--ISNUMBER(SEARCH("R80",G130)),0)+IFERROR(--ISNUMBER(SEARCH("R81",G130)),0)+IFERROR(--ISNUMBER(SEARCH("R82",G130)),0)+IFERROR(--ISNUMBER(SEARCH("R83",G130)),0)+IFERROR(--ISNUMBER(SEARCH("R84",G130)),0)+IFERROR(--ISNUMBER(SEARCH("R85",G130)),0)+IFERROR(--ISNUMBER(SEARCH("R86",G130)),0)+IFERROR(--ISNUMBER(SEARCH("R87",G130)),0)+IFERROR(--ISNUMBER(SEARCH("R88",G130)),0)+IFERROR(--ISNUMBER(SEARCH("R89",G130)),0)+IFERROR(--ISNUMBER(SEARCH("R90",G130)),0)+IFERROR(--ISNUMBER(SEARCH("R91",G130)),0)+IFERROR(--ISNUMBER(SEARCH("R92",G130)),0)+IFERROR(--ISNUMBER(SEARCH("R93",G130)),0)+IFERROR(--ISNUMBER(SEARCH("R94",G130)),0)+IFERROR(--ISNUMBER(SEARCH("R95",G130)),0)+IFERROR(--ISNUMBER(SEARCH("R96",G130)),0)+IFERROR(--ISNUMBER(SEARCH("R97",G130)),0)+IFERROR(--ISNUMBER(SEARCH("R98",G130)),0)+IFERROR(--ISNUMBER(SEARCH("R99",G130)),0)+IFERROR(--ISNUMBER(SEARCH("R100",G130)),0)+IFERROR(--ISNUMBER(SEARCH("R101",G130)),0)+IFERROR(--ISNUMBER(SEARCH("R102",G130)),0)+IFERROR(--ISNUMBER(SEARCH("R103",G130)),0)+IFERROR(--ISNUMBER(SEARCH("R104",G130)),0)+IFERROR(--ISNUMBER(SEARCH("R105",G130)),0)+IFERROR(--ISNUMBER(SEARCH("R106",G130)),0)+IFERROR(--ISNUMBER(SEARCH("R107",G130)),0)+IFERROR(--ISNUMBER(SEARCH("R108",G130)),0)+IFERROR(--ISNUMBER(SEARCH("R109",G130)),0)+IFERROR(--ISNUMBER(SEARCH("R110",G130)),0)+IFERROR(--ISNUMBER(SEARCH("R111",G130)),0)+IFERROR(--ISNUMBER(SEARCH("R112",G130)),0)+IFERROR(--ISNUMBER(SEARCH("R113",G130)),0)+IFERROR(--ISNUMBER(SEARCH("R114",G130)),0)+IFERROR(--ISNUMBER(SEARCH("R115",G130)),0)+IFERROR(--ISNUMBER(SEARCH("R116",G130)),0)+IFERROR(--ISNUMBER(SEARCH("R117",G130)),0)+IFERROR(--ISNUMBER(SEARCH("R118",G130)),0)+IFERROR(--ISNUMBER(SEARCH("R119",G130)),0)+IFERROR(--ISNUMBER(SEARCH("R120",G130)),0)+IFERROR(--ISNUMBER(SEARCH("R121",G130)),0)+IFERROR(--ISNUMBER(SEARCH("R122",G130)),0)+IFERROR(--ISNUMBER(SEARCH("R123",G130)),0)+IFERROR(--ISNUMBER(SEARCH("R124",G130)),0)+IFERROR(--ISNUMBER(SEARCH("R125",G130)),0)+IFERROR(--ISNUMBER(SEARCH("R126",G130)),0)+IFERROR(--ISNUMBER(SEARCH("R127",G130)),0)+IFERROR(--ISNUMBER(SEARCH("R128",G130)),0)+IFERROR(--ISNUMBER(SEARCH("R129",G130)),0)+IFERROR(--ISNUMBER(SEARCH("R130",G130)),0)+IFERROR(--ISNUMBER(SEARCH("R131",G130)),0)+IFERROR(--ISNUMBER(SEARCH("R132",G130)),0)+IFERROR(--ISNUMBER(SEARCH("R133",G130)),0)+IFERROR(--ISNUMBER(SEARCH("R134",G130)),0)+IFERROR(--ISNUMBER(SEARCH("R135",G130)),0)+IFERROR(--ISNUMBER(SEARCH("R136",G130)),0)+IFERROR(--ISNUMBER(SEARCH("R137",G130)),0)+IFERROR(--ISNUMBER(SEARCH("R138",G130)),0)+IFERROR(--ISNUMBER(SEARCH("R139",G130)),0)+IFERROR(--ISNUMBER(SEARCH("R140",G130)),0)+IFERROR(--ISNUMBER(SEARCH("R141",G130)),0))</f>
        <v/>
      </c>
      <c r="T130" s="58">
        <f>IF(A130="","",IFERROR(--ISNUMBER(SEARCH("R28",G130)),0)+IFERROR(--ISNUMBER(SEARCH("R29",G130)),0)+IFERROR(--ISNUMBER(SEARCH("R30",G130)),0)+IFERROR(--ISNUMBER(SEARCH("R32",G130)),0)+IFERROR(--ISNUMBER(SEARCH("R33",G130)),0)+IFERROR(--ISNUMBER(SEARCH("R35",G130)),0)+IFERROR(--ISNUMBER(SEARCH("R36",G130)),0)+IFERROR(--ISNUMBER(SEARCH("R38",G130)),0)+IFERROR(--ISNUMBER(SEARCH("R39",G130)),0)+IFERROR(--ISNUMBER(SEARCH("R43",G130)),0)+IFERROR(--ISNUMBER(SEARCH("R44",G130)),0)+IFERROR(--ISNUMBER(SEARCH("R45",G130)),0)+IFERROR(--ISNUMBER(SEARCH("R47",G130)),0)+IFERROR(--ISNUMBER(SEARCH("R48",G130)),0)+IFERROR(--ISNUMBER(SEARCH("R50",G130)),0)+IFERROR(--ISNUMBER(SEARCH("R51",G130)),0)+IFERROR(--ISNUMBER(SEARCH("R56",G130)),0)+IFERROR(--ISNUMBER(SEARCH("R58",G130)),0)+IFERROR(--ISNUMBER(SEARCH("R59",G130)),0)+IFERROR(--ISNUMBER(SEARCH("R60",G130)),0)+IFERROR(--ISNUMBER(SEARCH("R62",G130)),0)+IFERROR(--ISNUMBER(SEARCH("R63",G130)),0)+IFERROR(--ISNUMBER(SEARCH("R64",G130)),0)+IFERROR(--ISNUMBER(SEARCH("R66",G130)),0)+IFERROR(--ISNUMBER(SEARCH("R67",G130)),0)+IFERROR(--ISNUMBER(SEARCH("R72",G130)),0)+IFERROR(--ISNUMBER(SEARCH("R74",G130)),0)+IFERROR(--ISNUMBER(SEARCH("R75",G130)),0)+IFERROR(--ISNUMBER(SEARCH("R76",G130)),0)+IFERROR(--ISNUMBER(SEARCH("R77",G130)),0)+IFERROR(--ISNUMBER(SEARCH("R79",G130)),0)+IFERROR(--ISNUMBER(SEARCH("R80",G130)),0)+IFERROR(--ISNUMBER(SEARCH("R81",G130)),0)+IFERROR(--ISNUMBER(SEARCH("R83",G130)),0)+IFERROR(--ISNUMBER(SEARCH("R84",G130)),0)+IFERROR(--ISNUMBER(SEARCH("R89",G130)),0)+IFERROR(--ISNUMBER(SEARCH("R94",G130)),0)+IFERROR(--ISNUMBER(SEARCH("R95",G130)),0)+IFERROR(--ISNUMBER(SEARCH("R96",G130)),0)+IFERROR(--ISNUMBER(SEARCH("R98",G130)),0)+IFERROR(--ISNUMBER(SEARCH("R99",G130)),0)+IFERROR(--ISNUMBER(SEARCH("R100",G130)),0)+IFERROR(--ISNUMBER(SEARCH("R104",G130)),0)+IFERROR(--ISNUMBER(SEARCH("R105",G130)),0)+IFERROR(--ISNUMBER(SEARCH("R107",G130)),0)+IFERROR(--ISNUMBER(SEARCH("R108",G130)),0)+IFERROR(--ISNUMBER(SEARCH("R109",G130)),0)+IFERROR(--ISNUMBER(SEARCH("R110",G130)),0)+IFERROR(--ISNUMBER(SEARCH("R112",G130)),0)+IFERROR(--ISNUMBER(SEARCH("R113",G130)),0)+IFERROR(--ISNUMBER(SEARCH("R114",G130)),0)+IFERROR(--ISNUMBER(SEARCH("R118",G130)),0)+IFERROR(--ISNUMBER(SEARCH("R119",G130)),0)+IFERROR(--ISNUMBER(SEARCH("R120",G130)),0)+IFERROR(--ISNUMBER(SEARCH("R122",G130)),0)+IFERROR(--ISNUMBER(SEARCH("R123",G130)),0)+IFERROR(--ISNUMBER(SEARCH("R124",G130)),0)+IFERROR(--ISNUMBER(SEARCH("R128",G130)),0)+IFERROR(--ISNUMBER(SEARCH("R130",G130)),0)+IFERROR(--ISNUMBER(SEARCH("R131",G130)),0)+IFERROR(--ISNUMBER(SEARCH("R132",G130)),0)+IFERROR(--ISNUMBER(SEARCH("R135",G130)),0)+IFERROR(--ISNUMBER(SEARCH("R138",G130)),0)+IFERROR(--ISNUMBER(SEARCH("R141",G130)),0))</f>
        <v/>
      </c>
      <c r="U130" s="58">
        <f>IF(A130="","",IFERROR(--ISNUMBER(SEARCH("R28",G130))*28,0)+IFERROR(--ISNUMBER(SEARCH("R29",G130))*29,0)+IFERROR(--ISNUMBER(SEARCH("R30",G130))*30,0)+IFERROR(--ISNUMBER(SEARCH("R31",G130))*31,0)+IFERROR(--ISNUMBER(SEARCH("R32",G130))*32,0)+IFERROR(--ISNUMBER(SEARCH("R33",G130))*33,0)+IFERROR(--ISNUMBER(SEARCH("R34",G130))*34,0)+IFERROR(--ISNUMBER(SEARCH("R35",G130))*35,0)+IFERROR(--ISNUMBER(SEARCH("R36",G130))*36,0)+IFERROR(--ISNUMBER(SEARCH("R37",G130))*37,0)+IFERROR(--ISNUMBER(SEARCH("R38",G130))*38,0)+IFERROR(--ISNUMBER(SEARCH("R39",G130))*39,0)+IFERROR(--ISNUMBER(SEARCH("R40",G130))*40,0)+IFERROR(--ISNUMBER(SEARCH("R41",G130))*41,0)+IFERROR(--ISNUMBER(SEARCH("R42",G130))*42,0)+IFERROR(--ISNUMBER(SEARCH("R43",G130))*43,0)+IFERROR(--ISNUMBER(SEARCH("R44",G130))*44,0)+IFERROR(--ISNUMBER(SEARCH("R45",G130))*45,0)+IFERROR(--ISNUMBER(SEARCH("R46",G130))*46,0)+IFERROR(--ISNUMBER(SEARCH("R47",G130))*47,0)+IFERROR(--ISNUMBER(SEARCH("R48",G130))*48,0)+IFERROR(--ISNUMBER(SEARCH("R49",G130))*49,0)+IFERROR(--ISNUMBER(SEARCH("R50",G130))*50,0)+IFERROR(--ISNUMBER(SEARCH("R51",G130))*51,0)+IFERROR(--ISNUMBER(SEARCH("R52",G130))*52,0)+IFERROR(--ISNUMBER(SEARCH("R53",G130))*53,0)+IFERROR(--ISNUMBER(SEARCH("R54",G130))*54,0)+IFERROR(--ISNUMBER(SEARCH("R55",G130))*55,0)+IFERROR(--ISNUMBER(SEARCH("R56",G130))*56,0)+IFERROR(--ISNUMBER(SEARCH("R57",G130))*57,0)+IFERROR(--ISNUMBER(SEARCH("R58",G130))*58,0)+IFERROR(--ISNUMBER(SEARCH("R59",G130))*59,0)+IFERROR(--ISNUMBER(SEARCH("R60",G130))*60,0)+IFERROR(--ISNUMBER(SEARCH("R61",G130))*61,0)+IFERROR(--ISNUMBER(SEARCH("R62",G130))*62,0)+IFERROR(--ISNUMBER(SEARCH("R63",G130))*63,0)+IFERROR(--ISNUMBER(SEARCH("R64",G130))*64,0)+IFERROR(--ISNUMBER(SEARCH("R65",G130))*65,0)+IFERROR(--ISNUMBER(SEARCH("R66",G130))*66,0)+IFERROR(--ISNUMBER(SEARCH("R67",G130))*67,0)+IFERROR(--ISNUMBER(SEARCH("R68",G130))*68,0)+IFERROR(--ISNUMBER(SEARCH("R69",G130))*69,0)+IFERROR(--ISNUMBER(SEARCH("R70",G130))*70,0)+IFERROR(--ISNUMBER(SEARCH("R71",G130))*71,0)+IFERROR(--ISNUMBER(SEARCH("R72",G130))*72,0)+IFERROR(--ISNUMBER(SEARCH("R73",G130))*73,0)+IFERROR(--ISNUMBER(SEARCH("R74",G130))*74,0)+IFERROR(--ISNUMBER(SEARCH("R75",G130))*75,0)+IFERROR(--ISNUMBER(SEARCH("R76",G130))*76,0)+IFERROR(--ISNUMBER(SEARCH("R77",G130))*77,0)+IFERROR(--ISNUMBER(SEARCH("R78",G130))*78,0)+IFERROR(--ISNUMBER(SEARCH("R79",G130))*79,0)+IFERROR(--ISNUMBER(SEARCH("R80",G130))*80,0)+IFERROR(--ISNUMBER(SEARCH("R81",G130))*81,0)+IFERROR(--ISNUMBER(SEARCH("R82",G130))*82,0)+IFERROR(--ISNUMBER(SEARCH("R83",G130))*83,0)+IFERROR(--ISNUMBER(SEARCH("R84",G130))*84,0)+IFERROR(--ISNUMBER(SEARCH("R85",G130))*85,0)+IFERROR(--ISNUMBER(SEARCH("R86",G130))*86,0)+IFERROR(--ISNUMBER(SEARCH("R87",G130))*87,0)+IFERROR(--ISNUMBER(SEARCH("R88",G130))*88,0)+IFERROR(--ISNUMBER(SEARCH("R89",G130))*89,0)+IFERROR(--ISNUMBER(SEARCH("R90",G130))*90,0)+IFERROR(--ISNUMBER(SEARCH("R91",G130))*91,0)+IFERROR(--ISNUMBER(SEARCH("R92",G130))*92,0)+IFERROR(--ISNUMBER(SEARCH("R93",G130))*93,0)+IFERROR(--ISNUMBER(SEARCH("R94",G130))*94,0)+IFERROR(--ISNUMBER(SEARCH("R95",G130))*95,0)+IFERROR(--ISNUMBER(SEARCH("R96",G130))*96,0)+IFERROR(--ISNUMBER(SEARCH("R97",G130))*97,0)+IFERROR(--ISNUMBER(SEARCH("R98",G130))*98,0)+IFERROR(--ISNUMBER(SEARCH("R99",G130))*99,0)+IFERROR(--ISNUMBER(SEARCH("R100",G130))*100,0)+IFERROR(--ISNUMBER(SEARCH("R101",G130))*101,0)+IFERROR(--ISNUMBER(SEARCH("R102",G130))*102,0)+IFERROR(--ISNUMBER(SEARCH("R103",G130))*103,0)+IFERROR(--ISNUMBER(SEARCH("R104",G130))*104,0)+IFERROR(--ISNUMBER(SEARCH("R105",G130))*105,0)+IFERROR(--ISNUMBER(SEARCH("R106",G130))*106,0)+IFERROR(--ISNUMBER(SEARCH("R107",G130))*107,0)+IFERROR(--ISNUMBER(SEARCH("R108",G130))*108,0)+IFERROR(--ISNUMBER(SEARCH("R109",G130))*109,0)+IFERROR(--ISNUMBER(SEARCH("R110",G130))*110,0)+IFERROR(--ISNUMBER(SEARCH("R111",G130))*111,0)+IFERROR(--ISNUMBER(SEARCH("R112",G130))*112,0)+IFERROR(--ISNUMBER(SEARCH("R113",G130))*113,0)+IFERROR(--ISNUMBER(SEARCH("R114",G130))*114,0)+IFERROR(--ISNUMBER(SEARCH("R115",G130))*115,0)+IFERROR(--ISNUMBER(SEARCH("R116",G130))*116,0)+IFERROR(--ISNUMBER(SEARCH("R117",G130))*117,0)+IFERROR(--ISNUMBER(SEARCH("R118",G130))*118,0)+IFERROR(--ISNUMBER(SEARCH("R119",G130))*119,0)+IFERROR(--ISNUMBER(SEARCH("R120",G130))*120,0)+IFERROR(--ISNUMBER(SEARCH("R121",G130))*121,0)+IFERROR(--ISNUMBER(SEARCH("R122",G130))*122,0)+IFERROR(--ISNUMBER(SEARCH("R123",G130))*123,0)+IFERROR(--ISNUMBER(SEARCH("R124",G130))*124,0)+IFERROR(--ISNUMBER(SEARCH("R125",G130))*125,0)+IFERROR(--ISNUMBER(SEARCH("R126",G130))*126,0)+IFERROR(--ISNUMBER(SEARCH("R127",G130))*127,0)+IFERROR(--ISNUMBER(SEARCH("R128",G130))*128,0)+IFERROR(--ISNUMBER(SEARCH("R129",G130))*129,0)+IFERROR(--ISNUMBER(SEARCH("R130",G130))*130,0)+IFERROR(--ISNUMBER(SEARCH("R131",G130))*131,0)+IFERROR(--ISNUMBER(SEARCH("R132",G130))*132,0)+IFERROR(--ISNUMBER(SEARCH("R133",G130))*133,0)+IFERROR(--ISNUMBER(SEARCH("R134",G130))*134,0)+IFERROR(--ISNUMBER(SEARCH("R135",G130))*135,0)+IFERROR(--ISNUMBER(SEARCH("R136",G130))*136,0)+IFERROR(--ISNUMBER(SEARCH("R137",G130))*137,0)+IFERROR(--ISNUMBER(SEARCH("R138",G130))*138,0)+IFERROR(--ISNUMBER(SEARCH("R139",G130))*139,0)+IFERROR(--ISNUMBER(SEARCH("R140",G130))*140,0)+IFERROR(--ISNUMBER(SEARCH("R141",G130))*141,0))</f>
        <v/>
      </c>
      <c r="V130" s="59">
        <f>IF(A130="","",IF(K130&lt;&gt;"",K130,J130))</f>
        <v/>
      </c>
      <c r="W130" s="59">
        <f>IF(A130="","",IF(AND(V130=29,O130&lt;&gt;"",COUNTIFS($V$6:$V$505,29,$F$6:$F$505,F130,$C$6:$C$505,C130,$O$6:$O$505,"&lt;&gt;")&gt;1),IF(COUNTIFS($V$6:V130,29,$F$6:F130,F130,$C$6:C130,C130,$O$6:O130,"&lt;&gt;")=1,"Esta es la fila que se debe CONSERVAR (aparición 1 de "&amp;COUNTIFS($V$6:$V$505,29,$F$6:$F$505,F130,$C$6:$C$505,C130,$O$6:$O$505,"&lt;&gt;")&amp;" con el mismo tercero y valor, casilla 29). Si hay más filas iguales, bórreles el valor a ELLAS, no a esta.","DUPLICADO — ya existe otra fila con el mismo tercero y valor para casilla 29 (aparición "&amp;COUNTIFS($V$6:V130,29,$F$6:F130,F130,$C$6:C130,C130,$O$6:O130,"&lt;&gt;")&amp;" de "&amp;COUNTIFS($V$6:$V$505,29,$F$6:$F$505,F130,$C$6:$C$505,C130,$O$6:$O$505,"&lt;&gt;")&amp;"). Para resolverlo: seleccione la celda O"&amp;ROW()&amp;" (columna Valor a declarar de ESTA fila) y presione Supr."),""))</f>
        <v/>
      </c>
      <c r="X130" s="463">
        <f>IF(A130="","",F130)</f>
        <v/>
      </c>
      <c r="Y130" s="463">
        <f>IF(A130="","",SUMIF(Entrada_Manual!$I$88:$I$187,A130,Entrada_Manual!$F$88:$F$187))</f>
        <v/>
      </c>
      <c r="Z130" s="463">
        <f>IF(A130="","",X130-Y130)</f>
        <v/>
      </c>
      <c r="AA130">
        <f>IF(A130="","",SUMPRODUCT((Entrada_Manual!$I$88:$I$187=A130)*1))</f>
        <v/>
      </c>
      <c r="AB130">
        <f>IF(A130="","",IF(S130&lt;=1,"",IF(AA130=0,"PENDIENTE — SIN ASIGNAR",IF(Z130=0,"RESUELTO","PARCIAL — DIFERENCIA "&amp;TEXT(Z130,"#,##0")))))</f>
        <v/>
      </c>
    </row>
    <row r="131" ht="14.25" customHeight="1" s="235">
      <c r="A131" s="47">
        <f>IF(Exogena_RAW!E140&lt;&gt;"",ROW()-5,"")</f>
        <v/>
      </c>
      <c r="B131" s="48">
        <f>IF(A131="","",140)</f>
        <v/>
      </c>
      <c r="C131" s="48">
        <f>IF(A131="","",IFERROR(Exogena_RAW!A140,""))</f>
        <v/>
      </c>
      <c r="D131" s="48">
        <f>IF(A131="","",IFERROR(Exogena_RAW!B140,""))</f>
        <v/>
      </c>
      <c r="E131" s="48">
        <f>IF(A131="","",Exogena_RAW!E140)</f>
        <v/>
      </c>
      <c r="F131" s="461">
        <f>IF(A131="","",Exogena_RAW!F140)</f>
        <v/>
      </c>
      <c r="G131" s="48">
        <f>IF(A131="","",IFERROR(Exogena_RAW!G140,""))</f>
        <v/>
      </c>
      <c r="H131" s="48">
        <f>IF(A131="","",IFERROR(Exogena_RAW!H140,""))</f>
        <v/>
      </c>
      <c r="I131" s="48">
        <f>IF(A131="","",IFERROR(IF(S131&gt;1,"VARIAS CASILLAS",IF(S131=1,IF(T131=1,"PROPUESTA DE CASILLA","REVISIÓN: CASILLA NO DIRECTA"),IF(OR(ISNUMBER(SEARCH("TOPE",UPPER(E131))),ISNUMBER(SEARCH("TOPE",UPPER(G131)))),"SOLO CONTROL",IF(ISNUMBER(SEARCH("RETEN",UPPER(E131))),"RETENCIÓN","REVISAR")))),"REVISAR"))</f>
        <v/>
      </c>
      <c r="J131" s="48">
        <f>IF(A131="","",IF(ISNUMBER(SEARCH("ingreso laboral promedio de los últimos seis meses",E131)),"",IFERROR(IF(AND(S131=1,T131=1),U131,""),"")))</f>
        <v/>
      </c>
      <c r="K131" s="216" t="n"/>
      <c r="L131" s="48">
        <f>IF(A131="","",IFERROR(IF(K131&lt;&gt;"","Casilla elegida por usuario",IF(S131&gt;1,"Varias casillas — elegir en K",IF(J131&lt;&gt;"","Sugerencia directa",IF(S131=1,"No trasladar directo — revisar",IF(OR(ISNUMBER(SEARCH("TOPE",UPPER(E131))),ISNUMBER(SEARCH("TOPE",UPPER(G131)))),"Solo control","Revisar manualmente"))))),"Revisar manualmente"))</f>
        <v/>
      </c>
      <c r="M131" s="461">
        <f>IF(A131="","",IF(IF(K131&lt;&gt;"",K131,J131)="",0,IF(COUNTIFS(Reglas!$I$5:$I$118,IF(K131&lt;&gt;"",K131,J131),Reglas!$J$5:$J$118,"Sí")=1,F131,0)))</f>
        <v/>
      </c>
      <c r="N131" s="56" t="n"/>
      <c r="O131" s="462">
        <f>IF(A131="","",IF(M131=0,"",M131))</f>
        <v/>
      </c>
      <c r="P131" s="461">
        <f>IF(A131="","",IF(O131="",0,IF(ISNUMBER(O131),O131,0)))</f>
        <v/>
      </c>
      <c r="Q131" s="48">
        <f>IF(A131="","",IF(Exogena_RAW!$C$4="","BLOQUEADO: FALTA AÑO",IF(Exogena_RAW!$K$10&lt;&gt;Reglas!$B$5,"BLOQUEADO: AÑO",IF(IF(K131&lt;&gt;"",K131,J131)="",IF(S131&gt;1,"REQUIERE ASIGNACIÓN MANUAL (VARIAS CASILLAS)","INFORMATIVO (sin casilla — no se declara)"),IF(COUNTIFS(Reglas!$I$5:$I$118,IF(K131&lt;&gt;"",K131,J131),Reglas!$J$5:$J$118,"Sí")=0,"BLOQUEADO: CASILLA NO DIRECTA",IF(O131="","EXCLUIDO (valor borrado por el usuario)",IF(_xlfn.ISFORMULA(O131),IF(W131&lt;&gt;"","BORRADOR — VALOR SUGERIDO DIAN ⚠ VER ALERTA","BORRADOR — VALOR SUGERIDO DIAN"),IF(W131&lt;&gt;"","ACEPTADO ⚠ VER ALERTA","ACEPTADO"))))))))</f>
        <v/>
      </c>
      <c r="R131" s="218" t="n"/>
      <c r="S131" s="58">
        <f>IF(A131="","",IFERROR(--ISNUMBER(SEARCH("R28",G131)),0)+IFERROR(--ISNUMBER(SEARCH("R29",G131)),0)+IFERROR(--ISNUMBER(SEARCH("R30",G131)),0)+IFERROR(--ISNUMBER(SEARCH("R31",G131)),0)+IFERROR(--ISNUMBER(SEARCH("R32",G131)),0)+IFERROR(--ISNUMBER(SEARCH("R33",G131)),0)+IFERROR(--ISNUMBER(SEARCH("R34",G131)),0)+IFERROR(--ISNUMBER(SEARCH("R35",G131)),0)+IFERROR(--ISNUMBER(SEARCH("R36",G131)),0)+IFERROR(--ISNUMBER(SEARCH("R37",G131)),0)+IFERROR(--ISNUMBER(SEARCH("R38",G131)),0)+IFERROR(--ISNUMBER(SEARCH("R39",G131)),0)+IFERROR(--ISNUMBER(SEARCH("R40",G131)),0)+IFERROR(--ISNUMBER(SEARCH("R41",G131)),0)+IFERROR(--ISNUMBER(SEARCH("R42",G131)),0)+IFERROR(--ISNUMBER(SEARCH("R43",G131)),0)+IFERROR(--ISNUMBER(SEARCH("R44",G131)),0)+IFERROR(--ISNUMBER(SEARCH("R45",G131)),0)+IFERROR(--ISNUMBER(SEARCH("R46",G131)),0)+IFERROR(--ISNUMBER(SEARCH("R47",G131)),0)+IFERROR(--ISNUMBER(SEARCH("R48",G131)),0)+IFERROR(--ISNUMBER(SEARCH("R49",G131)),0)+IFERROR(--ISNUMBER(SEARCH("R50",G131)),0)+IFERROR(--ISNUMBER(SEARCH("R51",G131)),0)+IFERROR(--ISNUMBER(SEARCH("R52",G131)),0)+IFERROR(--ISNUMBER(SEARCH("R53",G131)),0)+IFERROR(--ISNUMBER(SEARCH("R54",G131)),0)+IFERROR(--ISNUMBER(SEARCH("R55",G131)),0)+IFERROR(--ISNUMBER(SEARCH("R56",G131)),0)+IFERROR(--ISNUMBER(SEARCH("R57",G131)),0)+IFERROR(--ISNUMBER(SEARCH("R58",G131)),0)+IFERROR(--ISNUMBER(SEARCH("R59",G131)),0)+IFERROR(--ISNUMBER(SEARCH("R60",G131)),0)+IFERROR(--ISNUMBER(SEARCH("R61",G131)),0)+IFERROR(--ISNUMBER(SEARCH("R62",G131)),0)+IFERROR(--ISNUMBER(SEARCH("R63",G131)),0)+IFERROR(--ISNUMBER(SEARCH("R64",G131)),0)+IFERROR(--ISNUMBER(SEARCH("R65",G131)),0)+IFERROR(--ISNUMBER(SEARCH("R66",G131)),0)+IFERROR(--ISNUMBER(SEARCH("R67",G131)),0)+IFERROR(--ISNUMBER(SEARCH("R68",G131)),0)+IFERROR(--ISNUMBER(SEARCH("R69",G131)),0)+IFERROR(--ISNUMBER(SEARCH("R70",G131)),0)+IFERROR(--ISNUMBER(SEARCH("R71",G131)),0)+IFERROR(--ISNUMBER(SEARCH("R72",G131)),0)+IFERROR(--ISNUMBER(SEARCH("R73",G131)),0)+IFERROR(--ISNUMBER(SEARCH("R74",G131)),0)+IFERROR(--ISNUMBER(SEARCH("R75",G131)),0)+IFERROR(--ISNUMBER(SEARCH("R76",G131)),0)+IFERROR(--ISNUMBER(SEARCH("R77",G131)),0)+IFERROR(--ISNUMBER(SEARCH("R78",G131)),0)+IFERROR(--ISNUMBER(SEARCH("R79",G131)),0)+IFERROR(--ISNUMBER(SEARCH("R80",G131)),0)+IFERROR(--ISNUMBER(SEARCH("R81",G131)),0)+IFERROR(--ISNUMBER(SEARCH("R82",G131)),0)+IFERROR(--ISNUMBER(SEARCH("R83",G131)),0)+IFERROR(--ISNUMBER(SEARCH("R84",G131)),0)+IFERROR(--ISNUMBER(SEARCH("R85",G131)),0)+IFERROR(--ISNUMBER(SEARCH("R86",G131)),0)+IFERROR(--ISNUMBER(SEARCH("R87",G131)),0)+IFERROR(--ISNUMBER(SEARCH("R88",G131)),0)+IFERROR(--ISNUMBER(SEARCH("R89",G131)),0)+IFERROR(--ISNUMBER(SEARCH("R90",G131)),0)+IFERROR(--ISNUMBER(SEARCH("R91",G131)),0)+IFERROR(--ISNUMBER(SEARCH("R92",G131)),0)+IFERROR(--ISNUMBER(SEARCH("R93",G131)),0)+IFERROR(--ISNUMBER(SEARCH("R94",G131)),0)+IFERROR(--ISNUMBER(SEARCH("R95",G131)),0)+IFERROR(--ISNUMBER(SEARCH("R96",G131)),0)+IFERROR(--ISNUMBER(SEARCH("R97",G131)),0)+IFERROR(--ISNUMBER(SEARCH("R98",G131)),0)+IFERROR(--ISNUMBER(SEARCH("R99",G131)),0)+IFERROR(--ISNUMBER(SEARCH("R100",G131)),0)+IFERROR(--ISNUMBER(SEARCH("R101",G131)),0)+IFERROR(--ISNUMBER(SEARCH("R102",G131)),0)+IFERROR(--ISNUMBER(SEARCH("R103",G131)),0)+IFERROR(--ISNUMBER(SEARCH("R104",G131)),0)+IFERROR(--ISNUMBER(SEARCH("R105",G131)),0)+IFERROR(--ISNUMBER(SEARCH("R106",G131)),0)+IFERROR(--ISNUMBER(SEARCH("R107",G131)),0)+IFERROR(--ISNUMBER(SEARCH("R108",G131)),0)+IFERROR(--ISNUMBER(SEARCH("R109",G131)),0)+IFERROR(--ISNUMBER(SEARCH("R110",G131)),0)+IFERROR(--ISNUMBER(SEARCH("R111",G131)),0)+IFERROR(--ISNUMBER(SEARCH("R112",G131)),0)+IFERROR(--ISNUMBER(SEARCH("R113",G131)),0)+IFERROR(--ISNUMBER(SEARCH("R114",G131)),0)+IFERROR(--ISNUMBER(SEARCH("R115",G131)),0)+IFERROR(--ISNUMBER(SEARCH("R116",G131)),0)+IFERROR(--ISNUMBER(SEARCH("R117",G131)),0)+IFERROR(--ISNUMBER(SEARCH("R118",G131)),0)+IFERROR(--ISNUMBER(SEARCH("R119",G131)),0)+IFERROR(--ISNUMBER(SEARCH("R120",G131)),0)+IFERROR(--ISNUMBER(SEARCH("R121",G131)),0)+IFERROR(--ISNUMBER(SEARCH("R122",G131)),0)+IFERROR(--ISNUMBER(SEARCH("R123",G131)),0)+IFERROR(--ISNUMBER(SEARCH("R124",G131)),0)+IFERROR(--ISNUMBER(SEARCH("R125",G131)),0)+IFERROR(--ISNUMBER(SEARCH("R126",G131)),0)+IFERROR(--ISNUMBER(SEARCH("R127",G131)),0)+IFERROR(--ISNUMBER(SEARCH("R128",G131)),0)+IFERROR(--ISNUMBER(SEARCH("R129",G131)),0)+IFERROR(--ISNUMBER(SEARCH("R130",G131)),0)+IFERROR(--ISNUMBER(SEARCH("R131",G131)),0)+IFERROR(--ISNUMBER(SEARCH("R132",G131)),0)+IFERROR(--ISNUMBER(SEARCH("R133",G131)),0)+IFERROR(--ISNUMBER(SEARCH("R134",G131)),0)+IFERROR(--ISNUMBER(SEARCH("R135",G131)),0)+IFERROR(--ISNUMBER(SEARCH("R136",G131)),0)+IFERROR(--ISNUMBER(SEARCH("R137",G131)),0)+IFERROR(--ISNUMBER(SEARCH("R138",G131)),0)+IFERROR(--ISNUMBER(SEARCH("R139",G131)),0)+IFERROR(--ISNUMBER(SEARCH("R140",G131)),0)+IFERROR(--ISNUMBER(SEARCH("R141",G131)),0))</f>
        <v/>
      </c>
      <c r="T131" s="58">
        <f>IF(A131="","",IFERROR(--ISNUMBER(SEARCH("R28",G131)),0)+IFERROR(--ISNUMBER(SEARCH("R29",G131)),0)+IFERROR(--ISNUMBER(SEARCH("R30",G131)),0)+IFERROR(--ISNUMBER(SEARCH("R32",G131)),0)+IFERROR(--ISNUMBER(SEARCH("R33",G131)),0)+IFERROR(--ISNUMBER(SEARCH("R35",G131)),0)+IFERROR(--ISNUMBER(SEARCH("R36",G131)),0)+IFERROR(--ISNUMBER(SEARCH("R38",G131)),0)+IFERROR(--ISNUMBER(SEARCH("R39",G131)),0)+IFERROR(--ISNUMBER(SEARCH("R43",G131)),0)+IFERROR(--ISNUMBER(SEARCH("R44",G131)),0)+IFERROR(--ISNUMBER(SEARCH("R45",G131)),0)+IFERROR(--ISNUMBER(SEARCH("R47",G131)),0)+IFERROR(--ISNUMBER(SEARCH("R48",G131)),0)+IFERROR(--ISNUMBER(SEARCH("R50",G131)),0)+IFERROR(--ISNUMBER(SEARCH("R51",G131)),0)+IFERROR(--ISNUMBER(SEARCH("R56",G131)),0)+IFERROR(--ISNUMBER(SEARCH("R58",G131)),0)+IFERROR(--ISNUMBER(SEARCH("R59",G131)),0)+IFERROR(--ISNUMBER(SEARCH("R60",G131)),0)+IFERROR(--ISNUMBER(SEARCH("R62",G131)),0)+IFERROR(--ISNUMBER(SEARCH("R63",G131)),0)+IFERROR(--ISNUMBER(SEARCH("R64",G131)),0)+IFERROR(--ISNUMBER(SEARCH("R66",G131)),0)+IFERROR(--ISNUMBER(SEARCH("R67",G131)),0)+IFERROR(--ISNUMBER(SEARCH("R72",G131)),0)+IFERROR(--ISNUMBER(SEARCH("R74",G131)),0)+IFERROR(--ISNUMBER(SEARCH("R75",G131)),0)+IFERROR(--ISNUMBER(SEARCH("R76",G131)),0)+IFERROR(--ISNUMBER(SEARCH("R77",G131)),0)+IFERROR(--ISNUMBER(SEARCH("R79",G131)),0)+IFERROR(--ISNUMBER(SEARCH("R80",G131)),0)+IFERROR(--ISNUMBER(SEARCH("R81",G131)),0)+IFERROR(--ISNUMBER(SEARCH("R83",G131)),0)+IFERROR(--ISNUMBER(SEARCH("R84",G131)),0)+IFERROR(--ISNUMBER(SEARCH("R89",G131)),0)+IFERROR(--ISNUMBER(SEARCH("R94",G131)),0)+IFERROR(--ISNUMBER(SEARCH("R95",G131)),0)+IFERROR(--ISNUMBER(SEARCH("R96",G131)),0)+IFERROR(--ISNUMBER(SEARCH("R98",G131)),0)+IFERROR(--ISNUMBER(SEARCH("R99",G131)),0)+IFERROR(--ISNUMBER(SEARCH("R100",G131)),0)+IFERROR(--ISNUMBER(SEARCH("R104",G131)),0)+IFERROR(--ISNUMBER(SEARCH("R105",G131)),0)+IFERROR(--ISNUMBER(SEARCH("R107",G131)),0)+IFERROR(--ISNUMBER(SEARCH("R108",G131)),0)+IFERROR(--ISNUMBER(SEARCH("R109",G131)),0)+IFERROR(--ISNUMBER(SEARCH("R110",G131)),0)+IFERROR(--ISNUMBER(SEARCH("R112",G131)),0)+IFERROR(--ISNUMBER(SEARCH("R113",G131)),0)+IFERROR(--ISNUMBER(SEARCH("R114",G131)),0)+IFERROR(--ISNUMBER(SEARCH("R118",G131)),0)+IFERROR(--ISNUMBER(SEARCH("R119",G131)),0)+IFERROR(--ISNUMBER(SEARCH("R120",G131)),0)+IFERROR(--ISNUMBER(SEARCH("R122",G131)),0)+IFERROR(--ISNUMBER(SEARCH("R123",G131)),0)+IFERROR(--ISNUMBER(SEARCH("R124",G131)),0)+IFERROR(--ISNUMBER(SEARCH("R128",G131)),0)+IFERROR(--ISNUMBER(SEARCH("R130",G131)),0)+IFERROR(--ISNUMBER(SEARCH("R131",G131)),0)+IFERROR(--ISNUMBER(SEARCH("R132",G131)),0)+IFERROR(--ISNUMBER(SEARCH("R135",G131)),0)+IFERROR(--ISNUMBER(SEARCH("R138",G131)),0)+IFERROR(--ISNUMBER(SEARCH("R141",G131)),0))</f>
        <v/>
      </c>
      <c r="U131" s="58">
        <f>IF(A131="","",IFERROR(--ISNUMBER(SEARCH("R28",G131))*28,0)+IFERROR(--ISNUMBER(SEARCH("R29",G131))*29,0)+IFERROR(--ISNUMBER(SEARCH("R30",G131))*30,0)+IFERROR(--ISNUMBER(SEARCH("R31",G131))*31,0)+IFERROR(--ISNUMBER(SEARCH("R32",G131))*32,0)+IFERROR(--ISNUMBER(SEARCH("R33",G131))*33,0)+IFERROR(--ISNUMBER(SEARCH("R34",G131))*34,0)+IFERROR(--ISNUMBER(SEARCH("R35",G131))*35,0)+IFERROR(--ISNUMBER(SEARCH("R36",G131))*36,0)+IFERROR(--ISNUMBER(SEARCH("R37",G131))*37,0)+IFERROR(--ISNUMBER(SEARCH("R38",G131))*38,0)+IFERROR(--ISNUMBER(SEARCH("R39",G131))*39,0)+IFERROR(--ISNUMBER(SEARCH("R40",G131))*40,0)+IFERROR(--ISNUMBER(SEARCH("R41",G131))*41,0)+IFERROR(--ISNUMBER(SEARCH("R42",G131))*42,0)+IFERROR(--ISNUMBER(SEARCH("R43",G131))*43,0)+IFERROR(--ISNUMBER(SEARCH("R44",G131))*44,0)+IFERROR(--ISNUMBER(SEARCH("R45",G131))*45,0)+IFERROR(--ISNUMBER(SEARCH("R46",G131))*46,0)+IFERROR(--ISNUMBER(SEARCH("R47",G131))*47,0)+IFERROR(--ISNUMBER(SEARCH("R48",G131))*48,0)+IFERROR(--ISNUMBER(SEARCH("R49",G131))*49,0)+IFERROR(--ISNUMBER(SEARCH("R50",G131))*50,0)+IFERROR(--ISNUMBER(SEARCH("R51",G131))*51,0)+IFERROR(--ISNUMBER(SEARCH("R52",G131))*52,0)+IFERROR(--ISNUMBER(SEARCH("R53",G131))*53,0)+IFERROR(--ISNUMBER(SEARCH("R54",G131))*54,0)+IFERROR(--ISNUMBER(SEARCH("R55",G131))*55,0)+IFERROR(--ISNUMBER(SEARCH("R56",G131))*56,0)+IFERROR(--ISNUMBER(SEARCH("R57",G131))*57,0)+IFERROR(--ISNUMBER(SEARCH("R58",G131))*58,0)+IFERROR(--ISNUMBER(SEARCH("R59",G131))*59,0)+IFERROR(--ISNUMBER(SEARCH("R60",G131))*60,0)+IFERROR(--ISNUMBER(SEARCH("R61",G131))*61,0)+IFERROR(--ISNUMBER(SEARCH("R62",G131))*62,0)+IFERROR(--ISNUMBER(SEARCH("R63",G131))*63,0)+IFERROR(--ISNUMBER(SEARCH("R64",G131))*64,0)+IFERROR(--ISNUMBER(SEARCH("R65",G131))*65,0)+IFERROR(--ISNUMBER(SEARCH("R66",G131))*66,0)+IFERROR(--ISNUMBER(SEARCH("R67",G131))*67,0)+IFERROR(--ISNUMBER(SEARCH("R68",G131))*68,0)+IFERROR(--ISNUMBER(SEARCH("R69",G131))*69,0)+IFERROR(--ISNUMBER(SEARCH("R70",G131))*70,0)+IFERROR(--ISNUMBER(SEARCH("R71",G131))*71,0)+IFERROR(--ISNUMBER(SEARCH("R72",G131))*72,0)+IFERROR(--ISNUMBER(SEARCH("R73",G131))*73,0)+IFERROR(--ISNUMBER(SEARCH("R74",G131))*74,0)+IFERROR(--ISNUMBER(SEARCH("R75",G131))*75,0)+IFERROR(--ISNUMBER(SEARCH("R76",G131))*76,0)+IFERROR(--ISNUMBER(SEARCH("R77",G131))*77,0)+IFERROR(--ISNUMBER(SEARCH("R78",G131))*78,0)+IFERROR(--ISNUMBER(SEARCH("R79",G131))*79,0)+IFERROR(--ISNUMBER(SEARCH("R80",G131))*80,0)+IFERROR(--ISNUMBER(SEARCH("R81",G131))*81,0)+IFERROR(--ISNUMBER(SEARCH("R82",G131))*82,0)+IFERROR(--ISNUMBER(SEARCH("R83",G131))*83,0)+IFERROR(--ISNUMBER(SEARCH("R84",G131))*84,0)+IFERROR(--ISNUMBER(SEARCH("R85",G131))*85,0)+IFERROR(--ISNUMBER(SEARCH("R86",G131))*86,0)+IFERROR(--ISNUMBER(SEARCH("R87",G131))*87,0)+IFERROR(--ISNUMBER(SEARCH("R88",G131))*88,0)+IFERROR(--ISNUMBER(SEARCH("R89",G131))*89,0)+IFERROR(--ISNUMBER(SEARCH("R90",G131))*90,0)+IFERROR(--ISNUMBER(SEARCH("R91",G131))*91,0)+IFERROR(--ISNUMBER(SEARCH("R92",G131))*92,0)+IFERROR(--ISNUMBER(SEARCH("R93",G131))*93,0)+IFERROR(--ISNUMBER(SEARCH("R94",G131))*94,0)+IFERROR(--ISNUMBER(SEARCH("R95",G131))*95,0)+IFERROR(--ISNUMBER(SEARCH("R96",G131))*96,0)+IFERROR(--ISNUMBER(SEARCH("R97",G131))*97,0)+IFERROR(--ISNUMBER(SEARCH("R98",G131))*98,0)+IFERROR(--ISNUMBER(SEARCH("R99",G131))*99,0)+IFERROR(--ISNUMBER(SEARCH("R100",G131))*100,0)+IFERROR(--ISNUMBER(SEARCH("R101",G131))*101,0)+IFERROR(--ISNUMBER(SEARCH("R102",G131))*102,0)+IFERROR(--ISNUMBER(SEARCH("R103",G131))*103,0)+IFERROR(--ISNUMBER(SEARCH("R104",G131))*104,0)+IFERROR(--ISNUMBER(SEARCH("R105",G131))*105,0)+IFERROR(--ISNUMBER(SEARCH("R106",G131))*106,0)+IFERROR(--ISNUMBER(SEARCH("R107",G131))*107,0)+IFERROR(--ISNUMBER(SEARCH("R108",G131))*108,0)+IFERROR(--ISNUMBER(SEARCH("R109",G131))*109,0)+IFERROR(--ISNUMBER(SEARCH("R110",G131))*110,0)+IFERROR(--ISNUMBER(SEARCH("R111",G131))*111,0)+IFERROR(--ISNUMBER(SEARCH("R112",G131))*112,0)+IFERROR(--ISNUMBER(SEARCH("R113",G131))*113,0)+IFERROR(--ISNUMBER(SEARCH("R114",G131))*114,0)+IFERROR(--ISNUMBER(SEARCH("R115",G131))*115,0)+IFERROR(--ISNUMBER(SEARCH("R116",G131))*116,0)+IFERROR(--ISNUMBER(SEARCH("R117",G131))*117,0)+IFERROR(--ISNUMBER(SEARCH("R118",G131))*118,0)+IFERROR(--ISNUMBER(SEARCH("R119",G131))*119,0)+IFERROR(--ISNUMBER(SEARCH("R120",G131))*120,0)+IFERROR(--ISNUMBER(SEARCH("R121",G131))*121,0)+IFERROR(--ISNUMBER(SEARCH("R122",G131))*122,0)+IFERROR(--ISNUMBER(SEARCH("R123",G131))*123,0)+IFERROR(--ISNUMBER(SEARCH("R124",G131))*124,0)+IFERROR(--ISNUMBER(SEARCH("R125",G131))*125,0)+IFERROR(--ISNUMBER(SEARCH("R126",G131))*126,0)+IFERROR(--ISNUMBER(SEARCH("R127",G131))*127,0)+IFERROR(--ISNUMBER(SEARCH("R128",G131))*128,0)+IFERROR(--ISNUMBER(SEARCH("R129",G131))*129,0)+IFERROR(--ISNUMBER(SEARCH("R130",G131))*130,0)+IFERROR(--ISNUMBER(SEARCH("R131",G131))*131,0)+IFERROR(--ISNUMBER(SEARCH("R132",G131))*132,0)+IFERROR(--ISNUMBER(SEARCH("R133",G131))*133,0)+IFERROR(--ISNUMBER(SEARCH("R134",G131))*134,0)+IFERROR(--ISNUMBER(SEARCH("R135",G131))*135,0)+IFERROR(--ISNUMBER(SEARCH("R136",G131))*136,0)+IFERROR(--ISNUMBER(SEARCH("R137",G131))*137,0)+IFERROR(--ISNUMBER(SEARCH("R138",G131))*138,0)+IFERROR(--ISNUMBER(SEARCH("R139",G131))*139,0)+IFERROR(--ISNUMBER(SEARCH("R140",G131))*140,0)+IFERROR(--ISNUMBER(SEARCH("R141",G131))*141,0))</f>
        <v/>
      </c>
      <c r="V131" s="59">
        <f>IF(A131="","",IF(K131&lt;&gt;"",K131,J131))</f>
        <v/>
      </c>
      <c r="W131" s="59">
        <f>IF(A131="","",IF(AND(V131=29,O131&lt;&gt;"",COUNTIFS($V$6:$V$505,29,$F$6:$F$505,F131,$C$6:$C$505,C131,$O$6:$O$505,"&lt;&gt;")&gt;1),IF(COUNTIFS($V$6:V131,29,$F$6:F131,F131,$C$6:C131,C131,$O$6:O131,"&lt;&gt;")=1,"Esta es la fila que se debe CONSERVAR (aparición 1 de "&amp;COUNTIFS($V$6:$V$505,29,$F$6:$F$505,F131,$C$6:$C$505,C131,$O$6:$O$505,"&lt;&gt;")&amp;" con el mismo tercero y valor, casilla 29). Si hay más filas iguales, bórreles el valor a ELLAS, no a esta.","DUPLICADO — ya existe otra fila con el mismo tercero y valor para casilla 29 (aparición "&amp;COUNTIFS($V$6:V131,29,$F$6:F131,F131,$C$6:C131,C131,$O$6:O131,"&lt;&gt;")&amp;" de "&amp;COUNTIFS($V$6:$V$505,29,$F$6:$F$505,F131,$C$6:$C$505,C131,$O$6:$O$505,"&lt;&gt;")&amp;"). Para resolverlo: seleccione la celda O"&amp;ROW()&amp;" (columna Valor a declarar de ESTA fila) y presione Supr."),""))</f>
        <v/>
      </c>
      <c r="X131" s="463">
        <f>IF(A131="","",F131)</f>
        <v/>
      </c>
      <c r="Y131" s="463">
        <f>IF(A131="","",SUMIF(Entrada_Manual!$I$88:$I$187,A131,Entrada_Manual!$F$88:$F$187))</f>
        <v/>
      </c>
      <c r="Z131" s="463">
        <f>IF(A131="","",X131-Y131)</f>
        <v/>
      </c>
      <c r="AA131">
        <f>IF(A131="","",SUMPRODUCT((Entrada_Manual!$I$88:$I$187=A131)*1))</f>
        <v/>
      </c>
      <c r="AB131">
        <f>IF(A131="","",IF(S131&lt;=1,"",IF(AA131=0,"PENDIENTE — SIN ASIGNAR",IF(Z131=0,"RESUELTO","PARCIAL — DIFERENCIA "&amp;TEXT(Z131,"#,##0")))))</f>
        <v/>
      </c>
    </row>
    <row r="132" ht="14.25" customHeight="1" s="235">
      <c r="A132" s="47">
        <f>IF(Exogena_RAW!E141&lt;&gt;"",ROW()-5,"")</f>
        <v/>
      </c>
      <c r="B132" s="48">
        <f>IF(A132="","",141)</f>
        <v/>
      </c>
      <c r="C132" s="48">
        <f>IF(A132="","",IFERROR(Exogena_RAW!A141,""))</f>
        <v/>
      </c>
      <c r="D132" s="48">
        <f>IF(A132="","",IFERROR(Exogena_RAW!B141,""))</f>
        <v/>
      </c>
      <c r="E132" s="48">
        <f>IF(A132="","",Exogena_RAW!E141)</f>
        <v/>
      </c>
      <c r="F132" s="461">
        <f>IF(A132="","",Exogena_RAW!F141)</f>
        <v/>
      </c>
      <c r="G132" s="48">
        <f>IF(A132="","",IFERROR(Exogena_RAW!G141,""))</f>
        <v/>
      </c>
      <c r="H132" s="48">
        <f>IF(A132="","",IFERROR(Exogena_RAW!H141,""))</f>
        <v/>
      </c>
      <c r="I132" s="48">
        <f>IF(A132="","",IFERROR(IF(S132&gt;1,"VARIAS CASILLAS",IF(S132=1,IF(T132=1,"PROPUESTA DE CASILLA","REVISIÓN: CASILLA NO DIRECTA"),IF(OR(ISNUMBER(SEARCH("TOPE",UPPER(E132))),ISNUMBER(SEARCH("TOPE",UPPER(G132)))),"SOLO CONTROL",IF(ISNUMBER(SEARCH("RETEN",UPPER(E132))),"RETENCIÓN","REVISAR")))),"REVISAR"))</f>
        <v/>
      </c>
      <c r="J132" s="48">
        <f>IF(A132="","",IF(ISNUMBER(SEARCH("ingreso laboral promedio de los últimos seis meses",E132)),"",IFERROR(IF(AND(S132=1,T132=1),U132,""),"")))</f>
        <v/>
      </c>
      <c r="K132" s="216" t="n"/>
      <c r="L132" s="48">
        <f>IF(A132="","",IFERROR(IF(K132&lt;&gt;"","Casilla elegida por usuario",IF(S132&gt;1,"Varias casillas — elegir en K",IF(J132&lt;&gt;"","Sugerencia directa",IF(S132=1,"No trasladar directo — revisar",IF(OR(ISNUMBER(SEARCH("TOPE",UPPER(E132))),ISNUMBER(SEARCH("TOPE",UPPER(G132)))),"Solo control","Revisar manualmente"))))),"Revisar manualmente"))</f>
        <v/>
      </c>
      <c r="M132" s="461">
        <f>IF(A132="","",IF(IF(K132&lt;&gt;"",K132,J132)="",0,IF(COUNTIFS(Reglas!$I$5:$I$118,IF(K132&lt;&gt;"",K132,J132),Reglas!$J$5:$J$118,"Sí")=1,F132,0)))</f>
        <v/>
      </c>
      <c r="N132" s="56" t="n"/>
      <c r="O132" s="462">
        <f>IF(A132="","",IF(M132=0,"",M132))</f>
        <v/>
      </c>
      <c r="P132" s="461">
        <f>IF(A132="","",IF(O132="",0,IF(ISNUMBER(O132),O132,0)))</f>
        <v/>
      </c>
      <c r="Q132" s="48">
        <f>IF(A132="","",IF(Exogena_RAW!$C$4="","BLOQUEADO: FALTA AÑO",IF(Exogena_RAW!$K$10&lt;&gt;Reglas!$B$5,"BLOQUEADO: AÑO",IF(IF(K132&lt;&gt;"",K132,J132)="",IF(S132&gt;1,"REQUIERE ASIGNACIÓN MANUAL (VARIAS CASILLAS)","INFORMATIVO (sin casilla — no se declara)"),IF(COUNTIFS(Reglas!$I$5:$I$118,IF(K132&lt;&gt;"",K132,J132),Reglas!$J$5:$J$118,"Sí")=0,"BLOQUEADO: CASILLA NO DIRECTA",IF(O132="","EXCLUIDO (valor borrado por el usuario)",IF(_xlfn.ISFORMULA(O132),IF(W132&lt;&gt;"","BORRADOR — VALOR SUGERIDO DIAN ⚠ VER ALERTA","BORRADOR — VALOR SUGERIDO DIAN"),IF(W132&lt;&gt;"","ACEPTADO ⚠ VER ALERTA","ACEPTADO"))))))))</f>
        <v/>
      </c>
      <c r="R132" s="218" t="n"/>
      <c r="S132" s="58">
        <f>IF(A132="","",IFERROR(--ISNUMBER(SEARCH("R28",G132)),0)+IFERROR(--ISNUMBER(SEARCH("R29",G132)),0)+IFERROR(--ISNUMBER(SEARCH("R30",G132)),0)+IFERROR(--ISNUMBER(SEARCH("R31",G132)),0)+IFERROR(--ISNUMBER(SEARCH("R32",G132)),0)+IFERROR(--ISNUMBER(SEARCH("R33",G132)),0)+IFERROR(--ISNUMBER(SEARCH("R34",G132)),0)+IFERROR(--ISNUMBER(SEARCH("R35",G132)),0)+IFERROR(--ISNUMBER(SEARCH("R36",G132)),0)+IFERROR(--ISNUMBER(SEARCH("R37",G132)),0)+IFERROR(--ISNUMBER(SEARCH("R38",G132)),0)+IFERROR(--ISNUMBER(SEARCH("R39",G132)),0)+IFERROR(--ISNUMBER(SEARCH("R40",G132)),0)+IFERROR(--ISNUMBER(SEARCH("R41",G132)),0)+IFERROR(--ISNUMBER(SEARCH("R42",G132)),0)+IFERROR(--ISNUMBER(SEARCH("R43",G132)),0)+IFERROR(--ISNUMBER(SEARCH("R44",G132)),0)+IFERROR(--ISNUMBER(SEARCH("R45",G132)),0)+IFERROR(--ISNUMBER(SEARCH("R46",G132)),0)+IFERROR(--ISNUMBER(SEARCH("R47",G132)),0)+IFERROR(--ISNUMBER(SEARCH("R48",G132)),0)+IFERROR(--ISNUMBER(SEARCH("R49",G132)),0)+IFERROR(--ISNUMBER(SEARCH("R50",G132)),0)+IFERROR(--ISNUMBER(SEARCH("R51",G132)),0)+IFERROR(--ISNUMBER(SEARCH("R52",G132)),0)+IFERROR(--ISNUMBER(SEARCH("R53",G132)),0)+IFERROR(--ISNUMBER(SEARCH("R54",G132)),0)+IFERROR(--ISNUMBER(SEARCH("R55",G132)),0)+IFERROR(--ISNUMBER(SEARCH("R56",G132)),0)+IFERROR(--ISNUMBER(SEARCH("R57",G132)),0)+IFERROR(--ISNUMBER(SEARCH("R58",G132)),0)+IFERROR(--ISNUMBER(SEARCH("R59",G132)),0)+IFERROR(--ISNUMBER(SEARCH("R60",G132)),0)+IFERROR(--ISNUMBER(SEARCH("R61",G132)),0)+IFERROR(--ISNUMBER(SEARCH("R62",G132)),0)+IFERROR(--ISNUMBER(SEARCH("R63",G132)),0)+IFERROR(--ISNUMBER(SEARCH("R64",G132)),0)+IFERROR(--ISNUMBER(SEARCH("R65",G132)),0)+IFERROR(--ISNUMBER(SEARCH("R66",G132)),0)+IFERROR(--ISNUMBER(SEARCH("R67",G132)),0)+IFERROR(--ISNUMBER(SEARCH("R68",G132)),0)+IFERROR(--ISNUMBER(SEARCH("R69",G132)),0)+IFERROR(--ISNUMBER(SEARCH("R70",G132)),0)+IFERROR(--ISNUMBER(SEARCH("R71",G132)),0)+IFERROR(--ISNUMBER(SEARCH("R72",G132)),0)+IFERROR(--ISNUMBER(SEARCH("R73",G132)),0)+IFERROR(--ISNUMBER(SEARCH("R74",G132)),0)+IFERROR(--ISNUMBER(SEARCH("R75",G132)),0)+IFERROR(--ISNUMBER(SEARCH("R76",G132)),0)+IFERROR(--ISNUMBER(SEARCH("R77",G132)),0)+IFERROR(--ISNUMBER(SEARCH("R78",G132)),0)+IFERROR(--ISNUMBER(SEARCH("R79",G132)),0)+IFERROR(--ISNUMBER(SEARCH("R80",G132)),0)+IFERROR(--ISNUMBER(SEARCH("R81",G132)),0)+IFERROR(--ISNUMBER(SEARCH("R82",G132)),0)+IFERROR(--ISNUMBER(SEARCH("R83",G132)),0)+IFERROR(--ISNUMBER(SEARCH("R84",G132)),0)+IFERROR(--ISNUMBER(SEARCH("R85",G132)),0)+IFERROR(--ISNUMBER(SEARCH("R86",G132)),0)+IFERROR(--ISNUMBER(SEARCH("R87",G132)),0)+IFERROR(--ISNUMBER(SEARCH("R88",G132)),0)+IFERROR(--ISNUMBER(SEARCH("R89",G132)),0)+IFERROR(--ISNUMBER(SEARCH("R90",G132)),0)+IFERROR(--ISNUMBER(SEARCH("R91",G132)),0)+IFERROR(--ISNUMBER(SEARCH("R92",G132)),0)+IFERROR(--ISNUMBER(SEARCH("R93",G132)),0)+IFERROR(--ISNUMBER(SEARCH("R94",G132)),0)+IFERROR(--ISNUMBER(SEARCH("R95",G132)),0)+IFERROR(--ISNUMBER(SEARCH("R96",G132)),0)+IFERROR(--ISNUMBER(SEARCH("R97",G132)),0)+IFERROR(--ISNUMBER(SEARCH("R98",G132)),0)+IFERROR(--ISNUMBER(SEARCH("R99",G132)),0)+IFERROR(--ISNUMBER(SEARCH("R100",G132)),0)+IFERROR(--ISNUMBER(SEARCH("R101",G132)),0)+IFERROR(--ISNUMBER(SEARCH("R102",G132)),0)+IFERROR(--ISNUMBER(SEARCH("R103",G132)),0)+IFERROR(--ISNUMBER(SEARCH("R104",G132)),0)+IFERROR(--ISNUMBER(SEARCH("R105",G132)),0)+IFERROR(--ISNUMBER(SEARCH("R106",G132)),0)+IFERROR(--ISNUMBER(SEARCH("R107",G132)),0)+IFERROR(--ISNUMBER(SEARCH("R108",G132)),0)+IFERROR(--ISNUMBER(SEARCH("R109",G132)),0)+IFERROR(--ISNUMBER(SEARCH("R110",G132)),0)+IFERROR(--ISNUMBER(SEARCH("R111",G132)),0)+IFERROR(--ISNUMBER(SEARCH("R112",G132)),0)+IFERROR(--ISNUMBER(SEARCH("R113",G132)),0)+IFERROR(--ISNUMBER(SEARCH("R114",G132)),0)+IFERROR(--ISNUMBER(SEARCH("R115",G132)),0)+IFERROR(--ISNUMBER(SEARCH("R116",G132)),0)+IFERROR(--ISNUMBER(SEARCH("R117",G132)),0)+IFERROR(--ISNUMBER(SEARCH("R118",G132)),0)+IFERROR(--ISNUMBER(SEARCH("R119",G132)),0)+IFERROR(--ISNUMBER(SEARCH("R120",G132)),0)+IFERROR(--ISNUMBER(SEARCH("R121",G132)),0)+IFERROR(--ISNUMBER(SEARCH("R122",G132)),0)+IFERROR(--ISNUMBER(SEARCH("R123",G132)),0)+IFERROR(--ISNUMBER(SEARCH("R124",G132)),0)+IFERROR(--ISNUMBER(SEARCH("R125",G132)),0)+IFERROR(--ISNUMBER(SEARCH("R126",G132)),0)+IFERROR(--ISNUMBER(SEARCH("R127",G132)),0)+IFERROR(--ISNUMBER(SEARCH("R128",G132)),0)+IFERROR(--ISNUMBER(SEARCH("R129",G132)),0)+IFERROR(--ISNUMBER(SEARCH("R130",G132)),0)+IFERROR(--ISNUMBER(SEARCH("R131",G132)),0)+IFERROR(--ISNUMBER(SEARCH("R132",G132)),0)+IFERROR(--ISNUMBER(SEARCH("R133",G132)),0)+IFERROR(--ISNUMBER(SEARCH("R134",G132)),0)+IFERROR(--ISNUMBER(SEARCH("R135",G132)),0)+IFERROR(--ISNUMBER(SEARCH("R136",G132)),0)+IFERROR(--ISNUMBER(SEARCH("R137",G132)),0)+IFERROR(--ISNUMBER(SEARCH("R138",G132)),0)+IFERROR(--ISNUMBER(SEARCH("R139",G132)),0)+IFERROR(--ISNUMBER(SEARCH("R140",G132)),0)+IFERROR(--ISNUMBER(SEARCH("R141",G132)),0))</f>
        <v/>
      </c>
      <c r="T132" s="58">
        <f>IF(A132="","",IFERROR(--ISNUMBER(SEARCH("R28",G132)),0)+IFERROR(--ISNUMBER(SEARCH("R29",G132)),0)+IFERROR(--ISNUMBER(SEARCH("R30",G132)),0)+IFERROR(--ISNUMBER(SEARCH("R32",G132)),0)+IFERROR(--ISNUMBER(SEARCH("R33",G132)),0)+IFERROR(--ISNUMBER(SEARCH("R35",G132)),0)+IFERROR(--ISNUMBER(SEARCH("R36",G132)),0)+IFERROR(--ISNUMBER(SEARCH("R38",G132)),0)+IFERROR(--ISNUMBER(SEARCH("R39",G132)),0)+IFERROR(--ISNUMBER(SEARCH("R43",G132)),0)+IFERROR(--ISNUMBER(SEARCH("R44",G132)),0)+IFERROR(--ISNUMBER(SEARCH("R45",G132)),0)+IFERROR(--ISNUMBER(SEARCH("R47",G132)),0)+IFERROR(--ISNUMBER(SEARCH("R48",G132)),0)+IFERROR(--ISNUMBER(SEARCH("R50",G132)),0)+IFERROR(--ISNUMBER(SEARCH("R51",G132)),0)+IFERROR(--ISNUMBER(SEARCH("R56",G132)),0)+IFERROR(--ISNUMBER(SEARCH("R58",G132)),0)+IFERROR(--ISNUMBER(SEARCH("R59",G132)),0)+IFERROR(--ISNUMBER(SEARCH("R60",G132)),0)+IFERROR(--ISNUMBER(SEARCH("R62",G132)),0)+IFERROR(--ISNUMBER(SEARCH("R63",G132)),0)+IFERROR(--ISNUMBER(SEARCH("R64",G132)),0)+IFERROR(--ISNUMBER(SEARCH("R66",G132)),0)+IFERROR(--ISNUMBER(SEARCH("R67",G132)),0)+IFERROR(--ISNUMBER(SEARCH("R72",G132)),0)+IFERROR(--ISNUMBER(SEARCH("R74",G132)),0)+IFERROR(--ISNUMBER(SEARCH("R75",G132)),0)+IFERROR(--ISNUMBER(SEARCH("R76",G132)),0)+IFERROR(--ISNUMBER(SEARCH("R77",G132)),0)+IFERROR(--ISNUMBER(SEARCH("R79",G132)),0)+IFERROR(--ISNUMBER(SEARCH("R80",G132)),0)+IFERROR(--ISNUMBER(SEARCH("R81",G132)),0)+IFERROR(--ISNUMBER(SEARCH("R83",G132)),0)+IFERROR(--ISNUMBER(SEARCH("R84",G132)),0)+IFERROR(--ISNUMBER(SEARCH("R89",G132)),0)+IFERROR(--ISNUMBER(SEARCH("R94",G132)),0)+IFERROR(--ISNUMBER(SEARCH("R95",G132)),0)+IFERROR(--ISNUMBER(SEARCH("R96",G132)),0)+IFERROR(--ISNUMBER(SEARCH("R98",G132)),0)+IFERROR(--ISNUMBER(SEARCH("R99",G132)),0)+IFERROR(--ISNUMBER(SEARCH("R100",G132)),0)+IFERROR(--ISNUMBER(SEARCH("R104",G132)),0)+IFERROR(--ISNUMBER(SEARCH("R105",G132)),0)+IFERROR(--ISNUMBER(SEARCH("R107",G132)),0)+IFERROR(--ISNUMBER(SEARCH("R108",G132)),0)+IFERROR(--ISNUMBER(SEARCH("R109",G132)),0)+IFERROR(--ISNUMBER(SEARCH("R110",G132)),0)+IFERROR(--ISNUMBER(SEARCH("R112",G132)),0)+IFERROR(--ISNUMBER(SEARCH("R113",G132)),0)+IFERROR(--ISNUMBER(SEARCH("R114",G132)),0)+IFERROR(--ISNUMBER(SEARCH("R118",G132)),0)+IFERROR(--ISNUMBER(SEARCH("R119",G132)),0)+IFERROR(--ISNUMBER(SEARCH("R120",G132)),0)+IFERROR(--ISNUMBER(SEARCH("R122",G132)),0)+IFERROR(--ISNUMBER(SEARCH("R123",G132)),0)+IFERROR(--ISNUMBER(SEARCH("R124",G132)),0)+IFERROR(--ISNUMBER(SEARCH("R128",G132)),0)+IFERROR(--ISNUMBER(SEARCH("R130",G132)),0)+IFERROR(--ISNUMBER(SEARCH("R131",G132)),0)+IFERROR(--ISNUMBER(SEARCH("R132",G132)),0)+IFERROR(--ISNUMBER(SEARCH("R135",G132)),0)+IFERROR(--ISNUMBER(SEARCH("R138",G132)),0)+IFERROR(--ISNUMBER(SEARCH("R141",G132)),0))</f>
        <v/>
      </c>
      <c r="U132" s="58">
        <f>IF(A132="","",IFERROR(--ISNUMBER(SEARCH("R28",G132))*28,0)+IFERROR(--ISNUMBER(SEARCH("R29",G132))*29,0)+IFERROR(--ISNUMBER(SEARCH("R30",G132))*30,0)+IFERROR(--ISNUMBER(SEARCH("R31",G132))*31,0)+IFERROR(--ISNUMBER(SEARCH("R32",G132))*32,0)+IFERROR(--ISNUMBER(SEARCH("R33",G132))*33,0)+IFERROR(--ISNUMBER(SEARCH("R34",G132))*34,0)+IFERROR(--ISNUMBER(SEARCH("R35",G132))*35,0)+IFERROR(--ISNUMBER(SEARCH("R36",G132))*36,0)+IFERROR(--ISNUMBER(SEARCH("R37",G132))*37,0)+IFERROR(--ISNUMBER(SEARCH("R38",G132))*38,0)+IFERROR(--ISNUMBER(SEARCH("R39",G132))*39,0)+IFERROR(--ISNUMBER(SEARCH("R40",G132))*40,0)+IFERROR(--ISNUMBER(SEARCH("R41",G132))*41,0)+IFERROR(--ISNUMBER(SEARCH("R42",G132))*42,0)+IFERROR(--ISNUMBER(SEARCH("R43",G132))*43,0)+IFERROR(--ISNUMBER(SEARCH("R44",G132))*44,0)+IFERROR(--ISNUMBER(SEARCH("R45",G132))*45,0)+IFERROR(--ISNUMBER(SEARCH("R46",G132))*46,0)+IFERROR(--ISNUMBER(SEARCH("R47",G132))*47,0)+IFERROR(--ISNUMBER(SEARCH("R48",G132))*48,0)+IFERROR(--ISNUMBER(SEARCH("R49",G132))*49,0)+IFERROR(--ISNUMBER(SEARCH("R50",G132))*50,0)+IFERROR(--ISNUMBER(SEARCH("R51",G132))*51,0)+IFERROR(--ISNUMBER(SEARCH("R52",G132))*52,0)+IFERROR(--ISNUMBER(SEARCH("R53",G132))*53,0)+IFERROR(--ISNUMBER(SEARCH("R54",G132))*54,0)+IFERROR(--ISNUMBER(SEARCH("R55",G132))*55,0)+IFERROR(--ISNUMBER(SEARCH("R56",G132))*56,0)+IFERROR(--ISNUMBER(SEARCH("R57",G132))*57,0)+IFERROR(--ISNUMBER(SEARCH("R58",G132))*58,0)+IFERROR(--ISNUMBER(SEARCH("R59",G132))*59,0)+IFERROR(--ISNUMBER(SEARCH("R60",G132))*60,0)+IFERROR(--ISNUMBER(SEARCH("R61",G132))*61,0)+IFERROR(--ISNUMBER(SEARCH("R62",G132))*62,0)+IFERROR(--ISNUMBER(SEARCH("R63",G132))*63,0)+IFERROR(--ISNUMBER(SEARCH("R64",G132))*64,0)+IFERROR(--ISNUMBER(SEARCH("R65",G132))*65,0)+IFERROR(--ISNUMBER(SEARCH("R66",G132))*66,0)+IFERROR(--ISNUMBER(SEARCH("R67",G132))*67,0)+IFERROR(--ISNUMBER(SEARCH("R68",G132))*68,0)+IFERROR(--ISNUMBER(SEARCH("R69",G132))*69,0)+IFERROR(--ISNUMBER(SEARCH("R70",G132))*70,0)+IFERROR(--ISNUMBER(SEARCH("R71",G132))*71,0)+IFERROR(--ISNUMBER(SEARCH("R72",G132))*72,0)+IFERROR(--ISNUMBER(SEARCH("R73",G132))*73,0)+IFERROR(--ISNUMBER(SEARCH("R74",G132))*74,0)+IFERROR(--ISNUMBER(SEARCH("R75",G132))*75,0)+IFERROR(--ISNUMBER(SEARCH("R76",G132))*76,0)+IFERROR(--ISNUMBER(SEARCH("R77",G132))*77,0)+IFERROR(--ISNUMBER(SEARCH("R78",G132))*78,0)+IFERROR(--ISNUMBER(SEARCH("R79",G132))*79,0)+IFERROR(--ISNUMBER(SEARCH("R80",G132))*80,0)+IFERROR(--ISNUMBER(SEARCH("R81",G132))*81,0)+IFERROR(--ISNUMBER(SEARCH("R82",G132))*82,0)+IFERROR(--ISNUMBER(SEARCH("R83",G132))*83,0)+IFERROR(--ISNUMBER(SEARCH("R84",G132))*84,0)+IFERROR(--ISNUMBER(SEARCH("R85",G132))*85,0)+IFERROR(--ISNUMBER(SEARCH("R86",G132))*86,0)+IFERROR(--ISNUMBER(SEARCH("R87",G132))*87,0)+IFERROR(--ISNUMBER(SEARCH("R88",G132))*88,0)+IFERROR(--ISNUMBER(SEARCH("R89",G132))*89,0)+IFERROR(--ISNUMBER(SEARCH("R90",G132))*90,0)+IFERROR(--ISNUMBER(SEARCH("R91",G132))*91,0)+IFERROR(--ISNUMBER(SEARCH("R92",G132))*92,0)+IFERROR(--ISNUMBER(SEARCH("R93",G132))*93,0)+IFERROR(--ISNUMBER(SEARCH("R94",G132))*94,0)+IFERROR(--ISNUMBER(SEARCH("R95",G132))*95,0)+IFERROR(--ISNUMBER(SEARCH("R96",G132))*96,0)+IFERROR(--ISNUMBER(SEARCH("R97",G132))*97,0)+IFERROR(--ISNUMBER(SEARCH("R98",G132))*98,0)+IFERROR(--ISNUMBER(SEARCH("R99",G132))*99,0)+IFERROR(--ISNUMBER(SEARCH("R100",G132))*100,0)+IFERROR(--ISNUMBER(SEARCH("R101",G132))*101,0)+IFERROR(--ISNUMBER(SEARCH("R102",G132))*102,0)+IFERROR(--ISNUMBER(SEARCH("R103",G132))*103,0)+IFERROR(--ISNUMBER(SEARCH("R104",G132))*104,0)+IFERROR(--ISNUMBER(SEARCH("R105",G132))*105,0)+IFERROR(--ISNUMBER(SEARCH("R106",G132))*106,0)+IFERROR(--ISNUMBER(SEARCH("R107",G132))*107,0)+IFERROR(--ISNUMBER(SEARCH("R108",G132))*108,0)+IFERROR(--ISNUMBER(SEARCH("R109",G132))*109,0)+IFERROR(--ISNUMBER(SEARCH("R110",G132))*110,0)+IFERROR(--ISNUMBER(SEARCH("R111",G132))*111,0)+IFERROR(--ISNUMBER(SEARCH("R112",G132))*112,0)+IFERROR(--ISNUMBER(SEARCH("R113",G132))*113,0)+IFERROR(--ISNUMBER(SEARCH("R114",G132))*114,0)+IFERROR(--ISNUMBER(SEARCH("R115",G132))*115,0)+IFERROR(--ISNUMBER(SEARCH("R116",G132))*116,0)+IFERROR(--ISNUMBER(SEARCH("R117",G132))*117,0)+IFERROR(--ISNUMBER(SEARCH("R118",G132))*118,0)+IFERROR(--ISNUMBER(SEARCH("R119",G132))*119,0)+IFERROR(--ISNUMBER(SEARCH("R120",G132))*120,0)+IFERROR(--ISNUMBER(SEARCH("R121",G132))*121,0)+IFERROR(--ISNUMBER(SEARCH("R122",G132))*122,0)+IFERROR(--ISNUMBER(SEARCH("R123",G132))*123,0)+IFERROR(--ISNUMBER(SEARCH("R124",G132))*124,0)+IFERROR(--ISNUMBER(SEARCH("R125",G132))*125,0)+IFERROR(--ISNUMBER(SEARCH("R126",G132))*126,0)+IFERROR(--ISNUMBER(SEARCH("R127",G132))*127,0)+IFERROR(--ISNUMBER(SEARCH("R128",G132))*128,0)+IFERROR(--ISNUMBER(SEARCH("R129",G132))*129,0)+IFERROR(--ISNUMBER(SEARCH("R130",G132))*130,0)+IFERROR(--ISNUMBER(SEARCH("R131",G132))*131,0)+IFERROR(--ISNUMBER(SEARCH("R132",G132))*132,0)+IFERROR(--ISNUMBER(SEARCH("R133",G132))*133,0)+IFERROR(--ISNUMBER(SEARCH("R134",G132))*134,0)+IFERROR(--ISNUMBER(SEARCH("R135",G132))*135,0)+IFERROR(--ISNUMBER(SEARCH("R136",G132))*136,0)+IFERROR(--ISNUMBER(SEARCH("R137",G132))*137,0)+IFERROR(--ISNUMBER(SEARCH("R138",G132))*138,0)+IFERROR(--ISNUMBER(SEARCH("R139",G132))*139,0)+IFERROR(--ISNUMBER(SEARCH("R140",G132))*140,0)+IFERROR(--ISNUMBER(SEARCH("R141",G132))*141,0))</f>
        <v/>
      </c>
      <c r="V132" s="59">
        <f>IF(A132="","",IF(K132&lt;&gt;"",K132,J132))</f>
        <v/>
      </c>
      <c r="W132" s="59">
        <f>IF(A132="","",IF(AND(V132=29,O132&lt;&gt;"",COUNTIFS($V$6:$V$505,29,$F$6:$F$505,F132,$C$6:$C$505,C132,$O$6:$O$505,"&lt;&gt;")&gt;1),IF(COUNTIFS($V$6:V132,29,$F$6:F132,F132,$C$6:C132,C132,$O$6:O132,"&lt;&gt;")=1,"Esta es la fila que se debe CONSERVAR (aparición 1 de "&amp;COUNTIFS($V$6:$V$505,29,$F$6:$F$505,F132,$C$6:$C$505,C132,$O$6:$O$505,"&lt;&gt;")&amp;" con el mismo tercero y valor, casilla 29). Si hay más filas iguales, bórreles el valor a ELLAS, no a esta.","DUPLICADO — ya existe otra fila con el mismo tercero y valor para casilla 29 (aparición "&amp;COUNTIFS($V$6:V132,29,$F$6:F132,F132,$C$6:C132,C132,$O$6:O132,"&lt;&gt;")&amp;" de "&amp;COUNTIFS($V$6:$V$505,29,$F$6:$F$505,F132,$C$6:$C$505,C132,$O$6:$O$505,"&lt;&gt;")&amp;"). Para resolverlo: seleccione la celda O"&amp;ROW()&amp;" (columna Valor a declarar de ESTA fila) y presione Supr."),""))</f>
        <v/>
      </c>
      <c r="X132" s="463">
        <f>IF(A132="","",F132)</f>
        <v/>
      </c>
      <c r="Y132" s="463">
        <f>IF(A132="","",SUMIF(Entrada_Manual!$I$88:$I$187,A132,Entrada_Manual!$F$88:$F$187))</f>
        <v/>
      </c>
      <c r="Z132" s="463">
        <f>IF(A132="","",X132-Y132)</f>
        <v/>
      </c>
      <c r="AA132">
        <f>IF(A132="","",SUMPRODUCT((Entrada_Manual!$I$88:$I$187=A132)*1))</f>
        <v/>
      </c>
      <c r="AB132">
        <f>IF(A132="","",IF(S132&lt;=1,"",IF(AA132=0,"PENDIENTE — SIN ASIGNAR",IF(Z132=0,"RESUELTO","PARCIAL — DIFERENCIA "&amp;TEXT(Z132,"#,##0")))))</f>
        <v/>
      </c>
    </row>
    <row r="133" ht="14.25" customHeight="1" s="235">
      <c r="A133" s="47">
        <f>IF(Exogena_RAW!E142&lt;&gt;"",ROW()-5,"")</f>
        <v/>
      </c>
      <c r="B133" s="48">
        <f>IF(A133="","",142)</f>
        <v/>
      </c>
      <c r="C133" s="48">
        <f>IF(A133="","",IFERROR(Exogena_RAW!A142,""))</f>
        <v/>
      </c>
      <c r="D133" s="48">
        <f>IF(A133="","",IFERROR(Exogena_RAW!B142,""))</f>
        <v/>
      </c>
      <c r="E133" s="48">
        <f>IF(A133="","",Exogena_RAW!E142)</f>
        <v/>
      </c>
      <c r="F133" s="461">
        <f>IF(A133="","",Exogena_RAW!F142)</f>
        <v/>
      </c>
      <c r="G133" s="48">
        <f>IF(A133="","",IFERROR(Exogena_RAW!G142,""))</f>
        <v/>
      </c>
      <c r="H133" s="48">
        <f>IF(A133="","",IFERROR(Exogena_RAW!H142,""))</f>
        <v/>
      </c>
      <c r="I133" s="48">
        <f>IF(A133="","",IFERROR(IF(S133&gt;1,"VARIAS CASILLAS",IF(S133=1,IF(T133=1,"PROPUESTA DE CASILLA","REVISIÓN: CASILLA NO DIRECTA"),IF(OR(ISNUMBER(SEARCH("TOPE",UPPER(E133))),ISNUMBER(SEARCH("TOPE",UPPER(G133)))),"SOLO CONTROL",IF(ISNUMBER(SEARCH("RETEN",UPPER(E133))),"RETENCIÓN","REVISAR")))),"REVISAR"))</f>
        <v/>
      </c>
      <c r="J133" s="48">
        <f>IF(A133="","",IF(ISNUMBER(SEARCH("ingreso laboral promedio de los últimos seis meses",E133)),"",IFERROR(IF(AND(S133=1,T133=1),U133,""),"")))</f>
        <v/>
      </c>
      <c r="K133" s="216" t="n"/>
      <c r="L133" s="48">
        <f>IF(A133="","",IFERROR(IF(K133&lt;&gt;"","Casilla elegida por usuario",IF(S133&gt;1,"Varias casillas — elegir en K",IF(J133&lt;&gt;"","Sugerencia directa",IF(S133=1,"No trasladar directo — revisar",IF(OR(ISNUMBER(SEARCH("TOPE",UPPER(E133))),ISNUMBER(SEARCH("TOPE",UPPER(G133)))),"Solo control","Revisar manualmente"))))),"Revisar manualmente"))</f>
        <v/>
      </c>
      <c r="M133" s="461">
        <f>IF(A133="","",IF(IF(K133&lt;&gt;"",K133,J133)="",0,IF(COUNTIFS(Reglas!$I$5:$I$118,IF(K133&lt;&gt;"",K133,J133),Reglas!$J$5:$J$118,"Sí")=1,F133,0)))</f>
        <v/>
      </c>
      <c r="N133" s="56" t="n"/>
      <c r="O133" s="462">
        <f>IF(A133="","",IF(M133=0,"",M133))</f>
        <v/>
      </c>
      <c r="P133" s="461">
        <f>IF(A133="","",IF(O133="",0,IF(ISNUMBER(O133),O133,0)))</f>
        <v/>
      </c>
      <c r="Q133" s="48">
        <f>IF(A133="","",IF(Exogena_RAW!$C$4="","BLOQUEADO: FALTA AÑO",IF(Exogena_RAW!$K$10&lt;&gt;Reglas!$B$5,"BLOQUEADO: AÑO",IF(IF(K133&lt;&gt;"",K133,J133)="",IF(S133&gt;1,"REQUIERE ASIGNACIÓN MANUAL (VARIAS CASILLAS)","INFORMATIVO (sin casilla — no se declara)"),IF(COUNTIFS(Reglas!$I$5:$I$118,IF(K133&lt;&gt;"",K133,J133),Reglas!$J$5:$J$118,"Sí")=0,"BLOQUEADO: CASILLA NO DIRECTA",IF(O133="","EXCLUIDO (valor borrado por el usuario)",IF(_xlfn.ISFORMULA(O133),IF(W133&lt;&gt;"","BORRADOR — VALOR SUGERIDO DIAN ⚠ VER ALERTA","BORRADOR — VALOR SUGERIDO DIAN"),IF(W133&lt;&gt;"","ACEPTADO ⚠ VER ALERTA","ACEPTADO"))))))))</f>
        <v/>
      </c>
      <c r="R133" s="218" t="n"/>
      <c r="S133" s="58">
        <f>IF(A133="","",IFERROR(--ISNUMBER(SEARCH("R28",G133)),0)+IFERROR(--ISNUMBER(SEARCH("R29",G133)),0)+IFERROR(--ISNUMBER(SEARCH("R30",G133)),0)+IFERROR(--ISNUMBER(SEARCH("R31",G133)),0)+IFERROR(--ISNUMBER(SEARCH("R32",G133)),0)+IFERROR(--ISNUMBER(SEARCH("R33",G133)),0)+IFERROR(--ISNUMBER(SEARCH("R34",G133)),0)+IFERROR(--ISNUMBER(SEARCH("R35",G133)),0)+IFERROR(--ISNUMBER(SEARCH("R36",G133)),0)+IFERROR(--ISNUMBER(SEARCH("R37",G133)),0)+IFERROR(--ISNUMBER(SEARCH("R38",G133)),0)+IFERROR(--ISNUMBER(SEARCH("R39",G133)),0)+IFERROR(--ISNUMBER(SEARCH("R40",G133)),0)+IFERROR(--ISNUMBER(SEARCH("R41",G133)),0)+IFERROR(--ISNUMBER(SEARCH("R42",G133)),0)+IFERROR(--ISNUMBER(SEARCH("R43",G133)),0)+IFERROR(--ISNUMBER(SEARCH("R44",G133)),0)+IFERROR(--ISNUMBER(SEARCH("R45",G133)),0)+IFERROR(--ISNUMBER(SEARCH("R46",G133)),0)+IFERROR(--ISNUMBER(SEARCH("R47",G133)),0)+IFERROR(--ISNUMBER(SEARCH("R48",G133)),0)+IFERROR(--ISNUMBER(SEARCH("R49",G133)),0)+IFERROR(--ISNUMBER(SEARCH("R50",G133)),0)+IFERROR(--ISNUMBER(SEARCH("R51",G133)),0)+IFERROR(--ISNUMBER(SEARCH("R52",G133)),0)+IFERROR(--ISNUMBER(SEARCH("R53",G133)),0)+IFERROR(--ISNUMBER(SEARCH("R54",G133)),0)+IFERROR(--ISNUMBER(SEARCH("R55",G133)),0)+IFERROR(--ISNUMBER(SEARCH("R56",G133)),0)+IFERROR(--ISNUMBER(SEARCH("R57",G133)),0)+IFERROR(--ISNUMBER(SEARCH("R58",G133)),0)+IFERROR(--ISNUMBER(SEARCH("R59",G133)),0)+IFERROR(--ISNUMBER(SEARCH("R60",G133)),0)+IFERROR(--ISNUMBER(SEARCH("R61",G133)),0)+IFERROR(--ISNUMBER(SEARCH("R62",G133)),0)+IFERROR(--ISNUMBER(SEARCH("R63",G133)),0)+IFERROR(--ISNUMBER(SEARCH("R64",G133)),0)+IFERROR(--ISNUMBER(SEARCH("R65",G133)),0)+IFERROR(--ISNUMBER(SEARCH("R66",G133)),0)+IFERROR(--ISNUMBER(SEARCH("R67",G133)),0)+IFERROR(--ISNUMBER(SEARCH("R68",G133)),0)+IFERROR(--ISNUMBER(SEARCH("R69",G133)),0)+IFERROR(--ISNUMBER(SEARCH("R70",G133)),0)+IFERROR(--ISNUMBER(SEARCH("R71",G133)),0)+IFERROR(--ISNUMBER(SEARCH("R72",G133)),0)+IFERROR(--ISNUMBER(SEARCH("R73",G133)),0)+IFERROR(--ISNUMBER(SEARCH("R74",G133)),0)+IFERROR(--ISNUMBER(SEARCH("R75",G133)),0)+IFERROR(--ISNUMBER(SEARCH("R76",G133)),0)+IFERROR(--ISNUMBER(SEARCH("R77",G133)),0)+IFERROR(--ISNUMBER(SEARCH("R78",G133)),0)+IFERROR(--ISNUMBER(SEARCH("R79",G133)),0)+IFERROR(--ISNUMBER(SEARCH("R80",G133)),0)+IFERROR(--ISNUMBER(SEARCH("R81",G133)),0)+IFERROR(--ISNUMBER(SEARCH("R82",G133)),0)+IFERROR(--ISNUMBER(SEARCH("R83",G133)),0)+IFERROR(--ISNUMBER(SEARCH("R84",G133)),0)+IFERROR(--ISNUMBER(SEARCH("R85",G133)),0)+IFERROR(--ISNUMBER(SEARCH("R86",G133)),0)+IFERROR(--ISNUMBER(SEARCH("R87",G133)),0)+IFERROR(--ISNUMBER(SEARCH("R88",G133)),0)+IFERROR(--ISNUMBER(SEARCH("R89",G133)),0)+IFERROR(--ISNUMBER(SEARCH("R90",G133)),0)+IFERROR(--ISNUMBER(SEARCH("R91",G133)),0)+IFERROR(--ISNUMBER(SEARCH("R92",G133)),0)+IFERROR(--ISNUMBER(SEARCH("R93",G133)),0)+IFERROR(--ISNUMBER(SEARCH("R94",G133)),0)+IFERROR(--ISNUMBER(SEARCH("R95",G133)),0)+IFERROR(--ISNUMBER(SEARCH("R96",G133)),0)+IFERROR(--ISNUMBER(SEARCH("R97",G133)),0)+IFERROR(--ISNUMBER(SEARCH("R98",G133)),0)+IFERROR(--ISNUMBER(SEARCH("R99",G133)),0)+IFERROR(--ISNUMBER(SEARCH("R100",G133)),0)+IFERROR(--ISNUMBER(SEARCH("R101",G133)),0)+IFERROR(--ISNUMBER(SEARCH("R102",G133)),0)+IFERROR(--ISNUMBER(SEARCH("R103",G133)),0)+IFERROR(--ISNUMBER(SEARCH("R104",G133)),0)+IFERROR(--ISNUMBER(SEARCH("R105",G133)),0)+IFERROR(--ISNUMBER(SEARCH("R106",G133)),0)+IFERROR(--ISNUMBER(SEARCH("R107",G133)),0)+IFERROR(--ISNUMBER(SEARCH("R108",G133)),0)+IFERROR(--ISNUMBER(SEARCH("R109",G133)),0)+IFERROR(--ISNUMBER(SEARCH("R110",G133)),0)+IFERROR(--ISNUMBER(SEARCH("R111",G133)),0)+IFERROR(--ISNUMBER(SEARCH("R112",G133)),0)+IFERROR(--ISNUMBER(SEARCH("R113",G133)),0)+IFERROR(--ISNUMBER(SEARCH("R114",G133)),0)+IFERROR(--ISNUMBER(SEARCH("R115",G133)),0)+IFERROR(--ISNUMBER(SEARCH("R116",G133)),0)+IFERROR(--ISNUMBER(SEARCH("R117",G133)),0)+IFERROR(--ISNUMBER(SEARCH("R118",G133)),0)+IFERROR(--ISNUMBER(SEARCH("R119",G133)),0)+IFERROR(--ISNUMBER(SEARCH("R120",G133)),0)+IFERROR(--ISNUMBER(SEARCH("R121",G133)),0)+IFERROR(--ISNUMBER(SEARCH("R122",G133)),0)+IFERROR(--ISNUMBER(SEARCH("R123",G133)),0)+IFERROR(--ISNUMBER(SEARCH("R124",G133)),0)+IFERROR(--ISNUMBER(SEARCH("R125",G133)),0)+IFERROR(--ISNUMBER(SEARCH("R126",G133)),0)+IFERROR(--ISNUMBER(SEARCH("R127",G133)),0)+IFERROR(--ISNUMBER(SEARCH("R128",G133)),0)+IFERROR(--ISNUMBER(SEARCH("R129",G133)),0)+IFERROR(--ISNUMBER(SEARCH("R130",G133)),0)+IFERROR(--ISNUMBER(SEARCH("R131",G133)),0)+IFERROR(--ISNUMBER(SEARCH("R132",G133)),0)+IFERROR(--ISNUMBER(SEARCH("R133",G133)),0)+IFERROR(--ISNUMBER(SEARCH("R134",G133)),0)+IFERROR(--ISNUMBER(SEARCH("R135",G133)),0)+IFERROR(--ISNUMBER(SEARCH("R136",G133)),0)+IFERROR(--ISNUMBER(SEARCH("R137",G133)),0)+IFERROR(--ISNUMBER(SEARCH("R138",G133)),0)+IFERROR(--ISNUMBER(SEARCH("R139",G133)),0)+IFERROR(--ISNUMBER(SEARCH("R140",G133)),0)+IFERROR(--ISNUMBER(SEARCH("R141",G133)),0))</f>
        <v/>
      </c>
      <c r="T133" s="58">
        <f>IF(A133="","",IFERROR(--ISNUMBER(SEARCH("R28",G133)),0)+IFERROR(--ISNUMBER(SEARCH("R29",G133)),0)+IFERROR(--ISNUMBER(SEARCH("R30",G133)),0)+IFERROR(--ISNUMBER(SEARCH("R32",G133)),0)+IFERROR(--ISNUMBER(SEARCH("R33",G133)),0)+IFERROR(--ISNUMBER(SEARCH("R35",G133)),0)+IFERROR(--ISNUMBER(SEARCH("R36",G133)),0)+IFERROR(--ISNUMBER(SEARCH("R38",G133)),0)+IFERROR(--ISNUMBER(SEARCH("R39",G133)),0)+IFERROR(--ISNUMBER(SEARCH("R43",G133)),0)+IFERROR(--ISNUMBER(SEARCH("R44",G133)),0)+IFERROR(--ISNUMBER(SEARCH("R45",G133)),0)+IFERROR(--ISNUMBER(SEARCH("R47",G133)),0)+IFERROR(--ISNUMBER(SEARCH("R48",G133)),0)+IFERROR(--ISNUMBER(SEARCH("R50",G133)),0)+IFERROR(--ISNUMBER(SEARCH("R51",G133)),0)+IFERROR(--ISNUMBER(SEARCH("R56",G133)),0)+IFERROR(--ISNUMBER(SEARCH("R58",G133)),0)+IFERROR(--ISNUMBER(SEARCH("R59",G133)),0)+IFERROR(--ISNUMBER(SEARCH("R60",G133)),0)+IFERROR(--ISNUMBER(SEARCH("R62",G133)),0)+IFERROR(--ISNUMBER(SEARCH("R63",G133)),0)+IFERROR(--ISNUMBER(SEARCH("R64",G133)),0)+IFERROR(--ISNUMBER(SEARCH("R66",G133)),0)+IFERROR(--ISNUMBER(SEARCH("R67",G133)),0)+IFERROR(--ISNUMBER(SEARCH("R72",G133)),0)+IFERROR(--ISNUMBER(SEARCH("R74",G133)),0)+IFERROR(--ISNUMBER(SEARCH("R75",G133)),0)+IFERROR(--ISNUMBER(SEARCH("R76",G133)),0)+IFERROR(--ISNUMBER(SEARCH("R77",G133)),0)+IFERROR(--ISNUMBER(SEARCH("R79",G133)),0)+IFERROR(--ISNUMBER(SEARCH("R80",G133)),0)+IFERROR(--ISNUMBER(SEARCH("R81",G133)),0)+IFERROR(--ISNUMBER(SEARCH("R83",G133)),0)+IFERROR(--ISNUMBER(SEARCH("R84",G133)),0)+IFERROR(--ISNUMBER(SEARCH("R89",G133)),0)+IFERROR(--ISNUMBER(SEARCH("R94",G133)),0)+IFERROR(--ISNUMBER(SEARCH("R95",G133)),0)+IFERROR(--ISNUMBER(SEARCH("R96",G133)),0)+IFERROR(--ISNUMBER(SEARCH("R98",G133)),0)+IFERROR(--ISNUMBER(SEARCH("R99",G133)),0)+IFERROR(--ISNUMBER(SEARCH("R100",G133)),0)+IFERROR(--ISNUMBER(SEARCH("R104",G133)),0)+IFERROR(--ISNUMBER(SEARCH("R105",G133)),0)+IFERROR(--ISNUMBER(SEARCH("R107",G133)),0)+IFERROR(--ISNUMBER(SEARCH("R108",G133)),0)+IFERROR(--ISNUMBER(SEARCH("R109",G133)),0)+IFERROR(--ISNUMBER(SEARCH("R110",G133)),0)+IFERROR(--ISNUMBER(SEARCH("R112",G133)),0)+IFERROR(--ISNUMBER(SEARCH("R113",G133)),0)+IFERROR(--ISNUMBER(SEARCH("R114",G133)),0)+IFERROR(--ISNUMBER(SEARCH("R118",G133)),0)+IFERROR(--ISNUMBER(SEARCH("R119",G133)),0)+IFERROR(--ISNUMBER(SEARCH("R120",G133)),0)+IFERROR(--ISNUMBER(SEARCH("R122",G133)),0)+IFERROR(--ISNUMBER(SEARCH("R123",G133)),0)+IFERROR(--ISNUMBER(SEARCH("R124",G133)),0)+IFERROR(--ISNUMBER(SEARCH("R128",G133)),0)+IFERROR(--ISNUMBER(SEARCH("R130",G133)),0)+IFERROR(--ISNUMBER(SEARCH("R131",G133)),0)+IFERROR(--ISNUMBER(SEARCH("R132",G133)),0)+IFERROR(--ISNUMBER(SEARCH("R135",G133)),0)+IFERROR(--ISNUMBER(SEARCH("R138",G133)),0)+IFERROR(--ISNUMBER(SEARCH("R141",G133)),0))</f>
        <v/>
      </c>
      <c r="U133" s="58">
        <f>IF(A133="","",IFERROR(--ISNUMBER(SEARCH("R28",G133))*28,0)+IFERROR(--ISNUMBER(SEARCH("R29",G133))*29,0)+IFERROR(--ISNUMBER(SEARCH("R30",G133))*30,0)+IFERROR(--ISNUMBER(SEARCH("R31",G133))*31,0)+IFERROR(--ISNUMBER(SEARCH("R32",G133))*32,0)+IFERROR(--ISNUMBER(SEARCH("R33",G133))*33,0)+IFERROR(--ISNUMBER(SEARCH("R34",G133))*34,0)+IFERROR(--ISNUMBER(SEARCH("R35",G133))*35,0)+IFERROR(--ISNUMBER(SEARCH("R36",G133))*36,0)+IFERROR(--ISNUMBER(SEARCH("R37",G133))*37,0)+IFERROR(--ISNUMBER(SEARCH("R38",G133))*38,0)+IFERROR(--ISNUMBER(SEARCH("R39",G133))*39,0)+IFERROR(--ISNUMBER(SEARCH("R40",G133))*40,0)+IFERROR(--ISNUMBER(SEARCH("R41",G133))*41,0)+IFERROR(--ISNUMBER(SEARCH("R42",G133))*42,0)+IFERROR(--ISNUMBER(SEARCH("R43",G133))*43,0)+IFERROR(--ISNUMBER(SEARCH("R44",G133))*44,0)+IFERROR(--ISNUMBER(SEARCH("R45",G133))*45,0)+IFERROR(--ISNUMBER(SEARCH("R46",G133))*46,0)+IFERROR(--ISNUMBER(SEARCH("R47",G133))*47,0)+IFERROR(--ISNUMBER(SEARCH("R48",G133))*48,0)+IFERROR(--ISNUMBER(SEARCH("R49",G133))*49,0)+IFERROR(--ISNUMBER(SEARCH("R50",G133))*50,0)+IFERROR(--ISNUMBER(SEARCH("R51",G133))*51,0)+IFERROR(--ISNUMBER(SEARCH("R52",G133))*52,0)+IFERROR(--ISNUMBER(SEARCH("R53",G133))*53,0)+IFERROR(--ISNUMBER(SEARCH("R54",G133))*54,0)+IFERROR(--ISNUMBER(SEARCH("R55",G133))*55,0)+IFERROR(--ISNUMBER(SEARCH("R56",G133))*56,0)+IFERROR(--ISNUMBER(SEARCH("R57",G133))*57,0)+IFERROR(--ISNUMBER(SEARCH("R58",G133))*58,0)+IFERROR(--ISNUMBER(SEARCH("R59",G133))*59,0)+IFERROR(--ISNUMBER(SEARCH("R60",G133))*60,0)+IFERROR(--ISNUMBER(SEARCH("R61",G133))*61,0)+IFERROR(--ISNUMBER(SEARCH("R62",G133))*62,0)+IFERROR(--ISNUMBER(SEARCH("R63",G133))*63,0)+IFERROR(--ISNUMBER(SEARCH("R64",G133))*64,0)+IFERROR(--ISNUMBER(SEARCH("R65",G133))*65,0)+IFERROR(--ISNUMBER(SEARCH("R66",G133))*66,0)+IFERROR(--ISNUMBER(SEARCH("R67",G133))*67,0)+IFERROR(--ISNUMBER(SEARCH("R68",G133))*68,0)+IFERROR(--ISNUMBER(SEARCH("R69",G133))*69,0)+IFERROR(--ISNUMBER(SEARCH("R70",G133))*70,0)+IFERROR(--ISNUMBER(SEARCH("R71",G133))*71,0)+IFERROR(--ISNUMBER(SEARCH("R72",G133))*72,0)+IFERROR(--ISNUMBER(SEARCH("R73",G133))*73,0)+IFERROR(--ISNUMBER(SEARCH("R74",G133))*74,0)+IFERROR(--ISNUMBER(SEARCH("R75",G133))*75,0)+IFERROR(--ISNUMBER(SEARCH("R76",G133))*76,0)+IFERROR(--ISNUMBER(SEARCH("R77",G133))*77,0)+IFERROR(--ISNUMBER(SEARCH("R78",G133))*78,0)+IFERROR(--ISNUMBER(SEARCH("R79",G133))*79,0)+IFERROR(--ISNUMBER(SEARCH("R80",G133))*80,0)+IFERROR(--ISNUMBER(SEARCH("R81",G133))*81,0)+IFERROR(--ISNUMBER(SEARCH("R82",G133))*82,0)+IFERROR(--ISNUMBER(SEARCH("R83",G133))*83,0)+IFERROR(--ISNUMBER(SEARCH("R84",G133))*84,0)+IFERROR(--ISNUMBER(SEARCH("R85",G133))*85,0)+IFERROR(--ISNUMBER(SEARCH("R86",G133))*86,0)+IFERROR(--ISNUMBER(SEARCH("R87",G133))*87,0)+IFERROR(--ISNUMBER(SEARCH("R88",G133))*88,0)+IFERROR(--ISNUMBER(SEARCH("R89",G133))*89,0)+IFERROR(--ISNUMBER(SEARCH("R90",G133))*90,0)+IFERROR(--ISNUMBER(SEARCH("R91",G133))*91,0)+IFERROR(--ISNUMBER(SEARCH("R92",G133))*92,0)+IFERROR(--ISNUMBER(SEARCH("R93",G133))*93,0)+IFERROR(--ISNUMBER(SEARCH("R94",G133))*94,0)+IFERROR(--ISNUMBER(SEARCH("R95",G133))*95,0)+IFERROR(--ISNUMBER(SEARCH("R96",G133))*96,0)+IFERROR(--ISNUMBER(SEARCH("R97",G133))*97,0)+IFERROR(--ISNUMBER(SEARCH("R98",G133))*98,0)+IFERROR(--ISNUMBER(SEARCH("R99",G133))*99,0)+IFERROR(--ISNUMBER(SEARCH("R100",G133))*100,0)+IFERROR(--ISNUMBER(SEARCH("R101",G133))*101,0)+IFERROR(--ISNUMBER(SEARCH("R102",G133))*102,0)+IFERROR(--ISNUMBER(SEARCH("R103",G133))*103,0)+IFERROR(--ISNUMBER(SEARCH("R104",G133))*104,0)+IFERROR(--ISNUMBER(SEARCH("R105",G133))*105,0)+IFERROR(--ISNUMBER(SEARCH("R106",G133))*106,0)+IFERROR(--ISNUMBER(SEARCH("R107",G133))*107,0)+IFERROR(--ISNUMBER(SEARCH("R108",G133))*108,0)+IFERROR(--ISNUMBER(SEARCH("R109",G133))*109,0)+IFERROR(--ISNUMBER(SEARCH("R110",G133))*110,0)+IFERROR(--ISNUMBER(SEARCH("R111",G133))*111,0)+IFERROR(--ISNUMBER(SEARCH("R112",G133))*112,0)+IFERROR(--ISNUMBER(SEARCH("R113",G133))*113,0)+IFERROR(--ISNUMBER(SEARCH("R114",G133))*114,0)+IFERROR(--ISNUMBER(SEARCH("R115",G133))*115,0)+IFERROR(--ISNUMBER(SEARCH("R116",G133))*116,0)+IFERROR(--ISNUMBER(SEARCH("R117",G133))*117,0)+IFERROR(--ISNUMBER(SEARCH("R118",G133))*118,0)+IFERROR(--ISNUMBER(SEARCH("R119",G133))*119,0)+IFERROR(--ISNUMBER(SEARCH("R120",G133))*120,0)+IFERROR(--ISNUMBER(SEARCH("R121",G133))*121,0)+IFERROR(--ISNUMBER(SEARCH("R122",G133))*122,0)+IFERROR(--ISNUMBER(SEARCH("R123",G133))*123,0)+IFERROR(--ISNUMBER(SEARCH("R124",G133))*124,0)+IFERROR(--ISNUMBER(SEARCH("R125",G133))*125,0)+IFERROR(--ISNUMBER(SEARCH("R126",G133))*126,0)+IFERROR(--ISNUMBER(SEARCH("R127",G133))*127,0)+IFERROR(--ISNUMBER(SEARCH("R128",G133))*128,0)+IFERROR(--ISNUMBER(SEARCH("R129",G133))*129,0)+IFERROR(--ISNUMBER(SEARCH("R130",G133))*130,0)+IFERROR(--ISNUMBER(SEARCH("R131",G133))*131,0)+IFERROR(--ISNUMBER(SEARCH("R132",G133))*132,0)+IFERROR(--ISNUMBER(SEARCH("R133",G133))*133,0)+IFERROR(--ISNUMBER(SEARCH("R134",G133))*134,0)+IFERROR(--ISNUMBER(SEARCH("R135",G133))*135,0)+IFERROR(--ISNUMBER(SEARCH("R136",G133))*136,0)+IFERROR(--ISNUMBER(SEARCH("R137",G133))*137,0)+IFERROR(--ISNUMBER(SEARCH("R138",G133))*138,0)+IFERROR(--ISNUMBER(SEARCH("R139",G133))*139,0)+IFERROR(--ISNUMBER(SEARCH("R140",G133))*140,0)+IFERROR(--ISNUMBER(SEARCH("R141",G133))*141,0))</f>
        <v/>
      </c>
      <c r="V133" s="59">
        <f>IF(A133="","",IF(K133&lt;&gt;"",K133,J133))</f>
        <v/>
      </c>
      <c r="W133" s="59">
        <f>IF(A133="","",IF(AND(V133=29,O133&lt;&gt;"",COUNTIFS($V$6:$V$505,29,$F$6:$F$505,F133,$C$6:$C$505,C133,$O$6:$O$505,"&lt;&gt;")&gt;1),IF(COUNTIFS($V$6:V133,29,$F$6:F133,F133,$C$6:C133,C133,$O$6:O133,"&lt;&gt;")=1,"Esta es la fila que se debe CONSERVAR (aparición 1 de "&amp;COUNTIFS($V$6:$V$505,29,$F$6:$F$505,F133,$C$6:$C$505,C133,$O$6:$O$505,"&lt;&gt;")&amp;" con el mismo tercero y valor, casilla 29). Si hay más filas iguales, bórreles el valor a ELLAS, no a esta.","DUPLICADO — ya existe otra fila con el mismo tercero y valor para casilla 29 (aparición "&amp;COUNTIFS($V$6:V133,29,$F$6:F133,F133,$C$6:C133,C133,$O$6:O133,"&lt;&gt;")&amp;" de "&amp;COUNTIFS($V$6:$V$505,29,$F$6:$F$505,F133,$C$6:$C$505,C133,$O$6:$O$505,"&lt;&gt;")&amp;"). Para resolverlo: seleccione la celda O"&amp;ROW()&amp;" (columna Valor a declarar de ESTA fila) y presione Supr."),""))</f>
        <v/>
      </c>
      <c r="X133" s="463">
        <f>IF(A133="","",F133)</f>
        <v/>
      </c>
      <c r="Y133" s="463">
        <f>IF(A133="","",SUMIF(Entrada_Manual!$I$88:$I$187,A133,Entrada_Manual!$F$88:$F$187))</f>
        <v/>
      </c>
      <c r="Z133" s="463">
        <f>IF(A133="","",X133-Y133)</f>
        <v/>
      </c>
      <c r="AA133">
        <f>IF(A133="","",SUMPRODUCT((Entrada_Manual!$I$88:$I$187=A133)*1))</f>
        <v/>
      </c>
      <c r="AB133">
        <f>IF(A133="","",IF(S133&lt;=1,"",IF(AA133=0,"PENDIENTE — SIN ASIGNAR",IF(Z133=0,"RESUELTO","PARCIAL — DIFERENCIA "&amp;TEXT(Z133,"#,##0")))))</f>
        <v/>
      </c>
    </row>
    <row r="134" ht="14.25" customHeight="1" s="235">
      <c r="A134" s="47">
        <f>IF(Exogena_RAW!E143&lt;&gt;"",ROW()-5,"")</f>
        <v/>
      </c>
      <c r="B134" s="48">
        <f>IF(A134="","",143)</f>
        <v/>
      </c>
      <c r="C134" s="48">
        <f>IF(A134="","",IFERROR(Exogena_RAW!A143,""))</f>
        <v/>
      </c>
      <c r="D134" s="48">
        <f>IF(A134="","",IFERROR(Exogena_RAW!B143,""))</f>
        <v/>
      </c>
      <c r="E134" s="48">
        <f>IF(A134="","",Exogena_RAW!E143)</f>
        <v/>
      </c>
      <c r="F134" s="461">
        <f>IF(A134="","",Exogena_RAW!F143)</f>
        <v/>
      </c>
      <c r="G134" s="48">
        <f>IF(A134="","",IFERROR(Exogena_RAW!G143,""))</f>
        <v/>
      </c>
      <c r="H134" s="48">
        <f>IF(A134="","",IFERROR(Exogena_RAW!H143,""))</f>
        <v/>
      </c>
      <c r="I134" s="48">
        <f>IF(A134="","",IFERROR(IF(S134&gt;1,"VARIAS CASILLAS",IF(S134=1,IF(T134=1,"PROPUESTA DE CASILLA","REVISIÓN: CASILLA NO DIRECTA"),IF(OR(ISNUMBER(SEARCH("TOPE",UPPER(E134))),ISNUMBER(SEARCH("TOPE",UPPER(G134)))),"SOLO CONTROL",IF(ISNUMBER(SEARCH("RETEN",UPPER(E134))),"RETENCIÓN","REVISAR")))),"REVISAR"))</f>
        <v/>
      </c>
      <c r="J134" s="48">
        <f>IF(A134="","",IF(ISNUMBER(SEARCH("ingreso laboral promedio de los últimos seis meses",E134)),"",IFERROR(IF(AND(S134=1,T134=1),U134,""),"")))</f>
        <v/>
      </c>
      <c r="K134" s="216" t="n"/>
      <c r="L134" s="48">
        <f>IF(A134="","",IFERROR(IF(K134&lt;&gt;"","Casilla elegida por usuario",IF(S134&gt;1,"Varias casillas — elegir en K",IF(J134&lt;&gt;"","Sugerencia directa",IF(S134=1,"No trasladar directo — revisar",IF(OR(ISNUMBER(SEARCH("TOPE",UPPER(E134))),ISNUMBER(SEARCH("TOPE",UPPER(G134)))),"Solo control","Revisar manualmente"))))),"Revisar manualmente"))</f>
        <v/>
      </c>
      <c r="M134" s="461">
        <f>IF(A134="","",IF(IF(K134&lt;&gt;"",K134,J134)="",0,IF(COUNTIFS(Reglas!$I$5:$I$118,IF(K134&lt;&gt;"",K134,J134),Reglas!$J$5:$J$118,"Sí")=1,F134,0)))</f>
        <v/>
      </c>
      <c r="N134" s="56" t="n"/>
      <c r="O134" s="462">
        <f>IF(A134="","",IF(M134=0,"",M134))</f>
        <v/>
      </c>
      <c r="P134" s="461">
        <f>IF(A134="","",IF(O134="",0,IF(ISNUMBER(O134),O134,0)))</f>
        <v/>
      </c>
      <c r="Q134" s="48">
        <f>IF(A134="","",IF(Exogena_RAW!$C$4="","BLOQUEADO: FALTA AÑO",IF(Exogena_RAW!$K$10&lt;&gt;Reglas!$B$5,"BLOQUEADO: AÑO",IF(IF(K134&lt;&gt;"",K134,J134)="",IF(S134&gt;1,"REQUIERE ASIGNACIÓN MANUAL (VARIAS CASILLAS)","INFORMATIVO (sin casilla — no se declara)"),IF(COUNTIFS(Reglas!$I$5:$I$118,IF(K134&lt;&gt;"",K134,J134),Reglas!$J$5:$J$118,"Sí")=0,"BLOQUEADO: CASILLA NO DIRECTA",IF(O134="","EXCLUIDO (valor borrado por el usuario)",IF(_xlfn.ISFORMULA(O134),IF(W134&lt;&gt;"","BORRADOR — VALOR SUGERIDO DIAN ⚠ VER ALERTA","BORRADOR — VALOR SUGERIDO DIAN"),IF(W134&lt;&gt;"","ACEPTADO ⚠ VER ALERTA","ACEPTADO"))))))))</f>
        <v/>
      </c>
      <c r="R134" s="218" t="n"/>
      <c r="S134" s="58">
        <f>IF(A134="","",IFERROR(--ISNUMBER(SEARCH("R28",G134)),0)+IFERROR(--ISNUMBER(SEARCH("R29",G134)),0)+IFERROR(--ISNUMBER(SEARCH("R30",G134)),0)+IFERROR(--ISNUMBER(SEARCH("R31",G134)),0)+IFERROR(--ISNUMBER(SEARCH("R32",G134)),0)+IFERROR(--ISNUMBER(SEARCH("R33",G134)),0)+IFERROR(--ISNUMBER(SEARCH("R34",G134)),0)+IFERROR(--ISNUMBER(SEARCH("R35",G134)),0)+IFERROR(--ISNUMBER(SEARCH("R36",G134)),0)+IFERROR(--ISNUMBER(SEARCH("R37",G134)),0)+IFERROR(--ISNUMBER(SEARCH("R38",G134)),0)+IFERROR(--ISNUMBER(SEARCH("R39",G134)),0)+IFERROR(--ISNUMBER(SEARCH("R40",G134)),0)+IFERROR(--ISNUMBER(SEARCH("R41",G134)),0)+IFERROR(--ISNUMBER(SEARCH("R42",G134)),0)+IFERROR(--ISNUMBER(SEARCH("R43",G134)),0)+IFERROR(--ISNUMBER(SEARCH("R44",G134)),0)+IFERROR(--ISNUMBER(SEARCH("R45",G134)),0)+IFERROR(--ISNUMBER(SEARCH("R46",G134)),0)+IFERROR(--ISNUMBER(SEARCH("R47",G134)),0)+IFERROR(--ISNUMBER(SEARCH("R48",G134)),0)+IFERROR(--ISNUMBER(SEARCH("R49",G134)),0)+IFERROR(--ISNUMBER(SEARCH("R50",G134)),0)+IFERROR(--ISNUMBER(SEARCH("R51",G134)),0)+IFERROR(--ISNUMBER(SEARCH("R52",G134)),0)+IFERROR(--ISNUMBER(SEARCH("R53",G134)),0)+IFERROR(--ISNUMBER(SEARCH("R54",G134)),0)+IFERROR(--ISNUMBER(SEARCH("R55",G134)),0)+IFERROR(--ISNUMBER(SEARCH("R56",G134)),0)+IFERROR(--ISNUMBER(SEARCH("R57",G134)),0)+IFERROR(--ISNUMBER(SEARCH("R58",G134)),0)+IFERROR(--ISNUMBER(SEARCH("R59",G134)),0)+IFERROR(--ISNUMBER(SEARCH("R60",G134)),0)+IFERROR(--ISNUMBER(SEARCH("R61",G134)),0)+IFERROR(--ISNUMBER(SEARCH("R62",G134)),0)+IFERROR(--ISNUMBER(SEARCH("R63",G134)),0)+IFERROR(--ISNUMBER(SEARCH("R64",G134)),0)+IFERROR(--ISNUMBER(SEARCH("R65",G134)),0)+IFERROR(--ISNUMBER(SEARCH("R66",G134)),0)+IFERROR(--ISNUMBER(SEARCH("R67",G134)),0)+IFERROR(--ISNUMBER(SEARCH("R68",G134)),0)+IFERROR(--ISNUMBER(SEARCH("R69",G134)),0)+IFERROR(--ISNUMBER(SEARCH("R70",G134)),0)+IFERROR(--ISNUMBER(SEARCH("R71",G134)),0)+IFERROR(--ISNUMBER(SEARCH("R72",G134)),0)+IFERROR(--ISNUMBER(SEARCH("R73",G134)),0)+IFERROR(--ISNUMBER(SEARCH("R74",G134)),0)+IFERROR(--ISNUMBER(SEARCH("R75",G134)),0)+IFERROR(--ISNUMBER(SEARCH("R76",G134)),0)+IFERROR(--ISNUMBER(SEARCH("R77",G134)),0)+IFERROR(--ISNUMBER(SEARCH("R78",G134)),0)+IFERROR(--ISNUMBER(SEARCH("R79",G134)),0)+IFERROR(--ISNUMBER(SEARCH("R80",G134)),0)+IFERROR(--ISNUMBER(SEARCH("R81",G134)),0)+IFERROR(--ISNUMBER(SEARCH("R82",G134)),0)+IFERROR(--ISNUMBER(SEARCH("R83",G134)),0)+IFERROR(--ISNUMBER(SEARCH("R84",G134)),0)+IFERROR(--ISNUMBER(SEARCH("R85",G134)),0)+IFERROR(--ISNUMBER(SEARCH("R86",G134)),0)+IFERROR(--ISNUMBER(SEARCH("R87",G134)),0)+IFERROR(--ISNUMBER(SEARCH("R88",G134)),0)+IFERROR(--ISNUMBER(SEARCH("R89",G134)),0)+IFERROR(--ISNUMBER(SEARCH("R90",G134)),0)+IFERROR(--ISNUMBER(SEARCH("R91",G134)),0)+IFERROR(--ISNUMBER(SEARCH("R92",G134)),0)+IFERROR(--ISNUMBER(SEARCH("R93",G134)),0)+IFERROR(--ISNUMBER(SEARCH("R94",G134)),0)+IFERROR(--ISNUMBER(SEARCH("R95",G134)),0)+IFERROR(--ISNUMBER(SEARCH("R96",G134)),0)+IFERROR(--ISNUMBER(SEARCH("R97",G134)),0)+IFERROR(--ISNUMBER(SEARCH("R98",G134)),0)+IFERROR(--ISNUMBER(SEARCH("R99",G134)),0)+IFERROR(--ISNUMBER(SEARCH("R100",G134)),0)+IFERROR(--ISNUMBER(SEARCH("R101",G134)),0)+IFERROR(--ISNUMBER(SEARCH("R102",G134)),0)+IFERROR(--ISNUMBER(SEARCH("R103",G134)),0)+IFERROR(--ISNUMBER(SEARCH("R104",G134)),0)+IFERROR(--ISNUMBER(SEARCH("R105",G134)),0)+IFERROR(--ISNUMBER(SEARCH("R106",G134)),0)+IFERROR(--ISNUMBER(SEARCH("R107",G134)),0)+IFERROR(--ISNUMBER(SEARCH("R108",G134)),0)+IFERROR(--ISNUMBER(SEARCH("R109",G134)),0)+IFERROR(--ISNUMBER(SEARCH("R110",G134)),0)+IFERROR(--ISNUMBER(SEARCH("R111",G134)),0)+IFERROR(--ISNUMBER(SEARCH("R112",G134)),0)+IFERROR(--ISNUMBER(SEARCH("R113",G134)),0)+IFERROR(--ISNUMBER(SEARCH("R114",G134)),0)+IFERROR(--ISNUMBER(SEARCH("R115",G134)),0)+IFERROR(--ISNUMBER(SEARCH("R116",G134)),0)+IFERROR(--ISNUMBER(SEARCH("R117",G134)),0)+IFERROR(--ISNUMBER(SEARCH("R118",G134)),0)+IFERROR(--ISNUMBER(SEARCH("R119",G134)),0)+IFERROR(--ISNUMBER(SEARCH("R120",G134)),0)+IFERROR(--ISNUMBER(SEARCH("R121",G134)),0)+IFERROR(--ISNUMBER(SEARCH("R122",G134)),0)+IFERROR(--ISNUMBER(SEARCH("R123",G134)),0)+IFERROR(--ISNUMBER(SEARCH("R124",G134)),0)+IFERROR(--ISNUMBER(SEARCH("R125",G134)),0)+IFERROR(--ISNUMBER(SEARCH("R126",G134)),0)+IFERROR(--ISNUMBER(SEARCH("R127",G134)),0)+IFERROR(--ISNUMBER(SEARCH("R128",G134)),0)+IFERROR(--ISNUMBER(SEARCH("R129",G134)),0)+IFERROR(--ISNUMBER(SEARCH("R130",G134)),0)+IFERROR(--ISNUMBER(SEARCH("R131",G134)),0)+IFERROR(--ISNUMBER(SEARCH("R132",G134)),0)+IFERROR(--ISNUMBER(SEARCH("R133",G134)),0)+IFERROR(--ISNUMBER(SEARCH("R134",G134)),0)+IFERROR(--ISNUMBER(SEARCH("R135",G134)),0)+IFERROR(--ISNUMBER(SEARCH("R136",G134)),0)+IFERROR(--ISNUMBER(SEARCH("R137",G134)),0)+IFERROR(--ISNUMBER(SEARCH("R138",G134)),0)+IFERROR(--ISNUMBER(SEARCH("R139",G134)),0)+IFERROR(--ISNUMBER(SEARCH("R140",G134)),0)+IFERROR(--ISNUMBER(SEARCH("R141",G134)),0))</f>
        <v/>
      </c>
      <c r="T134" s="58">
        <f>IF(A134="","",IFERROR(--ISNUMBER(SEARCH("R28",G134)),0)+IFERROR(--ISNUMBER(SEARCH("R29",G134)),0)+IFERROR(--ISNUMBER(SEARCH("R30",G134)),0)+IFERROR(--ISNUMBER(SEARCH("R32",G134)),0)+IFERROR(--ISNUMBER(SEARCH("R33",G134)),0)+IFERROR(--ISNUMBER(SEARCH("R35",G134)),0)+IFERROR(--ISNUMBER(SEARCH("R36",G134)),0)+IFERROR(--ISNUMBER(SEARCH("R38",G134)),0)+IFERROR(--ISNUMBER(SEARCH("R39",G134)),0)+IFERROR(--ISNUMBER(SEARCH("R43",G134)),0)+IFERROR(--ISNUMBER(SEARCH("R44",G134)),0)+IFERROR(--ISNUMBER(SEARCH("R45",G134)),0)+IFERROR(--ISNUMBER(SEARCH("R47",G134)),0)+IFERROR(--ISNUMBER(SEARCH("R48",G134)),0)+IFERROR(--ISNUMBER(SEARCH("R50",G134)),0)+IFERROR(--ISNUMBER(SEARCH("R51",G134)),0)+IFERROR(--ISNUMBER(SEARCH("R56",G134)),0)+IFERROR(--ISNUMBER(SEARCH("R58",G134)),0)+IFERROR(--ISNUMBER(SEARCH("R59",G134)),0)+IFERROR(--ISNUMBER(SEARCH("R60",G134)),0)+IFERROR(--ISNUMBER(SEARCH("R62",G134)),0)+IFERROR(--ISNUMBER(SEARCH("R63",G134)),0)+IFERROR(--ISNUMBER(SEARCH("R64",G134)),0)+IFERROR(--ISNUMBER(SEARCH("R66",G134)),0)+IFERROR(--ISNUMBER(SEARCH("R67",G134)),0)+IFERROR(--ISNUMBER(SEARCH("R72",G134)),0)+IFERROR(--ISNUMBER(SEARCH("R74",G134)),0)+IFERROR(--ISNUMBER(SEARCH("R75",G134)),0)+IFERROR(--ISNUMBER(SEARCH("R76",G134)),0)+IFERROR(--ISNUMBER(SEARCH("R77",G134)),0)+IFERROR(--ISNUMBER(SEARCH("R79",G134)),0)+IFERROR(--ISNUMBER(SEARCH("R80",G134)),0)+IFERROR(--ISNUMBER(SEARCH("R81",G134)),0)+IFERROR(--ISNUMBER(SEARCH("R83",G134)),0)+IFERROR(--ISNUMBER(SEARCH("R84",G134)),0)+IFERROR(--ISNUMBER(SEARCH("R89",G134)),0)+IFERROR(--ISNUMBER(SEARCH("R94",G134)),0)+IFERROR(--ISNUMBER(SEARCH("R95",G134)),0)+IFERROR(--ISNUMBER(SEARCH("R96",G134)),0)+IFERROR(--ISNUMBER(SEARCH("R98",G134)),0)+IFERROR(--ISNUMBER(SEARCH("R99",G134)),0)+IFERROR(--ISNUMBER(SEARCH("R100",G134)),0)+IFERROR(--ISNUMBER(SEARCH("R104",G134)),0)+IFERROR(--ISNUMBER(SEARCH("R105",G134)),0)+IFERROR(--ISNUMBER(SEARCH("R107",G134)),0)+IFERROR(--ISNUMBER(SEARCH("R108",G134)),0)+IFERROR(--ISNUMBER(SEARCH("R109",G134)),0)+IFERROR(--ISNUMBER(SEARCH("R110",G134)),0)+IFERROR(--ISNUMBER(SEARCH("R112",G134)),0)+IFERROR(--ISNUMBER(SEARCH("R113",G134)),0)+IFERROR(--ISNUMBER(SEARCH("R114",G134)),0)+IFERROR(--ISNUMBER(SEARCH("R118",G134)),0)+IFERROR(--ISNUMBER(SEARCH("R119",G134)),0)+IFERROR(--ISNUMBER(SEARCH("R120",G134)),0)+IFERROR(--ISNUMBER(SEARCH("R122",G134)),0)+IFERROR(--ISNUMBER(SEARCH("R123",G134)),0)+IFERROR(--ISNUMBER(SEARCH("R124",G134)),0)+IFERROR(--ISNUMBER(SEARCH("R128",G134)),0)+IFERROR(--ISNUMBER(SEARCH("R130",G134)),0)+IFERROR(--ISNUMBER(SEARCH("R131",G134)),0)+IFERROR(--ISNUMBER(SEARCH("R132",G134)),0)+IFERROR(--ISNUMBER(SEARCH("R135",G134)),0)+IFERROR(--ISNUMBER(SEARCH("R138",G134)),0)+IFERROR(--ISNUMBER(SEARCH("R141",G134)),0))</f>
        <v/>
      </c>
      <c r="U134" s="58">
        <f>IF(A134="","",IFERROR(--ISNUMBER(SEARCH("R28",G134))*28,0)+IFERROR(--ISNUMBER(SEARCH("R29",G134))*29,0)+IFERROR(--ISNUMBER(SEARCH("R30",G134))*30,0)+IFERROR(--ISNUMBER(SEARCH("R31",G134))*31,0)+IFERROR(--ISNUMBER(SEARCH("R32",G134))*32,0)+IFERROR(--ISNUMBER(SEARCH("R33",G134))*33,0)+IFERROR(--ISNUMBER(SEARCH("R34",G134))*34,0)+IFERROR(--ISNUMBER(SEARCH("R35",G134))*35,0)+IFERROR(--ISNUMBER(SEARCH("R36",G134))*36,0)+IFERROR(--ISNUMBER(SEARCH("R37",G134))*37,0)+IFERROR(--ISNUMBER(SEARCH("R38",G134))*38,0)+IFERROR(--ISNUMBER(SEARCH("R39",G134))*39,0)+IFERROR(--ISNUMBER(SEARCH("R40",G134))*40,0)+IFERROR(--ISNUMBER(SEARCH("R41",G134))*41,0)+IFERROR(--ISNUMBER(SEARCH("R42",G134))*42,0)+IFERROR(--ISNUMBER(SEARCH("R43",G134))*43,0)+IFERROR(--ISNUMBER(SEARCH("R44",G134))*44,0)+IFERROR(--ISNUMBER(SEARCH("R45",G134))*45,0)+IFERROR(--ISNUMBER(SEARCH("R46",G134))*46,0)+IFERROR(--ISNUMBER(SEARCH("R47",G134))*47,0)+IFERROR(--ISNUMBER(SEARCH("R48",G134))*48,0)+IFERROR(--ISNUMBER(SEARCH("R49",G134))*49,0)+IFERROR(--ISNUMBER(SEARCH("R50",G134))*50,0)+IFERROR(--ISNUMBER(SEARCH("R51",G134))*51,0)+IFERROR(--ISNUMBER(SEARCH("R52",G134))*52,0)+IFERROR(--ISNUMBER(SEARCH("R53",G134))*53,0)+IFERROR(--ISNUMBER(SEARCH("R54",G134))*54,0)+IFERROR(--ISNUMBER(SEARCH("R55",G134))*55,0)+IFERROR(--ISNUMBER(SEARCH("R56",G134))*56,0)+IFERROR(--ISNUMBER(SEARCH("R57",G134))*57,0)+IFERROR(--ISNUMBER(SEARCH("R58",G134))*58,0)+IFERROR(--ISNUMBER(SEARCH("R59",G134))*59,0)+IFERROR(--ISNUMBER(SEARCH("R60",G134))*60,0)+IFERROR(--ISNUMBER(SEARCH("R61",G134))*61,0)+IFERROR(--ISNUMBER(SEARCH("R62",G134))*62,0)+IFERROR(--ISNUMBER(SEARCH("R63",G134))*63,0)+IFERROR(--ISNUMBER(SEARCH("R64",G134))*64,0)+IFERROR(--ISNUMBER(SEARCH("R65",G134))*65,0)+IFERROR(--ISNUMBER(SEARCH("R66",G134))*66,0)+IFERROR(--ISNUMBER(SEARCH("R67",G134))*67,0)+IFERROR(--ISNUMBER(SEARCH("R68",G134))*68,0)+IFERROR(--ISNUMBER(SEARCH("R69",G134))*69,0)+IFERROR(--ISNUMBER(SEARCH("R70",G134))*70,0)+IFERROR(--ISNUMBER(SEARCH("R71",G134))*71,0)+IFERROR(--ISNUMBER(SEARCH("R72",G134))*72,0)+IFERROR(--ISNUMBER(SEARCH("R73",G134))*73,0)+IFERROR(--ISNUMBER(SEARCH("R74",G134))*74,0)+IFERROR(--ISNUMBER(SEARCH("R75",G134))*75,0)+IFERROR(--ISNUMBER(SEARCH("R76",G134))*76,0)+IFERROR(--ISNUMBER(SEARCH("R77",G134))*77,0)+IFERROR(--ISNUMBER(SEARCH("R78",G134))*78,0)+IFERROR(--ISNUMBER(SEARCH("R79",G134))*79,0)+IFERROR(--ISNUMBER(SEARCH("R80",G134))*80,0)+IFERROR(--ISNUMBER(SEARCH("R81",G134))*81,0)+IFERROR(--ISNUMBER(SEARCH("R82",G134))*82,0)+IFERROR(--ISNUMBER(SEARCH("R83",G134))*83,0)+IFERROR(--ISNUMBER(SEARCH("R84",G134))*84,0)+IFERROR(--ISNUMBER(SEARCH("R85",G134))*85,0)+IFERROR(--ISNUMBER(SEARCH("R86",G134))*86,0)+IFERROR(--ISNUMBER(SEARCH("R87",G134))*87,0)+IFERROR(--ISNUMBER(SEARCH("R88",G134))*88,0)+IFERROR(--ISNUMBER(SEARCH("R89",G134))*89,0)+IFERROR(--ISNUMBER(SEARCH("R90",G134))*90,0)+IFERROR(--ISNUMBER(SEARCH("R91",G134))*91,0)+IFERROR(--ISNUMBER(SEARCH("R92",G134))*92,0)+IFERROR(--ISNUMBER(SEARCH("R93",G134))*93,0)+IFERROR(--ISNUMBER(SEARCH("R94",G134))*94,0)+IFERROR(--ISNUMBER(SEARCH("R95",G134))*95,0)+IFERROR(--ISNUMBER(SEARCH("R96",G134))*96,0)+IFERROR(--ISNUMBER(SEARCH("R97",G134))*97,0)+IFERROR(--ISNUMBER(SEARCH("R98",G134))*98,0)+IFERROR(--ISNUMBER(SEARCH("R99",G134))*99,0)+IFERROR(--ISNUMBER(SEARCH("R100",G134))*100,0)+IFERROR(--ISNUMBER(SEARCH("R101",G134))*101,0)+IFERROR(--ISNUMBER(SEARCH("R102",G134))*102,0)+IFERROR(--ISNUMBER(SEARCH("R103",G134))*103,0)+IFERROR(--ISNUMBER(SEARCH("R104",G134))*104,0)+IFERROR(--ISNUMBER(SEARCH("R105",G134))*105,0)+IFERROR(--ISNUMBER(SEARCH("R106",G134))*106,0)+IFERROR(--ISNUMBER(SEARCH("R107",G134))*107,0)+IFERROR(--ISNUMBER(SEARCH("R108",G134))*108,0)+IFERROR(--ISNUMBER(SEARCH("R109",G134))*109,0)+IFERROR(--ISNUMBER(SEARCH("R110",G134))*110,0)+IFERROR(--ISNUMBER(SEARCH("R111",G134))*111,0)+IFERROR(--ISNUMBER(SEARCH("R112",G134))*112,0)+IFERROR(--ISNUMBER(SEARCH("R113",G134))*113,0)+IFERROR(--ISNUMBER(SEARCH("R114",G134))*114,0)+IFERROR(--ISNUMBER(SEARCH("R115",G134))*115,0)+IFERROR(--ISNUMBER(SEARCH("R116",G134))*116,0)+IFERROR(--ISNUMBER(SEARCH("R117",G134))*117,0)+IFERROR(--ISNUMBER(SEARCH("R118",G134))*118,0)+IFERROR(--ISNUMBER(SEARCH("R119",G134))*119,0)+IFERROR(--ISNUMBER(SEARCH("R120",G134))*120,0)+IFERROR(--ISNUMBER(SEARCH("R121",G134))*121,0)+IFERROR(--ISNUMBER(SEARCH("R122",G134))*122,0)+IFERROR(--ISNUMBER(SEARCH("R123",G134))*123,0)+IFERROR(--ISNUMBER(SEARCH("R124",G134))*124,0)+IFERROR(--ISNUMBER(SEARCH("R125",G134))*125,0)+IFERROR(--ISNUMBER(SEARCH("R126",G134))*126,0)+IFERROR(--ISNUMBER(SEARCH("R127",G134))*127,0)+IFERROR(--ISNUMBER(SEARCH("R128",G134))*128,0)+IFERROR(--ISNUMBER(SEARCH("R129",G134))*129,0)+IFERROR(--ISNUMBER(SEARCH("R130",G134))*130,0)+IFERROR(--ISNUMBER(SEARCH("R131",G134))*131,0)+IFERROR(--ISNUMBER(SEARCH("R132",G134))*132,0)+IFERROR(--ISNUMBER(SEARCH("R133",G134))*133,0)+IFERROR(--ISNUMBER(SEARCH("R134",G134))*134,0)+IFERROR(--ISNUMBER(SEARCH("R135",G134))*135,0)+IFERROR(--ISNUMBER(SEARCH("R136",G134))*136,0)+IFERROR(--ISNUMBER(SEARCH("R137",G134))*137,0)+IFERROR(--ISNUMBER(SEARCH("R138",G134))*138,0)+IFERROR(--ISNUMBER(SEARCH("R139",G134))*139,0)+IFERROR(--ISNUMBER(SEARCH("R140",G134))*140,0)+IFERROR(--ISNUMBER(SEARCH("R141",G134))*141,0))</f>
        <v/>
      </c>
      <c r="V134" s="59">
        <f>IF(A134="","",IF(K134&lt;&gt;"",K134,J134))</f>
        <v/>
      </c>
      <c r="W134" s="59">
        <f>IF(A134="","",IF(AND(V134=29,O134&lt;&gt;"",COUNTIFS($V$6:$V$505,29,$F$6:$F$505,F134,$C$6:$C$505,C134,$O$6:$O$505,"&lt;&gt;")&gt;1),IF(COUNTIFS($V$6:V134,29,$F$6:F134,F134,$C$6:C134,C134,$O$6:O134,"&lt;&gt;")=1,"Esta es la fila que se debe CONSERVAR (aparición 1 de "&amp;COUNTIFS($V$6:$V$505,29,$F$6:$F$505,F134,$C$6:$C$505,C134,$O$6:$O$505,"&lt;&gt;")&amp;" con el mismo tercero y valor, casilla 29). Si hay más filas iguales, bórreles el valor a ELLAS, no a esta.","DUPLICADO — ya existe otra fila con el mismo tercero y valor para casilla 29 (aparición "&amp;COUNTIFS($V$6:V134,29,$F$6:F134,F134,$C$6:C134,C134,$O$6:O134,"&lt;&gt;")&amp;" de "&amp;COUNTIFS($V$6:$V$505,29,$F$6:$F$505,F134,$C$6:$C$505,C134,$O$6:$O$505,"&lt;&gt;")&amp;"). Para resolverlo: seleccione la celda O"&amp;ROW()&amp;" (columna Valor a declarar de ESTA fila) y presione Supr."),""))</f>
        <v/>
      </c>
      <c r="X134" s="463">
        <f>IF(A134="","",F134)</f>
        <v/>
      </c>
      <c r="Y134" s="463">
        <f>IF(A134="","",SUMIF(Entrada_Manual!$I$88:$I$187,A134,Entrada_Manual!$F$88:$F$187))</f>
        <v/>
      </c>
      <c r="Z134" s="463">
        <f>IF(A134="","",X134-Y134)</f>
        <v/>
      </c>
      <c r="AA134">
        <f>IF(A134="","",SUMPRODUCT((Entrada_Manual!$I$88:$I$187=A134)*1))</f>
        <v/>
      </c>
      <c r="AB134">
        <f>IF(A134="","",IF(S134&lt;=1,"",IF(AA134=0,"PENDIENTE — SIN ASIGNAR",IF(Z134=0,"RESUELTO","PARCIAL — DIFERENCIA "&amp;TEXT(Z134,"#,##0")))))</f>
        <v/>
      </c>
    </row>
    <row r="135" ht="14.25" customHeight="1" s="235">
      <c r="A135" s="47">
        <f>IF(Exogena_RAW!E144&lt;&gt;"",ROW()-5,"")</f>
        <v/>
      </c>
      <c r="B135" s="48">
        <f>IF(A135="","",144)</f>
        <v/>
      </c>
      <c r="C135" s="48">
        <f>IF(A135="","",IFERROR(Exogena_RAW!A144,""))</f>
        <v/>
      </c>
      <c r="D135" s="48">
        <f>IF(A135="","",IFERROR(Exogena_RAW!B144,""))</f>
        <v/>
      </c>
      <c r="E135" s="48">
        <f>IF(A135="","",Exogena_RAW!E144)</f>
        <v/>
      </c>
      <c r="F135" s="461">
        <f>IF(A135="","",Exogena_RAW!F144)</f>
        <v/>
      </c>
      <c r="G135" s="48">
        <f>IF(A135="","",IFERROR(Exogena_RAW!G144,""))</f>
        <v/>
      </c>
      <c r="H135" s="48">
        <f>IF(A135="","",IFERROR(Exogena_RAW!H144,""))</f>
        <v/>
      </c>
      <c r="I135" s="48">
        <f>IF(A135="","",IFERROR(IF(S135&gt;1,"VARIAS CASILLAS",IF(S135=1,IF(T135=1,"PROPUESTA DE CASILLA","REVISIÓN: CASILLA NO DIRECTA"),IF(OR(ISNUMBER(SEARCH("TOPE",UPPER(E135))),ISNUMBER(SEARCH("TOPE",UPPER(G135)))),"SOLO CONTROL",IF(ISNUMBER(SEARCH("RETEN",UPPER(E135))),"RETENCIÓN","REVISAR")))),"REVISAR"))</f>
        <v/>
      </c>
      <c r="J135" s="48">
        <f>IF(A135="","",IF(ISNUMBER(SEARCH("ingreso laboral promedio de los últimos seis meses",E135)),"",IFERROR(IF(AND(S135=1,T135=1),U135,""),"")))</f>
        <v/>
      </c>
      <c r="K135" s="216" t="n"/>
      <c r="L135" s="48">
        <f>IF(A135="","",IFERROR(IF(K135&lt;&gt;"","Casilla elegida por usuario",IF(S135&gt;1,"Varias casillas — elegir en K",IF(J135&lt;&gt;"","Sugerencia directa",IF(S135=1,"No trasladar directo — revisar",IF(OR(ISNUMBER(SEARCH("TOPE",UPPER(E135))),ISNUMBER(SEARCH("TOPE",UPPER(G135)))),"Solo control","Revisar manualmente"))))),"Revisar manualmente"))</f>
        <v/>
      </c>
      <c r="M135" s="461">
        <f>IF(A135="","",IF(IF(K135&lt;&gt;"",K135,J135)="",0,IF(COUNTIFS(Reglas!$I$5:$I$118,IF(K135&lt;&gt;"",K135,J135),Reglas!$J$5:$J$118,"Sí")=1,F135,0)))</f>
        <v/>
      </c>
      <c r="N135" s="56" t="n"/>
      <c r="O135" s="462">
        <f>IF(A135="","",IF(M135=0,"",M135))</f>
        <v/>
      </c>
      <c r="P135" s="461">
        <f>IF(A135="","",IF(O135="",0,IF(ISNUMBER(O135),O135,0)))</f>
        <v/>
      </c>
      <c r="Q135" s="48">
        <f>IF(A135="","",IF(Exogena_RAW!$C$4="","BLOQUEADO: FALTA AÑO",IF(Exogena_RAW!$K$10&lt;&gt;Reglas!$B$5,"BLOQUEADO: AÑO",IF(IF(K135&lt;&gt;"",K135,J135)="",IF(S135&gt;1,"REQUIERE ASIGNACIÓN MANUAL (VARIAS CASILLAS)","INFORMATIVO (sin casilla — no se declara)"),IF(COUNTIFS(Reglas!$I$5:$I$118,IF(K135&lt;&gt;"",K135,J135),Reglas!$J$5:$J$118,"Sí")=0,"BLOQUEADO: CASILLA NO DIRECTA",IF(O135="","EXCLUIDO (valor borrado por el usuario)",IF(_xlfn.ISFORMULA(O135),IF(W135&lt;&gt;"","BORRADOR — VALOR SUGERIDO DIAN ⚠ VER ALERTA","BORRADOR — VALOR SUGERIDO DIAN"),IF(W135&lt;&gt;"","ACEPTADO ⚠ VER ALERTA","ACEPTADO"))))))))</f>
        <v/>
      </c>
      <c r="R135" s="218" t="n"/>
      <c r="S135" s="58">
        <f>IF(A135="","",IFERROR(--ISNUMBER(SEARCH("R28",G135)),0)+IFERROR(--ISNUMBER(SEARCH("R29",G135)),0)+IFERROR(--ISNUMBER(SEARCH("R30",G135)),0)+IFERROR(--ISNUMBER(SEARCH("R31",G135)),0)+IFERROR(--ISNUMBER(SEARCH("R32",G135)),0)+IFERROR(--ISNUMBER(SEARCH("R33",G135)),0)+IFERROR(--ISNUMBER(SEARCH("R34",G135)),0)+IFERROR(--ISNUMBER(SEARCH("R35",G135)),0)+IFERROR(--ISNUMBER(SEARCH("R36",G135)),0)+IFERROR(--ISNUMBER(SEARCH("R37",G135)),0)+IFERROR(--ISNUMBER(SEARCH("R38",G135)),0)+IFERROR(--ISNUMBER(SEARCH("R39",G135)),0)+IFERROR(--ISNUMBER(SEARCH("R40",G135)),0)+IFERROR(--ISNUMBER(SEARCH("R41",G135)),0)+IFERROR(--ISNUMBER(SEARCH("R42",G135)),0)+IFERROR(--ISNUMBER(SEARCH("R43",G135)),0)+IFERROR(--ISNUMBER(SEARCH("R44",G135)),0)+IFERROR(--ISNUMBER(SEARCH("R45",G135)),0)+IFERROR(--ISNUMBER(SEARCH("R46",G135)),0)+IFERROR(--ISNUMBER(SEARCH("R47",G135)),0)+IFERROR(--ISNUMBER(SEARCH("R48",G135)),0)+IFERROR(--ISNUMBER(SEARCH("R49",G135)),0)+IFERROR(--ISNUMBER(SEARCH("R50",G135)),0)+IFERROR(--ISNUMBER(SEARCH("R51",G135)),0)+IFERROR(--ISNUMBER(SEARCH("R52",G135)),0)+IFERROR(--ISNUMBER(SEARCH("R53",G135)),0)+IFERROR(--ISNUMBER(SEARCH("R54",G135)),0)+IFERROR(--ISNUMBER(SEARCH("R55",G135)),0)+IFERROR(--ISNUMBER(SEARCH("R56",G135)),0)+IFERROR(--ISNUMBER(SEARCH("R57",G135)),0)+IFERROR(--ISNUMBER(SEARCH("R58",G135)),0)+IFERROR(--ISNUMBER(SEARCH("R59",G135)),0)+IFERROR(--ISNUMBER(SEARCH("R60",G135)),0)+IFERROR(--ISNUMBER(SEARCH("R61",G135)),0)+IFERROR(--ISNUMBER(SEARCH("R62",G135)),0)+IFERROR(--ISNUMBER(SEARCH("R63",G135)),0)+IFERROR(--ISNUMBER(SEARCH("R64",G135)),0)+IFERROR(--ISNUMBER(SEARCH("R65",G135)),0)+IFERROR(--ISNUMBER(SEARCH("R66",G135)),0)+IFERROR(--ISNUMBER(SEARCH("R67",G135)),0)+IFERROR(--ISNUMBER(SEARCH("R68",G135)),0)+IFERROR(--ISNUMBER(SEARCH("R69",G135)),0)+IFERROR(--ISNUMBER(SEARCH("R70",G135)),0)+IFERROR(--ISNUMBER(SEARCH("R71",G135)),0)+IFERROR(--ISNUMBER(SEARCH("R72",G135)),0)+IFERROR(--ISNUMBER(SEARCH("R73",G135)),0)+IFERROR(--ISNUMBER(SEARCH("R74",G135)),0)+IFERROR(--ISNUMBER(SEARCH("R75",G135)),0)+IFERROR(--ISNUMBER(SEARCH("R76",G135)),0)+IFERROR(--ISNUMBER(SEARCH("R77",G135)),0)+IFERROR(--ISNUMBER(SEARCH("R78",G135)),0)+IFERROR(--ISNUMBER(SEARCH("R79",G135)),0)+IFERROR(--ISNUMBER(SEARCH("R80",G135)),0)+IFERROR(--ISNUMBER(SEARCH("R81",G135)),0)+IFERROR(--ISNUMBER(SEARCH("R82",G135)),0)+IFERROR(--ISNUMBER(SEARCH("R83",G135)),0)+IFERROR(--ISNUMBER(SEARCH("R84",G135)),0)+IFERROR(--ISNUMBER(SEARCH("R85",G135)),0)+IFERROR(--ISNUMBER(SEARCH("R86",G135)),0)+IFERROR(--ISNUMBER(SEARCH("R87",G135)),0)+IFERROR(--ISNUMBER(SEARCH("R88",G135)),0)+IFERROR(--ISNUMBER(SEARCH("R89",G135)),0)+IFERROR(--ISNUMBER(SEARCH("R90",G135)),0)+IFERROR(--ISNUMBER(SEARCH("R91",G135)),0)+IFERROR(--ISNUMBER(SEARCH("R92",G135)),0)+IFERROR(--ISNUMBER(SEARCH("R93",G135)),0)+IFERROR(--ISNUMBER(SEARCH("R94",G135)),0)+IFERROR(--ISNUMBER(SEARCH("R95",G135)),0)+IFERROR(--ISNUMBER(SEARCH("R96",G135)),0)+IFERROR(--ISNUMBER(SEARCH("R97",G135)),0)+IFERROR(--ISNUMBER(SEARCH("R98",G135)),0)+IFERROR(--ISNUMBER(SEARCH("R99",G135)),0)+IFERROR(--ISNUMBER(SEARCH("R100",G135)),0)+IFERROR(--ISNUMBER(SEARCH("R101",G135)),0)+IFERROR(--ISNUMBER(SEARCH("R102",G135)),0)+IFERROR(--ISNUMBER(SEARCH("R103",G135)),0)+IFERROR(--ISNUMBER(SEARCH("R104",G135)),0)+IFERROR(--ISNUMBER(SEARCH("R105",G135)),0)+IFERROR(--ISNUMBER(SEARCH("R106",G135)),0)+IFERROR(--ISNUMBER(SEARCH("R107",G135)),0)+IFERROR(--ISNUMBER(SEARCH("R108",G135)),0)+IFERROR(--ISNUMBER(SEARCH("R109",G135)),0)+IFERROR(--ISNUMBER(SEARCH("R110",G135)),0)+IFERROR(--ISNUMBER(SEARCH("R111",G135)),0)+IFERROR(--ISNUMBER(SEARCH("R112",G135)),0)+IFERROR(--ISNUMBER(SEARCH("R113",G135)),0)+IFERROR(--ISNUMBER(SEARCH("R114",G135)),0)+IFERROR(--ISNUMBER(SEARCH("R115",G135)),0)+IFERROR(--ISNUMBER(SEARCH("R116",G135)),0)+IFERROR(--ISNUMBER(SEARCH("R117",G135)),0)+IFERROR(--ISNUMBER(SEARCH("R118",G135)),0)+IFERROR(--ISNUMBER(SEARCH("R119",G135)),0)+IFERROR(--ISNUMBER(SEARCH("R120",G135)),0)+IFERROR(--ISNUMBER(SEARCH("R121",G135)),0)+IFERROR(--ISNUMBER(SEARCH("R122",G135)),0)+IFERROR(--ISNUMBER(SEARCH("R123",G135)),0)+IFERROR(--ISNUMBER(SEARCH("R124",G135)),0)+IFERROR(--ISNUMBER(SEARCH("R125",G135)),0)+IFERROR(--ISNUMBER(SEARCH("R126",G135)),0)+IFERROR(--ISNUMBER(SEARCH("R127",G135)),0)+IFERROR(--ISNUMBER(SEARCH("R128",G135)),0)+IFERROR(--ISNUMBER(SEARCH("R129",G135)),0)+IFERROR(--ISNUMBER(SEARCH("R130",G135)),0)+IFERROR(--ISNUMBER(SEARCH("R131",G135)),0)+IFERROR(--ISNUMBER(SEARCH("R132",G135)),0)+IFERROR(--ISNUMBER(SEARCH("R133",G135)),0)+IFERROR(--ISNUMBER(SEARCH("R134",G135)),0)+IFERROR(--ISNUMBER(SEARCH("R135",G135)),0)+IFERROR(--ISNUMBER(SEARCH("R136",G135)),0)+IFERROR(--ISNUMBER(SEARCH("R137",G135)),0)+IFERROR(--ISNUMBER(SEARCH("R138",G135)),0)+IFERROR(--ISNUMBER(SEARCH("R139",G135)),0)+IFERROR(--ISNUMBER(SEARCH("R140",G135)),0)+IFERROR(--ISNUMBER(SEARCH("R141",G135)),0))</f>
        <v/>
      </c>
      <c r="T135" s="58">
        <f>IF(A135="","",IFERROR(--ISNUMBER(SEARCH("R28",G135)),0)+IFERROR(--ISNUMBER(SEARCH("R29",G135)),0)+IFERROR(--ISNUMBER(SEARCH("R30",G135)),0)+IFERROR(--ISNUMBER(SEARCH("R32",G135)),0)+IFERROR(--ISNUMBER(SEARCH("R33",G135)),0)+IFERROR(--ISNUMBER(SEARCH("R35",G135)),0)+IFERROR(--ISNUMBER(SEARCH("R36",G135)),0)+IFERROR(--ISNUMBER(SEARCH("R38",G135)),0)+IFERROR(--ISNUMBER(SEARCH("R39",G135)),0)+IFERROR(--ISNUMBER(SEARCH("R43",G135)),0)+IFERROR(--ISNUMBER(SEARCH("R44",G135)),0)+IFERROR(--ISNUMBER(SEARCH("R45",G135)),0)+IFERROR(--ISNUMBER(SEARCH("R47",G135)),0)+IFERROR(--ISNUMBER(SEARCH("R48",G135)),0)+IFERROR(--ISNUMBER(SEARCH("R50",G135)),0)+IFERROR(--ISNUMBER(SEARCH("R51",G135)),0)+IFERROR(--ISNUMBER(SEARCH("R56",G135)),0)+IFERROR(--ISNUMBER(SEARCH("R58",G135)),0)+IFERROR(--ISNUMBER(SEARCH("R59",G135)),0)+IFERROR(--ISNUMBER(SEARCH("R60",G135)),0)+IFERROR(--ISNUMBER(SEARCH("R62",G135)),0)+IFERROR(--ISNUMBER(SEARCH("R63",G135)),0)+IFERROR(--ISNUMBER(SEARCH("R64",G135)),0)+IFERROR(--ISNUMBER(SEARCH("R66",G135)),0)+IFERROR(--ISNUMBER(SEARCH("R67",G135)),0)+IFERROR(--ISNUMBER(SEARCH("R72",G135)),0)+IFERROR(--ISNUMBER(SEARCH("R74",G135)),0)+IFERROR(--ISNUMBER(SEARCH("R75",G135)),0)+IFERROR(--ISNUMBER(SEARCH("R76",G135)),0)+IFERROR(--ISNUMBER(SEARCH("R77",G135)),0)+IFERROR(--ISNUMBER(SEARCH("R79",G135)),0)+IFERROR(--ISNUMBER(SEARCH("R80",G135)),0)+IFERROR(--ISNUMBER(SEARCH("R81",G135)),0)+IFERROR(--ISNUMBER(SEARCH("R83",G135)),0)+IFERROR(--ISNUMBER(SEARCH("R84",G135)),0)+IFERROR(--ISNUMBER(SEARCH("R89",G135)),0)+IFERROR(--ISNUMBER(SEARCH("R94",G135)),0)+IFERROR(--ISNUMBER(SEARCH("R95",G135)),0)+IFERROR(--ISNUMBER(SEARCH("R96",G135)),0)+IFERROR(--ISNUMBER(SEARCH("R98",G135)),0)+IFERROR(--ISNUMBER(SEARCH("R99",G135)),0)+IFERROR(--ISNUMBER(SEARCH("R100",G135)),0)+IFERROR(--ISNUMBER(SEARCH("R104",G135)),0)+IFERROR(--ISNUMBER(SEARCH("R105",G135)),0)+IFERROR(--ISNUMBER(SEARCH("R107",G135)),0)+IFERROR(--ISNUMBER(SEARCH("R108",G135)),0)+IFERROR(--ISNUMBER(SEARCH("R109",G135)),0)+IFERROR(--ISNUMBER(SEARCH("R110",G135)),0)+IFERROR(--ISNUMBER(SEARCH("R112",G135)),0)+IFERROR(--ISNUMBER(SEARCH("R113",G135)),0)+IFERROR(--ISNUMBER(SEARCH("R114",G135)),0)+IFERROR(--ISNUMBER(SEARCH("R118",G135)),0)+IFERROR(--ISNUMBER(SEARCH("R119",G135)),0)+IFERROR(--ISNUMBER(SEARCH("R120",G135)),0)+IFERROR(--ISNUMBER(SEARCH("R122",G135)),0)+IFERROR(--ISNUMBER(SEARCH("R123",G135)),0)+IFERROR(--ISNUMBER(SEARCH("R124",G135)),0)+IFERROR(--ISNUMBER(SEARCH("R128",G135)),0)+IFERROR(--ISNUMBER(SEARCH("R130",G135)),0)+IFERROR(--ISNUMBER(SEARCH("R131",G135)),0)+IFERROR(--ISNUMBER(SEARCH("R132",G135)),0)+IFERROR(--ISNUMBER(SEARCH("R135",G135)),0)+IFERROR(--ISNUMBER(SEARCH("R138",G135)),0)+IFERROR(--ISNUMBER(SEARCH("R141",G135)),0))</f>
        <v/>
      </c>
      <c r="U135" s="58">
        <f>IF(A135="","",IFERROR(--ISNUMBER(SEARCH("R28",G135))*28,0)+IFERROR(--ISNUMBER(SEARCH("R29",G135))*29,0)+IFERROR(--ISNUMBER(SEARCH("R30",G135))*30,0)+IFERROR(--ISNUMBER(SEARCH("R31",G135))*31,0)+IFERROR(--ISNUMBER(SEARCH("R32",G135))*32,0)+IFERROR(--ISNUMBER(SEARCH("R33",G135))*33,0)+IFERROR(--ISNUMBER(SEARCH("R34",G135))*34,0)+IFERROR(--ISNUMBER(SEARCH("R35",G135))*35,0)+IFERROR(--ISNUMBER(SEARCH("R36",G135))*36,0)+IFERROR(--ISNUMBER(SEARCH("R37",G135))*37,0)+IFERROR(--ISNUMBER(SEARCH("R38",G135))*38,0)+IFERROR(--ISNUMBER(SEARCH("R39",G135))*39,0)+IFERROR(--ISNUMBER(SEARCH("R40",G135))*40,0)+IFERROR(--ISNUMBER(SEARCH("R41",G135))*41,0)+IFERROR(--ISNUMBER(SEARCH("R42",G135))*42,0)+IFERROR(--ISNUMBER(SEARCH("R43",G135))*43,0)+IFERROR(--ISNUMBER(SEARCH("R44",G135))*44,0)+IFERROR(--ISNUMBER(SEARCH("R45",G135))*45,0)+IFERROR(--ISNUMBER(SEARCH("R46",G135))*46,0)+IFERROR(--ISNUMBER(SEARCH("R47",G135))*47,0)+IFERROR(--ISNUMBER(SEARCH("R48",G135))*48,0)+IFERROR(--ISNUMBER(SEARCH("R49",G135))*49,0)+IFERROR(--ISNUMBER(SEARCH("R50",G135))*50,0)+IFERROR(--ISNUMBER(SEARCH("R51",G135))*51,0)+IFERROR(--ISNUMBER(SEARCH("R52",G135))*52,0)+IFERROR(--ISNUMBER(SEARCH("R53",G135))*53,0)+IFERROR(--ISNUMBER(SEARCH("R54",G135))*54,0)+IFERROR(--ISNUMBER(SEARCH("R55",G135))*55,0)+IFERROR(--ISNUMBER(SEARCH("R56",G135))*56,0)+IFERROR(--ISNUMBER(SEARCH("R57",G135))*57,0)+IFERROR(--ISNUMBER(SEARCH("R58",G135))*58,0)+IFERROR(--ISNUMBER(SEARCH("R59",G135))*59,0)+IFERROR(--ISNUMBER(SEARCH("R60",G135))*60,0)+IFERROR(--ISNUMBER(SEARCH("R61",G135))*61,0)+IFERROR(--ISNUMBER(SEARCH("R62",G135))*62,0)+IFERROR(--ISNUMBER(SEARCH("R63",G135))*63,0)+IFERROR(--ISNUMBER(SEARCH("R64",G135))*64,0)+IFERROR(--ISNUMBER(SEARCH("R65",G135))*65,0)+IFERROR(--ISNUMBER(SEARCH("R66",G135))*66,0)+IFERROR(--ISNUMBER(SEARCH("R67",G135))*67,0)+IFERROR(--ISNUMBER(SEARCH("R68",G135))*68,0)+IFERROR(--ISNUMBER(SEARCH("R69",G135))*69,0)+IFERROR(--ISNUMBER(SEARCH("R70",G135))*70,0)+IFERROR(--ISNUMBER(SEARCH("R71",G135))*71,0)+IFERROR(--ISNUMBER(SEARCH("R72",G135))*72,0)+IFERROR(--ISNUMBER(SEARCH("R73",G135))*73,0)+IFERROR(--ISNUMBER(SEARCH("R74",G135))*74,0)+IFERROR(--ISNUMBER(SEARCH("R75",G135))*75,0)+IFERROR(--ISNUMBER(SEARCH("R76",G135))*76,0)+IFERROR(--ISNUMBER(SEARCH("R77",G135))*77,0)+IFERROR(--ISNUMBER(SEARCH("R78",G135))*78,0)+IFERROR(--ISNUMBER(SEARCH("R79",G135))*79,0)+IFERROR(--ISNUMBER(SEARCH("R80",G135))*80,0)+IFERROR(--ISNUMBER(SEARCH("R81",G135))*81,0)+IFERROR(--ISNUMBER(SEARCH("R82",G135))*82,0)+IFERROR(--ISNUMBER(SEARCH("R83",G135))*83,0)+IFERROR(--ISNUMBER(SEARCH("R84",G135))*84,0)+IFERROR(--ISNUMBER(SEARCH("R85",G135))*85,0)+IFERROR(--ISNUMBER(SEARCH("R86",G135))*86,0)+IFERROR(--ISNUMBER(SEARCH("R87",G135))*87,0)+IFERROR(--ISNUMBER(SEARCH("R88",G135))*88,0)+IFERROR(--ISNUMBER(SEARCH("R89",G135))*89,0)+IFERROR(--ISNUMBER(SEARCH("R90",G135))*90,0)+IFERROR(--ISNUMBER(SEARCH("R91",G135))*91,0)+IFERROR(--ISNUMBER(SEARCH("R92",G135))*92,0)+IFERROR(--ISNUMBER(SEARCH("R93",G135))*93,0)+IFERROR(--ISNUMBER(SEARCH("R94",G135))*94,0)+IFERROR(--ISNUMBER(SEARCH("R95",G135))*95,0)+IFERROR(--ISNUMBER(SEARCH("R96",G135))*96,0)+IFERROR(--ISNUMBER(SEARCH("R97",G135))*97,0)+IFERROR(--ISNUMBER(SEARCH("R98",G135))*98,0)+IFERROR(--ISNUMBER(SEARCH("R99",G135))*99,0)+IFERROR(--ISNUMBER(SEARCH("R100",G135))*100,0)+IFERROR(--ISNUMBER(SEARCH("R101",G135))*101,0)+IFERROR(--ISNUMBER(SEARCH("R102",G135))*102,0)+IFERROR(--ISNUMBER(SEARCH("R103",G135))*103,0)+IFERROR(--ISNUMBER(SEARCH("R104",G135))*104,0)+IFERROR(--ISNUMBER(SEARCH("R105",G135))*105,0)+IFERROR(--ISNUMBER(SEARCH("R106",G135))*106,0)+IFERROR(--ISNUMBER(SEARCH("R107",G135))*107,0)+IFERROR(--ISNUMBER(SEARCH("R108",G135))*108,0)+IFERROR(--ISNUMBER(SEARCH("R109",G135))*109,0)+IFERROR(--ISNUMBER(SEARCH("R110",G135))*110,0)+IFERROR(--ISNUMBER(SEARCH("R111",G135))*111,0)+IFERROR(--ISNUMBER(SEARCH("R112",G135))*112,0)+IFERROR(--ISNUMBER(SEARCH("R113",G135))*113,0)+IFERROR(--ISNUMBER(SEARCH("R114",G135))*114,0)+IFERROR(--ISNUMBER(SEARCH("R115",G135))*115,0)+IFERROR(--ISNUMBER(SEARCH("R116",G135))*116,0)+IFERROR(--ISNUMBER(SEARCH("R117",G135))*117,0)+IFERROR(--ISNUMBER(SEARCH("R118",G135))*118,0)+IFERROR(--ISNUMBER(SEARCH("R119",G135))*119,0)+IFERROR(--ISNUMBER(SEARCH("R120",G135))*120,0)+IFERROR(--ISNUMBER(SEARCH("R121",G135))*121,0)+IFERROR(--ISNUMBER(SEARCH("R122",G135))*122,0)+IFERROR(--ISNUMBER(SEARCH("R123",G135))*123,0)+IFERROR(--ISNUMBER(SEARCH("R124",G135))*124,0)+IFERROR(--ISNUMBER(SEARCH("R125",G135))*125,0)+IFERROR(--ISNUMBER(SEARCH("R126",G135))*126,0)+IFERROR(--ISNUMBER(SEARCH("R127",G135))*127,0)+IFERROR(--ISNUMBER(SEARCH("R128",G135))*128,0)+IFERROR(--ISNUMBER(SEARCH("R129",G135))*129,0)+IFERROR(--ISNUMBER(SEARCH("R130",G135))*130,0)+IFERROR(--ISNUMBER(SEARCH("R131",G135))*131,0)+IFERROR(--ISNUMBER(SEARCH("R132",G135))*132,0)+IFERROR(--ISNUMBER(SEARCH("R133",G135))*133,0)+IFERROR(--ISNUMBER(SEARCH("R134",G135))*134,0)+IFERROR(--ISNUMBER(SEARCH("R135",G135))*135,0)+IFERROR(--ISNUMBER(SEARCH("R136",G135))*136,0)+IFERROR(--ISNUMBER(SEARCH("R137",G135))*137,0)+IFERROR(--ISNUMBER(SEARCH("R138",G135))*138,0)+IFERROR(--ISNUMBER(SEARCH("R139",G135))*139,0)+IFERROR(--ISNUMBER(SEARCH("R140",G135))*140,0)+IFERROR(--ISNUMBER(SEARCH("R141",G135))*141,0))</f>
        <v/>
      </c>
      <c r="V135" s="59">
        <f>IF(A135="","",IF(K135&lt;&gt;"",K135,J135))</f>
        <v/>
      </c>
      <c r="W135" s="59">
        <f>IF(A135="","",IF(AND(V135=29,O135&lt;&gt;"",COUNTIFS($V$6:$V$505,29,$F$6:$F$505,F135,$C$6:$C$505,C135,$O$6:$O$505,"&lt;&gt;")&gt;1),IF(COUNTIFS($V$6:V135,29,$F$6:F135,F135,$C$6:C135,C135,$O$6:O135,"&lt;&gt;")=1,"Esta es la fila que se debe CONSERVAR (aparición 1 de "&amp;COUNTIFS($V$6:$V$505,29,$F$6:$F$505,F135,$C$6:$C$505,C135,$O$6:$O$505,"&lt;&gt;")&amp;" con el mismo tercero y valor, casilla 29). Si hay más filas iguales, bórreles el valor a ELLAS, no a esta.","DUPLICADO — ya existe otra fila con el mismo tercero y valor para casilla 29 (aparición "&amp;COUNTIFS($V$6:V135,29,$F$6:F135,F135,$C$6:C135,C135,$O$6:O135,"&lt;&gt;")&amp;" de "&amp;COUNTIFS($V$6:$V$505,29,$F$6:$F$505,F135,$C$6:$C$505,C135,$O$6:$O$505,"&lt;&gt;")&amp;"). Para resolverlo: seleccione la celda O"&amp;ROW()&amp;" (columna Valor a declarar de ESTA fila) y presione Supr."),""))</f>
        <v/>
      </c>
      <c r="X135" s="463">
        <f>IF(A135="","",F135)</f>
        <v/>
      </c>
      <c r="Y135" s="463">
        <f>IF(A135="","",SUMIF(Entrada_Manual!$I$88:$I$187,A135,Entrada_Manual!$F$88:$F$187))</f>
        <v/>
      </c>
      <c r="Z135" s="463">
        <f>IF(A135="","",X135-Y135)</f>
        <v/>
      </c>
      <c r="AA135">
        <f>IF(A135="","",SUMPRODUCT((Entrada_Manual!$I$88:$I$187=A135)*1))</f>
        <v/>
      </c>
      <c r="AB135">
        <f>IF(A135="","",IF(S135&lt;=1,"",IF(AA135=0,"PENDIENTE — SIN ASIGNAR",IF(Z135=0,"RESUELTO","PARCIAL — DIFERENCIA "&amp;TEXT(Z135,"#,##0")))))</f>
        <v/>
      </c>
    </row>
    <row r="136" ht="14.25" customHeight="1" s="235">
      <c r="A136" s="47">
        <f>IF(Exogena_RAW!E145&lt;&gt;"",ROW()-5,"")</f>
        <v/>
      </c>
      <c r="B136" s="48">
        <f>IF(A136="","",145)</f>
        <v/>
      </c>
      <c r="C136" s="48">
        <f>IF(A136="","",IFERROR(Exogena_RAW!A145,""))</f>
        <v/>
      </c>
      <c r="D136" s="48">
        <f>IF(A136="","",IFERROR(Exogena_RAW!B145,""))</f>
        <v/>
      </c>
      <c r="E136" s="48">
        <f>IF(A136="","",Exogena_RAW!E145)</f>
        <v/>
      </c>
      <c r="F136" s="461">
        <f>IF(A136="","",Exogena_RAW!F145)</f>
        <v/>
      </c>
      <c r="G136" s="48">
        <f>IF(A136="","",IFERROR(Exogena_RAW!G145,""))</f>
        <v/>
      </c>
      <c r="H136" s="48">
        <f>IF(A136="","",IFERROR(Exogena_RAW!H145,""))</f>
        <v/>
      </c>
      <c r="I136" s="48">
        <f>IF(A136="","",IFERROR(IF(S136&gt;1,"VARIAS CASILLAS",IF(S136=1,IF(T136=1,"PROPUESTA DE CASILLA","REVISIÓN: CASILLA NO DIRECTA"),IF(OR(ISNUMBER(SEARCH("TOPE",UPPER(E136))),ISNUMBER(SEARCH("TOPE",UPPER(G136)))),"SOLO CONTROL",IF(ISNUMBER(SEARCH("RETEN",UPPER(E136))),"RETENCIÓN","REVISAR")))),"REVISAR"))</f>
        <v/>
      </c>
      <c r="J136" s="48">
        <f>IF(A136="","",IF(ISNUMBER(SEARCH("ingreso laboral promedio de los últimos seis meses",E136)),"",IFERROR(IF(AND(S136=1,T136=1),U136,""),"")))</f>
        <v/>
      </c>
      <c r="K136" s="216" t="n"/>
      <c r="L136" s="48">
        <f>IF(A136="","",IFERROR(IF(K136&lt;&gt;"","Casilla elegida por usuario",IF(S136&gt;1,"Varias casillas — elegir en K",IF(J136&lt;&gt;"","Sugerencia directa",IF(S136=1,"No trasladar directo — revisar",IF(OR(ISNUMBER(SEARCH("TOPE",UPPER(E136))),ISNUMBER(SEARCH("TOPE",UPPER(G136)))),"Solo control","Revisar manualmente"))))),"Revisar manualmente"))</f>
        <v/>
      </c>
      <c r="M136" s="461">
        <f>IF(A136="","",IF(IF(K136&lt;&gt;"",K136,J136)="",0,IF(COUNTIFS(Reglas!$I$5:$I$118,IF(K136&lt;&gt;"",K136,J136),Reglas!$J$5:$J$118,"Sí")=1,F136,0)))</f>
        <v/>
      </c>
      <c r="N136" s="56" t="n"/>
      <c r="O136" s="462">
        <f>IF(A136="","",IF(M136=0,"",M136))</f>
        <v/>
      </c>
      <c r="P136" s="461">
        <f>IF(A136="","",IF(O136="",0,IF(ISNUMBER(O136),O136,0)))</f>
        <v/>
      </c>
      <c r="Q136" s="48">
        <f>IF(A136="","",IF(Exogena_RAW!$C$4="","BLOQUEADO: FALTA AÑO",IF(Exogena_RAW!$K$10&lt;&gt;Reglas!$B$5,"BLOQUEADO: AÑO",IF(IF(K136&lt;&gt;"",K136,J136)="",IF(S136&gt;1,"REQUIERE ASIGNACIÓN MANUAL (VARIAS CASILLAS)","INFORMATIVO (sin casilla — no se declara)"),IF(COUNTIFS(Reglas!$I$5:$I$118,IF(K136&lt;&gt;"",K136,J136),Reglas!$J$5:$J$118,"Sí")=0,"BLOQUEADO: CASILLA NO DIRECTA",IF(O136="","EXCLUIDO (valor borrado por el usuario)",IF(_xlfn.ISFORMULA(O136),IF(W136&lt;&gt;"","BORRADOR — VALOR SUGERIDO DIAN ⚠ VER ALERTA","BORRADOR — VALOR SUGERIDO DIAN"),IF(W136&lt;&gt;"","ACEPTADO ⚠ VER ALERTA","ACEPTADO"))))))))</f>
        <v/>
      </c>
      <c r="R136" s="218" t="n"/>
      <c r="S136" s="58">
        <f>IF(A136="","",IFERROR(--ISNUMBER(SEARCH("R28",G136)),0)+IFERROR(--ISNUMBER(SEARCH("R29",G136)),0)+IFERROR(--ISNUMBER(SEARCH("R30",G136)),0)+IFERROR(--ISNUMBER(SEARCH("R31",G136)),0)+IFERROR(--ISNUMBER(SEARCH("R32",G136)),0)+IFERROR(--ISNUMBER(SEARCH("R33",G136)),0)+IFERROR(--ISNUMBER(SEARCH("R34",G136)),0)+IFERROR(--ISNUMBER(SEARCH("R35",G136)),0)+IFERROR(--ISNUMBER(SEARCH("R36",G136)),0)+IFERROR(--ISNUMBER(SEARCH("R37",G136)),0)+IFERROR(--ISNUMBER(SEARCH("R38",G136)),0)+IFERROR(--ISNUMBER(SEARCH("R39",G136)),0)+IFERROR(--ISNUMBER(SEARCH("R40",G136)),0)+IFERROR(--ISNUMBER(SEARCH("R41",G136)),0)+IFERROR(--ISNUMBER(SEARCH("R42",G136)),0)+IFERROR(--ISNUMBER(SEARCH("R43",G136)),0)+IFERROR(--ISNUMBER(SEARCH("R44",G136)),0)+IFERROR(--ISNUMBER(SEARCH("R45",G136)),0)+IFERROR(--ISNUMBER(SEARCH("R46",G136)),0)+IFERROR(--ISNUMBER(SEARCH("R47",G136)),0)+IFERROR(--ISNUMBER(SEARCH("R48",G136)),0)+IFERROR(--ISNUMBER(SEARCH("R49",G136)),0)+IFERROR(--ISNUMBER(SEARCH("R50",G136)),0)+IFERROR(--ISNUMBER(SEARCH("R51",G136)),0)+IFERROR(--ISNUMBER(SEARCH("R52",G136)),0)+IFERROR(--ISNUMBER(SEARCH("R53",G136)),0)+IFERROR(--ISNUMBER(SEARCH("R54",G136)),0)+IFERROR(--ISNUMBER(SEARCH("R55",G136)),0)+IFERROR(--ISNUMBER(SEARCH("R56",G136)),0)+IFERROR(--ISNUMBER(SEARCH("R57",G136)),0)+IFERROR(--ISNUMBER(SEARCH("R58",G136)),0)+IFERROR(--ISNUMBER(SEARCH("R59",G136)),0)+IFERROR(--ISNUMBER(SEARCH("R60",G136)),0)+IFERROR(--ISNUMBER(SEARCH("R61",G136)),0)+IFERROR(--ISNUMBER(SEARCH("R62",G136)),0)+IFERROR(--ISNUMBER(SEARCH("R63",G136)),0)+IFERROR(--ISNUMBER(SEARCH("R64",G136)),0)+IFERROR(--ISNUMBER(SEARCH("R65",G136)),0)+IFERROR(--ISNUMBER(SEARCH("R66",G136)),0)+IFERROR(--ISNUMBER(SEARCH("R67",G136)),0)+IFERROR(--ISNUMBER(SEARCH("R68",G136)),0)+IFERROR(--ISNUMBER(SEARCH("R69",G136)),0)+IFERROR(--ISNUMBER(SEARCH("R70",G136)),0)+IFERROR(--ISNUMBER(SEARCH("R71",G136)),0)+IFERROR(--ISNUMBER(SEARCH("R72",G136)),0)+IFERROR(--ISNUMBER(SEARCH("R73",G136)),0)+IFERROR(--ISNUMBER(SEARCH("R74",G136)),0)+IFERROR(--ISNUMBER(SEARCH("R75",G136)),0)+IFERROR(--ISNUMBER(SEARCH("R76",G136)),0)+IFERROR(--ISNUMBER(SEARCH("R77",G136)),0)+IFERROR(--ISNUMBER(SEARCH("R78",G136)),0)+IFERROR(--ISNUMBER(SEARCH("R79",G136)),0)+IFERROR(--ISNUMBER(SEARCH("R80",G136)),0)+IFERROR(--ISNUMBER(SEARCH("R81",G136)),0)+IFERROR(--ISNUMBER(SEARCH("R82",G136)),0)+IFERROR(--ISNUMBER(SEARCH("R83",G136)),0)+IFERROR(--ISNUMBER(SEARCH("R84",G136)),0)+IFERROR(--ISNUMBER(SEARCH("R85",G136)),0)+IFERROR(--ISNUMBER(SEARCH("R86",G136)),0)+IFERROR(--ISNUMBER(SEARCH("R87",G136)),0)+IFERROR(--ISNUMBER(SEARCH("R88",G136)),0)+IFERROR(--ISNUMBER(SEARCH("R89",G136)),0)+IFERROR(--ISNUMBER(SEARCH("R90",G136)),0)+IFERROR(--ISNUMBER(SEARCH("R91",G136)),0)+IFERROR(--ISNUMBER(SEARCH("R92",G136)),0)+IFERROR(--ISNUMBER(SEARCH("R93",G136)),0)+IFERROR(--ISNUMBER(SEARCH("R94",G136)),0)+IFERROR(--ISNUMBER(SEARCH("R95",G136)),0)+IFERROR(--ISNUMBER(SEARCH("R96",G136)),0)+IFERROR(--ISNUMBER(SEARCH("R97",G136)),0)+IFERROR(--ISNUMBER(SEARCH("R98",G136)),0)+IFERROR(--ISNUMBER(SEARCH("R99",G136)),0)+IFERROR(--ISNUMBER(SEARCH("R100",G136)),0)+IFERROR(--ISNUMBER(SEARCH("R101",G136)),0)+IFERROR(--ISNUMBER(SEARCH("R102",G136)),0)+IFERROR(--ISNUMBER(SEARCH("R103",G136)),0)+IFERROR(--ISNUMBER(SEARCH("R104",G136)),0)+IFERROR(--ISNUMBER(SEARCH("R105",G136)),0)+IFERROR(--ISNUMBER(SEARCH("R106",G136)),0)+IFERROR(--ISNUMBER(SEARCH("R107",G136)),0)+IFERROR(--ISNUMBER(SEARCH("R108",G136)),0)+IFERROR(--ISNUMBER(SEARCH("R109",G136)),0)+IFERROR(--ISNUMBER(SEARCH("R110",G136)),0)+IFERROR(--ISNUMBER(SEARCH("R111",G136)),0)+IFERROR(--ISNUMBER(SEARCH("R112",G136)),0)+IFERROR(--ISNUMBER(SEARCH("R113",G136)),0)+IFERROR(--ISNUMBER(SEARCH("R114",G136)),0)+IFERROR(--ISNUMBER(SEARCH("R115",G136)),0)+IFERROR(--ISNUMBER(SEARCH("R116",G136)),0)+IFERROR(--ISNUMBER(SEARCH("R117",G136)),0)+IFERROR(--ISNUMBER(SEARCH("R118",G136)),0)+IFERROR(--ISNUMBER(SEARCH("R119",G136)),0)+IFERROR(--ISNUMBER(SEARCH("R120",G136)),0)+IFERROR(--ISNUMBER(SEARCH("R121",G136)),0)+IFERROR(--ISNUMBER(SEARCH("R122",G136)),0)+IFERROR(--ISNUMBER(SEARCH("R123",G136)),0)+IFERROR(--ISNUMBER(SEARCH("R124",G136)),0)+IFERROR(--ISNUMBER(SEARCH("R125",G136)),0)+IFERROR(--ISNUMBER(SEARCH("R126",G136)),0)+IFERROR(--ISNUMBER(SEARCH("R127",G136)),0)+IFERROR(--ISNUMBER(SEARCH("R128",G136)),0)+IFERROR(--ISNUMBER(SEARCH("R129",G136)),0)+IFERROR(--ISNUMBER(SEARCH("R130",G136)),0)+IFERROR(--ISNUMBER(SEARCH("R131",G136)),0)+IFERROR(--ISNUMBER(SEARCH("R132",G136)),0)+IFERROR(--ISNUMBER(SEARCH("R133",G136)),0)+IFERROR(--ISNUMBER(SEARCH("R134",G136)),0)+IFERROR(--ISNUMBER(SEARCH("R135",G136)),0)+IFERROR(--ISNUMBER(SEARCH("R136",G136)),0)+IFERROR(--ISNUMBER(SEARCH("R137",G136)),0)+IFERROR(--ISNUMBER(SEARCH("R138",G136)),0)+IFERROR(--ISNUMBER(SEARCH("R139",G136)),0)+IFERROR(--ISNUMBER(SEARCH("R140",G136)),0)+IFERROR(--ISNUMBER(SEARCH("R141",G136)),0))</f>
        <v/>
      </c>
      <c r="T136" s="58">
        <f>IF(A136="","",IFERROR(--ISNUMBER(SEARCH("R28",G136)),0)+IFERROR(--ISNUMBER(SEARCH("R29",G136)),0)+IFERROR(--ISNUMBER(SEARCH("R30",G136)),0)+IFERROR(--ISNUMBER(SEARCH("R32",G136)),0)+IFERROR(--ISNUMBER(SEARCH("R33",G136)),0)+IFERROR(--ISNUMBER(SEARCH("R35",G136)),0)+IFERROR(--ISNUMBER(SEARCH("R36",G136)),0)+IFERROR(--ISNUMBER(SEARCH("R38",G136)),0)+IFERROR(--ISNUMBER(SEARCH("R39",G136)),0)+IFERROR(--ISNUMBER(SEARCH("R43",G136)),0)+IFERROR(--ISNUMBER(SEARCH("R44",G136)),0)+IFERROR(--ISNUMBER(SEARCH("R45",G136)),0)+IFERROR(--ISNUMBER(SEARCH("R47",G136)),0)+IFERROR(--ISNUMBER(SEARCH("R48",G136)),0)+IFERROR(--ISNUMBER(SEARCH("R50",G136)),0)+IFERROR(--ISNUMBER(SEARCH("R51",G136)),0)+IFERROR(--ISNUMBER(SEARCH("R56",G136)),0)+IFERROR(--ISNUMBER(SEARCH("R58",G136)),0)+IFERROR(--ISNUMBER(SEARCH("R59",G136)),0)+IFERROR(--ISNUMBER(SEARCH("R60",G136)),0)+IFERROR(--ISNUMBER(SEARCH("R62",G136)),0)+IFERROR(--ISNUMBER(SEARCH("R63",G136)),0)+IFERROR(--ISNUMBER(SEARCH("R64",G136)),0)+IFERROR(--ISNUMBER(SEARCH("R66",G136)),0)+IFERROR(--ISNUMBER(SEARCH("R67",G136)),0)+IFERROR(--ISNUMBER(SEARCH("R72",G136)),0)+IFERROR(--ISNUMBER(SEARCH("R74",G136)),0)+IFERROR(--ISNUMBER(SEARCH("R75",G136)),0)+IFERROR(--ISNUMBER(SEARCH("R76",G136)),0)+IFERROR(--ISNUMBER(SEARCH("R77",G136)),0)+IFERROR(--ISNUMBER(SEARCH("R79",G136)),0)+IFERROR(--ISNUMBER(SEARCH("R80",G136)),0)+IFERROR(--ISNUMBER(SEARCH("R81",G136)),0)+IFERROR(--ISNUMBER(SEARCH("R83",G136)),0)+IFERROR(--ISNUMBER(SEARCH("R84",G136)),0)+IFERROR(--ISNUMBER(SEARCH("R89",G136)),0)+IFERROR(--ISNUMBER(SEARCH("R94",G136)),0)+IFERROR(--ISNUMBER(SEARCH("R95",G136)),0)+IFERROR(--ISNUMBER(SEARCH("R96",G136)),0)+IFERROR(--ISNUMBER(SEARCH("R98",G136)),0)+IFERROR(--ISNUMBER(SEARCH("R99",G136)),0)+IFERROR(--ISNUMBER(SEARCH("R100",G136)),0)+IFERROR(--ISNUMBER(SEARCH("R104",G136)),0)+IFERROR(--ISNUMBER(SEARCH("R105",G136)),0)+IFERROR(--ISNUMBER(SEARCH("R107",G136)),0)+IFERROR(--ISNUMBER(SEARCH("R108",G136)),0)+IFERROR(--ISNUMBER(SEARCH("R109",G136)),0)+IFERROR(--ISNUMBER(SEARCH("R110",G136)),0)+IFERROR(--ISNUMBER(SEARCH("R112",G136)),0)+IFERROR(--ISNUMBER(SEARCH("R113",G136)),0)+IFERROR(--ISNUMBER(SEARCH("R114",G136)),0)+IFERROR(--ISNUMBER(SEARCH("R118",G136)),0)+IFERROR(--ISNUMBER(SEARCH("R119",G136)),0)+IFERROR(--ISNUMBER(SEARCH("R120",G136)),0)+IFERROR(--ISNUMBER(SEARCH("R122",G136)),0)+IFERROR(--ISNUMBER(SEARCH("R123",G136)),0)+IFERROR(--ISNUMBER(SEARCH("R124",G136)),0)+IFERROR(--ISNUMBER(SEARCH("R128",G136)),0)+IFERROR(--ISNUMBER(SEARCH("R130",G136)),0)+IFERROR(--ISNUMBER(SEARCH("R131",G136)),0)+IFERROR(--ISNUMBER(SEARCH("R132",G136)),0)+IFERROR(--ISNUMBER(SEARCH("R135",G136)),0)+IFERROR(--ISNUMBER(SEARCH("R138",G136)),0)+IFERROR(--ISNUMBER(SEARCH("R141",G136)),0))</f>
        <v/>
      </c>
      <c r="U136" s="58">
        <f>IF(A136="","",IFERROR(--ISNUMBER(SEARCH("R28",G136))*28,0)+IFERROR(--ISNUMBER(SEARCH("R29",G136))*29,0)+IFERROR(--ISNUMBER(SEARCH("R30",G136))*30,0)+IFERROR(--ISNUMBER(SEARCH("R31",G136))*31,0)+IFERROR(--ISNUMBER(SEARCH("R32",G136))*32,0)+IFERROR(--ISNUMBER(SEARCH("R33",G136))*33,0)+IFERROR(--ISNUMBER(SEARCH("R34",G136))*34,0)+IFERROR(--ISNUMBER(SEARCH("R35",G136))*35,0)+IFERROR(--ISNUMBER(SEARCH("R36",G136))*36,0)+IFERROR(--ISNUMBER(SEARCH("R37",G136))*37,0)+IFERROR(--ISNUMBER(SEARCH("R38",G136))*38,0)+IFERROR(--ISNUMBER(SEARCH("R39",G136))*39,0)+IFERROR(--ISNUMBER(SEARCH("R40",G136))*40,0)+IFERROR(--ISNUMBER(SEARCH("R41",G136))*41,0)+IFERROR(--ISNUMBER(SEARCH("R42",G136))*42,0)+IFERROR(--ISNUMBER(SEARCH("R43",G136))*43,0)+IFERROR(--ISNUMBER(SEARCH("R44",G136))*44,0)+IFERROR(--ISNUMBER(SEARCH("R45",G136))*45,0)+IFERROR(--ISNUMBER(SEARCH("R46",G136))*46,0)+IFERROR(--ISNUMBER(SEARCH("R47",G136))*47,0)+IFERROR(--ISNUMBER(SEARCH("R48",G136))*48,0)+IFERROR(--ISNUMBER(SEARCH("R49",G136))*49,0)+IFERROR(--ISNUMBER(SEARCH("R50",G136))*50,0)+IFERROR(--ISNUMBER(SEARCH("R51",G136))*51,0)+IFERROR(--ISNUMBER(SEARCH("R52",G136))*52,0)+IFERROR(--ISNUMBER(SEARCH("R53",G136))*53,0)+IFERROR(--ISNUMBER(SEARCH("R54",G136))*54,0)+IFERROR(--ISNUMBER(SEARCH("R55",G136))*55,0)+IFERROR(--ISNUMBER(SEARCH("R56",G136))*56,0)+IFERROR(--ISNUMBER(SEARCH("R57",G136))*57,0)+IFERROR(--ISNUMBER(SEARCH("R58",G136))*58,0)+IFERROR(--ISNUMBER(SEARCH("R59",G136))*59,0)+IFERROR(--ISNUMBER(SEARCH("R60",G136))*60,0)+IFERROR(--ISNUMBER(SEARCH("R61",G136))*61,0)+IFERROR(--ISNUMBER(SEARCH("R62",G136))*62,0)+IFERROR(--ISNUMBER(SEARCH("R63",G136))*63,0)+IFERROR(--ISNUMBER(SEARCH("R64",G136))*64,0)+IFERROR(--ISNUMBER(SEARCH("R65",G136))*65,0)+IFERROR(--ISNUMBER(SEARCH("R66",G136))*66,0)+IFERROR(--ISNUMBER(SEARCH("R67",G136))*67,0)+IFERROR(--ISNUMBER(SEARCH("R68",G136))*68,0)+IFERROR(--ISNUMBER(SEARCH("R69",G136))*69,0)+IFERROR(--ISNUMBER(SEARCH("R70",G136))*70,0)+IFERROR(--ISNUMBER(SEARCH("R71",G136))*71,0)+IFERROR(--ISNUMBER(SEARCH("R72",G136))*72,0)+IFERROR(--ISNUMBER(SEARCH("R73",G136))*73,0)+IFERROR(--ISNUMBER(SEARCH("R74",G136))*74,0)+IFERROR(--ISNUMBER(SEARCH("R75",G136))*75,0)+IFERROR(--ISNUMBER(SEARCH("R76",G136))*76,0)+IFERROR(--ISNUMBER(SEARCH("R77",G136))*77,0)+IFERROR(--ISNUMBER(SEARCH("R78",G136))*78,0)+IFERROR(--ISNUMBER(SEARCH("R79",G136))*79,0)+IFERROR(--ISNUMBER(SEARCH("R80",G136))*80,0)+IFERROR(--ISNUMBER(SEARCH("R81",G136))*81,0)+IFERROR(--ISNUMBER(SEARCH("R82",G136))*82,0)+IFERROR(--ISNUMBER(SEARCH("R83",G136))*83,0)+IFERROR(--ISNUMBER(SEARCH("R84",G136))*84,0)+IFERROR(--ISNUMBER(SEARCH("R85",G136))*85,0)+IFERROR(--ISNUMBER(SEARCH("R86",G136))*86,0)+IFERROR(--ISNUMBER(SEARCH("R87",G136))*87,0)+IFERROR(--ISNUMBER(SEARCH("R88",G136))*88,0)+IFERROR(--ISNUMBER(SEARCH("R89",G136))*89,0)+IFERROR(--ISNUMBER(SEARCH("R90",G136))*90,0)+IFERROR(--ISNUMBER(SEARCH("R91",G136))*91,0)+IFERROR(--ISNUMBER(SEARCH("R92",G136))*92,0)+IFERROR(--ISNUMBER(SEARCH("R93",G136))*93,0)+IFERROR(--ISNUMBER(SEARCH("R94",G136))*94,0)+IFERROR(--ISNUMBER(SEARCH("R95",G136))*95,0)+IFERROR(--ISNUMBER(SEARCH("R96",G136))*96,0)+IFERROR(--ISNUMBER(SEARCH("R97",G136))*97,0)+IFERROR(--ISNUMBER(SEARCH("R98",G136))*98,0)+IFERROR(--ISNUMBER(SEARCH("R99",G136))*99,0)+IFERROR(--ISNUMBER(SEARCH("R100",G136))*100,0)+IFERROR(--ISNUMBER(SEARCH("R101",G136))*101,0)+IFERROR(--ISNUMBER(SEARCH("R102",G136))*102,0)+IFERROR(--ISNUMBER(SEARCH("R103",G136))*103,0)+IFERROR(--ISNUMBER(SEARCH("R104",G136))*104,0)+IFERROR(--ISNUMBER(SEARCH("R105",G136))*105,0)+IFERROR(--ISNUMBER(SEARCH("R106",G136))*106,0)+IFERROR(--ISNUMBER(SEARCH("R107",G136))*107,0)+IFERROR(--ISNUMBER(SEARCH("R108",G136))*108,0)+IFERROR(--ISNUMBER(SEARCH("R109",G136))*109,0)+IFERROR(--ISNUMBER(SEARCH("R110",G136))*110,0)+IFERROR(--ISNUMBER(SEARCH("R111",G136))*111,0)+IFERROR(--ISNUMBER(SEARCH("R112",G136))*112,0)+IFERROR(--ISNUMBER(SEARCH("R113",G136))*113,0)+IFERROR(--ISNUMBER(SEARCH("R114",G136))*114,0)+IFERROR(--ISNUMBER(SEARCH("R115",G136))*115,0)+IFERROR(--ISNUMBER(SEARCH("R116",G136))*116,0)+IFERROR(--ISNUMBER(SEARCH("R117",G136))*117,0)+IFERROR(--ISNUMBER(SEARCH("R118",G136))*118,0)+IFERROR(--ISNUMBER(SEARCH("R119",G136))*119,0)+IFERROR(--ISNUMBER(SEARCH("R120",G136))*120,0)+IFERROR(--ISNUMBER(SEARCH("R121",G136))*121,0)+IFERROR(--ISNUMBER(SEARCH("R122",G136))*122,0)+IFERROR(--ISNUMBER(SEARCH("R123",G136))*123,0)+IFERROR(--ISNUMBER(SEARCH("R124",G136))*124,0)+IFERROR(--ISNUMBER(SEARCH("R125",G136))*125,0)+IFERROR(--ISNUMBER(SEARCH("R126",G136))*126,0)+IFERROR(--ISNUMBER(SEARCH("R127",G136))*127,0)+IFERROR(--ISNUMBER(SEARCH("R128",G136))*128,0)+IFERROR(--ISNUMBER(SEARCH("R129",G136))*129,0)+IFERROR(--ISNUMBER(SEARCH("R130",G136))*130,0)+IFERROR(--ISNUMBER(SEARCH("R131",G136))*131,0)+IFERROR(--ISNUMBER(SEARCH("R132",G136))*132,0)+IFERROR(--ISNUMBER(SEARCH("R133",G136))*133,0)+IFERROR(--ISNUMBER(SEARCH("R134",G136))*134,0)+IFERROR(--ISNUMBER(SEARCH("R135",G136))*135,0)+IFERROR(--ISNUMBER(SEARCH("R136",G136))*136,0)+IFERROR(--ISNUMBER(SEARCH("R137",G136))*137,0)+IFERROR(--ISNUMBER(SEARCH("R138",G136))*138,0)+IFERROR(--ISNUMBER(SEARCH("R139",G136))*139,0)+IFERROR(--ISNUMBER(SEARCH("R140",G136))*140,0)+IFERROR(--ISNUMBER(SEARCH("R141",G136))*141,0))</f>
        <v/>
      </c>
      <c r="V136" s="59">
        <f>IF(A136="","",IF(K136&lt;&gt;"",K136,J136))</f>
        <v/>
      </c>
      <c r="W136" s="59">
        <f>IF(A136="","",IF(AND(V136=29,O136&lt;&gt;"",COUNTIFS($V$6:$V$505,29,$F$6:$F$505,F136,$C$6:$C$505,C136,$O$6:$O$505,"&lt;&gt;")&gt;1),IF(COUNTIFS($V$6:V136,29,$F$6:F136,F136,$C$6:C136,C136,$O$6:O136,"&lt;&gt;")=1,"Esta es la fila que se debe CONSERVAR (aparición 1 de "&amp;COUNTIFS($V$6:$V$505,29,$F$6:$F$505,F136,$C$6:$C$505,C136,$O$6:$O$505,"&lt;&gt;")&amp;" con el mismo tercero y valor, casilla 29). Si hay más filas iguales, bórreles el valor a ELLAS, no a esta.","DUPLICADO — ya existe otra fila con el mismo tercero y valor para casilla 29 (aparición "&amp;COUNTIFS($V$6:V136,29,$F$6:F136,F136,$C$6:C136,C136,$O$6:O136,"&lt;&gt;")&amp;" de "&amp;COUNTIFS($V$6:$V$505,29,$F$6:$F$505,F136,$C$6:$C$505,C136,$O$6:$O$505,"&lt;&gt;")&amp;"). Para resolverlo: seleccione la celda O"&amp;ROW()&amp;" (columna Valor a declarar de ESTA fila) y presione Supr."),""))</f>
        <v/>
      </c>
      <c r="X136" s="463">
        <f>IF(A136="","",F136)</f>
        <v/>
      </c>
      <c r="Y136" s="463">
        <f>IF(A136="","",SUMIF(Entrada_Manual!$I$88:$I$187,A136,Entrada_Manual!$F$88:$F$187))</f>
        <v/>
      </c>
      <c r="Z136" s="463">
        <f>IF(A136="","",X136-Y136)</f>
        <v/>
      </c>
      <c r="AA136">
        <f>IF(A136="","",SUMPRODUCT((Entrada_Manual!$I$88:$I$187=A136)*1))</f>
        <v/>
      </c>
      <c r="AB136">
        <f>IF(A136="","",IF(S136&lt;=1,"",IF(AA136=0,"PENDIENTE — SIN ASIGNAR",IF(Z136=0,"RESUELTO","PARCIAL — DIFERENCIA "&amp;TEXT(Z136,"#,##0")))))</f>
        <v/>
      </c>
    </row>
    <row r="137" ht="14.25" customHeight="1" s="235">
      <c r="A137" s="47">
        <f>IF(Exogena_RAW!E146&lt;&gt;"",ROW()-5,"")</f>
        <v/>
      </c>
      <c r="B137" s="48">
        <f>IF(A137="","",146)</f>
        <v/>
      </c>
      <c r="C137" s="48">
        <f>IF(A137="","",IFERROR(Exogena_RAW!A146,""))</f>
        <v/>
      </c>
      <c r="D137" s="48">
        <f>IF(A137="","",IFERROR(Exogena_RAW!B146,""))</f>
        <v/>
      </c>
      <c r="E137" s="48">
        <f>IF(A137="","",Exogena_RAW!E146)</f>
        <v/>
      </c>
      <c r="F137" s="461">
        <f>IF(A137="","",Exogena_RAW!F146)</f>
        <v/>
      </c>
      <c r="G137" s="48">
        <f>IF(A137="","",IFERROR(Exogena_RAW!G146,""))</f>
        <v/>
      </c>
      <c r="H137" s="48">
        <f>IF(A137="","",IFERROR(Exogena_RAW!H146,""))</f>
        <v/>
      </c>
      <c r="I137" s="48">
        <f>IF(A137="","",IFERROR(IF(S137&gt;1,"VARIAS CASILLAS",IF(S137=1,IF(T137=1,"PROPUESTA DE CASILLA","REVISIÓN: CASILLA NO DIRECTA"),IF(OR(ISNUMBER(SEARCH("TOPE",UPPER(E137))),ISNUMBER(SEARCH("TOPE",UPPER(G137)))),"SOLO CONTROL",IF(ISNUMBER(SEARCH("RETEN",UPPER(E137))),"RETENCIÓN","REVISAR")))),"REVISAR"))</f>
        <v/>
      </c>
      <c r="J137" s="48">
        <f>IF(A137="","",IF(ISNUMBER(SEARCH("ingreso laboral promedio de los últimos seis meses",E137)),"",IFERROR(IF(AND(S137=1,T137=1),U137,""),"")))</f>
        <v/>
      </c>
      <c r="K137" s="216" t="n"/>
      <c r="L137" s="48">
        <f>IF(A137="","",IFERROR(IF(K137&lt;&gt;"","Casilla elegida por usuario",IF(S137&gt;1,"Varias casillas — elegir en K",IF(J137&lt;&gt;"","Sugerencia directa",IF(S137=1,"No trasladar directo — revisar",IF(OR(ISNUMBER(SEARCH("TOPE",UPPER(E137))),ISNUMBER(SEARCH("TOPE",UPPER(G137)))),"Solo control","Revisar manualmente"))))),"Revisar manualmente"))</f>
        <v/>
      </c>
      <c r="M137" s="461">
        <f>IF(A137="","",IF(IF(K137&lt;&gt;"",K137,J137)="",0,IF(COUNTIFS(Reglas!$I$5:$I$118,IF(K137&lt;&gt;"",K137,J137),Reglas!$J$5:$J$118,"Sí")=1,F137,0)))</f>
        <v/>
      </c>
      <c r="N137" s="56" t="n"/>
      <c r="O137" s="462">
        <f>IF(A137="","",IF(M137=0,"",M137))</f>
        <v/>
      </c>
      <c r="P137" s="461">
        <f>IF(A137="","",IF(O137="",0,IF(ISNUMBER(O137),O137,0)))</f>
        <v/>
      </c>
      <c r="Q137" s="48">
        <f>IF(A137="","",IF(Exogena_RAW!$C$4="","BLOQUEADO: FALTA AÑO",IF(Exogena_RAW!$K$10&lt;&gt;Reglas!$B$5,"BLOQUEADO: AÑO",IF(IF(K137&lt;&gt;"",K137,J137)="",IF(S137&gt;1,"REQUIERE ASIGNACIÓN MANUAL (VARIAS CASILLAS)","INFORMATIVO (sin casilla — no se declara)"),IF(COUNTIFS(Reglas!$I$5:$I$118,IF(K137&lt;&gt;"",K137,J137),Reglas!$J$5:$J$118,"Sí")=0,"BLOQUEADO: CASILLA NO DIRECTA",IF(O137="","EXCLUIDO (valor borrado por el usuario)",IF(_xlfn.ISFORMULA(O137),IF(W137&lt;&gt;"","BORRADOR — VALOR SUGERIDO DIAN ⚠ VER ALERTA","BORRADOR — VALOR SUGERIDO DIAN"),IF(W137&lt;&gt;"","ACEPTADO ⚠ VER ALERTA","ACEPTADO"))))))))</f>
        <v/>
      </c>
      <c r="R137" s="218" t="n"/>
      <c r="S137" s="58">
        <f>IF(A137="","",IFERROR(--ISNUMBER(SEARCH("R28",G137)),0)+IFERROR(--ISNUMBER(SEARCH("R29",G137)),0)+IFERROR(--ISNUMBER(SEARCH("R30",G137)),0)+IFERROR(--ISNUMBER(SEARCH("R31",G137)),0)+IFERROR(--ISNUMBER(SEARCH("R32",G137)),0)+IFERROR(--ISNUMBER(SEARCH("R33",G137)),0)+IFERROR(--ISNUMBER(SEARCH("R34",G137)),0)+IFERROR(--ISNUMBER(SEARCH("R35",G137)),0)+IFERROR(--ISNUMBER(SEARCH("R36",G137)),0)+IFERROR(--ISNUMBER(SEARCH("R37",G137)),0)+IFERROR(--ISNUMBER(SEARCH("R38",G137)),0)+IFERROR(--ISNUMBER(SEARCH("R39",G137)),0)+IFERROR(--ISNUMBER(SEARCH("R40",G137)),0)+IFERROR(--ISNUMBER(SEARCH("R41",G137)),0)+IFERROR(--ISNUMBER(SEARCH("R42",G137)),0)+IFERROR(--ISNUMBER(SEARCH("R43",G137)),0)+IFERROR(--ISNUMBER(SEARCH("R44",G137)),0)+IFERROR(--ISNUMBER(SEARCH("R45",G137)),0)+IFERROR(--ISNUMBER(SEARCH("R46",G137)),0)+IFERROR(--ISNUMBER(SEARCH("R47",G137)),0)+IFERROR(--ISNUMBER(SEARCH("R48",G137)),0)+IFERROR(--ISNUMBER(SEARCH("R49",G137)),0)+IFERROR(--ISNUMBER(SEARCH("R50",G137)),0)+IFERROR(--ISNUMBER(SEARCH("R51",G137)),0)+IFERROR(--ISNUMBER(SEARCH("R52",G137)),0)+IFERROR(--ISNUMBER(SEARCH("R53",G137)),0)+IFERROR(--ISNUMBER(SEARCH("R54",G137)),0)+IFERROR(--ISNUMBER(SEARCH("R55",G137)),0)+IFERROR(--ISNUMBER(SEARCH("R56",G137)),0)+IFERROR(--ISNUMBER(SEARCH("R57",G137)),0)+IFERROR(--ISNUMBER(SEARCH("R58",G137)),0)+IFERROR(--ISNUMBER(SEARCH("R59",G137)),0)+IFERROR(--ISNUMBER(SEARCH("R60",G137)),0)+IFERROR(--ISNUMBER(SEARCH("R61",G137)),0)+IFERROR(--ISNUMBER(SEARCH("R62",G137)),0)+IFERROR(--ISNUMBER(SEARCH("R63",G137)),0)+IFERROR(--ISNUMBER(SEARCH("R64",G137)),0)+IFERROR(--ISNUMBER(SEARCH("R65",G137)),0)+IFERROR(--ISNUMBER(SEARCH("R66",G137)),0)+IFERROR(--ISNUMBER(SEARCH("R67",G137)),0)+IFERROR(--ISNUMBER(SEARCH("R68",G137)),0)+IFERROR(--ISNUMBER(SEARCH("R69",G137)),0)+IFERROR(--ISNUMBER(SEARCH("R70",G137)),0)+IFERROR(--ISNUMBER(SEARCH("R71",G137)),0)+IFERROR(--ISNUMBER(SEARCH("R72",G137)),0)+IFERROR(--ISNUMBER(SEARCH("R73",G137)),0)+IFERROR(--ISNUMBER(SEARCH("R74",G137)),0)+IFERROR(--ISNUMBER(SEARCH("R75",G137)),0)+IFERROR(--ISNUMBER(SEARCH("R76",G137)),0)+IFERROR(--ISNUMBER(SEARCH("R77",G137)),0)+IFERROR(--ISNUMBER(SEARCH("R78",G137)),0)+IFERROR(--ISNUMBER(SEARCH("R79",G137)),0)+IFERROR(--ISNUMBER(SEARCH("R80",G137)),0)+IFERROR(--ISNUMBER(SEARCH("R81",G137)),0)+IFERROR(--ISNUMBER(SEARCH("R82",G137)),0)+IFERROR(--ISNUMBER(SEARCH("R83",G137)),0)+IFERROR(--ISNUMBER(SEARCH("R84",G137)),0)+IFERROR(--ISNUMBER(SEARCH("R85",G137)),0)+IFERROR(--ISNUMBER(SEARCH("R86",G137)),0)+IFERROR(--ISNUMBER(SEARCH("R87",G137)),0)+IFERROR(--ISNUMBER(SEARCH("R88",G137)),0)+IFERROR(--ISNUMBER(SEARCH("R89",G137)),0)+IFERROR(--ISNUMBER(SEARCH("R90",G137)),0)+IFERROR(--ISNUMBER(SEARCH("R91",G137)),0)+IFERROR(--ISNUMBER(SEARCH("R92",G137)),0)+IFERROR(--ISNUMBER(SEARCH("R93",G137)),0)+IFERROR(--ISNUMBER(SEARCH("R94",G137)),0)+IFERROR(--ISNUMBER(SEARCH("R95",G137)),0)+IFERROR(--ISNUMBER(SEARCH("R96",G137)),0)+IFERROR(--ISNUMBER(SEARCH("R97",G137)),0)+IFERROR(--ISNUMBER(SEARCH("R98",G137)),0)+IFERROR(--ISNUMBER(SEARCH("R99",G137)),0)+IFERROR(--ISNUMBER(SEARCH("R100",G137)),0)+IFERROR(--ISNUMBER(SEARCH("R101",G137)),0)+IFERROR(--ISNUMBER(SEARCH("R102",G137)),0)+IFERROR(--ISNUMBER(SEARCH("R103",G137)),0)+IFERROR(--ISNUMBER(SEARCH("R104",G137)),0)+IFERROR(--ISNUMBER(SEARCH("R105",G137)),0)+IFERROR(--ISNUMBER(SEARCH("R106",G137)),0)+IFERROR(--ISNUMBER(SEARCH("R107",G137)),0)+IFERROR(--ISNUMBER(SEARCH("R108",G137)),0)+IFERROR(--ISNUMBER(SEARCH("R109",G137)),0)+IFERROR(--ISNUMBER(SEARCH("R110",G137)),0)+IFERROR(--ISNUMBER(SEARCH("R111",G137)),0)+IFERROR(--ISNUMBER(SEARCH("R112",G137)),0)+IFERROR(--ISNUMBER(SEARCH("R113",G137)),0)+IFERROR(--ISNUMBER(SEARCH("R114",G137)),0)+IFERROR(--ISNUMBER(SEARCH("R115",G137)),0)+IFERROR(--ISNUMBER(SEARCH("R116",G137)),0)+IFERROR(--ISNUMBER(SEARCH("R117",G137)),0)+IFERROR(--ISNUMBER(SEARCH("R118",G137)),0)+IFERROR(--ISNUMBER(SEARCH("R119",G137)),0)+IFERROR(--ISNUMBER(SEARCH("R120",G137)),0)+IFERROR(--ISNUMBER(SEARCH("R121",G137)),0)+IFERROR(--ISNUMBER(SEARCH("R122",G137)),0)+IFERROR(--ISNUMBER(SEARCH("R123",G137)),0)+IFERROR(--ISNUMBER(SEARCH("R124",G137)),0)+IFERROR(--ISNUMBER(SEARCH("R125",G137)),0)+IFERROR(--ISNUMBER(SEARCH("R126",G137)),0)+IFERROR(--ISNUMBER(SEARCH("R127",G137)),0)+IFERROR(--ISNUMBER(SEARCH("R128",G137)),0)+IFERROR(--ISNUMBER(SEARCH("R129",G137)),0)+IFERROR(--ISNUMBER(SEARCH("R130",G137)),0)+IFERROR(--ISNUMBER(SEARCH("R131",G137)),0)+IFERROR(--ISNUMBER(SEARCH("R132",G137)),0)+IFERROR(--ISNUMBER(SEARCH("R133",G137)),0)+IFERROR(--ISNUMBER(SEARCH("R134",G137)),0)+IFERROR(--ISNUMBER(SEARCH("R135",G137)),0)+IFERROR(--ISNUMBER(SEARCH("R136",G137)),0)+IFERROR(--ISNUMBER(SEARCH("R137",G137)),0)+IFERROR(--ISNUMBER(SEARCH("R138",G137)),0)+IFERROR(--ISNUMBER(SEARCH("R139",G137)),0)+IFERROR(--ISNUMBER(SEARCH("R140",G137)),0)+IFERROR(--ISNUMBER(SEARCH("R141",G137)),0))</f>
        <v/>
      </c>
      <c r="T137" s="58">
        <f>IF(A137="","",IFERROR(--ISNUMBER(SEARCH("R28",G137)),0)+IFERROR(--ISNUMBER(SEARCH("R29",G137)),0)+IFERROR(--ISNUMBER(SEARCH("R30",G137)),0)+IFERROR(--ISNUMBER(SEARCH("R32",G137)),0)+IFERROR(--ISNUMBER(SEARCH("R33",G137)),0)+IFERROR(--ISNUMBER(SEARCH("R35",G137)),0)+IFERROR(--ISNUMBER(SEARCH("R36",G137)),0)+IFERROR(--ISNUMBER(SEARCH("R38",G137)),0)+IFERROR(--ISNUMBER(SEARCH("R39",G137)),0)+IFERROR(--ISNUMBER(SEARCH("R43",G137)),0)+IFERROR(--ISNUMBER(SEARCH("R44",G137)),0)+IFERROR(--ISNUMBER(SEARCH("R45",G137)),0)+IFERROR(--ISNUMBER(SEARCH("R47",G137)),0)+IFERROR(--ISNUMBER(SEARCH("R48",G137)),0)+IFERROR(--ISNUMBER(SEARCH("R50",G137)),0)+IFERROR(--ISNUMBER(SEARCH("R51",G137)),0)+IFERROR(--ISNUMBER(SEARCH("R56",G137)),0)+IFERROR(--ISNUMBER(SEARCH("R58",G137)),0)+IFERROR(--ISNUMBER(SEARCH("R59",G137)),0)+IFERROR(--ISNUMBER(SEARCH("R60",G137)),0)+IFERROR(--ISNUMBER(SEARCH("R62",G137)),0)+IFERROR(--ISNUMBER(SEARCH("R63",G137)),0)+IFERROR(--ISNUMBER(SEARCH("R64",G137)),0)+IFERROR(--ISNUMBER(SEARCH("R66",G137)),0)+IFERROR(--ISNUMBER(SEARCH("R67",G137)),0)+IFERROR(--ISNUMBER(SEARCH("R72",G137)),0)+IFERROR(--ISNUMBER(SEARCH("R74",G137)),0)+IFERROR(--ISNUMBER(SEARCH("R75",G137)),0)+IFERROR(--ISNUMBER(SEARCH("R76",G137)),0)+IFERROR(--ISNUMBER(SEARCH("R77",G137)),0)+IFERROR(--ISNUMBER(SEARCH("R79",G137)),0)+IFERROR(--ISNUMBER(SEARCH("R80",G137)),0)+IFERROR(--ISNUMBER(SEARCH("R81",G137)),0)+IFERROR(--ISNUMBER(SEARCH("R83",G137)),0)+IFERROR(--ISNUMBER(SEARCH("R84",G137)),0)+IFERROR(--ISNUMBER(SEARCH("R89",G137)),0)+IFERROR(--ISNUMBER(SEARCH("R94",G137)),0)+IFERROR(--ISNUMBER(SEARCH("R95",G137)),0)+IFERROR(--ISNUMBER(SEARCH("R96",G137)),0)+IFERROR(--ISNUMBER(SEARCH("R98",G137)),0)+IFERROR(--ISNUMBER(SEARCH("R99",G137)),0)+IFERROR(--ISNUMBER(SEARCH("R100",G137)),0)+IFERROR(--ISNUMBER(SEARCH("R104",G137)),0)+IFERROR(--ISNUMBER(SEARCH("R105",G137)),0)+IFERROR(--ISNUMBER(SEARCH("R107",G137)),0)+IFERROR(--ISNUMBER(SEARCH("R108",G137)),0)+IFERROR(--ISNUMBER(SEARCH("R109",G137)),0)+IFERROR(--ISNUMBER(SEARCH("R110",G137)),0)+IFERROR(--ISNUMBER(SEARCH("R112",G137)),0)+IFERROR(--ISNUMBER(SEARCH("R113",G137)),0)+IFERROR(--ISNUMBER(SEARCH("R114",G137)),0)+IFERROR(--ISNUMBER(SEARCH("R118",G137)),0)+IFERROR(--ISNUMBER(SEARCH("R119",G137)),0)+IFERROR(--ISNUMBER(SEARCH("R120",G137)),0)+IFERROR(--ISNUMBER(SEARCH("R122",G137)),0)+IFERROR(--ISNUMBER(SEARCH("R123",G137)),0)+IFERROR(--ISNUMBER(SEARCH("R124",G137)),0)+IFERROR(--ISNUMBER(SEARCH("R128",G137)),0)+IFERROR(--ISNUMBER(SEARCH("R130",G137)),0)+IFERROR(--ISNUMBER(SEARCH("R131",G137)),0)+IFERROR(--ISNUMBER(SEARCH("R132",G137)),0)+IFERROR(--ISNUMBER(SEARCH("R135",G137)),0)+IFERROR(--ISNUMBER(SEARCH("R138",G137)),0)+IFERROR(--ISNUMBER(SEARCH("R141",G137)),0))</f>
        <v/>
      </c>
      <c r="U137" s="58">
        <f>IF(A137="","",IFERROR(--ISNUMBER(SEARCH("R28",G137))*28,0)+IFERROR(--ISNUMBER(SEARCH("R29",G137))*29,0)+IFERROR(--ISNUMBER(SEARCH("R30",G137))*30,0)+IFERROR(--ISNUMBER(SEARCH("R31",G137))*31,0)+IFERROR(--ISNUMBER(SEARCH("R32",G137))*32,0)+IFERROR(--ISNUMBER(SEARCH("R33",G137))*33,0)+IFERROR(--ISNUMBER(SEARCH("R34",G137))*34,0)+IFERROR(--ISNUMBER(SEARCH("R35",G137))*35,0)+IFERROR(--ISNUMBER(SEARCH("R36",G137))*36,0)+IFERROR(--ISNUMBER(SEARCH("R37",G137))*37,0)+IFERROR(--ISNUMBER(SEARCH("R38",G137))*38,0)+IFERROR(--ISNUMBER(SEARCH("R39",G137))*39,0)+IFERROR(--ISNUMBER(SEARCH("R40",G137))*40,0)+IFERROR(--ISNUMBER(SEARCH("R41",G137))*41,0)+IFERROR(--ISNUMBER(SEARCH("R42",G137))*42,0)+IFERROR(--ISNUMBER(SEARCH("R43",G137))*43,0)+IFERROR(--ISNUMBER(SEARCH("R44",G137))*44,0)+IFERROR(--ISNUMBER(SEARCH("R45",G137))*45,0)+IFERROR(--ISNUMBER(SEARCH("R46",G137))*46,0)+IFERROR(--ISNUMBER(SEARCH("R47",G137))*47,0)+IFERROR(--ISNUMBER(SEARCH("R48",G137))*48,0)+IFERROR(--ISNUMBER(SEARCH("R49",G137))*49,0)+IFERROR(--ISNUMBER(SEARCH("R50",G137))*50,0)+IFERROR(--ISNUMBER(SEARCH("R51",G137))*51,0)+IFERROR(--ISNUMBER(SEARCH("R52",G137))*52,0)+IFERROR(--ISNUMBER(SEARCH("R53",G137))*53,0)+IFERROR(--ISNUMBER(SEARCH("R54",G137))*54,0)+IFERROR(--ISNUMBER(SEARCH("R55",G137))*55,0)+IFERROR(--ISNUMBER(SEARCH("R56",G137))*56,0)+IFERROR(--ISNUMBER(SEARCH("R57",G137))*57,0)+IFERROR(--ISNUMBER(SEARCH("R58",G137))*58,0)+IFERROR(--ISNUMBER(SEARCH("R59",G137))*59,0)+IFERROR(--ISNUMBER(SEARCH("R60",G137))*60,0)+IFERROR(--ISNUMBER(SEARCH("R61",G137))*61,0)+IFERROR(--ISNUMBER(SEARCH("R62",G137))*62,0)+IFERROR(--ISNUMBER(SEARCH("R63",G137))*63,0)+IFERROR(--ISNUMBER(SEARCH("R64",G137))*64,0)+IFERROR(--ISNUMBER(SEARCH("R65",G137))*65,0)+IFERROR(--ISNUMBER(SEARCH("R66",G137))*66,0)+IFERROR(--ISNUMBER(SEARCH("R67",G137))*67,0)+IFERROR(--ISNUMBER(SEARCH("R68",G137))*68,0)+IFERROR(--ISNUMBER(SEARCH("R69",G137))*69,0)+IFERROR(--ISNUMBER(SEARCH("R70",G137))*70,0)+IFERROR(--ISNUMBER(SEARCH("R71",G137))*71,0)+IFERROR(--ISNUMBER(SEARCH("R72",G137))*72,0)+IFERROR(--ISNUMBER(SEARCH("R73",G137))*73,0)+IFERROR(--ISNUMBER(SEARCH("R74",G137))*74,0)+IFERROR(--ISNUMBER(SEARCH("R75",G137))*75,0)+IFERROR(--ISNUMBER(SEARCH("R76",G137))*76,0)+IFERROR(--ISNUMBER(SEARCH("R77",G137))*77,0)+IFERROR(--ISNUMBER(SEARCH("R78",G137))*78,0)+IFERROR(--ISNUMBER(SEARCH("R79",G137))*79,0)+IFERROR(--ISNUMBER(SEARCH("R80",G137))*80,0)+IFERROR(--ISNUMBER(SEARCH("R81",G137))*81,0)+IFERROR(--ISNUMBER(SEARCH("R82",G137))*82,0)+IFERROR(--ISNUMBER(SEARCH("R83",G137))*83,0)+IFERROR(--ISNUMBER(SEARCH("R84",G137))*84,0)+IFERROR(--ISNUMBER(SEARCH("R85",G137))*85,0)+IFERROR(--ISNUMBER(SEARCH("R86",G137))*86,0)+IFERROR(--ISNUMBER(SEARCH("R87",G137))*87,0)+IFERROR(--ISNUMBER(SEARCH("R88",G137))*88,0)+IFERROR(--ISNUMBER(SEARCH("R89",G137))*89,0)+IFERROR(--ISNUMBER(SEARCH("R90",G137))*90,0)+IFERROR(--ISNUMBER(SEARCH("R91",G137))*91,0)+IFERROR(--ISNUMBER(SEARCH("R92",G137))*92,0)+IFERROR(--ISNUMBER(SEARCH("R93",G137))*93,0)+IFERROR(--ISNUMBER(SEARCH("R94",G137))*94,0)+IFERROR(--ISNUMBER(SEARCH("R95",G137))*95,0)+IFERROR(--ISNUMBER(SEARCH("R96",G137))*96,0)+IFERROR(--ISNUMBER(SEARCH("R97",G137))*97,0)+IFERROR(--ISNUMBER(SEARCH("R98",G137))*98,0)+IFERROR(--ISNUMBER(SEARCH("R99",G137))*99,0)+IFERROR(--ISNUMBER(SEARCH("R100",G137))*100,0)+IFERROR(--ISNUMBER(SEARCH("R101",G137))*101,0)+IFERROR(--ISNUMBER(SEARCH("R102",G137))*102,0)+IFERROR(--ISNUMBER(SEARCH("R103",G137))*103,0)+IFERROR(--ISNUMBER(SEARCH("R104",G137))*104,0)+IFERROR(--ISNUMBER(SEARCH("R105",G137))*105,0)+IFERROR(--ISNUMBER(SEARCH("R106",G137))*106,0)+IFERROR(--ISNUMBER(SEARCH("R107",G137))*107,0)+IFERROR(--ISNUMBER(SEARCH("R108",G137))*108,0)+IFERROR(--ISNUMBER(SEARCH("R109",G137))*109,0)+IFERROR(--ISNUMBER(SEARCH("R110",G137))*110,0)+IFERROR(--ISNUMBER(SEARCH("R111",G137))*111,0)+IFERROR(--ISNUMBER(SEARCH("R112",G137))*112,0)+IFERROR(--ISNUMBER(SEARCH("R113",G137))*113,0)+IFERROR(--ISNUMBER(SEARCH("R114",G137))*114,0)+IFERROR(--ISNUMBER(SEARCH("R115",G137))*115,0)+IFERROR(--ISNUMBER(SEARCH("R116",G137))*116,0)+IFERROR(--ISNUMBER(SEARCH("R117",G137))*117,0)+IFERROR(--ISNUMBER(SEARCH("R118",G137))*118,0)+IFERROR(--ISNUMBER(SEARCH("R119",G137))*119,0)+IFERROR(--ISNUMBER(SEARCH("R120",G137))*120,0)+IFERROR(--ISNUMBER(SEARCH("R121",G137))*121,0)+IFERROR(--ISNUMBER(SEARCH("R122",G137))*122,0)+IFERROR(--ISNUMBER(SEARCH("R123",G137))*123,0)+IFERROR(--ISNUMBER(SEARCH("R124",G137))*124,0)+IFERROR(--ISNUMBER(SEARCH("R125",G137))*125,0)+IFERROR(--ISNUMBER(SEARCH("R126",G137))*126,0)+IFERROR(--ISNUMBER(SEARCH("R127",G137))*127,0)+IFERROR(--ISNUMBER(SEARCH("R128",G137))*128,0)+IFERROR(--ISNUMBER(SEARCH("R129",G137))*129,0)+IFERROR(--ISNUMBER(SEARCH("R130",G137))*130,0)+IFERROR(--ISNUMBER(SEARCH("R131",G137))*131,0)+IFERROR(--ISNUMBER(SEARCH("R132",G137))*132,0)+IFERROR(--ISNUMBER(SEARCH("R133",G137))*133,0)+IFERROR(--ISNUMBER(SEARCH("R134",G137))*134,0)+IFERROR(--ISNUMBER(SEARCH("R135",G137))*135,0)+IFERROR(--ISNUMBER(SEARCH("R136",G137))*136,0)+IFERROR(--ISNUMBER(SEARCH("R137",G137))*137,0)+IFERROR(--ISNUMBER(SEARCH("R138",G137))*138,0)+IFERROR(--ISNUMBER(SEARCH("R139",G137))*139,0)+IFERROR(--ISNUMBER(SEARCH("R140",G137))*140,0)+IFERROR(--ISNUMBER(SEARCH("R141",G137))*141,0))</f>
        <v/>
      </c>
      <c r="V137" s="59">
        <f>IF(A137="","",IF(K137&lt;&gt;"",K137,J137))</f>
        <v/>
      </c>
      <c r="W137" s="59">
        <f>IF(A137="","",IF(AND(V137=29,O137&lt;&gt;"",COUNTIFS($V$6:$V$505,29,$F$6:$F$505,F137,$C$6:$C$505,C137,$O$6:$O$505,"&lt;&gt;")&gt;1),IF(COUNTIFS($V$6:V137,29,$F$6:F137,F137,$C$6:C137,C137,$O$6:O137,"&lt;&gt;")=1,"Esta es la fila que se debe CONSERVAR (aparición 1 de "&amp;COUNTIFS($V$6:$V$505,29,$F$6:$F$505,F137,$C$6:$C$505,C137,$O$6:$O$505,"&lt;&gt;")&amp;" con el mismo tercero y valor, casilla 29). Si hay más filas iguales, bórreles el valor a ELLAS, no a esta.","DUPLICADO — ya existe otra fila con el mismo tercero y valor para casilla 29 (aparición "&amp;COUNTIFS($V$6:V137,29,$F$6:F137,F137,$C$6:C137,C137,$O$6:O137,"&lt;&gt;")&amp;" de "&amp;COUNTIFS($V$6:$V$505,29,$F$6:$F$505,F137,$C$6:$C$505,C137,$O$6:$O$505,"&lt;&gt;")&amp;"). Para resolverlo: seleccione la celda O"&amp;ROW()&amp;" (columna Valor a declarar de ESTA fila) y presione Supr."),""))</f>
        <v/>
      </c>
      <c r="X137" s="463">
        <f>IF(A137="","",F137)</f>
        <v/>
      </c>
      <c r="Y137" s="463">
        <f>IF(A137="","",SUMIF(Entrada_Manual!$I$88:$I$187,A137,Entrada_Manual!$F$88:$F$187))</f>
        <v/>
      </c>
      <c r="Z137" s="463">
        <f>IF(A137="","",X137-Y137)</f>
        <v/>
      </c>
      <c r="AA137">
        <f>IF(A137="","",SUMPRODUCT((Entrada_Manual!$I$88:$I$187=A137)*1))</f>
        <v/>
      </c>
      <c r="AB137">
        <f>IF(A137="","",IF(S137&lt;=1,"",IF(AA137=0,"PENDIENTE — SIN ASIGNAR",IF(Z137=0,"RESUELTO","PARCIAL — DIFERENCIA "&amp;TEXT(Z137,"#,##0")))))</f>
        <v/>
      </c>
    </row>
    <row r="138" ht="14.25" customHeight="1" s="235">
      <c r="A138" s="47">
        <f>IF(Exogena_RAW!E147&lt;&gt;"",ROW()-5,"")</f>
        <v/>
      </c>
      <c r="B138" s="48">
        <f>IF(A138="","",147)</f>
        <v/>
      </c>
      <c r="C138" s="48">
        <f>IF(A138="","",IFERROR(Exogena_RAW!A147,""))</f>
        <v/>
      </c>
      <c r="D138" s="48">
        <f>IF(A138="","",IFERROR(Exogena_RAW!B147,""))</f>
        <v/>
      </c>
      <c r="E138" s="48">
        <f>IF(A138="","",Exogena_RAW!E147)</f>
        <v/>
      </c>
      <c r="F138" s="461">
        <f>IF(A138="","",Exogena_RAW!F147)</f>
        <v/>
      </c>
      <c r="G138" s="48">
        <f>IF(A138="","",IFERROR(Exogena_RAW!G147,""))</f>
        <v/>
      </c>
      <c r="H138" s="48">
        <f>IF(A138="","",IFERROR(Exogena_RAW!H147,""))</f>
        <v/>
      </c>
      <c r="I138" s="48">
        <f>IF(A138="","",IFERROR(IF(S138&gt;1,"VARIAS CASILLAS",IF(S138=1,IF(T138=1,"PROPUESTA DE CASILLA","REVISIÓN: CASILLA NO DIRECTA"),IF(OR(ISNUMBER(SEARCH("TOPE",UPPER(E138))),ISNUMBER(SEARCH("TOPE",UPPER(G138)))),"SOLO CONTROL",IF(ISNUMBER(SEARCH("RETEN",UPPER(E138))),"RETENCIÓN","REVISAR")))),"REVISAR"))</f>
        <v/>
      </c>
      <c r="J138" s="48">
        <f>IF(A138="","",IF(ISNUMBER(SEARCH("ingreso laboral promedio de los últimos seis meses",E138)),"",IFERROR(IF(AND(S138=1,T138=1),U138,""),"")))</f>
        <v/>
      </c>
      <c r="K138" s="216" t="n"/>
      <c r="L138" s="48">
        <f>IF(A138="","",IFERROR(IF(K138&lt;&gt;"","Casilla elegida por usuario",IF(S138&gt;1,"Varias casillas — elegir en K",IF(J138&lt;&gt;"","Sugerencia directa",IF(S138=1,"No trasladar directo — revisar",IF(OR(ISNUMBER(SEARCH("TOPE",UPPER(E138))),ISNUMBER(SEARCH("TOPE",UPPER(G138)))),"Solo control","Revisar manualmente"))))),"Revisar manualmente"))</f>
        <v/>
      </c>
      <c r="M138" s="461">
        <f>IF(A138="","",IF(IF(K138&lt;&gt;"",K138,J138)="",0,IF(COUNTIFS(Reglas!$I$5:$I$118,IF(K138&lt;&gt;"",K138,J138),Reglas!$J$5:$J$118,"Sí")=1,F138,0)))</f>
        <v/>
      </c>
      <c r="N138" s="56" t="n"/>
      <c r="O138" s="462">
        <f>IF(A138="","",IF(M138=0,"",M138))</f>
        <v/>
      </c>
      <c r="P138" s="461">
        <f>IF(A138="","",IF(O138="",0,IF(ISNUMBER(O138),O138,0)))</f>
        <v/>
      </c>
      <c r="Q138" s="48">
        <f>IF(A138="","",IF(Exogena_RAW!$C$4="","BLOQUEADO: FALTA AÑO",IF(Exogena_RAW!$K$10&lt;&gt;Reglas!$B$5,"BLOQUEADO: AÑO",IF(IF(K138&lt;&gt;"",K138,J138)="",IF(S138&gt;1,"REQUIERE ASIGNACIÓN MANUAL (VARIAS CASILLAS)","INFORMATIVO (sin casilla — no se declara)"),IF(COUNTIFS(Reglas!$I$5:$I$118,IF(K138&lt;&gt;"",K138,J138),Reglas!$J$5:$J$118,"Sí")=0,"BLOQUEADO: CASILLA NO DIRECTA",IF(O138="","EXCLUIDO (valor borrado por el usuario)",IF(_xlfn.ISFORMULA(O138),IF(W138&lt;&gt;"","BORRADOR — VALOR SUGERIDO DIAN ⚠ VER ALERTA","BORRADOR — VALOR SUGERIDO DIAN"),IF(W138&lt;&gt;"","ACEPTADO ⚠ VER ALERTA","ACEPTADO"))))))))</f>
        <v/>
      </c>
      <c r="R138" s="218" t="n"/>
      <c r="S138" s="58">
        <f>IF(A138="","",IFERROR(--ISNUMBER(SEARCH("R28",G138)),0)+IFERROR(--ISNUMBER(SEARCH("R29",G138)),0)+IFERROR(--ISNUMBER(SEARCH("R30",G138)),0)+IFERROR(--ISNUMBER(SEARCH("R31",G138)),0)+IFERROR(--ISNUMBER(SEARCH("R32",G138)),0)+IFERROR(--ISNUMBER(SEARCH("R33",G138)),0)+IFERROR(--ISNUMBER(SEARCH("R34",G138)),0)+IFERROR(--ISNUMBER(SEARCH("R35",G138)),0)+IFERROR(--ISNUMBER(SEARCH("R36",G138)),0)+IFERROR(--ISNUMBER(SEARCH("R37",G138)),0)+IFERROR(--ISNUMBER(SEARCH("R38",G138)),0)+IFERROR(--ISNUMBER(SEARCH("R39",G138)),0)+IFERROR(--ISNUMBER(SEARCH("R40",G138)),0)+IFERROR(--ISNUMBER(SEARCH("R41",G138)),0)+IFERROR(--ISNUMBER(SEARCH("R42",G138)),0)+IFERROR(--ISNUMBER(SEARCH("R43",G138)),0)+IFERROR(--ISNUMBER(SEARCH("R44",G138)),0)+IFERROR(--ISNUMBER(SEARCH("R45",G138)),0)+IFERROR(--ISNUMBER(SEARCH("R46",G138)),0)+IFERROR(--ISNUMBER(SEARCH("R47",G138)),0)+IFERROR(--ISNUMBER(SEARCH("R48",G138)),0)+IFERROR(--ISNUMBER(SEARCH("R49",G138)),0)+IFERROR(--ISNUMBER(SEARCH("R50",G138)),0)+IFERROR(--ISNUMBER(SEARCH("R51",G138)),0)+IFERROR(--ISNUMBER(SEARCH("R52",G138)),0)+IFERROR(--ISNUMBER(SEARCH("R53",G138)),0)+IFERROR(--ISNUMBER(SEARCH("R54",G138)),0)+IFERROR(--ISNUMBER(SEARCH("R55",G138)),0)+IFERROR(--ISNUMBER(SEARCH("R56",G138)),0)+IFERROR(--ISNUMBER(SEARCH("R57",G138)),0)+IFERROR(--ISNUMBER(SEARCH("R58",G138)),0)+IFERROR(--ISNUMBER(SEARCH("R59",G138)),0)+IFERROR(--ISNUMBER(SEARCH("R60",G138)),0)+IFERROR(--ISNUMBER(SEARCH("R61",G138)),0)+IFERROR(--ISNUMBER(SEARCH("R62",G138)),0)+IFERROR(--ISNUMBER(SEARCH("R63",G138)),0)+IFERROR(--ISNUMBER(SEARCH("R64",G138)),0)+IFERROR(--ISNUMBER(SEARCH("R65",G138)),0)+IFERROR(--ISNUMBER(SEARCH("R66",G138)),0)+IFERROR(--ISNUMBER(SEARCH("R67",G138)),0)+IFERROR(--ISNUMBER(SEARCH("R68",G138)),0)+IFERROR(--ISNUMBER(SEARCH("R69",G138)),0)+IFERROR(--ISNUMBER(SEARCH("R70",G138)),0)+IFERROR(--ISNUMBER(SEARCH("R71",G138)),0)+IFERROR(--ISNUMBER(SEARCH("R72",G138)),0)+IFERROR(--ISNUMBER(SEARCH("R73",G138)),0)+IFERROR(--ISNUMBER(SEARCH("R74",G138)),0)+IFERROR(--ISNUMBER(SEARCH("R75",G138)),0)+IFERROR(--ISNUMBER(SEARCH("R76",G138)),0)+IFERROR(--ISNUMBER(SEARCH("R77",G138)),0)+IFERROR(--ISNUMBER(SEARCH("R78",G138)),0)+IFERROR(--ISNUMBER(SEARCH("R79",G138)),0)+IFERROR(--ISNUMBER(SEARCH("R80",G138)),0)+IFERROR(--ISNUMBER(SEARCH("R81",G138)),0)+IFERROR(--ISNUMBER(SEARCH("R82",G138)),0)+IFERROR(--ISNUMBER(SEARCH("R83",G138)),0)+IFERROR(--ISNUMBER(SEARCH("R84",G138)),0)+IFERROR(--ISNUMBER(SEARCH("R85",G138)),0)+IFERROR(--ISNUMBER(SEARCH("R86",G138)),0)+IFERROR(--ISNUMBER(SEARCH("R87",G138)),0)+IFERROR(--ISNUMBER(SEARCH("R88",G138)),0)+IFERROR(--ISNUMBER(SEARCH("R89",G138)),0)+IFERROR(--ISNUMBER(SEARCH("R90",G138)),0)+IFERROR(--ISNUMBER(SEARCH("R91",G138)),0)+IFERROR(--ISNUMBER(SEARCH("R92",G138)),0)+IFERROR(--ISNUMBER(SEARCH("R93",G138)),0)+IFERROR(--ISNUMBER(SEARCH("R94",G138)),0)+IFERROR(--ISNUMBER(SEARCH("R95",G138)),0)+IFERROR(--ISNUMBER(SEARCH("R96",G138)),0)+IFERROR(--ISNUMBER(SEARCH("R97",G138)),0)+IFERROR(--ISNUMBER(SEARCH("R98",G138)),0)+IFERROR(--ISNUMBER(SEARCH("R99",G138)),0)+IFERROR(--ISNUMBER(SEARCH("R100",G138)),0)+IFERROR(--ISNUMBER(SEARCH("R101",G138)),0)+IFERROR(--ISNUMBER(SEARCH("R102",G138)),0)+IFERROR(--ISNUMBER(SEARCH("R103",G138)),0)+IFERROR(--ISNUMBER(SEARCH("R104",G138)),0)+IFERROR(--ISNUMBER(SEARCH("R105",G138)),0)+IFERROR(--ISNUMBER(SEARCH("R106",G138)),0)+IFERROR(--ISNUMBER(SEARCH("R107",G138)),0)+IFERROR(--ISNUMBER(SEARCH("R108",G138)),0)+IFERROR(--ISNUMBER(SEARCH("R109",G138)),0)+IFERROR(--ISNUMBER(SEARCH("R110",G138)),0)+IFERROR(--ISNUMBER(SEARCH("R111",G138)),0)+IFERROR(--ISNUMBER(SEARCH("R112",G138)),0)+IFERROR(--ISNUMBER(SEARCH("R113",G138)),0)+IFERROR(--ISNUMBER(SEARCH("R114",G138)),0)+IFERROR(--ISNUMBER(SEARCH("R115",G138)),0)+IFERROR(--ISNUMBER(SEARCH("R116",G138)),0)+IFERROR(--ISNUMBER(SEARCH("R117",G138)),0)+IFERROR(--ISNUMBER(SEARCH("R118",G138)),0)+IFERROR(--ISNUMBER(SEARCH("R119",G138)),0)+IFERROR(--ISNUMBER(SEARCH("R120",G138)),0)+IFERROR(--ISNUMBER(SEARCH("R121",G138)),0)+IFERROR(--ISNUMBER(SEARCH("R122",G138)),0)+IFERROR(--ISNUMBER(SEARCH("R123",G138)),0)+IFERROR(--ISNUMBER(SEARCH("R124",G138)),0)+IFERROR(--ISNUMBER(SEARCH("R125",G138)),0)+IFERROR(--ISNUMBER(SEARCH("R126",G138)),0)+IFERROR(--ISNUMBER(SEARCH("R127",G138)),0)+IFERROR(--ISNUMBER(SEARCH("R128",G138)),0)+IFERROR(--ISNUMBER(SEARCH("R129",G138)),0)+IFERROR(--ISNUMBER(SEARCH("R130",G138)),0)+IFERROR(--ISNUMBER(SEARCH("R131",G138)),0)+IFERROR(--ISNUMBER(SEARCH("R132",G138)),0)+IFERROR(--ISNUMBER(SEARCH("R133",G138)),0)+IFERROR(--ISNUMBER(SEARCH("R134",G138)),0)+IFERROR(--ISNUMBER(SEARCH("R135",G138)),0)+IFERROR(--ISNUMBER(SEARCH("R136",G138)),0)+IFERROR(--ISNUMBER(SEARCH("R137",G138)),0)+IFERROR(--ISNUMBER(SEARCH("R138",G138)),0)+IFERROR(--ISNUMBER(SEARCH("R139",G138)),0)+IFERROR(--ISNUMBER(SEARCH("R140",G138)),0)+IFERROR(--ISNUMBER(SEARCH("R141",G138)),0))</f>
        <v/>
      </c>
      <c r="T138" s="58">
        <f>IF(A138="","",IFERROR(--ISNUMBER(SEARCH("R28",G138)),0)+IFERROR(--ISNUMBER(SEARCH("R29",G138)),0)+IFERROR(--ISNUMBER(SEARCH("R30",G138)),0)+IFERROR(--ISNUMBER(SEARCH("R32",G138)),0)+IFERROR(--ISNUMBER(SEARCH("R33",G138)),0)+IFERROR(--ISNUMBER(SEARCH("R35",G138)),0)+IFERROR(--ISNUMBER(SEARCH("R36",G138)),0)+IFERROR(--ISNUMBER(SEARCH("R38",G138)),0)+IFERROR(--ISNUMBER(SEARCH("R39",G138)),0)+IFERROR(--ISNUMBER(SEARCH("R43",G138)),0)+IFERROR(--ISNUMBER(SEARCH("R44",G138)),0)+IFERROR(--ISNUMBER(SEARCH("R45",G138)),0)+IFERROR(--ISNUMBER(SEARCH("R47",G138)),0)+IFERROR(--ISNUMBER(SEARCH("R48",G138)),0)+IFERROR(--ISNUMBER(SEARCH("R50",G138)),0)+IFERROR(--ISNUMBER(SEARCH("R51",G138)),0)+IFERROR(--ISNUMBER(SEARCH("R56",G138)),0)+IFERROR(--ISNUMBER(SEARCH("R58",G138)),0)+IFERROR(--ISNUMBER(SEARCH("R59",G138)),0)+IFERROR(--ISNUMBER(SEARCH("R60",G138)),0)+IFERROR(--ISNUMBER(SEARCH("R62",G138)),0)+IFERROR(--ISNUMBER(SEARCH("R63",G138)),0)+IFERROR(--ISNUMBER(SEARCH("R64",G138)),0)+IFERROR(--ISNUMBER(SEARCH("R66",G138)),0)+IFERROR(--ISNUMBER(SEARCH("R67",G138)),0)+IFERROR(--ISNUMBER(SEARCH("R72",G138)),0)+IFERROR(--ISNUMBER(SEARCH("R74",G138)),0)+IFERROR(--ISNUMBER(SEARCH("R75",G138)),0)+IFERROR(--ISNUMBER(SEARCH("R76",G138)),0)+IFERROR(--ISNUMBER(SEARCH("R77",G138)),0)+IFERROR(--ISNUMBER(SEARCH("R79",G138)),0)+IFERROR(--ISNUMBER(SEARCH("R80",G138)),0)+IFERROR(--ISNUMBER(SEARCH("R81",G138)),0)+IFERROR(--ISNUMBER(SEARCH("R83",G138)),0)+IFERROR(--ISNUMBER(SEARCH("R84",G138)),0)+IFERROR(--ISNUMBER(SEARCH("R89",G138)),0)+IFERROR(--ISNUMBER(SEARCH("R94",G138)),0)+IFERROR(--ISNUMBER(SEARCH("R95",G138)),0)+IFERROR(--ISNUMBER(SEARCH("R96",G138)),0)+IFERROR(--ISNUMBER(SEARCH("R98",G138)),0)+IFERROR(--ISNUMBER(SEARCH("R99",G138)),0)+IFERROR(--ISNUMBER(SEARCH("R100",G138)),0)+IFERROR(--ISNUMBER(SEARCH("R104",G138)),0)+IFERROR(--ISNUMBER(SEARCH("R105",G138)),0)+IFERROR(--ISNUMBER(SEARCH("R107",G138)),0)+IFERROR(--ISNUMBER(SEARCH("R108",G138)),0)+IFERROR(--ISNUMBER(SEARCH("R109",G138)),0)+IFERROR(--ISNUMBER(SEARCH("R110",G138)),0)+IFERROR(--ISNUMBER(SEARCH("R112",G138)),0)+IFERROR(--ISNUMBER(SEARCH("R113",G138)),0)+IFERROR(--ISNUMBER(SEARCH("R114",G138)),0)+IFERROR(--ISNUMBER(SEARCH("R118",G138)),0)+IFERROR(--ISNUMBER(SEARCH("R119",G138)),0)+IFERROR(--ISNUMBER(SEARCH("R120",G138)),0)+IFERROR(--ISNUMBER(SEARCH("R122",G138)),0)+IFERROR(--ISNUMBER(SEARCH("R123",G138)),0)+IFERROR(--ISNUMBER(SEARCH("R124",G138)),0)+IFERROR(--ISNUMBER(SEARCH("R128",G138)),0)+IFERROR(--ISNUMBER(SEARCH("R130",G138)),0)+IFERROR(--ISNUMBER(SEARCH("R131",G138)),0)+IFERROR(--ISNUMBER(SEARCH("R132",G138)),0)+IFERROR(--ISNUMBER(SEARCH("R135",G138)),0)+IFERROR(--ISNUMBER(SEARCH("R138",G138)),0)+IFERROR(--ISNUMBER(SEARCH("R141",G138)),0))</f>
        <v/>
      </c>
      <c r="U138" s="58">
        <f>IF(A138="","",IFERROR(--ISNUMBER(SEARCH("R28",G138))*28,0)+IFERROR(--ISNUMBER(SEARCH("R29",G138))*29,0)+IFERROR(--ISNUMBER(SEARCH("R30",G138))*30,0)+IFERROR(--ISNUMBER(SEARCH("R31",G138))*31,0)+IFERROR(--ISNUMBER(SEARCH("R32",G138))*32,0)+IFERROR(--ISNUMBER(SEARCH("R33",G138))*33,0)+IFERROR(--ISNUMBER(SEARCH("R34",G138))*34,0)+IFERROR(--ISNUMBER(SEARCH("R35",G138))*35,0)+IFERROR(--ISNUMBER(SEARCH("R36",G138))*36,0)+IFERROR(--ISNUMBER(SEARCH("R37",G138))*37,0)+IFERROR(--ISNUMBER(SEARCH("R38",G138))*38,0)+IFERROR(--ISNUMBER(SEARCH("R39",G138))*39,0)+IFERROR(--ISNUMBER(SEARCH("R40",G138))*40,0)+IFERROR(--ISNUMBER(SEARCH("R41",G138))*41,0)+IFERROR(--ISNUMBER(SEARCH("R42",G138))*42,0)+IFERROR(--ISNUMBER(SEARCH("R43",G138))*43,0)+IFERROR(--ISNUMBER(SEARCH("R44",G138))*44,0)+IFERROR(--ISNUMBER(SEARCH("R45",G138))*45,0)+IFERROR(--ISNUMBER(SEARCH("R46",G138))*46,0)+IFERROR(--ISNUMBER(SEARCH("R47",G138))*47,0)+IFERROR(--ISNUMBER(SEARCH("R48",G138))*48,0)+IFERROR(--ISNUMBER(SEARCH("R49",G138))*49,0)+IFERROR(--ISNUMBER(SEARCH("R50",G138))*50,0)+IFERROR(--ISNUMBER(SEARCH("R51",G138))*51,0)+IFERROR(--ISNUMBER(SEARCH("R52",G138))*52,0)+IFERROR(--ISNUMBER(SEARCH("R53",G138))*53,0)+IFERROR(--ISNUMBER(SEARCH("R54",G138))*54,0)+IFERROR(--ISNUMBER(SEARCH("R55",G138))*55,0)+IFERROR(--ISNUMBER(SEARCH("R56",G138))*56,0)+IFERROR(--ISNUMBER(SEARCH("R57",G138))*57,0)+IFERROR(--ISNUMBER(SEARCH("R58",G138))*58,0)+IFERROR(--ISNUMBER(SEARCH("R59",G138))*59,0)+IFERROR(--ISNUMBER(SEARCH("R60",G138))*60,0)+IFERROR(--ISNUMBER(SEARCH("R61",G138))*61,0)+IFERROR(--ISNUMBER(SEARCH("R62",G138))*62,0)+IFERROR(--ISNUMBER(SEARCH("R63",G138))*63,0)+IFERROR(--ISNUMBER(SEARCH("R64",G138))*64,0)+IFERROR(--ISNUMBER(SEARCH("R65",G138))*65,0)+IFERROR(--ISNUMBER(SEARCH("R66",G138))*66,0)+IFERROR(--ISNUMBER(SEARCH("R67",G138))*67,0)+IFERROR(--ISNUMBER(SEARCH("R68",G138))*68,0)+IFERROR(--ISNUMBER(SEARCH("R69",G138))*69,0)+IFERROR(--ISNUMBER(SEARCH("R70",G138))*70,0)+IFERROR(--ISNUMBER(SEARCH("R71",G138))*71,0)+IFERROR(--ISNUMBER(SEARCH("R72",G138))*72,0)+IFERROR(--ISNUMBER(SEARCH("R73",G138))*73,0)+IFERROR(--ISNUMBER(SEARCH("R74",G138))*74,0)+IFERROR(--ISNUMBER(SEARCH("R75",G138))*75,0)+IFERROR(--ISNUMBER(SEARCH("R76",G138))*76,0)+IFERROR(--ISNUMBER(SEARCH("R77",G138))*77,0)+IFERROR(--ISNUMBER(SEARCH("R78",G138))*78,0)+IFERROR(--ISNUMBER(SEARCH("R79",G138))*79,0)+IFERROR(--ISNUMBER(SEARCH("R80",G138))*80,0)+IFERROR(--ISNUMBER(SEARCH("R81",G138))*81,0)+IFERROR(--ISNUMBER(SEARCH("R82",G138))*82,0)+IFERROR(--ISNUMBER(SEARCH("R83",G138))*83,0)+IFERROR(--ISNUMBER(SEARCH("R84",G138))*84,0)+IFERROR(--ISNUMBER(SEARCH("R85",G138))*85,0)+IFERROR(--ISNUMBER(SEARCH("R86",G138))*86,0)+IFERROR(--ISNUMBER(SEARCH("R87",G138))*87,0)+IFERROR(--ISNUMBER(SEARCH("R88",G138))*88,0)+IFERROR(--ISNUMBER(SEARCH("R89",G138))*89,0)+IFERROR(--ISNUMBER(SEARCH("R90",G138))*90,0)+IFERROR(--ISNUMBER(SEARCH("R91",G138))*91,0)+IFERROR(--ISNUMBER(SEARCH("R92",G138))*92,0)+IFERROR(--ISNUMBER(SEARCH("R93",G138))*93,0)+IFERROR(--ISNUMBER(SEARCH("R94",G138))*94,0)+IFERROR(--ISNUMBER(SEARCH("R95",G138))*95,0)+IFERROR(--ISNUMBER(SEARCH("R96",G138))*96,0)+IFERROR(--ISNUMBER(SEARCH("R97",G138))*97,0)+IFERROR(--ISNUMBER(SEARCH("R98",G138))*98,0)+IFERROR(--ISNUMBER(SEARCH("R99",G138))*99,0)+IFERROR(--ISNUMBER(SEARCH("R100",G138))*100,0)+IFERROR(--ISNUMBER(SEARCH("R101",G138))*101,0)+IFERROR(--ISNUMBER(SEARCH("R102",G138))*102,0)+IFERROR(--ISNUMBER(SEARCH("R103",G138))*103,0)+IFERROR(--ISNUMBER(SEARCH("R104",G138))*104,0)+IFERROR(--ISNUMBER(SEARCH("R105",G138))*105,0)+IFERROR(--ISNUMBER(SEARCH("R106",G138))*106,0)+IFERROR(--ISNUMBER(SEARCH("R107",G138))*107,0)+IFERROR(--ISNUMBER(SEARCH("R108",G138))*108,0)+IFERROR(--ISNUMBER(SEARCH("R109",G138))*109,0)+IFERROR(--ISNUMBER(SEARCH("R110",G138))*110,0)+IFERROR(--ISNUMBER(SEARCH("R111",G138))*111,0)+IFERROR(--ISNUMBER(SEARCH("R112",G138))*112,0)+IFERROR(--ISNUMBER(SEARCH("R113",G138))*113,0)+IFERROR(--ISNUMBER(SEARCH("R114",G138))*114,0)+IFERROR(--ISNUMBER(SEARCH("R115",G138))*115,0)+IFERROR(--ISNUMBER(SEARCH("R116",G138))*116,0)+IFERROR(--ISNUMBER(SEARCH("R117",G138))*117,0)+IFERROR(--ISNUMBER(SEARCH("R118",G138))*118,0)+IFERROR(--ISNUMBER(SEARCH("R119",G138))*119,0)+IFERROR(--ISNUMBER(SEARCH("R120",G138))*120,0)+IFERROR(--ISNUMBER(SEARCH("R121",G138))*121,0)+IFERROR(--ISNUMBER(SEARCH("R122",G138))*122,0)+IFERROR(--ISNUMBER(SEARCH("R123",G138))*123,0)+IFERROR(--ISNUMBER(SEARCH("R124",G138))*124,0)+IFERROR(--ISNUMBER(SEARCH("R125",G138))*125,0)+IFERROR(--ISNUMBER(SEARCH("R126",G138))*126,0)+IFERROR(--ISNUMBER(SEARCH("R127",G138))*127,0)+IFERROR(--ISNUMBER(SEARCH("R128",G138))*128,0)+IFERROR(--ISNUMBER(SEARCH("R129",G138))*129,0)+IFERROR(--ISNUMBER(SEARCH("R130",G138))*130,0)+IFERROR(--ISNUMBER(SEARCH("R131",G138))*131,0)+IFERROR(--ISNUMBER(SEARCH("R132",G138))*132,0)+IFERROR(--ISNUMBER(SEARCH("R133",G138))*133,0)+IFERROR(--ISNUMBER(SEARCH("R134",G138))*134,0)+IFERROR(--ISNUMBER(SEARCH("R135",G138))*135,0)+IFERROR(--ISNUMBER(SEARCH("R136",G138))*136,0)+IFERROR(--ISNUMBER(SEARCH("R137",G138))*137,0)+IFERROR(--ISNUMBER(SEARCH("R138",G138))*138,0)+IFERROR(--ISNUMBER(SEARCH("R139",G138))*139,0)+IFERROR(--ISNUMBER(SEARCH("R140",G138))*140,0)+IFERROR(--ISNUMBER(SEARCH("R141",G138))*141,0))</f>
        <v/>
      </c>
      <c r="V138" s="59">
        <f>IF(A138="","",IF(K138&lt;&gt;"",K138,J138))</f>
        <v/>
      </c>
      <c r="W138" s="59">
        <f>IF(A138="","",IF(AND(V138=29,O138&lt;&gt;"",COUNTIFS($V$6:$V$505,29,$F$6:$F$505,F138,$C$6:$C$505,C138,$O$6:$O$505,"&lt;&gt;")&gt;1),IF(COUNTIFS($V$6:V138,29,$F$6:F138,F138,$C$6:C138,C138,$O$6:O138,"&lt;&gt;")=1,"Esta es la fila que se debe CONSERVAR (aparición 1 de "&amp;COUNTIFS($V$6:$V$505,29,$F$6:$F$505,F138,$C$6:$C$505,C138,$O$6:$O$505,"&lt;&gt;")&amp;" con el mismo tercero y valor, casilla 29). Si hay más filas iguales, bórreles el valor a ELLAS, no a esta.","DUPLICADO — ya existe otra fila con el mismo tercero y valor para casilla 29 (aparición "&amp;COUNTIFS($V$6:V138,29,$F$6:F138,F138,$C$6:C138,C138,$O$6:O138,"&lt;&gt;")&amp;" de "&amp;COUNTIFS($V$6:$V$505,29,$F$6:$F$505,F138,$C$6:$C$505,C138,$O$6:$O$505,"&lt;&gt;")&amp;"). Para resolverlo: seleccione la celda O"&amp;ROW()&amp;" (columna Valor a declarar de ESTA fila) y presione Supr."),""))</f>
        <v/>
      </c>
      <c r="X138" s="463">
        <f>IF(A138="","",F138)</f>
        <v/>
      </c>
      <c r="Y138" s="463">
        <f>IF(A138="","",SUMIF(Entrada_Manual!$I$88:$I$187,A138,Entrada_Manual!$F$88:$F$187))</f>
        <v/>
      </c>
      <c r="Z138" s="463">
        <f>IF(A138="","",X138-Y138)</f>
        <v/>
      </c>
      <c r="AA138">
        <f>IF(A138="","",SUMPRODUCT((Entrada_Manual!$I$88:$I$187=A138)*1))</f>
        <v/>
      </c>
      <c r="AB138">
        <f>IF(A138="","",IF(S138&lt;=1,"",IF(AA138=0,"PENDIENTE — SIN ASIGNAR",IF(Z138=0,"RESUELTO","PARCIAL — DIFERENCIA "&amp;TEXT(Z138,"#,##0")))))</f>
        <v/>
      </c>
    </row>
    <row r="139" ht="14.25" customHeight="1" s="235">
      <c r="A139" s="47">
        <f>IF(Exogena_RAW!E148&lt;&gt;"",ROW()-5,"")</f>
        <v/>
      </c>
      <c r="B139" s="48">
        <f>IF(A139="","",148)</f>
        <v/>
      </c>
      <c r="C139" s="48">
        <f>IF(A139="","",IFERROR(Exogena_RAW!A148,""))</f>
        <v/>
      </c>
      <c r="D139" s="48">
        <f>IF(A139="","",IFERROR(Exogena_RAW!B148,""))</f>
        <v/>
      </c>
      <c r="E139" s="48">
        <f>IF(A139="","",Exogena_RAW!E148)</f>
        <v/>
      </c>
      <c r="F139" s="461">
        <f>IF(A139="","",Exogena_RAW!F148)</f>
        <v/>
      </c>
      <c r="G139" s="48">
        <f>IF(A139="","",IFERROR(Exogena_RAW!G148,""))</f>
        <v/>
      </c>
      <c r="H139" s="48">
        <f>IF(A139="","",IFERROR(Exogena_RAW!H148,""))</f>
        <v/>
      </c>
      <c r="I139" s="48">
        <f>IF(A139="","",IFERROR(IF(S139&gt;1,"VARIAS CASILLAS",IF(S139=1,IF(T139=1,"PROPUESTA DE CASILLA","REVISIÓN: CASILLA NO DIRECTA"),IF(OR(ISNUMBER(SEARCH("TOPE",UPPER(E139))),ISNUMBER(SEARCH("TOPE",UPPER(G139)))),"SOLO CONTROL",IF(ISNUMBER(SEARCH("RETEN",UPPER(E139))),"RETENCIÓN","REVISAR")))),"REVISAR"))</f>
        <v/>
      </c>
      <c r="J139" s="48">
        <f>IF(A139="","",IF(ISNUMBER(SEARCH("ingreso laboral promedio de los últimos seis meses",E139)),"",IFERROR(IF(AND(S139=1,T139=1),U139,""),"")))</f>
        <v/>
      </c>
      <c r="K139" s="216" t="n"/>
      <c r="L139" s="48">
        <f>IF(A139="","",IFERROR(IF(K139&lt;&gt;"","Casilla elegida por usuario",IF(S139&gt;1,"Varias casillas — elegir en K",IF(J139&lt;&gt;"","Sugerencia directa",IF(S139=1,"No trasladar directo — revisar",IF(OR(ISNUMBER(SEARCH("TOPE",UPPER(E139))),ISNUMBER(SEARCH("TOPE",UPPER(G139)))),"Solo control","Revisar manualmente"))))),"Revisar manualmente"))</f>
        <v/>
      </c>
      <c r="M139" s="461">
        <f>IF(A139="","",IF(IF(K139&lt;&gt;"",K139,J139)="",0,IF(COUNTIFS(Reglas!$I$5:$I$118,IF(K139&lt;&gt;"",K139,J139),Reglas!$J$5:$J$118,"Sí")=1,F139,0)))</f>
        <v/>
      </c>
      <c r="N139" s="56" t="n"/>
      <c r="O139" s="462">
        <f>IF(A139="","",IF(M139=0,"",M139))</f>
        <v/>
      </c>
      <c r="P139" s="461">
        <f>IF(A139="","",IF(O139="",0,IF(ISNUMBER(O139),O139,0)))</f>
        <v/>
      </c>
      <c r="Q139" s="48">
        <f>IF(A139="","",IF(Exogena_RAW!$C$4="","BLOQUEADO: FALTA AÑO",IF(Exogena_RAW!$K$10&lt;&gt;Reglas!$B$5,"BLOQUEADO: AÑO",IF(IF(K139&lt;&gt;"",K139,J139)="",IF(S139&gt;1,"REQUIERE ASIGNACIÓN MANUAL (VARIAS CASILLAS)","INFORMATIVO (sin casilla — no se declara)"),IF(COUNTIFS(Reglas!$I$5:$I$118,IF(K139&lt;&gt;"",K139,J139),Reglas!$J$5:$J$118,"Sí")=0,"BLOQUEADO: CASILLA NO DIRECTA",IF(O139="","EXCLUIDO (valor borrado por el usuario)",IF(_xlfn.ISFORMULA(O139),IF(W139&lt;&gt;"","BORRADOR — VALOR SUGERIDO DIAN ⚠ VER ALERTA","BORRADOR — VALOR SUGERIDO DIAN"),IF(W139&lt;&gt;"","ACEPTADO ⚠ VER ALERTA","ACEPTADO"))))))))</f>
        <v/>
      </c>
      <c r="R139" s="218" t="n"/>
      <c r="S139" s="58">
        <f>IF(A139="","",IFERROR(--ISNUMBER(SEARCH("R28",G139)),0)+IFERROR(--ISNUMBER(SEARCH("R29",G139)),0)+IFERROR(--ISNUMBER(SEARCH("R30",G139)),0)+IFERROR(--ISNUMBER(SEARCH("R31",G139)),0)+IFERROR(--ISNUMBER(SEARCH("R32",G139)),0)+IFERROR(--ISNUMBER(SEARCH("R33",G139)),0)+IFERROR(--ISNUMBER(SEARCH("R34",G139)),0)+IFERROR(--ISNUMBER(SEARCH("R35",G139)),0)+IFERROR(--ISNUMBER(SEARCH("R36",G139)),0)+IFERROR(--ISNUMBER(SEARCH("R37",G139)),0)+IFERROR(--ISNUMBER(SEARCH("R38",G139)),0)+IFERROR(--ISNUMBER(SEARCH("R39",G139)),0)+IFERROR(--ISNUMBER(SEARCH("R40",G139)),0)+IFERROR(--ISNUMBER(SEARCH("R41",G139)),0)+IFERROR(--ISNUMBER(SEARCH("R42",G139)),0)+IFERROR(--ISNUMBER(SEARCH("R43",G139)),0)+IFERROR(--ISNUMBER(SEARCH("R44",G139)),0)+IFERROR(--ISNUMBER(SEARCH("R45",G139)),0)+IFERROR(--ISNUMBER(SEARCH("R46",G139)),0)+IFERROR(--ISNUMBER(SEARCH("R47",G139)),0)+IFERROR(--ISNUMBER(SEARCH("R48",G139)),0)+IFERROR(--ISNUMBER(SEARCH("R49",G139)),0)+IFERROR(--ISNUMBER(SEARCH("R50",G139)),0)+IFERROR(--ISNUMBER(SEARCH("R51",G139)),0)+IFERROR(--ISNUMBER(SEARCH("R52",G139)),0)+IFERROR(--ISNUMBER(SEARCH("R53",G139)),0)+IFERROR(--ISNUMBER(SEARCH("R54",G139)),0)+IFERROR(--ISNUMBER(SEARCH("R55",G139)),0)+IFERROR(--ISNUMBER(SEARCH("R56",G139)),0)+IFERROR(--ISNUMBER(SEARCH("R57",G139)),0)+IFERROR(--ISNUMBER(SEARCH("R58",G139)),0)+IFERROR(--ISNUMBER(SEARCH("R59",G139)),0)+IFERROR(--ISNUMBER(SEARCH("R60",G139)),0)+IFERROR(--ISNUMBER(SEARCH("R61",G139)),0)+IFERROR(--ISNUMBER(SEARCH("R62",G139)),0)+IFERROR(--ISNUMBER(SEARCH("R63",G139)),0)+IFERROR(--ISNUMBER(SEARCH("R64",G139)),0)+IFERROR(--ISNUMBER(SEARCH("R65",G139)),0)+IFERROR(--ISNUMBER(SEARCH("R66",G139)),0)+IFERROR(--ISNUMBER(SEARCH("R67",G139)),0)+IFERROR(--ISNUMBER(SEARCH("R68",G139)),0)+IFERROR(--ISNUMBER(SEARCH("R69",G139)),0)+IFERROR(--ISNUMBER(SEARCH("R70",G139)),0)+IFERROR(--ISNUMBER(SEARCH("R71",G139)),0)+IFERROR(--ISNUMBER(SEARCH("R72",G139)),0)+IFERROR(--ISNUMBER(SEARCH("R73",G139)),0)+IFERROR(--ISNUMBER(SEARCH("R74",G139)),0)+IFERROR(--ISNUMBER(SEARCH("R75",G139)),0)+IFERROR(--ISNUMBER(SEARCH("R76",G139)),0)+IFERROR(--ISNUMBER(SEARCH("R77",G139)),0)+IFERROR(--ISNUMBER(SEARCH("R78",G139)),0)+IFERROR(--ISNUMBER(SEARCH("R79",G139)),0)+IFERROR(--ISNUMBER(SEARCH("R80",G139)),0)+IFERROR(--ISNUMBER(SEARCH("R81",G139)),0)+IFERROR(--ISNUMBER(SEARCH("R82",G139)),0)+IFERROR(--ISNUMBER(SEARCH("R83",G139)),0)+IFERROR(--ISNUMBER(SEARCH("R84",G139)),0)+IFERROR(--ISNUMBER(SEARCH("R85",G139)),0)+IFERROR(--ISNUMBER(SEARCH("R86",G139)),0)+IFERROR(--ISNUMBER(SEARCH("R87",G139)),0)+IFERROR(--ISNUMBER(SEARCH("R88",G139)),0)+IFERROR(--ISNUMBER(SEARCH("R89",G139)),0)+IFERROR(--ISNUMBER(SEARCH("R90",G139)),0)+IFERROR(--ISNUMBER(SEARCH("R91",G139)),0)+IFERROR(--ISNUMBER(SEARCH("R92",G139)),0)+IFERROR(--ISNUMBER(SEARCH("R93",G139)),0)+IFERROR(--ISNUMBER(SEARCH("R94",G139)),0)+IFERROR(--ISNUMBER(SEARCH("R95",G139)),0)+IFERROR(--ISNUMBER(SEARCH("R96",G139)),0)+IFERROR(--ISNUMBER(SEARCH("R97",G139)),0)+IFERROR(--ISNUMBER(SEARCH("R98",G139)),0)+IFERROR(--ISNUMBER(SEARCH("R99",G139)),0)+IFERROR(--ISNUMBER(SEARCH("R100",G139)),0)+IFERROR(--ISNUMBER(SEARCH("R101",G139)),0)+IFERROR(--ISNUMBER(SEARCH("R102",G139)),0)+IFERROR(--ISNUMBER(SEARCH("R103",G139)),0)+IFERROR(--ISNUMBER(SEARCH("R104",G139)),0)+IFERROR(--ISNUMBER(SEARCH("R105",G139)),0)+IFERROR(--ISNUMBER(SEARCH("R106",G139)),0)+IFERROR(--ISNUMBER(SEARCH("R107",G139)),0)+IFERROR(--ISNUMBER(SEARCH("R108",G139)),0)+IFERROR(--ISNUMBER(SEARCH("R109",G139)),0)+IFERROR(--ISNUMBER(SEARCH("R110",G139)),0)+IFERROR(--ISNUMBER(SEARCH("R111",G139)),0)+IFERROR(--ISNUMBER(SEARCH("R112",G139)),0)+IFERROR(--ISNUMBER(SEARCH("R113",G139)),0)+IFERROR(--ISNUMBER(SEARCH("R114",G139)),0)+IFERROR(--ISNUMBER(SEARCH("R115",G139)),0)+IFERROR(--ISNUMBER(SEARCH("R116",G139)),0)+IFERROR(--ISNUMBER(SEARCH("R117",G139)),0)+IFERROR(--ISNUMBER(SEARCH("R118",G139)),0)+IFERROR(--ISNUMBER(SEARCH("R119",G139)),0)+IFERROR(--ISNUMBER(SEARCH("R120",G139)),0)+IFERROR(--ISNUMBER(SEARCH("R121",G139)),0)+IFERROR(--ISNUMBER(SEARCH("R122",G139)),0)+IFERROR(--ISNUMBER(SEARCH("R123",G139)),0)+IFERROR(--ISNUMBER(SEARCH("R124",G139)),0)+IFERROR(--ISNUMBER(SEARCH("R125",G139)),0)+IFERROR(--ISNUMBER(SEARCH("R126",G139)),0)+IFERROR(--ISNUMBER(SEARCH("R127",G139)),0)+IFERROR(--ISNUMBER(SEARCH("R128",G139)),0)+IFERROR(--ISNUMBER(SEARCH("R129",G139)),0)+IFERROR(--ISNUMBER(SEARCH("R130",G139)),0)+IFERROR(--ISNUMBER(SEARCH("R131",G139)),0)+IFERROR(--ISNUMBER(SEARCH("R132",G139)),0)+IFERROR(--ISNUMBER(SEARCH("R133",G139)),0)+IFERROR(--ISNUMBER(SEARCH("R134",G139)),0)+IFERROR(--ISNUMBER(SEARCH("R135",G139)),0)+IFERROR(--ISNUMBER(SEARCH("R136",G139)),0)+IFERROR(--ISNUMBER(SEARCH("R137",G139)),0)+IFERROR(--ISNUMBER(SEARCH("R138",G139)),0)+IFERROR(--ISNUMBER(SEARCH("R139",G139)),0)+IFERROR(--ISNUMBER(SEARCH("R140",G139)),0)+IFERROR(--ISNUMBER(SEARCH("R141",G139)),0))</f>
        <v/>
      </c>
      <c r="T139" s="58">
        <f>IF(A139="","",IFERROR(--ISNUMBER(SEARCH("R28",G139)),0)+IFERROR(--ISNUMBER(SEARCH("R29",G139)),0)+IFERROR(--ISNUMBER(SEARCH("R30",G139)),0)+IFERROR(--ISNUMBER(SEARCH("R32",G139)),0)+IFERROR(--ISNUMBER(SEARCH("R33",G139)),0)+IFERROR(--ISNUMBER(SEARCH("R35",G139)),0)+IFERROR(--ISNUMBER(SEARCH("R36",G139)),0)+IFERROR(--ISNUMBER(SEARCH("R38",G139)),0)+IFERROR(--ISNUMBER(SEARCH("R39",G139)),0)+IFERROR(--ISNUMBER(SEARCH("R43",G139)),0)+IFERROR(--ISNUMBER(SEARCH("R44",G139)),0)+IFERROR(--ISNUMBER(SEARCH("R45",G139)),0)+IFERROR(--ISNUMBER(SEARCH("R47",G139)),0)+IFERROR(--ISNUMBER(SEARCH("R48",G139)),0)+IFERROR(--ISNUMBER(SEARCH("R50",G139)),0)+IFERROR(--ISNUMBER(SEARCH("R51",G139)),0)+IFERROR(--ISNUMBER(SEARCH("R56",G139)),0)+IFERROR(--ISNUMBER(SEARCH("R58",G139)),0)+IFERROR(--ISNUMBER(SEARCH("R59",G139)),0)+IFERROR(--ISNUMBER(SEARCH("R60",G139)),0)+IFERROR(--ISNUMBER(SEARCH("R62",G139)),0)+IFERROR(--ISNUMBER(SEARCH("R63",G139)),0)+IFERROR(--ISNUMBER(SEARCH("R64",G139)),0)+IFERROR(--ISNUMBER(SEARCH("R66",G139)),0)+IFERROR(--ISNUMBER(SEARCH("R67",G139)),0)+IFERROR(--ISNUMBER(SEARCH("R72",G139)),0)+IFERROR(--ISNUMBER(SEARCH("R74",G139)),0)+IFERROR(--ISNUMBER(SEARCH("R75",G139)),0)+IFERROR(--ISNUMBER(SEARCH("R76",G139)),0)+IFERROR(--ISNUMBER(SEARCH("R77",G139)),0)+IFERROR(--ISNUMBER(SEARCH("R79",G139)),0)+IFERROR(--ISNUMBER(SEARCH("R80",G139)),0)+IFERROR(--ISNUMBER(SEARCH("R81",G139)),0)+IFERROR(--ISNUMBER(SEARCH("R83",G139)),0)+IFERROR(--ISNUMBER(SEARCH("R84",G139)),0)+IFERROR(--ISNUMBER(SEARCH("R89",G139)),0)+IFERROR(--ISNUMBER(SEARCH("R94",G139)),0)+IFERROR(--ISNUMBER(SEARCH("R95",G139)),0)+IFERROR(--ISNUMBER(SEARCH("R96",G139)),0)+IFERROR(--ISNUMBER(SEARCH("R98",G139)),0)+IFERROR(--ISNUMBER(SEARCH("R99",G139)),0)+IFERROR(--ISNUMBER(SEARCH("R100",G139)),0)+IFERROR(--ISNUMBER(SEARCH("R104",G139)),0)+IFERROR(--ISNUMBER(SEARCH("R105",G139)),0)+IFERROR(--ISNUMBER(SEARCH("R107",G139)),0)+IFERROR(--ISNUMBER(SEARCH("R108",G139)),0)+IFERROR(--ISNUMBER(SEARCH("R109",G139)),0)+IFERROR(--ISNUMBER(SEARCH("R110",G139)),0)+IFERROR(--ISNUMBER(SEARCH("R112",G139)),0)+IFERROR(--ISNUMBER(SEARCH("R113",G139)),0)+IFERROR(--ISNUMBER(SEARCH("R114",G139)),0)+IFERROR(--ISNUMBER(SEARCH("R118",G139)),0)+IFERROR(--ISNUMBER(SEARCH("R119",G139)),0)+IFERROR(--ISNUMBER(SEARCH("R120",G139)),0)+IFERROR(--ISNUMBER(SEARCH("R122",G139)),0)+IFERROR(--ISNUMBER(SEARCH("R123",G139)),0)+IFERROR(--ISNUMBER(SEARCH("R124",G139)),0)+IFERROR(--ISNUMBER(SEARCH("R128",G139)),0)+IFERROR(--ISNUMBER(SEARCH("R130",G139)),0)+IFERROR(--ISNUMBER(SEARCH("R131",G139)),0)+IFERROR(--ISNUMBER(SEARCH("R132",G139)),0)+IFERROR(--ISNUMBER(SEARCH("R135",G139)),0)+IFERROR(--ISNUMBER(SEARCH("R138",G139)),0)+IFERROR(--ISNUMBER(SEARCH("R141",G139)),0))</f>
        <v/>
      </c>
      <c r="U139" s="58">
        <f>IF(A139="","",IFERROR(--ISNUMBER(SEARCH("R28",G139))*28,0)+IFERROR(--ISNUMBER(SEARCH("R29",G139))*29,0)+IFERROR(--ISNUMBER(SEARCH("R30",G139))*30,0)+IFERROR(--ISNUMBER(SEARCH("R31",G139))*31,0)+IFERROR(--ISNUMBER(SEARCH("R32",G139))*32,0)+IFERROR(--ISNUMBER(SEARCH("R33",G139))*33,0)+IFERROR(--ISNUMBER(SEARCH("R34",G139))*34,0)+IFERROR(--ISNUMBER(SEARCH("R35",G139))*35,0)+IFERROR(--ISNUMBER(SEARCH("R36",G139))*36,0)+IFERROR(--ISNUMBER(SEARCH("R37",G139))*37,0)+IFERROR(--ISNUMBER(SEARCH("R38",G139))*38,0)+IFERROR(--ISNUMBER(SEARCH("R39",G139))*39,0)+IFERROR(--ISNUMBER(SEARCH("R40",G139))*40,0)+IFERROR(--ISNUMBER(SEARCH("R41",G139))*41,0)+IFERROR(--ISNUMBER(SEARCH("R42",G139))*42,0)+IFERROR(--ISNUMBER(SEARCH("R43",G139))*43,0)+IFERROR(--ISNUMBER(SEARCH("R44",G139))*44,0)+IFERROR(--ISNUMBER(SEARCH("R45",G139))*45,0)+IFERROR(--ISNUMBER(SEARCH("R46",G139))*46,0)+IFERROR(--ISNUMBER(SEARCH("R47",G139))*47,0)+IFERROR(--ISNUMBER(SEARCH("R48",G139))*48,0)+IFERROR(--ISNUMBER(SEARCH("R49",G139))*49,0)+IFERROR(--ISNUMBER(SEARCH("R50",G139))*50,0)+IFERROR(--ISNUMBER(SEARCH("R51",G139))*51,0)+IFERROR(--ISNUMBER(SEARCH("R52",G139))*52,0)+IFERROR(--ISNUMBER(SEARCH("R53",G139))*53,0)+IFERROR(--ISNUMBER(SEARCH("R54",G139))*54,0)+IFERROR(--ISNUMBER(SEARCH("R55",G139))*55,0)+IFERROR(--ISNUMBER(SEARCH("R56",G139))*56,0)+IFERROR(--ISNUMBER(SEARCH("R57",G139))*57,0)+IFERROR(--ISNUMBER(SEARCH("R58",G139))*58,0)+IFERROR(--ISNUMBER(SEARCH("R59",G139))*59,0)+IFERROR(--ISNUMBER(SEARCH("R60",G139))*60,0)+IFERROR(--ISNUMBER(SEARCH("R61",G139))*61,0)+IFERROR(--ISNUMBER(SEARCH("R62",G139))*62,0)+IFERROR(--ISNUMBER(SEARCH("R63",G139))*63,0)+IFERROR(--ISNUMBER(SEARCH("R64",G139))*64,0)+IFERROR(--ISNUMBER(SEARCH("R65",G139))*65,0)+IFERROR(--ISNUMBER(SEARCH("R66",G139))*66,0)+IFERROR(--ISNUMBER(SEARCH("R67",G139))*67,0)+IFERROR(--ISNUMBER(SEARCH("R68",G139))*68,0)+IFERROR(--ISNUMBER(SEARCH("R69",G139))*69,0)+IFERROR(--ISNUMBER(SEARCH("R70",G139))*70,0)+IFERROR(--ISNUMBER(SEARCH("R71",G139))*71,0)+IFERROR(--ISNUMBER(SEARCH("R72",G139))*72,0)+IFERROR(--ISNUMBER(SEARCH("R73",G139))*73,0)+IFERROR(--ISNUMBER(SEARCH("R74",G139))*74,0)+IFERROR(--ISNUMBER(SEARCH("R75",G139))*75,0)+IFERROR(--ISNUMBER(SEARCH("R76",G139))*76,0)+IFERROR(--ISNUMBER(SEARCH("R77",G139))*77,0)+IFERROR(--ISNUMBER(SEARCH("R78",G139))*78,0)+IFERROR(--ISNUMBER(SEARCH("R79",G139))*79,0)+IFERROR(--ISNUMBER(SEARCH("R80",G139))*80,0)+IFERROR(--ISNUMBER(SEARCH("R81",G139))*81,0)+IFERROR(--ISNUMBER(SEARCH("R82",G139))*82,0)+IFERROR(--ISNUMBER(SEARCH("R83",G139))*83,0)+IFERROR(--ISNUMBER(SEARCH("R84",G139))*84,0)+IFERROR(--ISNUMBER(SEARCH("R85",G139))*85,0)+IFERROR(--ISNUMBER(SEARCH("R86",G139))*86,0)+IFERROR(--ISNUMBER(SEARCH("R87",G139))*87,0)+IFERROR(--ISNUMBER(SEARCH("R88",G139))*88,0)+IFERROR(--ISNUMBER(SEARCH("R89",G139))*89,0)+IFERROR(--ISNUMBER(SEARCH("R90",G139))*90,0)+IFERROR(--ISNUMBER(SEARCH("R91",G139))*91,0)+IFERROR(--ISNUMBER(SEARCH("R92",G139))*92,0)+IFERROR(--ISNUMBER(SEARCH("R93",G139))*93,0)+IFERROR(--ISNUMBER(SEARCH("R94",G139))*94,0)+IFERROR(--ISNUMBER(SEARCH("R95",G139))*95,0)+IFERROR(--ISNUMBER(SEARCH("R96",G139))*96,0)+IFERROR(--ISNUMBER(SEARCH("R97",G139))*97,0)+IFERROR(--ISNUMBER(SEARCH("R98",G139))*98,0)+IFERROR(--ISNUMBER(SEARCH("R99",G139))*99,0)+IFERROR(--ISNUMBER(SEARCH("R100",G139))*100,0)+IFERROR(--ISNUMBER(SEARCH("R101",G139))*101,0)+IFERROR(--ISNUMBER(SEARCH("R102",G139))*102,0)+IFERROR(--ISNUMBER(SEARCH("R103",G139))*103,0)+IFERROR(--ISNUMBER(SEARCH("R104",G139))*104,0)+IFERROR(--ISNUMBER(SEARCH("R105",G139))*105,0)+IFERROR(--ISNUMBER(SEARCH("R106",G139))*106,0)+IFERROR(--ISNUMBER(SEARCH("R107",G139))*107,0)+IFERROR(--ISNUMBER(SEARCH("R108",G139))*108,0)+IFERROR(--ISNUMBER(SEARCH("R109",G139))*109,0)+IFERROR(--ISNUMBER(SEARCH("R110",G139))*110,0)+IFERROR(--ISNUMBER(SEARCH("R111",G139))*111,0)+IFERROR(--ISNUMBER(SEARCH("R112",G139))*112,0)+IFERROR(--ISNUMBER(SEARCH("R113",G139))*113,0)+IFERROR(--ISNUMBER(SEARCH("R114",G139))*114,0)+IFERROR(--ISNUMBER(SEARCH("R115",G139))*115,0)+IFERROR(--ISNUMBER(SEARCH("R116",G139))*116,0)+IFERROR(--ISNUMBER(SEARCH("R117",G139))*117,0)+IFERROR(--ISNUMBER(SEARCH("R118",G139))*118,0)+IFERROR(--ISNUMBER(SEARCH("R119",G139))*119,0)+IFERROR(--ISNUMBER(SEARCH("R120",G139))*120,0)+IFERROR(--ISNUMBER(SEARCH("R121",G139))*121,0)+IFERROR(--ISNUMBER(SEARCH("R122",G139))*122,0)+IFERROR(--ISNUMBER(SEARCH("R123",G139))*123,0)+IFERROR(--ISNUMBER(SEARCH("R124",G139))*124,0)+IFERROR(--ISNUMBER(SEARCH("R125",G139))*125,0)+IFERROR(--ISNUMBER(SEARCH("R126",G139))*126,0)+IFERROR(--ISNUMBER(SEARCH("R127",G139))*127,0)+IFERROR(--ISNUMBER(SEARCH("R128",G139))*128,0)+IFERROR(--ISNUMBER(SEARCH("R129",G139))*129,0)+IFERROR(--ISNUMBER(SEARCH("R130",G139))*130,0)+IFERROR(--ISNUMBER(SEARCH("R131",G139))*131,0)+IFERROR(--ISNUMBER(SEARCH("R132",G139))*132,0)+IFERROR(--ISNUMBER(SEARCH("R133",G139))*133,0)+IFERROR(--ISNUMBER(SEARCH("R134",G139))*134,0)+IFERROR(--ISNUMBER(SEARCH("R135",G139))*135,0)+IFERROR(--ISNUMBER(SEARCH("R136",G139))*136,0)+IFERROR(--ISNUMBER(SEARCH("R137",G139))*137,0)+IFERROR(--ISNUMBER(SEARCH("R138",G139))*138,0)+IFERROR(--ISNUMBER(SEARCH("R139",G139))*139,0)+IFERROR(--ISNUMBER(SEARCH("R140",G139))*140,0)+IFERROR(--ISNUMBER(SEARCH("R141",G139))*141,0))</f>
        <v/>
      </c>
      <c r="V139" s="59">
        <f>IF(A139="","",IF(K139&lt;&gt;"",K139,J139))</f>
        <v/>
      </c>
      <c r="W139" s="59">
        <f>IF(A139="","",IF(AND(V139=29,O139&lt;&gt;"",COUNTIFS($V$6:$V$505,29,$F$6:$F$505,F139,$C$6:$C$505,C139,$O$6:$O$505,"&lt;&gt;")&gt;1),IF(COUNTIFS($V$6:V139,29,$F$6:F139,F139,$C$6:C139,C139,$O$6:O139,"&lt;&gt;")=1,"Esta es la fila que se debe CONSERVAR (aparición 1 de "&amp;COUNTIFS($V$6:$V$505,29,$F$6:$F$505,F139,$C$6:$C$505,C139,$O$6:$O$505,"&lt;&gt;")&amp;" con el mismo tercero y valor, casilla 29). Si hay más filas iguales, bórreles el valor a ELLAS, no a esta.","DUPLICADO — ya existe otra fila con el mismo tercero y valor para casilla 29 (aparición "&amp;COUNTIFS($V$6:V139,29,$F$6:F139,F139,$C$6:C139,C139,$O$6:O139,"&lt;&gt;")&amp;" de "&amp;COUNTIFS($V$6:$V$505,29,$F$6:$F$505,F139,$C$6:$C$505,C139,$O$6:$O$505,"&lt;&gt;")&amp;"). Para resolverlo: seleccione la celda O"&amp;ROW()&amp;" (columna Valor a declarar de ESTA fila) y presione Supr."),""))</f>
        <v/>
      </c>
      <c r="X139" s="463">
        <f>IF(A139="","",F139)</f>
        <v/>
      </c>
      <c r="Y139" s="463">
        <f>IF(A139="","",SUMIF(Entrada_Manual!$I$88:$I$187,A139,Entrada_Manual!$F$88:$F$187))</f>
        <v/>
      </c>
      <c r="Z139" s="463">
        <f>IF(A139="","",X139-Y139)</f>
        <v/>
      </c>
      <c r="AA139">
        <f>IF(A139="","",SUMPRODUCT((Entrada_Manual!$I$88:$I$187=A139)*1))</f>
        <v/>
      </c>
      <c r="AB139">
        <f>IF(A139="","",IF(S139&lt;=1,"",IF(AA139=0,"PENDIENTE — SIN ASIGNAR",IF(Z139=0,"RESUELTO","PARCIAL — DIFERENCIA "&amp;TEXT(Z139,"#,##0")))))</f>
        <v/>
      </c>
    </row>
    <row r="140" ht="14.25" customHeight="1" s="235">
      <c r="A140" s="47">
        <f>IF(Exogena_RAW!E149&lt;&gt;"",ROW()-5,"")</f>
        <v/>
      </c>
      <c r="B140" s="48">
        <f>IF(A140="","",149)</f>
        <v/>
      </c>
      <c r="C140" s="48">
        <f>IF(A140="","",IFERROR(Exogena_RAW!A149,""))</f>
        <v/>
      </c>
      <c r="D140" s="48">
        <f>IF(A140="","",IFERROR(Exogena_RAW!B149,""))</f>
        <v/>
      </c>
      <c r="E140" s="48">
        <f>IF(A140="","",Exogena_RAW!E149)</f>
        <v/>
      </c>
      <c r="F140" s="461">
        <f>IF(A140="","",Exogena_RAW!F149)</f>
        <v/>
      </c>
      <c r="G140" s="48">
        <f>IF(A140="","",IFERROR(Exogena_RAW!G149,""))</f>
        <v/>
      </c>
      <c r="H140" s="48">
        <f>IF(A140="","",IFERROR(Exogena_RAW!H149,""))</f>
        <v/>
      </c>
      <c r="I140" s="48">
        <f>IF(A140="","",IFERROR(IF(S140&gt;1,"VARIAS CASILLAS",IF(S140=1,IF(T140=1,"PROPUESTA DE CASILLA","REVISIÓN: CASILLA NO DIRECTA"),IF(OR(ISNUMBER(SEARCH("TOPE",UPPER(E140))),ISNUMBER(SEARCH("TOPE",UPPER(G140)))),"SOLO CONTROL",IF(ISNUMBER(SEARCH("RETEN",UPPER(E140))),"RETENCIÓN","REVISAR")))),"REVISAR"))</f>
        <v/>
      </c>
      <c r="J140" s="48">
        <f>IF(A140="","",IF(ISNUMBER(SEARCH("ingreso laboral promedio de los últimos seis meses",E140)),"",IFERROR(IF(AND(S140=1,T140=1),U140,""),"")))</f>
        <v/>
      </c>
      <c r="K140" s="216" t="n"/>
      <c r="L140" s="48">
        <f>IF(A140="","",IFERROR(IF(K140&lt;&gt;"","Casilla elegida por usuario",IF(S140&gt;1,"Varias casillas — elegir en K",IF(J140&lt;&gt;"","Sugerencia directa",IF(S140=1,"No trasladar directo — revisar",IF(OR(ISNUMBER(SEARCH("TOPE",UPPER(E140))),ISNUMBER(SEARCH("TOPE",UPPER(G140)))),"Solo control","Revisar manualmente"))))),"Revisar manualmente"))</f>
        <v/>
      </c>
      <c r="M140" s="461">
        <f>IF(A140="","",IF(IF(K140&lt;&gt;"",K140,J140)="",0,IF(COUNTIFS(Reglas!$I$5:$I$118,IF(K140&lt;&gt;"",K140,J140),Reglas!$J$5:$J$118,"Sí")=1,F140,0)))</f>
        <v/>
      </c>
      <c r="N140" s="56" t="n"/>
      <c r="O140" s="462">
        <f>IF(A140="","",IF(M140=0,"",M140))</f>
        <v/>
      </c>
      <c r="P140" s="461">
        <f>IF(A140="","",IF(O140="",0,IF(ISNUMBER(O140),O140,0)))</f>
        <v/>
      </c>
      <c r="Q140" s="48">
        <f>IF(A140="","",IF(Exogena_RAW!$C$4="","BLOQUEADO: FALTA AÑO",IF(Exogena_RAW!$K$10&lt;&gt;Reglas!$B$5,"BLOQUEADO: AÑO",IF(IF(K140&lt;&gt;"",K140,J140)="",IF(S140&gt;1,"REQUIERE ASIGNACIÓN MANUAL (VARIAS CASILLAS)","INFORMATIVO (sin casilla — no se declara)"),IF(COUNTIFS(Reglas!$I$5:$I$118,IF(K140&lt;&gt;"",K140,J140),Reglas!$J$5:$J$118,"Sí")=0,"BLOQUEADO: CASILLA NO DIRECTA",IF(O140="","EXCLUIDO (valor borrado por el usuario)",IF(_xlfn.ISFORMULA(O140),IF(W140&lt;&gt;"","BORRADOR — VALOR SUGERIDO DIAN ⚠ VER ALERTA","BORRADOR — VALOR SUGERIDO DIAN"),IF(W140&lt;&gt;"","ACEPTADO ⚠ VER ALERTA","ACEPTADO"))))))))</f>
        <v/>
      </c>
      <c r="R140" s="218" t="n"/>
      <c r="S140" s="58">
        <f>IF(A140="","",IFERROR(--ISNUMBER(SEARCH("R28",G140)),0)+IFERROR(--ISNUMBER(SEARCH("R29",G140)),0)+IFERROR(--ISNUMBER(SEARCH("R30",G140)),0)+IFERROR(--ISNUMBER(SEARCH("R31",G140)),0)+IFERROR(--ISNUMBER(SEARCH("R32",G140)),0)+IFERROR(--ISNUMBER(SEARCH("R33",G140)),0)+IFERROR(--ISNUMBER(SEARCH("R34",G140)),0)+IFERROR(--ISNUMBER(SEARCH("R35",G140)),0)+IFERROR(--ISNUMBER(SEARCH("R36",G140)),0)+IFERROR(--ISNUMBER(SEARCH("R37",G140)),0)+IFERROR(--ISNUMBER(SEARCH("R38",G140)),0)+IFERROR(--ISNUMBER(SEARCH("R39",G140)),0)+IFERROR(--ISNUMBER(SEARCH("R40",G140)),0)+IFERROR(--ISNUMBER(SEARCH("R41",G140)),0)+IFERROR(--ISNUMBER(SEARCH("R42",G140)),0)+IFERROR(--ISNUMBER(SEARCH("R43",G140)),0)+IFERROR(--ISNUMBER(SEARCH("R44",G140)),0)+IFERROR(--ISNUMBER(SEARCH("R45",G140)),0)+IFERROR(--ISNUMBER(SEARCH("R46",G140)),0)+IFERROR(--ISNUMBER(SEARCH("R47",G140)),0)+IFERROR(--ISNUMBER(SEARCH("R48",G140)),0)+IFERROR(--ISNUMBER(SEARCH("R49",G140)),0)+IFERROR(--ISNUMBER(SEARCH("R50",G140)),0)+IFERROR(--ISNUMBER(SEARCH("R51",G140)),0)+IFERROR(--ISNUMBER(SEARCH("R52",G140)),0)+IFERROR(--ISNUMBER(SEARCH("R53",G140)),0)+IFERROR(--ISNUMBER(SEARCH("R54",G140)),0)+IFERROR(--ISNUMBER(SEARCH("R55",G140)),0)+IFERROR(--ISNUMBER(SEARCH("R56",G140)),0)+IFERROR(--ISNUMBER(SEARCH("R57",G140)),0)+IFERROR(--ISNUMBER(SEARCH("R58",G140)),0)+IFERROR(--ISNUMBER(SEARCH("R59",G140)),0)+IFERROR(--ISNUMBER(SEARCH("R60",G140)),0)+IFERROR(--ISNUMBER(SEARCH("R61",G140)),0)+IFERROR(--ISNUMBER(SEARCH("R62",G140)),0)+IFERROR(--ISNUMBER(SEARCH("R63",G140)),0)+IFERROR(--ISNUMBER(SEARCH("R64",G140)),0)+IFERROR(--ISNUMBER(SEARCH("R65",G140)),0)+IFERROR(--ISNUMBER(SEARCH("R66",G140)),0)+IFERROR(--ISNUMBER(SEARCH("R67",G140)),0)+IFERROR(--ISNUMBER(SEARCH("R68",G140)),0)+IFERROR(--ISNUMBER(SEARCH("R69",G140)),0)+IFERROR(--ISNUMBER(SEARCH("R70",G140)),0)+IFERROR(--ISNUMBER(SEARCH("R71",G140)),0)+IFERROR(--ISNUMBER(SEARCH("R72",G140)),0)+IFERROR(--ISNUMBER(SEARCH("R73",G140)),0)+IFERROR(--ISNUMBER(SEARCH("R74",G140)),0)+IFERROR(--ISNUMBER(SEARCH("R75",G140)),0)+IFERROR(--ISNUMBER(SEARCH("R76",G140)),0)+IFERROR(--ISNUMBER(SEARCH("R77",G140)),0)+IFERROR(--ISNUMBER(SEARCH("R78",G140)),0)+IFERROR(--ISNUMBER(SEARCH("R79",G140)),0)+IFERROR(--ISNUMBER(SEARCH("R80",G140)),0)+IFERROR(--ISNUMBER(SEARCH("R81",G140)),0)+IFERROR(--ISNUMBER(SEARCH("R82",G140)),0)+IFERROR(--ISNUMBER(SEARCH("R83",G140)),0)+IFERROR(--ISNUMBER(SEARCH("R84",G140)),0)+IFERROR(--ISNUMBER(SEARCH("R85",G140)),0)+IFERROR(--ISNUMBER(SEARCH("R86",G140)),0)+IFERROR(--ISNUMBER(SEARCH("R87",G140)),0)+IFERROR(--ISNUMBER(SEARCH("R88",G140)),0)+IFERROR(--ISNUMBER(SEARCH("R89",G140)),0)+IFERROR(--ISNUMBER(SEARCH("R90",G140)),0)+IFERROR(--ISNUMBER(SEARCH("R91",G140)),0)+IFERROR(--ISNUMBER(SEARCH("R92",G140)),0)+IFERROR(--ISNUMBER(SEARCH("R93",G140)),0)+IFERROR(--ISNUMBER(SEARCH("R94",G140)),0)+IFERROR(--ISNUMBER(SEARCH("R95",G140)),0)+IFERROR(--ISNUMBER(SEARCH("R96",G140)),0)+IFERROR(--ISNUMBER(SEARCH("R97",G140)),0)+IFERROR(--ISNUMBER(SEARCH("R98",G140)),0)+IFERROR(--ISNUMBER(SEARCH("R99",G140)),0)+IFERROR(--ISNUMBER(SEARCH("R100",G140)),0)+IFERROR(--ISNUMBER(SEARCH("R101",G140)),0)+IFERROR(--ISNUMBER(SEARCH("R102",G140)),0)+IFERROR(--ISNUMBER(SEARCH("R103",G140)),0)+IFERROR(--ISNUMBER(SEARCH("R104",G140)),0)+IFERROR(--ISNUMBER(SEARCH("R105",G140)),0)+IFERROR(--ISNUMBER(SEARCH("R106",G140)),0)+IFERROR(--ISNUMBER(SEARCH("R107",G140)),0)+IFERROR(--ISNUMBER(SEARCH("R108",G140)),0)+IFERROR(--ISNUMBER(SEARCH("R109",G140)),0)+IFERROR(--ISNUMBER(SEARCH("R110",G140)),0)+IFERROR(--ISNUMBER(SEARCH("R111",G140)),0)+IFERROR(--ISNUMBER(SEARCH("R112",G140)),0)+IFERROR(--ISNUMBER(SEARCH("R113",G140)),0)+IFERROR(--ISNUMBER(SEARCH("R114",G140)),0)+IFERROR(--ISNUMBER(SEARCH("R115",G140)),0)+IFERROR(--ISNUMBER(SEARCH("R116",G140)),0)+IFERROR(--ISNUMBER(SEARCH("R117",G140)),0)+IFERROR(--ISNUMBER(SEARCH("R118",G140)),0)+IFERROR(--ISNUMBER(SEARCH("R119",G140)),0)+IFERROR(--ISNUMBER(SEARCH("R120",G140)),0)+IFERROR(--ISNUMBER(SEARCH("R121",G140)),0)+IFERROR(--ISNUMBER(SEARCH("R122",G140)),0)+IFERROR(--ISNUMBER(SEARCH("R123",G140)),0)+IFERROR(--ISNUMBER(SEARCH("R124",G140)),0)+IFERROR(--ISNUMBER(SEARCH("R125",G140)),0)+IFERROR(--ISNUMBER(SEARCH("R126",G140)),0)+IFERROR(--ISNUMBER(SEARCH("R127",G140)),0)+IFERROR(--ISNUMBER(SEARCH("R128",G140)),0)+IFERROR(--ISNUMBER(SEARCH("R129",G140)),0)+IFERROR(--ISNUMBER(SEARCH("R130",G140)),0)+IFERROR(--ISNUMBER(SEARCH("R131",G140)),0)+IFERROR(--ISNUMBER(SEARCH("R132",G140)),0)+IFERROR(--ISNUMBER(SEARCH("R133",G140)),0)+IFERROR(--ISNUMBER(SEARCH("R134",G140)),0)+IFERROR(--ISNUMBER(SEARCH("R135",G140)),0)+IFERROR(--ISNUMBER(SEARCH("R136",G140)),0)+IFERROR(--ISNUMBER(SEARCH("R137",G140)),0)+IFERROR(--ISNUMBER(SEARCH("R138",G140)),0)+IFERROR(--ISNUMBER(SEARCH("R139",G140)),0)+IFERROR(--ISNUMBER(SEARCH("R140",G140)),0)+IFERROR(--ISNUMBER(SEARCH("R141",G140)),0))</f>
        <v/>
      </c>
      <c r="T140" s="58">
        <f>IF(A140="","",IFERROR(--ISNUMBER(SEARCH("R28",G140)),0)+IFERROR(--ISNUMBER(SEARCH("R29",G140)),0)+IFERROR(--ISNUMBER(SEARCH("R30",G140)),0)+IFERROR(--ISNUMBER(SEARCH("R32",G140)),0)+IFERROR(--ISNUMBER(SEARCH("R33",G140)),0)+IFERROR(--ISNUMBER(SEARCH("R35",G140)),0)+IFERROR(--ISNUMBER(SEARCH("R36",G140)),0)+IFERROR(--ISNUMBER(SEARCH("R38",G140)),0)+IFERROR(--ISNUMBER(SEARCH("R39",G140)),0)+IFERROR(--ISNUMBER(SEARCH("R43",G140)),0)+IFERROR(--ISNUMBER(SEARCH("R44",G140)),0)+IFERROR(--ISNUMBER(SEARCH("R45",G140)),0)+IFERROR(--ISNUMBER(SEARCH("R47",G140)),0)+IFERROR(--ISNUMBER(SEARCH("R48",G140)),0)+IFERROR(--ISNUMBER(SEARCH("R50",G140)),0)+IFERROR(--ISNUMBER(SEARCH("R51",G140)),0)+IFERROR(--ISNUMBER(SEARCH("R56",G140)),0)+IFERROR(--ISNUMBER(SEARCH("R58",G140)),0)+IFERROR(--ISNUMBER(SEARCH("R59",G140)),0)+IFERROR(--ISNUMBER(SEARCH("R60",G140)),0)+IFERROR(--ISNUMBER(SEARCH("R62",G140)),0)+IFERROR(--ISNUMBER(SEARCH("R63",G140)),0)+IFERROR(--ISNUMBER(SEARCH("R64",G140)),0)+IFERROR(--ISNUMBER(SEARCH("R66",G140)),0)+IFERROR(--ISNUMBER(SEARCH("R67",G140)),0)+IFERROR(--ISNUMBER(SEARCH("R72",G140)),0)+IFERROR(--ISNUMBER(SEARCH("R74",G140)),0)+IFERROR(--ISNUMBER(SEARCH("R75",G140)),0)+IFERROR(--ISNUMBER(SEARCH("R76",G140)),0)+IFERROR(--ISNUMBER(SEARCH("R77",G140)),0)+IFERROR(--ISNUMBER(SEARCH("R79",G140)),0)+IFERROR(--ISNUMBER(SEARCH("R80",G140)),0)+IFERROR(--ISNUMBER(SEARCH("R81",G140)),0)+IFERROR(--ISNUMBER(SEARCH("R83",G140)),0)+IFERROR(--ISNUMBER(SEARCH("R84",G140)),0)+IFERROR(--ISNUMBER(SEARCH("R89",G140)),0)+IFERROR(--ISNUMBER(SEARCH("R94",G140)),0)+IFERROR(--ISNUMBER(SEARCH("R95",G140)),0)+IFERROR(--ISNUMBER(SEARCH("R96",G140)),0)+IFERROR(--ISNUMBER(SEARCH("R98",G140)),0)+IFERROR(--ISNUMBER(SEARCH("R99",G140)),0)+IFERROR(--ISNUMBER(SEARCH("R100",G140)),0)+IFERROR(--ISNUMBER(SEARCH("R104",G140)),0)+IFERROR(--ISNUMBER(SEARCH("R105",G140)),0)+IFERROR(--ISNUMBER(SEARCH("R107",G140)),0)+IFERROR(--ISNUMBER(SEARCH("R108",G140)),0)+IFERROR(--ISNUMBER(SEARCH("R109",G140)),0)+IFERROR(--ISNUMBER(SEARCH("R110",G140)),0)+IFERROR(--ISNUMBER(SEARCH("R112",G140)),0)+IFERROR(--ISNUMBER(SEARCH("R113",G140)),0)+IFERROR(--ISNUMBER(SEARCH("R114",G140)),0)+IFERROR(--ISNUMBER(SEARCH("R118",G140)),0)+IFERROR(--ISNUMBER(SEARCH("R119",G140)),0)+IFERROR(--ISNUMBER(SEARCH("R120",G140)),0)+IFERROR(--ISNUMBER(SEARCH("R122",G140)),0)+IFERROR(--ISNUMBER(SEARCH("R123",G140)),0)+IFERROR(--ISNUMBER(SEARCH("R124",G140)),0)+IFERROR(--ISNUMBER(SEARCH("R128",G140)),0)+IFERROR(--ISNUMBER(SEARCH("R130",G140)),0)+IFERROR(--ISNUMBER(SEARCH("R131",G140)),0)+IFERROR(--ISNUMBER(SEARCH("R132",G140)),0)+IFERROR(--ISNUMBER(SEARCH("R135",G140)),0)+IFERROR(--ISNUMBER(SEARCH("R138",G140)),0)+IFERROR(--ISNUMBER(SEARCH("R141",G140)),0))</f>
        <v/>
      </c>
      <c r="U140" s="58">
        <f>IF(A140="","",IFERROR(--ISNUMBER(SEARCH("R28",G140))*28,0)+IFERROR(--ISNUMBER(SEARCH("R29",G140))*29,0)+IFERROR(--ISNUMBER(SEARCH("R30",G140))*30,0)+IFERROR(--ISNUMBER(SEARCH("R31",G140))*31,0)+IFERROR(--ISNUMBER(SEARCH("R32",G140))*32,0)+IFERROR(--ISNUMBER(SEARCH("R33",G140))*33,0)+IFERROR(--ISNUMBER(SEARCH("R34",G140))*34,0)+IFERROR(--ISNUMBER(SEARCH("R35",G140))*35,0)+IFERROR(--ISNUMBER(SEARCH("R36",G140))*36,0)+IFERROR(--ISNUMBER(SEARCH("R37",G140))*37,0)+IFERROR(--ISNUMBER(SEARCH("R38",G140))*38,0)+IFERROR(--ISNUMBER(SEARCH("R39",G140))*39,0)+IFERROR(--ISNUMBER(SEARCH("R40",G140))*40,0)+IFERROR(--ISNUMBER(SEARCH("R41",G140))*41,0)+IFERROR(--ISNUMBER(SEARCH("R42",G140))*42,0)+IFERROR(--ISNUMBER(SEARCH("R43",G140))*43,0)+IFERROR(--ISNUMBER(SEARCH("R44",G140))*44,0)+IFERROR(--ISNUMBER(SEARCH("R45",G140))*45,0)+IFERROR(--ISNUMBER(SEARCH("R46",G140))*46,0)+IFERROR(--ISNUMBER(SEARCH("R47",G140))*47,0)+IFERROR(--ISNUMBER(SEARCH("R48",G140))*48,0)+IFERROR(--ISNUMBER(SEARCH("R49",G140))*49,0)+IFERROR(--ISNUMBER(SEARCH("R50",G140))*50,0)+IFERROR(--ISNUMBER(SEARCH("R51",G140))*51,0)+IFERROR(--ISNUMBER(SEARCH("R52",G140))*52,0)+IFERROR(--ISNUMBER(SEARCH("R53",G140))*53,0)+IFERROR(--ISNUMBER(SEARCH("R54",G140))*54,0)+IFERROR(--ISNUMBER(SEARCH("R55",G140))*55,0)+IFERROR(--ISNUMBER(SEARCH("R56",G140))*56,0)+IFERROR(--ISNUMBER(SEARCH("R57",G140))*57,0)+IFERROR(--ISNUMBER(SEARCH("R58",G140))*58,0)+IFERROR(--ISNUMBER(SEARCH("R59",G140))*59,0)+IFERROR(--ISNUMBER(SEARCH("R60",G140))*60,0)+IFERROR(--ISNUMBER(SEARCH("R61",G140))*61,0)+IFERROR(--ISNUMBER(SEARCH("R62",G140))*62,0)+IFERROR(--ISNUMBER(SEARCH("R63",G140))*63,0)+IFERROR(--ISNUMBER(SEARCH("R64",G140))*64,0)+IFERROR(--ISNUMBER(SEARCH("R65",G140))*65,0)+IFERROR(--ISNUMBER(SEARCH("R66",G140))*66,0)+IFERROR(--ISNUMBER(SEARCH("R67",G140))*67,0)+IFERROR(--ISNUMBER(SEARCH("R68",G140))*68,0)+IFERROR(--ISNUMBER(SEARCH("R69",G140))*69,0)+IFERROR(--ISNUMBER(SEARCH("R70",G140))*70,0)+IFERROR(--ISNUMBER(SEARCH("R71",G140))*71,0)+IFERROR(--ISNUMBER(SEARCH("R72",G140))*72,0)+IFERROR(--ISNUMBER(SEARCH("R73",G140))*73,0)+IFERROR(--ISNUMBER(SEARCH("R74",G140))*74,0)+IFERROR(--ISNUMBER(SEARCH("R75",G140))*75,0)+IFERROR(--ISNUMBER(SEARCH("R76",G140))*76,0)+IFERROR(--ISNUMBER(SEARCH("R77",G140))*77,0)+IFERROR(--ISNUMBER(SEARCH("R78",G140))*78,0)+IFERROR(--ISNUMBER(SEARCH("R79",G140))*79,0)+IFERROR(--ISNUMBER(SEARCH("R80",G140))*80,0)+IFERROR(--ISNUMBER(SEARCH("R81",G140))*81,0)+IFERROR(--ISNUMBER(SEARCH("R82",G140))*82,0)+IFERROR(--ISNUMBER(SEARCH("R83",G140))*83,0)+IFERROR(--ISNUMBER(SEARCH("R84",G140))*84,0)+IFERROR(--ISNUMBER(SEARCH("R85",G140))*85,0)+IFERROR(--ISNUMBER(SEARCH("R86",G140))*86,0)+IFERROR(--ISNUMBER(SEARCH("R87",G140))*87,0)+IFERROR(--ISNUMBER(SEARCH("R88",G140))*88,0)+IFERROR(--ISNUMBER(SEARCH("R89",G140))*89,0)+IFERROR(--ISNUMBER(SEARCH("R90",G140))*90,0)+IFERROR(--ISNUMBER(SEARCH("R91",G140))*91,0)+IFERROR(--ISNUMBER(SEARCH("R92",G140))*92,0)+IFERROR(--ISNUMBER(SEARCH("R93",G140))*93,0)+IFERROR(--ISNUMBER(SEARCH("R94",G140))*94,0)+IFERROR(--ISNUMBER(SEARCH("R95",G140))*95,0)+IFERROR(--ISNUMBER(SEARCH("R96",G140))*96,0)+IFERROR(--ISNUMBER(SEARCH("R97",G140))*97,0)+IFERROR(--ISNUMBER(SEARCH("R98",G140))*98,0)+IFERROR(--ISNUMBER(SEARCH("R99",G140))*99,0)+IFERROR(--ISNUMBER(SEARCH("R100",G140))*100,0)+IFERROR(--ISNUMBER(SEARCH("R101",G140))*101,0)+IFERROR(--ISNUMBER(SEARCH("R102",G140))*102,0)+IFERROR(--ISNUMBER(SEARCH("R103",G140))*103,0)+IFERROR(--ISNUMBER(SEARCH("R104",G140))*104,0)+IFERROR(--ISNUMBER(SEARCH("R105",G140))*105,0)+IFERROR(--ISNUMBER(SEARCH("R106",G140))*106,0)+IFERROR(--ISNUMBER(SEARCH("R107",G140))*107,0)+IFERROR(--ISNUMBER(SEARCH("R108",G140))*108,0)+IFERROR(--ISNUMBER(SEARCH("R109",G140))*109,0)+IFERROR(--ISNUMBER(SEARCH("R110",G140))*110,0)+IFERROR(--ISNUMBER(SEARCH("R111",G140))*111,0)+IFERROR(--ISNUMBER(SEARCH("R112",G140))*112,0)+IFERROR(--ISNUMBER(SEARCH("R113",G140))*113,0)+IFERROR(--ISNUMBER(SEARCH("R114",G140))*114,0)+IFERROR(--ISNUMBER(SEARCH("R115",G140))*115,0)+IFERROR(--ISNUMBER(SEARCH("R116",G140))*116,0)+IFERROR(--ISNUMBER(SEARCH("R117",G140))*117,0)+IFERROR(--ISNUMBER(SEARCH("R118",G140))*118,0)+IFERROR(--ISNUMBER(SEARCH("R119",G140))*119,0)+IFERROR(--ISNUMBER(SEARCH("R120",G140))*120,0)+IFERROR(--ISNUMBER(SEARCH("R121",G140))*121,0)+IFERROR(--ISNUMBER(SEARCH("R122",G140))*122,0)+IFERROR(--ISNUMBER(SEARCH("R123",G140))*123,0)+IFERROR(--ISNUMBER(SEARCH("R124",G140))*124,0)+IFERROR(--ISNUMBER(SEARCH("R125",G140))*125,0)+IFERROR(--ISNUMBER(SEARCH("R126",G140))*126,0)+IFERROR(--ISNUMBER(SEARCH("R127",G140))*127,0)+IFERROR(--ISNUMBER(SEARCH("R128",G140))*128,0)+IFERROR(--ISNUMBER(SEARCH("R129",G140))*129,0)+IFERROR(--ISNUMBER(SEARCH("R130",G140))*130,0)+IFERROR(--ISNUMBER(SEARCH("R131",G140))*131,0)+IFERROR(--ISNUMBER(SEARCH("R132",G140))*132,0)+IFERROR(--ISNUMBER(SEARCH("R133",G140))*133,0)+IFERROR(--ISNUMBER(SEARCH("R134",G140))*134,0)+IFERROR(--ISNUMBER(SEARCH("R135",G140))*135,0)+IFERROR(--ISNUMBER(SEARCH("R136",G140))*136,0)+IFERROR(--ISNUMBER(SEARCH("R137",G140))*137,0)+IFERROR(--ISNUMBER(SEARCH("R138",G140))*138,0)+IFERROR(--ISNUMBER(SEARCH("R139",G140))*139,0)+IFERROR(--ISNUMBER(SEARCH("R140",G140))*140,0)+IFERROR(--ISNUMBER(SEARCH("R141",G140))*141,0))</f>
        <v/>
      </c>
      <c r="V140" s="59">
        <f>IF(A140="","",IF(K140&lt;&gt;"",K140,J140))</f>
        <v/>
      </c>
      <c r="W140" s="59">
        <f>IF(A140="","",IF(AND(V140=29,O140&lt;&gt;"",COUNTIFS($V$6:$V$505,29,$F$6:$F$505,F140,$C$6:$C$505,C140,$O$6:$O$505,"&lt;&gt;")&gt;1),IF(COUNTIFS($V$6:V140,29,$F$6:F140,F140,$C$6:C140,C140,$O$6:O140,"&lt;&gt;")=1,"Esta es la fila que se debe CONSERVAR (aparición 1 de "&amp;COUNTIFS($V$6:$V$505,29,$F$6:$F$505,F140,$C$6:$C$505,C140,$O$6:$O$505,"&lt;&gt;")&amp;" con el mismo tercero y valor, casilla 29). Si hay más filas iguales, bórreles el valor a ELLAS, no a esta.","DUPLICADO — ya existe otra fila con el mismo tercero y valor para casilla 29 (aparición "&amp;COUNTIFS($V$6:V140,29,$F$6:F140,F140,$C$6:C140,C140,$O$6:O140,"&lt;&gt;")&amp;" de "&amp;COUNTIFS($V$6:$V$505,29,$F$6:$F$505,F140,$C$6:$C$505,C140,$O$6:$O$505,"&lt;&gt;")&amp;"). Para resolverlo: seleccione la celda O"&amp;ROW()&amp;" (columna Valor a declarar de ESTA fila) y presione Supr."),""))</f>
        <v/>
      </c>
      <c r="X140" s="463">
        <f>IF(A140="","",F140)</f>
        <v/>
      </c>
      <c r="Y140" s="463">
        <f>IF(A140="","",SUMIF(Entrada_Manual!$I$88:$I$187,A140,Entrada_Manual!$F$88:$F$187))</f>
        <v/>
      </c>
      <c r="Z140" s="463">
        <f>IF(A140="","",X140-Y140)</f>
        <v/>
      </c>
      <c r="AA140">
        <f>IF(A140="","",SUMPRODUCT((Entrada_Manual!$I$88:$I$187=A140)*1))</f>
        <v/>
      </c>
      <c r="AB140">
        <f>IF(A140="","",IF(S140&lt;=1,"",IF(AA140=0,"PENDIENTE — SIN ASIGNAR",IF(Z140=0,"RESUELTO","PARCIAL — DIFERENCIA "&amp;TEXT(Z140,"#,##0")))))</f>
        <v/>
      </c>
    </row>
    <row r="141" ht="14.25" customHeight="1" s="235">
      <c r="A141" s="47">
        <f>IF(Exogena_RAW!E150&lt;&gt;"",ROW()-5,"")</f>
        <v/>
      </c>
      <c r="B141" s="48">
        <f>IF(A141="","",150)</f>
        <v/>
      </c>
      <c r="C141" s="48">
        <f>IF(A141="","",IFERROR(Exogena_RAW!A150,""))</f>
        <v/>
      </c>
      <c r="D141" s="48">
        <f>IF(A141="","",IFERROR(Exogena_RAW!B150,""))</f>
        <v/>
      </c>
      <c r="E141" s="48">
        <f>IF(A141="","",Exogena_RAW!E150)</f>
        <v/>
      </c>
      <c r="F141" s="461">
        <f>IF(A141="","",Exogena_RAW!F150)</f>
        <v/>
      </c>
      <c r="G141" s="48">
        <f>IF(A141="","",IFERROR(Exogena_RAW!G150,""))</f>
        <v/>
      </c>
      <c r="H141" s="48">
        <f>IF(A141="","",IFERROR(Exogena_RAW!H150,""))</f>
        <v/>
      </c>
      <c r="I141" s="48">
        <f>IF(A141="","",IFERROR(IF(S141&gt;1,"VARIAS CASILLAS",IF(S141=1,IF(T141=1,"PROPUESTA DE CASILLA","REVISIÓN: CASILLA NO DIRECTA"),IF(OR(ISNUMBER(SEARCH("TOPE",UPPER(E141))),ISNUMBER(SEARCH("TOPE",UPPER(G141)))),"SOLO CONTROL",IF(ISNUMBER(SEARCH("RETEN",UPPER(E141))),"RETENCIÓN","REVISAR")))),"REVISAR"))</f>
        <v/>
      </c>
      <c r="J141" s="48">
        <f>IF(A141="","",IF(ISNUMBER(SEARCH("ingreso laboral promedio de los últimos seis meses",E141)),"",IFERROR(IF(AND(S141=1,T141=1),U141,""),"")))</f>
        <v/>
      </c>
      <c r="K141" s="216" t="n"/>
      <c r="L141" s="48">
        <f>IF(A141="","",IFERROR(IF(K141&lt;&gt;"","Casilla elegida por usuario",IF(S141&gt;1,"Varias casillas — elegir en K",IF(J141&lt;&gt;"","Sugerencia directa",IF(S141=1,"No trasladar directo — revisar",IF(OR(ISNUMBER(SEARCH("TOPE",UPPER(E141))),ISNUMBER(SEARCH("TOPE",UPPER(G141)))),"Solo control","Revisar manualmente"))))),"Revisar manualmente"))</f>
        <v/>
      </c>
      <c r="M141" s="461">
        <f>IF(A141="","",IF(IF(K141&lt;&gt;"",K141,J141)="",0,IF(COUNTIFS(Reglas!$I$5:$I$118,IF(K141&lt;&gt;"",K141,J141),Reglas!$J$5:$J$118,"Sí")=1,F141,0)))</f>
        <v/>
      </c>
      <c r="N141" s="56" t="n"/>
      <c r="O141" s="462">
        <f>IF(A141="","",IF(M141=0,"",M141))</f>
        <v/>
      </c>
      <c r="P141" s="461">
        <f>IF(A141="","",IF(O141="",0,IF(ISNUMBER(O141),O141,0)))</f>
        <v/>
      </c>
      <c r="Q141" s="48">
        <f>IF(A141="","",IF(Exogena_RAW!$C$4="","BLOQUEADO: FALTA AÑO",IF(Exogena_RAW!$K$10&lt;&gt;Reglas!$B$5,"BLOQUEADO: AÑO",IF(IF(K141&lt;&gt;"",K141,J141)="",IF(S141&gt;1,"REQUIERE ASIGNACIÓN MANUAL (VARIAS CASILLAS)","INFORMATIVO (sin casilla — no se declara)"),IF(COUNTIFS(Reglas!$I$5:$I$118,IF(K141&lt;&gt;"",K141,J141),Reglas!$J$5:$J$118,"Sí")=0,"BLOQUEADO: CASILLA NO DIRECTA",IF(O141="","EXCLUIDO (valor borrado por el usuario)",IF(_xlfn.ISFORMULA(O141),IF(W141&lt;&gt;"","BORRADOR — VALOR SUGERIDO DIAN ⚠ VER ALERTA","BORRADOR — VALOR SUGERIDO DIAN"),IF(W141&lt;&gt;"","ACEPTADO ⚠ VER ALERTA","ACEPTADO"))))))))</f>
        <v/>
      </c>
      <c r="R141" s="218" t="n"/>
      <c r="S141" s="58">
        <f>IF(A141="","",IFERROR(--ISNUMBER(SEARCH("R28",G141)),0)+IFERROR(--ISNUMBER(SEARCH("R29",G141)),0)+IFERROR(--ISNUMBER(SEARCH("R30",G141)),0)+IFERROR(--ISNUMBER(SEARCH("R31",G141)),0)+IFERROR(--ISNUMBER(SEARCH("R32",G141)),0)+IFERROR(--ISNUMBER(SEARCH("R33",G141)),0)+IFERROR(--ISNUMBER(SEARCH("R34",G141)),0)+IFERROR(--ISNUMBER(SEARCH("R35",G141)),0)+IFERROR(--ISNUMBER(SEARCH("R36",G141)),0)+IFERROR(--ISNUMBER(SEARCH("R37",G141)),0)+IFERROR(--ISNUMBER(SEARCH("R38",G141)),0)+IFERROR(--ISNUMBER(SEARCH("R39",G141)),0)+IFERROR(--ISNUMBER(SEARCH("R40",G141)),0)+IFERROR(--ISNUMBER(SEARCH("R41",G141)),0)+IFERROR(--ISNUMBER(SEARCH("R42",G141)),0)+IFERROR(--ISNUMBER(SEARCH("R43",G141)),0)+IFERROR(--ISNUMBER(SEARCH("R44",G141)),0)+IFERROR(--ISNUMBER(SEARCH("R45",G141)),0)+IFERROR(--ISNUMBER(SEARCH("R46",G141)),0)+IFERROR(--ISNUMBER(SEARCH("R47",G141)),0)+IFERROR(--ISNUMBER(SEARCH("R48",G141)),0)+IFERROR(--ISNUMBER(SEARCH("R49",G141)),0)+IFERROR(--ISNUMBER(SEARCH("R50",G141)),0)+IFERROR(--ISNUMBER(SEARCH("R51",G141)),0)+IFERROR(--ISNUMBER(SEARCH("R52",G141)),0)+IFERROR(--ISNUMBER(SEARCH("R53",G141)),0)+IFERROR(--ISNUMBER(SEARCH("R54",G141)),0)+IFERROR(--ISNUMBER(SEARCH("R55",G141)),0)+IFERROR(--ISNUMBER(SEARCH("R56",G141)),0)+IFERROR(--ISNUMBER(SEARCH("R57",G141)),0)+IFERROR(--ISNUMBER(SEARCH("R58",G141)),0)+IFERROR(--ISNUMBER(SEARCH("R59",G141)),0)+IFERROR(--ISNUMBER(SEARCH("R60",G141)),0)+IFERROR(--ISNUMBER(SEARCH("R61",G141)),0)+IFERROR(--ISNUMBER(SEARCH("R62",G141)),0)+IFERROR(--ISNUMBER(SEARCH("R63",G141)),0)+IFERROR(--ISNUMBER(SEARCH("R64",G141)),0)+IFERROR(--ISNUMBER(SEARCH("R65",G141)),0)+IFERROR(--ISNUMBER(SEARCH("R66",G141)),0)+IFERROR(--ISNUMBER(SEARCH("R67",G141)),0)+IFERROR(--ISNUMBER(SEARCH("R68",G141)),0)+IFERROR(--ISNUMBER(SEARCH("R69",G141)),0)+IFERROR(--ISNUMBER(SEARCH("R70",G141)),0)+IFERROR(--ISNUMBER(SEARCH("R71",G141)),0)+IFERROR(--ISNUMBER(SEARCH("R72",G141)),0)+IFERROR(--ISNUMBER(SEARCH("R73",G141)),0)+IFERROR(--ISNUMBER(SEARCH("R74",G141)),0)+IFERROR(--ISNUMBER(SEARCH("R75",G141)),0)+IFERROR(--ISNUMBER(SEARCH("R76",G141)),0)+IFERROR(--ISNUMBER(SEARCH("R77",G141)),0)+IFERROR(--ISNUMBER(SEARCH("R78",G141)),0)+IFERROR(--ISNUMBER(SEARCH("R79",G141)),0)+IFERROR(--ISNUMBER(SEARCH("R80",G141)),0)+IFERROR(--ISNUMBER(SEARCH("R81",G141)),0)+IFERROR(--ISNUMBER(SEARCH("R82",G141)),0)+IFERROR(--ISNUMBER(SEARCH("R83",G141)),0)+IFERROR(--ISNUMBER(SEARCH("R84",G141)),0)+IFERROR(--ISNUMBER(SEARCH("R85",G141)),0)+IFERROR(--ISNUMBER(SEARCH("R86",G141)),0)+IFERROR(--ISNUMBER(SEARCH("R87",G141)),0)+IFERROR(--ISNUMBER(SEARCH("R88",G141)),0)+IFERROR(--ISNUMBER(SEARCH("R89",G141)),0)+IFERROR(--ISNUMBER(SEARCH("R90",G141)),0)+IFERROR(--ISNUMBER(SEARCH("R91",G141)),0)+IFERROR(--ISNUMBER(SEARCH("R92",G141)),0)+IFERROR(--ISNUMBER(SEARCH("R93",G141)),0)+IFERROR(--ISNUMBER(SEARCH("R94",G141)),0)+IFERROR(--ISNUMBER(SEARCH("R95",G141)),0)+IFERROR(--ISNUMBER(SEARCH("R96",G141)),0)+IFERROR(--ISNUMBER(SEARCH("R97",G141)),0)+IFERROR(--ISNUMBER(SEARCH("R98",G141)),0)+IFERROR(--ISNUMBER(SEARCH("R99",G141)),0)+IFERROR(--ISNUMBER(SEARCH("R100",G141)),0)+IFERROR(--ISNUMBER(SEARCH("R101",G141)),0)+IFERROR(--ISNUMBER(SEARCH("R102",G141)),0)+IFERROR(--ISNUMBER(SEARCH("R103",G141)),0)+IFERROR(--ISNUMBER(SEARCH("R104",G141)),0)+IFERROR(--ISNUMBER(SEARCH("R105",G141)),0)+IFERROR(--ISNUMBER(SEARCH("R106",G141)),0)+IFERROR(--ISNUMBER(SEARCH("R107",G141)),0)+IFERROR(--ISNUMBER(SEARCH("R108",G141)),0)+IFERROR(--ISNUMBER(SEARCH("R109",G141)),0)+IFERROR(--ISNUMBER(SEARCH("R110",G141)),0)+IFERROR(--ISNUMBER(SEARCH("R111",G141)),0)+IFERROR(--ISNUMBER(SEARCH("R112",G141)),0)+IFERROR(--ISNUMBER(SEARCH("R113",G141)),0)+IFERROR(--ISNUMBER(SEARCH("R114",G141)),0)+IFERROR(--ISNUMBER(SEARCH("R115",G141)),0)+IFERROR(--ISNUMBER(SEARCH("R116",G141)),0)+IFERROR(--ISNUMBER(SEARCH("R117",G141)),0)+IFERROR(--ISNUMBER(SEARCH("R118",G141)),0)+IFERROR(--ISNUMBER(SEARCH("R119",G141)),0)+IFERROR(--ISNUMBER(SEARCH("R120",G141)),0)+IFERROR(--ISNUMBER(SEARCH("R121",G141)),0)+IFERROR(--ISNUMBER(SEARCH("R122",G141)),0)+IFERROR(--ISNUMBER(SEARCH("R123",G141)),0)+IFERROR(--ISNUMBER(SEARCH("R124",G141)),0)+IFERROR(--ISNUMBER(SEARCH("R125",G141)),0)+IFERROR(--ISNUMBER(SEARCH("R126",G141)),0)+IFERROR(--ISNUMBER(SEARCH("R127",G141)),0)+IFERROR(--ISNUMBER(SEARCH("R128",G141)),0)+IFERROR(--ISNUMBER(SEARCH("R129",G141)),0)+IFERROR(--ISNUMBER(SEARCH("R130",G141)),0)+IFERROR(--ISNUMBER(SEARCH("R131",G141)),0)+IFERROR(--ISNUMBER(SEARCH("R132",G141)),0)+IFERROR(--ISNUMBER(SEARCH("R133",G141)),0)+IFERROR(--ISNUMBER(SEARCH("R134",G141)),0)+IFERROR(--ISNUMBER(SEARCH("R135",G141)),0)+IFERROR(--ISNUMBER(SEARCH("R136",G141)),0)+IFERROR(--ISNUMBER(SEARCH("R137",G141)),0)+IFERROR(--ISNUMBER(SEARCH("R138",G141)),0)+IFERROR(--ISNUMBER(SEARCH("R139",G141)),0)+IFERROR(--ISNUMBER(SEARCH("R140",G141)),0)+IFERROR(--ISNUMBER(SEARCH("R141",G141)),0))</f>
        <v/>
      </c>
      <c r="T141" s="58">
        <f>IF(A141="","",IFERROR(--ISNUMBER(SEARCH("R28",G141)),0)+IFERROR(--ISNUMBER(SEARCH("R29",G141)),0)+IFERROR(--ISNUMBER(SEARCH("R30",G141)),0)+IFERROR(--ISNUMBER(SEARCH("R32",G141)),0)+IFERROR(--ISNUMBER(SEARCH("R33",G141)),0)+IFERROR(--ISNUMBER(SEARCH("R35",G141)),0)+IFERROR(--ISNUMBER(SEARCH("R36",G141)),0)+IFERROR(--ISNUMBER(SEARCH("R38",G141)),0)+IFERROR(--ISNUMBER(SEARCH("R39",G141)),0)+IFERROR(--ISNUMBER(SEARCH("R43",G141)),0)+IFERROR(--ISNUMBER(SEARCH("R44",G141)),0)+IFERROR(--ISNUMBER(SEARCH("R45",G141)),0)+IFERROR(--ISNUMBER(SEARCH("R47",G141)),0)+IFERROR(--ISNUMBER(SEARCH("R48",G141)),0)+IFERROR(--ISNUMBER(SEARCH("R50",G141)),0)+IFERROR(--ISNUMBER(SEARCH("R51",G141)),0)+IFERROR(--ISNUMBER(SEARCH("R56",G141)),0)+IFERROR(--ISNUMBER(SEARCH("R58",G141)),0)+IFERROR(--ISNUMBER(SEARCH("R59",G141)),0)+IFERROR(--ISNUMBER(SEARCH("R60",G141)),0)+IFERROR(--ISNUMBER(SEARCH("R62",G141)),0)+IFERROR(--ISNUMBER(SEARCH("R63",G141)),0)+IFERROR(--ISNUMBER(SEARCH("R64",G141)),0)+IFERROR(--ISNUMBER(SEARCH("R66",G141)),0)+IFERROR(--ISNUMBER(SEARCH("R67",G141)),0)+IFERROR(--ISNUMBER(SEARCH("R72",G141)),0)+IFERROR(--ISNUMBER(SEARCH("R74",G141)),0)+IFERROR(--ISNUMBER(SEARCH("R75",G141)),0)+IFERROR(--ISNUMBER(SEARCH("R76",G141)),0)+IFERROR(--ISNUMBER(SEARCH("R77",G141)),0)+IFERROR(--ISNUMBER(SEARCH("R79",G141)),0)+IFERROR(--ISNUMBER(SEARCH("R80",G141)),0)+IFERROR(--ISNUMBER(SEARCH("R81",G141)),0)+IFERROR(--ISNUMBER(SEARCH("R83",G141)),0)+IFERROR(--ISNUMBER(SEARCH("R84",G141)),0)+IFERROR(--ISNUMBER(SEARCH("R89",G141)),0)+IFERROR(--ISNUMBER(SEARCH("R94",G141)),0)+IFERROR(--ISNUMBER(SEARCH("R95",G141)),0)+IFERROR(--ISNUMBER(SEARCH("R96",G141)),0)+IFERROR(--ISNUMBER(SEARCH("R98",G141)),0)+IFERROR(--ISNUMBER(SEARCH("R99",G141)),0)+IFERROR(--ISNUMBER(SEARCH("R100",G141)),0)+IFERROR(--ISNUMBER(SEARCH("R104",G141)),0)+IFERROR(--ISNUMBER(SEARCH("R105",G141)),0)+IFERROR(--ISNUMBER(SEARCH("R107",G141)),0)+IFERROR(--ISNUMBER(SEARCH("R108",G141)),0)+IFERROR(--ISNUMBER(SEARCH("R109",G141)),0)+IFERROR(--ISNUMBER(SEARCH("R110",G141)),0)+IFERROR(--ISNUMBER(SEARCH("R112",G141)),0)+IFERROR(--ISNUMBER(SEARCH("R113",G141)),0)+IFERROR(--ISNUMBER(SEARCH("R114",G141)),0)+IFERROR(--ISNUMBER(SEARCH("R118",G141)),0)+IFERROR(--ISNUMBER(SEARCH("R119",G141)),0)+IFERROR(--ISNUMBER(SEARCH("R120",G141)),0)+IFERROR(--ISNUMBER(SEARCH("R122",G141)),0)+IFERROR(--ISNUMBER(SEARCH("R123",G141)),0)+IFERROR(--ISNUMBER(SEARCH("R124",G141)),0)+IFERROR(--ISNUMBER(SEARCH("R128",G141)),0)+IFERROR(--ISNUMBER(SEARCH("R130",G141)),0)+IFERROR(--ISNUMBER(SEARCH("R131",G141)),0)+IFERROR(--ISNUMBER(SEARCH("R132",G141)),0)+IFERROR(--ISNUMBER(SEARCH("R135",G141)),0)+IFERROR(--ISNUMBER(SEARCH("R138",G141)),0)+IFERROR(--ISNUMBER(SEARCH("R141",G141)),0))</f>
        <v/>
      </c>
      <c r="U141" s="58">
        <f>IF(A141="","",IFERROR(--ISNUMBER(SEARCH("R28",G141))*28,0)+IFERROR(--ISNUMBER(SEARCH("R29",G141))*29,0)+IFERROR(--ISNUMBER(SEARCH("R30",G141))*30,0)+IFERROR(--ISNUMBER(SEARCH("R31",G141))*31,0)+IFERROR(--ISNUMBER(SEARCH("R32",G141))*32,0)+IFERROR(--ISNUMBER(SEARCH("R33",G141))*33,0)+IFERROR(--ISNUMBER(SEARCH("R34",G141))*34,0)+IFERROR(--ISNUMBER(SEARCH("R35",G141))*35,0)+IFERROR(--ISNUMBER(SEARCH("R36",G141))*36,0)+IFERROR(--ISNUMBER(SEARCH("R37",G141))*37,0)+IFERROR(--ISNUMBER(SEARCH("R38",G141))*38,0)+IFERROR(--ISNUMBER(SEARCH("R39",G141))*39,0)+IFERROR(--ISNUMBER(SEARCH("R40",G141))*40,0)+IFERROR(--ISNUMBER(SEARCH("R41",G141))*41,0)+IFERROR(--ISNUMBER(SEARCH("R42",G141))*42,0)+IFERROR(--ISNUMBER(SEARCH("R43",G141))*43,0)+IFERROR(--ISNUMBER(SEARCH("R44",G141))*44,0)+IFERROR(--ISNUMBER(SEARCH("R45",G141))*45,0)+IFERROR(--ISNUMBER(SEARCH("R46",G141))*46,0)+IFERROR(--ISNUMBER(SEARCH("R47",G141))*47,0)+IFERROR(--ISNUMBER(SEARCH("R48",G141))*48,0)+IFERROR(--ISNUMBER(SEARCH("R49",G141))*49,0)+IFERROR(--ISNUMBER(SEARCH("R50",G141))*50,0)+IFERROR(--ISNUMBER(SEARCH("R51",G141))*51,0)+IFERROR(--ISNUMBER(SEARCH("R52",G141))*52,0)+IFERROR(--ISNUMBER(SEARCH("R53",G141))*53,0)+IFERROR(--ISNUMBER(SEARCH("R54",G141))*54,0)+IFERROR(--ISNUMBER(SEARCH("R55",G141))*55,0)+IFERROR(--ISNUMBER(SEARCH("R56",G141))*56,0)+IFERROR(--ISNUMBER(SEARCH("R57",G141))*57,0)+IFERROR(--ISNUMBER(SEARCH("R58",G141))*58,0)+IFERROR(--ISNUMBER(SEARCH("R59",G141))*59,0)+IFERROR(--ISNUMBER(SEARCH("R60",G141))*60,0)+IFERROR(--ISNUMBER(SEARCH("R61",G141))*61,0)+IFERROR(--ISNUMBER(SEARCH("R62",G141))*62,0)+IFERROR(--ISNUMBER(SEARCH("R63",G141))*63,0)+IFERROR(--ISNUMBER(SEARCH("R64",G141))*64,0)+IFERROR(--ISNUMBER(SEARCH("R65",G141))*65,0)+IFERROR(--ISNUMBER(SEARCH("R66",G141))*66,0)+IFERROR(--ISNUMBER(SEARCH("R67",G141))*67,0)+IFERROR(--ISNUMBER(SEARCH("R68",G141))*68,0)+IFERROR(--ISNUMBER(SEARCH("R69",G141))*69,0)+IFERROR(--ISNUMBER(SEARCH("R70",G141))*70,0)+IFERROR(--ISNUMBER(SEARCH("R71",G141))*71,0)+IFERROR(--ISNUMBER(SEARCH("R72",G141))*72,0)+IFERROR(--ISNUMBER(SEARCH("R73",G141))*73,0)+IFERROR(--ISNUMBER(SEARCH("R74",G141))*74,0)+IFERROR(--ISNUMBER(SEARCH("R75",G141))*75,0)+IFERROR(--ISNUMBER(SEARCH("R76",G141))*76,0)+IFERROR(--ISNUMBER(SEARCH("R77",G141))*77,0)+IFERROR(--ISNUMBER(SEARCH("R78",G141))*78,0)+IFERROR(--ISNUMBER(SEARCH("R79",G141))*79,0)+IFERROR(--ISNUMBER(SEARCH("R80",G141))*80,0)+IFERROR(--ISNUMBER(SEARCH("R81",G141))*81,0)+IFERROR(--ISNUMBER(SEARCH("R82",G141))*82,0)+IFERROR(--ISNUMBER(SEARCH("R83",G141))*83,0)+IFERROR(--ISNUMBER(SEARCH("R84",G141))*84,0)+IFERROR(--ISNUMBER(SEARCH("R85",G141))*85,0)+IFERROR(--ISNUMBER(SEARCH("R86",G141))*86,0)+IFERROR(--ISNUMBER(SEARCH("R87",G141))*87,0)+IFERROR(--ISNUMBER(SEARCH("R88",G141))*88,0)+IFERROR(--ISNUMBER(SEARCH("R89",G141))*89,0)+IFERROR(--ISNUMBER(SEARCH("R90",G141))*90,0)+IFERROR(--ISNUMBER(SEARCH("R91",G141))*91,0)+IFERROR(--ISNUMBER(SEARCH("R92",G141))*92,0)+IFERROR(--ISNUMBER(SEARCH("R93",G141))*93,0)+IFERROR(--ISNUMBER(SEARCH("R94",G141))*94,0)+IFERROR(--ISNUMBER(SEARCH("R95",G141))*95,0)+IFERROR(--ISNUMBER(SEARCH("R96",G141))*96,0)+IFERROR(--ISNUMBER(SEARCH("R97",G141))*97,0)+IFERROR(--ISNUMBER(SEARCH("R98",G141))*98,0)+IFERROR(--ISNUMBER(SEARCH("R99",G141))*99,0)+IFERROR(--ISNUMBER(SEARCH("R100",G141))*100,0)+IFERROR(--ISNUMBER(SEARCH("R101",G141))*101,0)+IFERROR(--ISNUMBER(SEARCH("R102",G141))*102,0)+IFERROR(--ISNUMBER(SEARCH("R103",G141))*103,0)+IFERROR(--ISNUMBER(SEARCH("R104",G141))*104,0)+IFERROR(--ISNUMBER(SEARCH("R105",G141))*105,0)+IFERROR(--ISNUMBER(SEARCH("R106",G141))*106,0)+IFERROR(--ISNUMBER(SEARCH("R107",G141))*107,0)+IFERROR(--ISNUMBER(SEARCH("R108",G141))*108,0)+IFERROR(--ISNUMBER(SEARCH("R109",G141))*109,0)+IFERROR(--ISNUMBER(SEARCH("R110",G141))*110,0)+IFERROR(--ISNUMBER(SEARCH("R111",G141))*111,0)+IFERROR(--ISNUMBER(SEARCH("R112",G141))*112,0)+IFERROR(--ISNUMBER(SEARCH("R113",G141))*113,0)+IFERROR(--ISNUMBER(SEARCH("R114",G141))*114,0)+IFERROR(--ISNUMBER(SEARCH("R115",G141))*115,0)+IFERROR(--ISNUMBER(SEARCH("R116",G141))*116,0)+IFERROR(--ISNUMBER(SEARCH("R117",G141))*117,0)+IFERROR(--ISNUMBER(SEARCH("R118",G141))*118,0)+IFERROR(--ISNUMBER(SEARCH("R119",G141))*119,0)+IFERROR(--ISNUMBER(SEARCH("R120",G141))*120,0)+IFERROR(--ISNUMBER(SEARCH("R121",G141))*121,0)+IFERROR(--ISNUMBER(SEARCH("R122",G141))*122,0)+IFERROR(--ISNUMBER(SEARCH("R123",G141))*123,0)+IFERROR(--ISNUMBER(SEARCH("R124",G141))*124,0)+IFERROR(--ISNUMBER(SEARCH("R125",G141))*125,0)+IFERROR(--ISNUMBER(SEARCH("R126",G141))*126,0)+IFERROR(--ISNUMBER(SEARCH("R127",G141))*127,0)+IFERROR(--ISNUMBER(SEARCH("R128",G141))*128,0)+IFERROR(--ISNUMBER(SEARCH("R129",G141))*129,0)+IFERROR(--ISNUMBER(SEARCH("R130",G141))*130,0)+IFERROR(--ISNUMBER(SEARCH("R131",G141))*131,0)+IFERROR(--ISNUMBER(SEARCH("R132",G141))*132,0)+IFERROR(--ISNUMBER(SEARCH("R133",G141))*133,0)+IFERROR(--ISNUMBER(SEARCH("R134",G141))*134,0)+IFERROR(--ISNUMBER(SEARCH("R135",G141))*135,0)+IFERROR(--ISNUMBER(SEARCH("R136",G141))*136,0)+IFERROR(--ISNUMBER(SEARCH("R137",G141))*137,0)+IFERROR(--ISNUMBER(SEARCH("R138",G141))*138,0)+IFERROR(--ISNUMBER(SEARCH("R139",G141))*139,0)+IFERROR(--ISNUMBER(SEARCH("R140",G141))*140,0)+IFERROR(--ISNUMBER(SEARCH("R141",G141))*141,0))</f>
        <v/>
      </c>
      <c r="V141" s="59">
        <f>IF(A141="","",IF(K141&lt;&gt;"",K141,J141))</f>
        <v/>
      </c>
      <c r="W141" s="59">
        <f>IF(A141="","",IF(AND(V141=29,O141&lt;&gt;"",COUNTIFS($V$6:$V$505,29,$F$6:$F$505,F141,$C$6:$C$505,C141,$O$6:$O$505,"&lt;&gt;")&gt;1),IF(COUNTIFS($V$6:V141,29,$F$6:F141,F141,$C$6:C141,C141,$O$6:O141,"&lt;&gt;")=1,"Esta es la fila que se debe CONSERVAR (aparición 1 de "&amp;COUNTIFS($V$6:$V$505,29,$F$6:$F$505,F141,$C$6:$C$505,C141,$O$6:$O$505,"&lt;&gt;")&amp;" con el mismo tercero y valor, casilla 29). Si hay más filas iguales, bórreles el valor a ELLAS, no a esta.","DUPLICADO — ya existe otra fila con el mismo tercero y valor para casilla 29 (aparición "&amp;COUNTIFS($V$6:V141,29,$F$6:F141,F141,$C$6:C141,C141,$O$6:O141,"&lt;&gt;")&amp;" de "&amp;COUNTIFS($V$6:$V$505,29,$F$6:$F$505,F141,$C$6:$C$505,C141,$O$6:$O$505,"&lt;&gt;")&amp;"). Para resolverlo: seleccione la celda O"&amp;ROW()&amp;" (columna Valor a declarar de ESTA fila) y presione Supr."),""))</f>
        <v/>
      </c>
      <c r="X141" s="463">
        <f>IF(A141="","",F141)</f>
        <v/>
      </c>
      <c r="Y141" s="463">
        <f>IF(A141="","",SUMIF(Entrada_Manual!$I$88:$I$187,A141,Entrada_Manual!$F$88:$F$187))</f>
        <v/>
      </c>
      <c r="Z141" s="463">
        <f>IF(A141="","",X141-Y141)</f>
        <v/>
      </c>
      <c r="AA141">
        <f>IF(A141="","",SUMPRODUCT((Entrada_Manual!$I$88:$I$187=A141)*1))</f>
        <v/>
      </c>
      <c r="AB141">
        <f>IF(A141="","",IF(S141&lt;=1,"",IF(AA141=0,"PENDIENTE — SIN ASIGNAR",IF(Z141=0,"RESUELTO","PARCIAL — DIFERENCIA "&amp;TEXT(Z141,"#,##0")))))</f>
        <v/>
      </c>
    </row>
    <row r="142" ht="14.25" customHeight="1" s="235">
      <c r="A142" s="47">
        <f>IF(Exogena_RAW!E151&lt;&gt;"",ROW()-5,"")</f>
        <v/>
      </c>
      <c r="B142" s="48">
        <f>IF(A142="","",151)</f>
        <v/>
      </c>
      <c r="C142" s="48">
        <f>IF(A142="","",IFERROR(Exogena_RAW!A151,""))</f>
        <v/>
      </c>
      <c r="D142" s="48">
        <f>IF(A142="","",IFERROR(Exogena_RAW!B151,""))</f>
        <v/>
      </c>
      <c r="E142" s="48">
        <f>IF(A142="","",Exogena_RAW!E151)</f>
        <v/>
      </c>
      <c r="F142" s="461">
        <f>IF(A142="","",Exogena_RAW!F151)</f>
        <v/>
      </c>
      <c r="G142" s="48">
        <f>IF(A142="","",IFERROR(Exogena_RAW!G151,""))</f>
        <v/>
      </c>
      <c r="H142" s="48">
        <f>IF(A142="","",IFERROR(Exogena_RAW!H151,""))</f>
        <v/>
      </c>
      <c r="I142" s="48">
        <f>IF(A142="","",IFERROR(IF(S142&gt;1,"VARIAS CASILLAS",IF(S142=1,IF(T142=1,"PROPUESTA DE CASILLA","REVISIÓN: CASILLA NO DIRECTA"),IF(OR(ISNUMBER(SEARCH("TOPE",UPPER(E142))),ISNUMBER(SEARCH("TOPE",UPPER(G142)))),"SOLO CONTROL",IF(ISNUMBER(SEARCH("RETEN",UPPER(E142))),"RETENCIÓN","REVISAR")))),"REVISAR"))</f>
        <v/>
      </c>
      <c r="J142" s="48">
        <f>IF(A142="","",IF(ISNUMBER(SEARCH("ingreso laboral promedio de los últimos seis meses",E142)),"",IFERROR(IF(AND(S142=1,T142=1),U142,""),"")))</f>
        <v/>
      </c>
      <c r="K142" s="216" t="n"/>
      <c r="L142" s="48">
        <f>IF(A142="","",IFERROR(IF(K142&lt;&gt;"","Casilla elegida por usuario",IF(S142&gt;1,"Varias casillas — elegir en K",IF(J142&lt;&gt;"","Sugerencia directa",IF(S142=1,"No trasladar directo — revisar",IF(OR(ISNUMBER(SEARCH("TOPE",UPPER(E142))),ISNUMBER(SEARCH("TOPE",UPPER(G142)))),"Solo control","Revisar manualmente"))))),"Revisar manualmente"))</f>
        <v/>
      </c>
      <c r="M142" s="461">
        <f>IF(A142="","",IF(IF(K142&lt;&gt;"",K142,J142)="",0,IF(COUNTIFS(Reglas!$I$5:$I$118,IF(K142&lt;&gt;"",K142,J142),Reglas!$J$5:$J$118,"Sí")=1,F142,0)))</f>
        <v/>
      </c>
      <c r="N142" s="56" t="n"/>
      <c r="O142" s="462">
        <f>IF(A142="","",IF(M142=0,"",M142))</f>
        <v/>
      </c>
      <c r="P142" s="461">
        <f>IF(A142="","",IF(O142="",0,IF(ISNUMBER(O142),O142,0)))</f>
        <v/>
      </c>
      <c r="Q142" s="48">
        <f>IF(A142="","",IF(Exogena_RAW!$C$4="","BLOQUEADO: FALTA AÑO",IF(Exogena_RAW!$K$10&lt;&gt;Reglas!$B$5,"BLOQUEADO: AÑO",IF(IF(K142&lt;&gt;"",K142,J142)="",IF(S142&gt;1,"REQUIERE ASIGNACIÓN MANUAL (VARIAS CASILLAS)","INFORMATIVO (sin casilla — no se declara)"),IF(COUNTIFS(Reglas!$I$5:$I$118,IF(K142&lt;&gt;"",K142,J142),Reglas!$J$5:$J$118,"Sí")=0,"BLOQUEADO: CASILLA NO DIRECTA",IF(O142="","EXCLUIDO (valor borrado por el usuario)",IF(_xlfn.ISFORMULA(O142),IF(W142&lt;&gt;"","BORRADOR — VALOR SUGERIDO DIAN ⚠ VER ALERTA","BORRADOR — VALOR SUGERIDO DIAN"),IF(W142&lt;&gt;"","ACEPTADO ⚠ VER ALERTA","ACEPTADO"))))))))</f>
        <v/>
      </c>
      <c r="R142" s="218" t="n"/>
      <c r="S142" s="58">
        <f>IF(A142="","",IFERROR(--ISNUMBER(SEARCH("R28",G142)),0)+IFERROR(--ISNUMBER(SEARCH("R29",G142)),0)+IFERROR(--ISNUMBER(SEARCH("R30",G142)),0)+IFERROR(--ISNUMBER(SEARCH("R31",G142)),0)+IFERROR(--ISNUMBER(SEARCH("R32",G142)),0)+IFERROR(--ISNUMBER(SEARCH("R33",G142)),0)+IFERROR(--ISNUMBER(SEARCH("R34",G142)),0)+IFERROR(--ISNUMBER(SEARCH("R35",G142)),0)+IFERROR(--ISNUMBER(SEARCH("R36",G142)),0)+IFERROR(--ISNUMBER(SEARCH("R37",G142)),0)+IFERROR(--ISNUMBER(SEARCH("R38",G142)),0)+IFERROR(--ISNUMBER(SEARCH("R39",G142)),0)+IFERROR(--ISNUMBER(SEARCH("R40",G142)),0)+IFERROR(--ISNUMBER(SEARCH("R41",G142)),0)+IFERROR(--ISNUMBER(SEARCH("R42",G142)),0)+IFERROR(--ISNUMBER(SEARCH("R43",G142)),0)+IFERROR(--ISNUMBER(SEARCH("R44",G142)),0)+IFERROR(--ISNUMBER(SEARCH("R45",G142)),0)+IFERROR(--ISNUMBER(SEARCH("R46",G142)),0)+IFERROR(--ISNUMBER(SEARCH("R47",G142)),0)+IFERROR(--ISNUMBER(SEARCH("R48",G142)),0)+IFERROR(--ISNUMBER(SEARCH("R49",G142)),0)+IFERROR(--ISNUMBER(SEARCH("R50",G142)),0)+IFERROR(--ISNUMBER(SEARCH("R51",G142)),0)+IFERROR(--ISNUMBER(SEARCH("R52",G142)),0)+IFERROR(--ISNUMBER(SEARCH("R53",G142)),0)+IFERROR(--ISNUMBER(SEARCH("R54",G142)),0)+IFERROR(--ISNUMBER(SEARCH("R55",G142)),0)+IFERROR(--ISNUMBER(SEARCH("R56",G142)),0)+IFERROR(--ISNUMBER(SEARCH("R57",G142)),0)+IFERROR(--ISNUMBER(SEARCH("R58",G142)),0)+IFERROR(--ISNUMBER(SEARCH("R59",G142)),0)+IFERROR(--ISNUMBER(SEARCH("R60",G142)),0)+IFERROR(--ISNUMBER(SEARCH("R61",G142)),0)+IFERROR(--ISNUMBER(SEARCH("R62",G142)),0)+IFERROR(--ISNUMBER(SEARCH("R63",G142)),0)+IFERROR(--ISNUMBER(SEARCH("R64",G142)),0)+IFERROR(--ISNUMBER(SEARCH("R65",G142)),0)+IFERROR(--ISNUMBER(SEARCH("R66",G142)),0)+IFERROR(--ISNUMBER(SEARCH("R67",G142)),0)+IFERROR(--ISNUMBER(SEARCH("R68",G142)),0)+IFERROR(--ISNUMBER(SEARCH("R69",G142)),0)+IFERROR(--ISNUMBER(SEARCH("R70",G142)),0)+IFERROR(--ISNUMBER(SEARCH("R71",G142)),0)+IFERROR(--ISNUMBER(SEARCH("R72",G142)),0)+IFERROR(--ISNUMBER(SEARCH("R73",G142)),0)+IFERROR(--ISNUMBER(SEARCH("R74",G142)),0)+IFERROR(--ISNUMBER(SEARCH("R75",G142)),0)+IFERROR(--ISNUMBER(SEARCH("R76",G142)),0)+IFERROR(--ISNUMBER(SEARCH("R77",G142)),0)+IFERROR(--ISNUMBER(SEARCH("R78",G142)),0)+IFERROR(--ISNUMBER(SEARCH("R79",G142)),0)+IFERROR(--ISNUMBER(SEARCH("R80",G142)),0)+IFERROR(--ISNUMBER(SEARCH("R81",G142)),0)+IFERROR(--ISNUMBER(SEARCH("R82",G142)),0)+IFERROR(--ISNUMBER(SEARCH("R83",G142)),0)+IFERROR(--ISNUMBER(SEARCH("R84",G142)),0)+IFERROR(--ISNUMBER(SEARCH("R85",G142)),0)+IFERROR(--ISNUMBER(SEARCH("R86",G142)),0)+IFERROR(--ISNUMBER(SEARCH("R87",G142)),0)+IFERROR(--ISNUMBER(SEARCH("R88",G142)),0)+IFERROR(--ISNUMBER(SEARCH("R89",G142)),0)+IFERROR(--ISNUMBER(SEARCH("R90",G142)),0)+IFERROR(--ISNUMBER(SEARCH("R91",G142)),0)+IFERROR(--ISNUMBER(SEARCH("R92",G142)),0)+IFERROR(--ISNUMBER(SEARCH("R93",G142)),0)+IFERROR(--ISNUMBER(SEARCH("R94",G142)),0)+IFERROR(--ISNUMBER(SEARCH("R95",G142)),0)+IFERROR(--ISNUMBER(SEARCH("R96",G142)),0)+IFERROR(--ISNUMBER(SEARCH("R97",G142)),0)+IFERROR(--ISNUMBER(SEARCH("R98",G142)),0)+IFERROR(--ISNUMBER(SEARCH("R99",G142)),0)+IFERROR(--ISNUMBER(SEARCH("R100",G142)),0)+IFERROR(--ISNUMBER(SEARCH("R101",G142)),0)+IFERROR(--ISNUMBER(SEARCH("R102",G142)),0)+IFERROR(--ISNUMBER(SEARCH("R103",G142)),0)+IFERROR(--ISNUMBER(SEARCH("R104",G142)),0)+IFERROR(--ISNUMBER(SEARCH("R105",G142)),0)+IFERROR(--ISNUMBER(SEARCH("R106",G142)),0)+IFERROR(--ISNUMBER(SEARCH("R107",G142)),0)+IFERROR(--ISNUMBER(SEARCH("R108",G142)),0)+IFERROR(--ISNUMBER(SEARCH("R109",G142)),0)+IFERROR(--ISNUMBER(SEARCH("R110",G142)),0)+IFERROR(--ISNUMBER(SEARCH("R111",G142)),0)+IFERROR(--ISNUMBER(SEARCH("R112",G142)),0)+IFERROR(--ISNUMBER(SEARCH("R113",G142)),0)+IFERROR(--ISNUMBER(SEARCH("R114",G142)),0)+IFERROR(--ISNUMBER(SEARCH("R115",G142)),0)+IFERROR(--ISNUMBER(SEARCH("R116",G142)),0)+IFERROR(--ISNUMBER(SEARCH("R117",G142)),0)+IFERROR(--ISNUMBER(SEARCH("R118",G142)),0)+IFERROR(--ISNUMBER(SEARCH("R119",G142)),0)+IFERROR(--ISNUMBER(SEARCH("R120",G142)),0)+IFERROR(--ISNUMBER(SEARCH("R121",G142)),0)+IFERROR(--ISNUMBER(SEARCH("R122",G142)),0)+IFERROR(--ISNUMBER(SEARCH("R123",G142)),0)+IFERROR(--ISNUMBER(SEARCH("R124",G142)),0)+IFERROR(--ISNUMBER(SEARCH("R125",G142)),0)+IFERROR(--ISNUMBER(SEARCH("R126",G142)),0)+IFERROR(--ISNUMBER(SEARCH("R127",G142)),0)+IFERROR(--ISNUMBER(SEARCH("R128",G142)),0)+IFERROR(--ISNUMBER(SEARCH("R129",G142)),0)+IFERROR(--ISNUMBER(SEARCH("R130",G142)),0)+IFERROR(--ISNUMBER(SEARCH("R131",G142)),0)+IFERROR(--ISNUMBER(SEARCH("R132",G142)),0)+IFERROR(--ISNUMBER(SEARCH("R133",G142)),0)+IFERROR(--ISNUMBER(SEARCH("R134",G142)),0)+IFERROR(--ISNUMBER(SEARCH("R135",G142)),0)+IFERROR(--ISNUMBER(SEARCH("R136",G142)),0)+IFERROR(--ISNUMBER(SEARCH("R137",G142)),0)+IFERROR(--ISNUMBER(SEARCH("R138",G142)),0)+IFERROR(--ISNUMBER(SEARCH("R139",G142)),0)+IFERROR(--ISNUMBER(SEARCH("R140",G142)),0)+IFERROR(--ISNUMBER(SEARCH("R141",G142)),0))</f>
        <v/>
      </c>
      <c r="T142" s="58">
        <f>IF(A142="","",IFERROR(--ISNUMBER(SEARCH("R28",G142)),0)+IFERROR(--ISNUMBER(SEARCH("R29",G142)),0)+IFERROR(--ISNUMBER(SEARCH("R30",G142)),0)+IFERROR(--ISNUMBER(SEARCH("R32",G142)),0)+IFERROR(--ISNUMBER(SEARCH("R33",G142)),0)+IFERROR(--ISNUMBER(SEARCH("R35",G142)),0)+IFERROR(--ISNUMBER(SEARCH("R36",G142)),0)+IFERROR(--ISNUMBER(SEARCH("R38",G142)),0)+IFERROR(--ISNUMBER(SEARCH("R39",G142)),0)+IFERROR(--ISNUMBER(SEARCH("R43",G142)),0)+IFERROR(--ISNUMBER(SEARCH("R44",G142)),0)+IFERROR(--ISNUMBER(SEARCH("R45",G142)),0)+IFERROR(--ISNUMBER(SEARCH("R47",G142)),0)+IFERROR(--ISNUMBER(SEARCH("R48",G142)),0)+IFERROR(--ISNUMBER(SEARCH("R50",G142)),0)+IFERROR(--ISNUMBER(SEARCH("R51",G142)),0)+IFERROR(--ISNUMBER(SEARCH("R56",G142)),0)+IFERROR(--ISNUMBER(SEARCH("R58",G142)),0)+IFERROR(--ISNUMBER(SEARCH("R59",G142)),0)+IFERROR(--ISNUMBER(SEARCH("R60",G142)),0)+IFERROR(--ISNUMBER(SEARCH("R62",G142)),0)+IFERROR(--ISNUMBER(SEARCH("R63",G142)),0)+IFERROR(--ISNUMBER(SEARCH("R64",G142)),0)+IFERROR(--ISNUMBER(SEARCH("R66",G142)),0)+IFERROR(--ISNUMBER(SEARCH("R67",G142)),0)+IFERROR(--ISNUMBER(SEARCH("R72",G142)),0)+IFERROR(--ISNUMBER(SEARCH("R74",G142)),0)+IFERROR(--ISNUMBER(SEARCH("R75",G142)),0)+IFERROR(--ISNUMBER(SEARCH("R76",G142)),0)+IFERROR(--ISNUMBER(SEARCH("R77",G142)),0)+IFERROR(--ISNUMBER(SEARCH("R79",G142)),0)+IFERROR(--ISNUMBER(SEARCH("R80",G142)),0)+IFERROR(--ISNUMBER(SEARCH("R81",G142)),0)+IFERROR(--ISNUMBER(SEARCH("R83",G142)),0)+IFERROR(--ISNUMBER(SEARCH("R84",G142)),0)+IFERROR(--ISNUMBER(SEARCH("R89",G142)),0)+IFERROR(--ISNUMBER(SEARCH("R94",G142)),0)+IFERROR(--ISNUMBER(SEARCH("R95",G142)),0)+IFERROR(--ISNUMBER(SEARCH("R96",G142)),0)+IFERROR(--ISNUMBER(SEARCH("R98",G142)),0)+IFERROR(--ISNUMBER(SEARCH("R99",G142)),0)+IFERROR(--ISNUMBER(SEARCH("R100",G142)),0)+IFERROR(--ISNUMBER(SEARCH("R104",G142)),0)+IFERROR(--ISNUMBER(SEARCH("R105",G142)),0)+IFERROR(--ISNUMBER(SEARCH("R107",G142)),0)+IFERROR(--ISNUMBER(SEARCH("R108",G142)),0)+IFERROR(--ISNUMBER(SEARCH("R109",G142)),0)+IFERROR(--ISNUMBER(SEARCH("R110",G142)),0)+IFERROR(--ISNUMBER(SEARCH("R112",G142)),0)+IFERROR(--ISNUMBER(SEARCH("R113",G142)),0)+IFERROR(--ISNUMBER(SEARCH("R114",G142)),0)+IFERROR(--ISNUMBER(SEARCH("R118",G142)),0)+IFERROR(--ISNUMBER(SEARCH("R119",G142)),0)+IFERROR(--ISNUMBER(SEARCH("R120",G142)),0)+IFERROR(--ISNUMBER(SEARCH("R122",G142)),0)+IFERROR(--ISNUMBER(SEARCH("R123",G142)),0)+IFERROR(--ISNUMBER(SEARCH("R124",G142)),0)+IFERROR(--ISNUMBER(SEARCH("R128",G142)),0)+IFERROR(--ISNUMBER(SEARCH("R130",G142)),0)+IFERROR(--ISNUMBER(SEARCH("R131",G142)),0)+IFERROR(--ISNUMBER(SEARCH("R132",G142)),0)+IFERROR(--ISNUMBER(SEARCH("R135",G142)),0)+IFERROR(--ISNUMBER(SEARCH("R138",G142)),0)+IFERROR(--ISNUMBER(SEARCH("R141",G142)),0))</f>
        <v/>
      </c>
      <c r="U142" s="58">
        <f>IF(A142="","",IFERROR(--ISNUMBER(SEARCH("R28",G142))*28,0)+IFERROR(--ISNUMBER(SEARCH("R29",G142))*29,0)+IFERROR(--ISNUMBER(SEARCH("R30",G142))*30,0)+IFERROR(--ISNUMBER(SEARCH("R31",G142))*31,0)+IFERROR(--ISNUMBER(SEARCH("R32",G142))*32,0)+IFERROR(--ISNUMBER(SEARCH("R33",G142))*33,0)+IFERROR(--ISNUMBER(SEARCH("R34",G142))*34,0)+IFERROR(--ISNUMBER(SEARCH("R35",G142))*35,0)+IFERROR(--ISNUMBER(SEARCH("R36",G142))*36,0)+IFERROR(--ISNUMBER(SEARCH("R37",G142))*37,0)+IFERROR(--ISNUMBER(SEARCH("R38",G142))*38,0)+IFERROR(--ISNUMBER(SEARCH("R39",G142))*39,0)+IFERROR(--ISNUMBER(SEARCH("R40",G142))*40,0)+IFERROR(--ISNUMBER(SEARCH("R41",G142))*41,0)+IFERROR(--ISNUMBER(SEARCH("R42",G142))*42,0)+IFERROR(--ISNUMBER(SEARCH("R43",G142))*43,0)+IFERROR(--ISNUMBER(SEARCH("R44",G142))*44,0)+IFERROR(--ISNUMBER(SEARCH("R45",G142))*45,0)+IFERROR(--ISNUMBER(SEARCH("R46",G142))*46,0)+IFERROR(--ISNUMBER(SEARCH("R47",G142))*47,0)+IFERROR(--ISNUMBER(SEARCH("R48",G142))*48,0)+IFERROR(--ISNUMBER(SEARCH("R49",G142))*49,0)+IFERROR(--ISNUMBER(SEARCH("R50",G142))*50,0)+IFERROR(--ISNUMBER(SEARCH("R51",G142))*51,0)+IFERROR(--ISNUMBER(SEARCH("R52",G142))*52,0)+IFERROR(--ISNUMBER(SEARCH("R53",G142))*53,0)+IFERROR(--ISNUMBER(SEARCH("R54",G142))*54,0)+IFERROR(--ISNUMBER(SEARCH("R55",G142))*55,0)+IFERROR(--ISNUMBER(SEARCH("R56",G142))*56,0)+IFERROR(--ISNUMBER(SEARCH("R57",G142))*57,0)+IFERROR(--ISNUMBER(SEARCH("R58",G142))*58,0)+IFERROR(--ISNUMBER(SEARCH("R59",G142))*59,0)+IFERROR(--ISNUMBER(SEARCH("R60",G142))*60,0)+IFERROR(--ISNUMBER(SEARCH("R61",G142))*61,0)+IFERROR(--ISNUMBER(SEARCH("R62",G142))*62,0)+IFERROR(--ISNUMBER(SEARCH("R63",G142))*63,0)+IFERROR(--ISNUMBER(SEARCH("R64",G142))*64,0)+IFERROR(--ISNUMBER(SEARCH("R65",G142))*65,0)+IFERROR(--ISNUMBER(SEARCH("R66",G142))*66,0)+IFERROR(--ISNUMBER(SEARCH("R67",G142))*67,0)+IFERROR(--ISNUMBER(SEARCH("R68",G142))*68,0)+IFERROR(--ISNUMBER(SEARCH("R69",G142))*69,0)+IFERROR(--ISNUMBER(SEARCH("R70",G142))*70,0)+IFERROR(--ISNUMBER(SEARCH("R71",G142))*71,0)+IFERROR(--ISNUMBER(SEARCH("R72",G142))*72,0)+IFERROR(--ISNUMBER(SEARCH("R73",G142))*73,0)+IFERROR(--ISNUMBER(SEARCH("R74",G142))*74,0)+IFERROR(--ISNUMBER(SEARCH("R75",G142))*75,0)+IFERROR(--ISNUMBER(SEARCH("R76",G142))*76,0)+IFERROR(--ISNUMBER(SEARCH("R77",G142))*77,0)+IFERROR(--ISNUMBER(SEARCH("R78",G142))*78,0)+IFERROR(--ISNUMBER(SEARCH("R79",G142))*79,0)+IFERROR(--ISNUMBER(SEARCH("R80",G142))*80,0)+IFERROR(--ISNUMBER(SEARCH("R81",G142))*81,0)+IFERROR(--ISNUMBER(SEARCH("R82",G142))*82,0)+IFERROR(--ISNUMBER(SEARCH("R83",G142))*83,0)+IFERROR(--ISNUMBER(SEARCH("R84",G142))*84,0)+IFERROR(--ISNUMBER(SEARCH("R85",G142))*85,0)+IFERROR(--ISNUMBER(SEARCH("R86",G142))*86,0)+IFERROR(--ISNUMBER(SEARCH("R87",G142))*87,0)+IFERROR(--ISNUMBER(SEARCH("R88",G142))*88,0)+IFERROR(--ISNUMBER(SEARCH("R89",G142))*89,0)+IFERROR(--ISNUMBER(SEARCH("R90",G142))*90,0)+IFERROR(--ISNUMBER(SEARCH("R91",G142))*91,0)+IFERROR(--ISNUMBER(SEARCH("R92",G142))*92,0)+IFERROR(--ISNUMBER(SEARCH("R93",G142))*93,0)+IFERROR(--ISNUMBER(SEARCH("R94",G142))*94,0)+IFERROR(--ISNUMBER(SEARCH("R95",G142))*95,0)+IFERROR(--ISNUMBER(SEARCH("R96",G142))*96,0)+IFERROR(--ISNUMBER(SEARCH("R97",G142))*97,0)+IFERROR(--ISNUMBER(SEARCH("R98",G142))*98,0)+IFERROR(--ISNUMBER(SEARCH("R99",G142))*99,0)+IFERROR(--ISNUMBER(SEARCH("R100",G142))*100,0)+IFERROR(--ISNUMBER(SEARCH("R101",G142))*101,0)+IFERROR(--ISNUMBER(SEARCH("R102",G142))*102,0)+IFERROR(--ISNUMBER(SEARCH("R103",G142))*103,0)+IFERROR(--ISNUMBER(SEARCH("R104",G142))*104,0)+IFERROR(--ISNUMBER(SEARCH("R105",G142))*105,0)+IFERROR(--ISNUMBER(SEARCH("R106",G142))*106,0)+IFERROR(--ISNUMBER(SEARCH("R107",G142))*107,0)+IFERROR(--ISNUMBER(SEARCH("R108",G142))*108,0)+IFERROR(--ISNUMBER(SEARCH("R109",G142))*109,0)+IFERROR(--ISNUMBER(SEARCH("R110",G142))*110,0)+IFERROR(--ISNUMBER(SEARCH("R111",G142))*111,0)+IFERROR(--ISNUMBER(SEARCH("R112",G142))*112,0)+IFERROR(--ISNUMBER(SEARCH("R113",G142))*113,0)+IFERROR(--ISNUMBER(SEARCH("R114",G142))*114,0)+IFERROR(--ISNUMBER(SEARCH("R115",G142))*115,0)+IFERROR(--ISNUMBER(SEARCH("R116",G142))*116,0)+IFERROR(--ISNUMBER(SEARCH("R117",G142))*117,0)+IFERROR(--ISNUMBER(SEARCH("R118",G142))*118,0)+IFERROR(--ISNUMBER(SEARCH("R119",G142))*119,0)+IFERROR(--ISNUMBER(SEARCH("R120",G142))*120,0)+IFERROR(--ISNUMBER(SEARCH("R121",G142))*121,0)+IFERROR(--ISNUMBER(SEARCH("R122",G142))*122,0)+IFERROR(--ISNUMBER(SEARCH("R123",G142))*123,0)+IFERROR(--ISNUMBER(SEARCH("R124",G142))*124,0)+IFERROR(--ISNUMBER(SEARCH("R125",G142))*125,0)+IFERROR(--ISNUMBER(SEARCH("R126",G142))*126,0)+IFERROR(--ISNUMBER(SEARCH("R127",G142))*127,0)+IFERROR(--ISNUMBER(SEARCH("R128",G142))*128,0)+IFERROR(--ISNUMBER(SEARCH("R129",G142))*129,0)+IFERROR(--ISNUMBER(SEARCH("R130",G142))*130,0)+IFERROR(--ISNUMBER(SEARCH("R131",G142))*131,0)+IFERROR(--ISNUMBER(SEARCH("R132",G142))*132,0)+IFERROR(--ISNUMBER(SEARCH("R133",G142))*133,0)+IFERROR(--ISNUMBER(SEARCH("R134",G142))*134,0)+IFERROR(--ISNUMBER(SEARCH("R135",G142))*135,0)+IFERROR(--ISNUMBER(SEARCH("R136",G142))*136,0)+IFERROR(--ISNUMBER(SEARCH("R137",G142))*137,0)+IFERROR(--ISNUMBER(SEARCH("R138",G142))*138,0)+IFERROR(--ISNUMBER(SEARCH("R139",G142))*139,0)+IFERROR(--ISNUMBER(SEARCH("R140",G142))*140,0)+IFERROR(--ISNUMBER(SEARCH("R141",G142))*141,0))</f>
        <v/>
      </c>
      <c r="V142" s="59">
        <f>IF(A142="","",IF(K142&lt;&gt;"",K142,J142))</f>
        <v/>
      </c>
      <c r="W142" s="59">
        <f>IF(A142="","",IF(AND(V142=29,O142&lt;&gt;"",COUNTIFS($V$6:$V$505,29,$F$6:$F$505,F142,$C$6:$C$505,C142,$O$6:$O$505,"&lt;&gt;")&gt;1),IF(COUNTIFS($V$6:V142,29,$F$6:F142,F142,$C$6:C142,C142,$O$6:O142,"&lt;&gt;")=1,"Esta es la fila que se debe CONSERVAR (aparición 1 de "&amp;COUNTIFS($V$6:$V$505,29,$F$6:$F$505,F142,$C$6:$C$505,C142,$O$6:$O$505,"&lt;&gt;")&amp;" con el mismo tercero y valor, casilla 29). Si hay más filas iguales, bórreles el valor a ELLAS, no a esta.","DUPLICADO — ya existe otra fila con el mismo tercero y valor para casilla 29 (aparición "&amp;COUNTIFS($V$6:V142,29,$F$6:F142,F142,$C$6:C142,C142,$O$6:O142,"&lt;&gt;")&amp;" de "&amp;COUNTIFS($V$6:$V$505,29,$F$6:$F$505,F142,$C$6:$C$505,C142,$O$6:$O$505,"&lt;&gt;")&amp;"). Para resolverlo: seleccione la celda O"&amp;ROW()&amp;" (columna Valor a declarar de ESTA fila) y presione Supr."),""))</f>
        <v/>
      </c>
      <c r="X142" s="463">
        <f>IF(A142="","",F142)</f>
        <v/>
      </c>
      <c r="Y142" s="463">
        <f>IF(A142="","",SUMIF(Entrada_Manual!$I$88:$I$187,A142,Entrada_Manual!$F$88:$F$187))</f>
        <v/>
      </c>
      <c r="Z142" s="463">
        <f>IF(A142="","",X142-Y142)</f>
        <v/>
      </c>
      <c r="AA142">
        <f>IF(A142="","",SUMPRODUCT((Entrada_Manual!$I$88:$I$187=A142)*1))</f>
        <v/>
      </c>
      <c r="AB142">
        <f>IF(A142="","",IF(S142&lt;=1,"",IF(AA142=0,"PENDIENTE — SIN ASIGNAR",IF(Z142=0,"RESUELTO","PARCIAL — DIFERENCIA "&amp;TEXT(Z142,"#,##0")))))</f>
        <v/>
      </c>
    </row>
    <row r="143" ht="14.25" customHeight="1" s="235">
      <c r="A143" s="47">
        <f>IF(Exogena_RAW!E152&lt;&gt;"",ROW()-5,"")</f>
        <v/>
      </c>
      <c r="B143" s="48">
        <f>IF(A143="","",152)</f>
        <v/>
      </c>
      <c r="C143" s="48">
        <f>IF(A143="","",IFERROR(Exogena_RAW!A152,""))</f>
        <v/>
      </c>
      <c r="D143" s="48">
        <f>IF(A143="","",IFERROR(Exogena_RAW!B152,""))</f>
        <v/>
      </c>
      <c r="E143" s="48">
        <f>IF(A143="","",Exogena_RAW!E152)</f>
        <v/>
      </c>
      <c r="F143" s="461">
        <f>IF(A143="","",Exogena_RAW!F152)</f>
        <v/>
      </c>
      <c r="G143" s="48">
        <f>IF(A143="","",IFERROR(Exogena_RAW!G152,""))</f>
        <v/>
      </c>
      <c r="H143" s="48">
        <f>IF(A143="","",IFERROR(Exogena_RAW!H152,""))</f>
        <v/>
      </c>
      <c r="I143" s="48">
        <f>IF(A143="","",IFERROR(IF(S143&gt;1,"VARIAS CASILLAS",IF(S143=1,IF(T143=1,"PROPUESTA DE CASILLA","REVISIÓN: CASILLA NO DIRECTA"),IF(OR(ISNUMBER(SEARCH("TOPE",UPPER(E143))),ISNUMBER(SEARCH("TOPE",UPPER(G143)))),"SOLO CONTROL",IF(ISNUMBER(SEARCH("RETEN",UPPER(E143))),"RETENCIÓN","REVISAR")))),"REVISAR"))</f>
        <v/>
      </c>
      <c r="J143" s="48">
        <f>IF(A143="","",IF(ISNUMBER(SEARCH("ingreso laboral promedio de los últimos seis meses",E143)),"",IFERROR(IF(AND(S143=1,T143=1),U143,""),"")))</f>
        <v/>
      </c>
      <c r="K143" s="216" t="n"/>
      <c r="L143" s="48">
        <f>IF(A143="","",IFERROR(IF(K143&lt;&gt;"","Casilla elegida por usuario",IF(S143&gt;1,"Varias casillas — elegir en K",IF(J143&lt;&gt;"","Sugerencia directa",IF(S143=1,"No trasladar directo — revisar",IF(OR(ISNUMBER(SEARCH("TOPE",UPPER(E143))),ISNUMBER(SEARCH("TOPE",UPPER(G143)))),"Solo control","Revisar manualmente"))))),"Revisar manualmente"))</f>
        <v/>
      </c>
      <c r="M143" s="461">
        <f>IF(A143="","",IF(IF(K143&lt;&gt;"",K143,J143)="",0,IF(COUNTIFS(Reglas!$I$5:$I$118,IF(K143&lt;&gt;"",K143,J143),Reglas!$J$5:$J$118,"Sí")=1,F143,0)))</f>
        <v/>
      </c>
      <c r="N143" s="56" t="n"/>
      <c r="O143" s="462">
        <f>IF(A143="","",IF(M143=0,"",M143))</f>
        <v/>
      </c>
      <c r="P143" s="461">
        <f>IF(A143="","",IF(O143="",0,IF(ISNUMBER(O143),O143,0)))</f>
        <v/>
      </c>
      <c r="Q143" s="48">
        <f>IF(A143="","",IF(Exogena_RAW!$C$4="","BLOQUEADO: FALTA AÑO",IF(Exogena_RAW!$K$10&lt;&gt;Reglas!$B$5,"BLOQUEADO: AÑO",IF(IF(K143&lt;&gt;"",K143,J143)="",IF(S143&gt;1,"REQUIERE ASIGNACIÓN MANUAL (VARIAS CASILLAS)","INFORMATIVO (sin casilla — no se declara)"),IF(COUNTIFS(Reglas!$I$5:$I$118,IF(K143&lt;&gt;"",K143,J143),Reglas!$J$5:$J$118,"Sí")=0,"BLOQUEADO: CASILLA NO DIRECTA",IF(O143="","EXCLUIDO (valor borrado por el usuario)",IF(_xlfn.ISFORMULA(O143),IF(W143&lt;&gt;"","BORRADOR — VALOR SUGERIDO DIAN ⚠ VER ALERTA","BORRADOR — VALOR SUGERIDO DIAN"),IF(W143&lt;&gt;"","ACEPTADO ⚠ VER ALERTA","ACEPTADO"))))))))</f>
        <v/>
      </c>
      <c r="R143" s="218" t="n"/>
      <c r="S143" s="58">
        <f>IF(A143="","",IFERROR(--ISNUMBER(SEARCH("R28",G143)),0)+IFERROR(--ISNUMBER(SEARCH("R29",G143)),0)+IFERROR(--ISNUMBER(SEARCH("R30",G143)),0)+IFERROR(--ISNUMBER(SEARCH("R31",G143)),0)+IFERROR(--ISNUMBER(SEARCH("R32",G143)),0)+IFERROR(--ISNUMBER(SEARCH("R33",G143)),0)+IFERROR(--ISNUMBER(SEARCH("R34",G143)),0)+IFERROR(--ISNUMBER(SEARCH("R35",G143)),0)+IFERROR(--ISNUMBER(SEARCH("R36",G143)),0)+IFERROR(--ISNUMBER(SEARCH("R37",G143)),0)+IFERROR(--ISNUMBER(SEARCH("R38",G143)),0)+IFERROR(--ISNUMBER(SEARCH("R39",G143)),0)+IFERROR(--ISNUMBER(SEARCH("R40",G143)),0)+IFERROR(--ISNUMBER(SEARCH("R41",G143)),0)+IFERROR(--ISNUMBER(SEARCH("R42",G143)),0)+IFERROR(--ISNUMBER(SEARCH("R43",G143)),0)+IFERROR(--ISNUMBER(SEARCH("R44",G143)),0)+IFERROR(--ISNUMBER(SEARCH("R45",G143)),0)+IFERROR(--ISNUMBER(SEARCH("R46",G143)),0)+IFERROR(--ISNUMBER(SEARCH("R47",G143)),0)+IFERROR(--ISNUMBER(SEARCH("R48",G143)),0)+IFERROR(--ISNUMBER(SEARCH("R49",G143)),0)+IFERROR(--ISNUMBER(SEARCH("R50",G143)),0)+IFERROR(--ISNUMBER(SEARCH("R51",G143)),0)+IFERROR(--ISNUMBER(SEARCH("R52",G143)),0)+IFERROR(--ISNUMBER(SEARCH("R53",G143)),0)+IFERROR(--ISNUMBER(SEARCH("R54",G143)),0)+IFERROR(--ISNUMBER(SEARCH("R55",G143)),0)+IFERROR(--ISNUMBER(SEARCH("R56",G143)),0)+IFERROR(--ISNUMBER(SEARCH("R57",G143)),0)+IFERROR(--ISNUMBER(SEARCH("R58",G143)),0)+IFERROR(--ISNUMBER(SEARCH("R59",G143)),0)+IFERROR(--ISNUMBER(SEARCH("R60",G143)),0)+IFERROR(--ISNUMBER(SEARCH("R61",G143)),0)+IFERROR(--ISNUMBER(SEARCH("R62",G143)),0)+IFERROR(--ISNUMBER(SEARCH("R63",G143)),0)+IFERROR(--ISNUMBER(SEARCH("R64",G143)),0)+IFERROR(--ISNUMBER(SEARCH("R65",G143)),0)+IFERROR(--ISNUMBER(SEARCH("R66",G143)),0)+IFERROR(--ISNUMBER(SEARCH("R67",G143)),0)+IFERROR(--ISNUMBER(SEARCH("R68",G143)),0)+IFERROR(--ISNUMBER(SEARCH("R69",G143)),0)+IFERROR(--ISNUMBER(SEARCH("R70",G143)),0)+IFERROR(--ISNUMBER(SEARCH("R71",G143)),0)+IFERROR(--ISNUMBER(SEARCH("R72",G143)),0)+IFERROR(--ISNUMBER(SEARCH("R73",G143)),0)+IFERROR(--ISNUMBER(SEARCH("R74",G143)),0)+IFERROR(--ISNUMBER(SEARCH("R75",G143)),0)+IFERROR(--ISNUMBER(SEARCH("R76",G143)),0)+IFERROR(--ISNUMBER(SEARCH("R77",G143)),0)+IFERROR(--ISNUMBER(SEARCH("R78",G143)),0)+IFERROR(--ISNUMBER(SEARCH("R79",G143)),0)+IFERROR(--ISNUMBER(SEARCH("R80",G143)),0)+IFERROR(--ISNUMBER(SEARCH("R81",G143)),0)+IFERROR(--ISNUMBER(SEARCH("R82",G143)),0)+IFERROR(--ISNUMBER(SEARCH("R83",G143)),0)+IFERROR(--ISNUMBER(SEARCH("R84",G143)),0)+IFERROR(--ISNUMBER(SEARCH("R85",G143)),0)+IFERROR(--ISNUMBER(SEARCH("R86",G143)),0)+IFERROR(--ISNUMBER(SEARCH("R87",G143)),0)+IFERROR(--ISNUMBER(SEARCH("R88",G143)),0)+IFERROR(--ISNUMBER(SEARCH("R89",G143)),0)+IFERROR(--ISNUMBER(SEARCH("R90",G143)),0)+IFERROR(--ISNUMBER(SEARCH("R91",G143)),0)+IFERROR(--ISNUMBER(SEARCH("R92",G143)),0)+IFERROR(--ISNUMBER(SEARCH("R93",G143)),0)+IFERROR(--ISNUMBER(SEARCH("R94",G143)),0)+IFERROR(--ISNUMBER(SEARCH("R95",G143)),0)+IFERROR(--ISNUMBER(SEARCH("R96",G143)),0)+IFERROR(--ISNUMBER(SEARCH("R97",G143)),0)+IFERROR(--ISNUMBER(SEARCH("R98",G143)),0)+IFERROR(--ISNUMBER(SEARCH("R99",G143)),0)+IFERROR(--ISNUMBER(SEARCH("R100",G143)),0)+IFERROR(--ISNUMBER(SEARCH("R101",G143)),0)+IFERROR(--ISNUMBER(SEARCH("R102",G143)),0)+IFERROR(--ISNUMBER(SEARCH("R103",G143)),0)+IFERROR(--ISNUMBER(SEARCH("R104",G143)),0)+IFERROR(--ISNUMBER(SEARCH("R105",G143)),0)+IFERROR(--ISNUMBER(SEARCH("R106",G143)),0)+IFERROR(--ISNUMBER(SEARCH("R107",G143)),0)+IFERROR(--ISNUMBER(SEARCH("R108",G143)),0)+IFERROR(--ISNUMBER(SEARCH("R109",G143)),0)+IFERROR(--ISNUMBER(SEARCH("R110",G143)),0)+IFERROR(--ISNUMBER(SEARCH("R111",G143)),0)+IFERROR(--ISNUMBER(SEARCH("R112",G143)),0)+IFERROR(--ISNUMBER(SEARCH("R113",G143)),0)+IFERROR(--ISNUMBER(SEARCH("R114",G143)),0)+IFERROR(--ISNUMBER(SEARCH("R115",G143)),0)+IFERROR(--ISNUMBER(SEARCH("R116",G143)),0)+IFERROR(--ISNUMBER(SEARCH("R117",G143)),0)+IFERROR(--ISNUMBER(SEARCH("R118",G143)),0)+IFERROR(--ISNUMBER(SEARCH("R119",G143)),0)+IFERROR(--ISNUMBER(SEARCH("R120",G143)),0)+IFERROR(--ISNUMBER(SEARCH("R121",G143)),0)+IFERROR(--ISNUMBER(SEARCH("R122",G143)),0)+IFERROR(--ISNUMBER(SEARCH("R123",G143)),0)+IFERROR(--ISNUMBER(SEARCH("R124",G143)),0)+IFERROR(--ISNUMBER(SEARCH("R125",G143)),0)+IFERROR(--ISNUMBER(SEARCH("R126",G143)),0)+IFERROR(--ISNUMBER(SEARCH("R127",G143)),0)+IFERROR(--ISNUMBER(SEARCH("R128",G143)),0)+IFERROR(--ISNUMBER(SEARCH("R129",G143)),0)+IFERROR(--ISNUMBER(SEARCH("R130",G143)),0)+IFERROR(--ISNUMBER(SEARCH("R131",G143)),0)+IFERROR(--ISNUMBER(SEARCH("R132",G143)),0)+IFERROR(--ISNUMBER(SEARCH("R133",G143)),0)+IFERROR(--ISNUMBER(SEARCH("R134",G143)),0)+IFERROR(--ISNUMBER(SEARCH("R135",G143)),0)+IFERROR(--ISNUMBER(SEARCH("R136",G143)),0)+IFERROR(--ISNUMBER(SEARCH("R137",G143)),0)+IFERROR(--ISNUMBER(SEARCH("R138",G143)),0)+IFERROR(--ISNUMBER(SEARCH("R139",G143)),0)+IFERROR(--ISNUMBER(SEARCH("R140",G143)),0)+IFERROR(--ISNUMBER(SEARCH("R141",G143)),0))</f>
        <v/>
      </c>
      <c r="T143" s="58">
        <f>IF(A143="","",IFERROR(--ISNUMBER(SEARCH("R28",G143)),0)+IFERROR(--ISNUMBER(SEARCH("R29",G143)),0)+IFERROR(--ISNUMBER(SEARCH("R30",G143)),0)+IFERROR(--ISNUMBER(SEARCH("R32",G143)),0)+IFERROR(--ISNUMBER(SEARCH("R33",G143)),0)+IFERROR(--ISNUMBER(SEARCH("R35",G143)),0)+IFERROR(--ISNUMBER(SEARCH("R36",G143)),0)+IFERROR(--ISNUMBER(SEARCH("R38",G143)),0)+IFERROR(--ISNUMBER(SEARCH("R39",G143)),0)+IFERROR(--ISNUMBER(SEARCH("R43",G143)),0)+IFERROR(--ISNUMBER(SEARCH("R44",G143)),0)+IFERROR(--ISNUMBER(SEARCH("R45",G143)),0)+IFERROR(--ISNUMBER(SEARCH("R47",G143)),0)+IFERROR(--ISNUMBER(SEARCH("R48",G143)),0)+IFERROR(--ISNUMBER(SEARCH("R50",G143)),0)+IFERROR(--ISNUMBER(SEARCH("R51",G143)),0)+IFERROR(--ISNUMBER(SEARCH("R56",G143)),0)+IFERROR(--ISNUMBER(SEARCH("R58",G143)),0)+IFERROR(--ISNUMBER(SEARCH("R59",G143)),0)+IFERROR(--ISNUMBER(SEARCH("R60",G143)),0)+IFERROR(--ISNUMBER(SEARCH("R62",G143)),0)+IFERROR(--ISNUMBER(SEARCH("R63",G143)),0)+IFERROR(--ISNUMBER(SEARCH("R64",G143)),0)+IFERROR(--ISNUMBER(SEARCH("R66",G143)),0)+IFERROR(--ISNUMBER(SEARCH("R67",G143)),0)+IFERROR(--ISNUMBER(SEARCH("R72",G143)),0)+IFERROR(--ISNUMBER(SEARCH("R74",G143)),0)+IFERROR(--ISNUMBER(SEARCH("R75",G143)),0)+IFERROR(--ISNUMBER(SEARCH("R76",G143)),0)+IFERROR(--ISNUMBER(SEARCH("R77",G143)),0)+IFERROR(--ISNUMBER(SEARCH("R79",G143)),0)+IFERROR(--ISNUMBER(SEARCH("R80",G143)),0)+IFERROR(--ISNUMBER(SEARCH("R81",G143)),0)+IFERROR(--ISNUMBER(SEARCH("R83",G143)),0)+IFERROR(--ISNUMBER(SEARCH("R84",G143)),0)+IFERROR(--ISNUMBER(SEARCH("R89",G143)),0)+IFERROR(--ISNUMBER(SEARCH("R94",G143)),0)+IFERROR(--ISNUMBER(SEARCH("R95",G143)),0)+IFERROR(--ISNUMBER(SEARCH("R96",G143)),0)+IFERROR(--ISNUMBER(SEARCH("R98",G143)),0)+IFERROR(--ISNUMBER(SEARCH("R99",G143)),0)+IFERROR(--ISNUMBER(SEARCH("R100",G143)),0)+IFERROR(--ISNUMBER(SEARCH("R104",G143)),0)+IFERROR(--ISNUMBER(SEARCH("R105",G143)),0)+IFERROR(--ISNUMBER(SEARCH("R107",G143)),0)+IFERROR(--ISNUMBER(SEARCH("R108",G143)),0)+IFERROR(--ISNUMBER(SEARCH("R109",G143)),0)+IFERROR(--ISNUMBER(SEARCH("R110",G143)),0)+IFERROR(--ISNUMBER(SEARCH("R112",G143)),0)+IFERROR(--ISNUMBER(SEARCH("R113",G143)),0)+IFERROR(--ISNUMBER(SEARCH("R114",G143)),0)+IFERROR(--ISNUMBER(SEARCH("R118",G143)),0)+IFERROR(--ISNUMBER(SEARCH("R119",G143)),0)+IFERROR(--ISNUMBER(SEARCH("R120",G143)),0)+IFERROR(--ISNUMBER(SEARCH("R122",G143)),0)+IFERROR(--ISNUMBER(SEARCH("R123",G143)),0)+IFERROR(--ISNUMBER(SEARCH("R124",G143)),0)+IFERROR(--ISNUMBER(SEARCH("R128",G143)),0)+IFERROR(--ISNUMBER(SEARCH("R130",G143)),0)+IFERROR(--ISNUMBER(SEARCH("R131",G143)),0)+IFERROR(--ISNUMBER(SEARCH("R132",G143)),0)+IFERROR(--ISNUMBER(SEARCH("R135",G143)),0)+IFERROR(--ISNUMBER(SEARCH("R138",G143)),0)+IFERROR(--ISNUMBER(SEARCH("R141",G143)),0))</f>
        <v/>
      </c>
      <c r="U143" s="58">
        <f>IF(A143="","",IFERROR(--ISNUMBER(SEARCH("R28",G143))*28,0)+IFERROR(--ISNUMBER(SEARCH("R29",G143))*29,0)+IFERROR(--ISNUMBER(SEARCH("R30",G143))*30,0)+IFERROR(--ISNUMBER(SEARCH("R31",G143))*31,0)+IFERROR(--ISNUMBER(SEARCH("R32",G143))*32,0)+IFERROR(--ISNUMBER(SEARCH("R33",G143))*33,0)+IFERROR(--ISNUMBER(SEARCH("R34",G143))*34,0)+IFERROR(--ISNUMBER(SEARCH("R35",G143))*35,0)+IFERROR(--ISNUMBER(SEARCH("R36",G143))*36,0)+IFERROR(--ISNUMBER(SEARCH("R37",G143))*37,0)+IFERROR(--ISNUMBER(SEARCH("R38",G143))*38,0)+IFERROR(--ISNUMBER(SEARCH("R39",G143))*39,0)+IFERROR(--ISNUMBER(SEARCH("R40",G143))*40,0)+IFERROR(--ISNUMBER(SEARCH("R41",G143))*41,0)+IFERROR(--ISNUMBER(SEARCH("R42",G143))*42,0)+IFERROR(--ISNUMBER(SEARCH("R43",G143))*43,0)+IFERROR(--ISNUMBER(SEARCH("R44",G143))*44,0)+IFERROR(--ISNUMBER(SEARCH("R45",G143))*45,0)+IFERROR(--ISNUMBER(SEARCH("R46",G143))*46,0)+IFERROR(--ISNUMBER(SEARCH("R47",G143))*47,0)+IFERROR(--ISNUMBER(SEARCH("R48",G143))*48,0)+IFERROR(--ISNUMBER(SEARCH("R49",G143))*49,0)+IFERROR(--ISNUMBER(SEARCH("R50",G143))*50,0)+IFERROR(--ISNUMBER(SEARCH("R51",G143))*51,0)+IFERROR(--ISNUMBER(SEARCH("R52",G143))*52,0)+IFERROR(--ISNUMBER(SEARCH("R53",G143))*53,0)+IFERROR(--ISNUMBER(SEARCH("R54",G143))*54,0)+IFERROR(--ISNUMBER(SEARCH("R55",G143))*55,0)+IFERROR(--ISNUMBER(SEARCH("R56",G143))*56,0)+IFERROR(--ISNUMBER(SEARCH("R57",G143))*57,0)+IFERROR(--ISNUMBER(SEARCH("R58",G143))*58,0)+IFERROR(--ISNUMBER(SEARCH("R59",G143))*59,0)+IFERROR(--ISNUMBER(SEARCH("R60",G143))*60,0)+IFERROR(--ISNUMBER(SEARCH("R61",G143))*61,0)+IFERROR(--ISNUMBER(SEARCH("R62",G143))*62,0)+IFERROR(--ISNUMBER(SEARCH("R63",G143))*63,0)+IFERROR(--ISNUMBER(SEARCH("R64",G143))*64,0)+IFERROR(--ISNUMBER(SEARCH("R65",G143))*65,0)+IFERROR(--ISNUMBER(SEARCH("R66",G143))*66,0)+IFERROR(--ISNUMBER(SEARCH("R67",G143))*67,0)+IFERROR(--ISNUMBER(SEARCH("R68",G143))*68,0)+IFERROR(--ISNUMBER(SEARCH("R69",G143))*69,0)+IFERROR(--ISNUMBER(SEARCH("R70",G143))*70,0)+IFERROR(--ISNUMBER(SEARCH("R71",G143))*71,0)+IFERROR(--ISNUMBER(SEARCH("R72",G143))*72,0)+IFERROR(--ISNUMBER(SEARCH("R73",G143))*73,0)+IFERROR(--ISNUMBER(SEARCH("R74",G143))*74,0)+IFERROR(--ISNUMBER(SEARCH("R75",G143))*75,0)+IFERROR(--ISNUMBER(SEARCH("R76",G143))*76,0)+IFERROR(--ISNUMBER(SEARCH("R77",G143))*77,0)+IFERROR(--ISNUMBER(SEARCH("R78",G143))*78,0)+IFERROR(--ISNUMBER(SEARCH("R79",G143))*79,0)+IFERROR(--ISNUMBER(SEARCH("R80",G143))*80,0)+IFERROR(--ISNUMBER(SEARCH("R81",G143))*81,0)+IFERROR(--ISNUMBER(SEARCH("R82",G143))*82,0)+IFERROR(--ISNUMBER(SEARCH("R83",G143))*83,0)+IFERROR(--ISNUMBER(SEARCH("R84",G143))*84,0)+IFERROR(--ISNUMBER(SEARCH("R85",G143))*85,0)+IFERROR(--ISNUMBER(SEARCH("R86",G143))*86,0)+IFERROR(--ISNUMBER(SEARCH("R87",G143))*87,0)+IFERROR(--ISNUMBER(SEARCH("R88",G143))*88,0)+IFERROR(--ISNUMBER(SEARCH("R89",G143))*89,0)+IFERROR(--ISNUMBER(SEARCH("R90",G143))*90,0)+IFERROR(--ISNUMBER(SEARCH("R91",G143))*91,0)+IFERROR(--ISNUMBER(SEARCH("R92",G143))*92,0)+IFERROR(--ISNUMBER(SEARCH("R93",G143))*93,0)+IFERROR(--ISNUMBER(SEARCH("R94",G143))*94,0)+IFERROR(--ISNUMBER(SEARCH("R95",G143))*95,0)+IFERROR(--ISNUMBER(SEARCH("R96",G143))*96,0)+IFERROR(--ISNUMBER(SEARCH("R97",G143))*97,0)+IFERROR(--ISNUMBER(SEARCH("R98",G143))*98,0)+IFERROR(--ISNUMBER(SEARCH("R99",G143))*99,0)+IFERROR(--ISNUMBER(SEARCH("R100",G143))*100,0)+IFERROR(--ISNUMBER(SEARCH("R101",G143))*101,0)+IFERROR(--ISNUMBER(SEARCH("R102",G143))*102,0)+IFERROR(--ISNUMBER(SEARCH("R103",G143))*103,0)+IFERROR(--ISNUMBER(SEARCH("R104",G143))*104,0)+IFERROR(--ISNUMBER(SEARCH("R105",G143))*105,0)+IFERROR(--ISNUMBER(SEARCH("R106",G143))*106,0)+IFERROR(--ISNUMBER(SEARCH("R107",G143))*107,0)+IFERROR(--ISNUMBER(SEARCH("R108",G143))*108,0)+IFERROR(--ISNUMBER(SEARCH("R109",G143))*109,0)+IFERROR(--ISNUMBER(SEARCH("R110",G143))*110,0)+IFERROR(--ISNUMBER(SEARCH("R111",G143))*111,0)+IFERROR(--ISNUMBER(SEARCH("R112",G143))*112,0)+IFERROR(--ISNUMBER(SEARCH("R113",G143))*113,0)+IFERROR(--ISNUMBER(SEARCH("R114",G143))*114,0)+IFERROR(--ISNUMBER(SEARCH("R115",G143))*115,0)+IFERROR(--ISNUMBER(SEARCH("R116",G143))*116,0)+IFERROR(--ISNUMBER(SEARCH("R117",G143))*117,0)+IFERROR(--ISNUMBER(SEARCH("R118",G143))*118,0)+IFERROR(--ISNUMBER(SEARCH("R119",G143))*119,0)+IFERROR(--ISNUMBER(SEARCH("R120",G143))*120,0)+IFERROR(--ISNUMBER(SEARCH("R121",G143))*121,0)+IFERROR(--ISNUMBER(SEARCH("R122",G143))*122,0)+IFERROR(--ISNUMBER(SEARCH("R123",G143))*123,0)+IFERROR(--ISNUMBER(SEARCH("R124",G143))*124,0)+IFERROR(--ISNUMBER(SEARCH("R125",G143))*125,0)+IFERROR(--ISNUMBER(SEARCH("R126",G143))*126,0)+IFERROR(--ISNUMBER(SEARCH("R127",G143))*127,0)+IFERROR(--ISNUMBER(SEARCH("R128",G143))*128,0)+IFERROR(--ISNUMBER(SEARCH("R129",G143))*129,0)+IFERROR(--ISNUMBER(SEARCH("R130",G143))*130,0)+IFERROR(--ISNUMBER(SEARCH("R131",G143))*131,0)+IFERROR(--ISNUMBER(SEARCH("R132",G143))*132,0)+IFERROR(--ISNUMBER(SEARCH("R133",G143))*133,0)+IFERROR(--ISNUMBER(SEARCH("R134",G143))*134,0)+IFERROR(--ISNUMBER(SEARCH("R135",G143))*135,0)+IFERROR(--ISNUMBER(SEARCH("R136",G143))*136,0)+IFERROR(--ISNUMBER(SEARCH("R137",G143))*137,0)+IFERROR(--ISNUMBER(SEARCH("R138",G143))*138,0)+IFERROR(--ISNUMBER(SEARCH("R139",G143))*139,0)+IFERROR(--ISNUMBER(SEARCH("R140",G143))*140,0)+IFERROR(--ISNUMBER(SEARCH("R141",G143))*141,0))</f>
        <v/>
      </c>
      <c r="V143" s="59">
        <f>IF(A143="","",IF(K143&lt;&gt;"",K143,J143))</f>
        <v/>
      </c>
      <c r="W143" s="59">
        <f>IF(A143="","",IF(AND(V143=29,O143&lt;&gt;"",COUNTIFS($V$6:$V$505,29,$F$6:$F$505,F143,$C$6:$C$505,C143,$O$6:$O$505,"&lt;&gt;")&gt;1),IF(COUNTIFS($V$6:V143,29,$F$6:F143,F143,$C$6:C143,C143,$O$6:O143,"&lt;&gt;")=1,"Esta es la fila que se debe CONSERVAR (aparición 1 de "&amp;COUNTIFS($V$6:$V$505,29,$F$6:$F$505,F143,$C$6:$C$505,C143,$O$6:$O$505,"&lt;&gt;")&amp;" con el mismo tercero y valor, casilla 29). Si hay más filas iguales, bórreles el valor a ELLAS, no a esta.","DUPLICADO — ya existe otra fila con el mismo tercero y valor para casilla 29 (aparición "&amp;COUNTIFS($V$6:V143,29,$F$6:F143,F143,$C$6:C143,C143,$O$6:O143,"&lt;&gt;")&amp;" de "&amp;COUNTIFS($V$6:$V$505,29,$F$6:$F$505,F143,$C$6:$C$505,C143,$O$6:$O$505,"&lt;&gt;")&amp;"). Para resolverlo: seleccione la celda O"&amp;ROW()&amp;" (columna Valor a declarar de ESTA fila) y presione Supr."),""))</f>
        <v/>
      </c>
      <c r="X143" s="463">
        <f>IF(A143="","",F143)</f>
        <v/>
      </c>
      <c r="Y143" s="463">
        <f>IF(A143="","",SUMIF(Entrada_Manual!$I$88:$I$187,A143,Entrada_Manual!$F$88:$F$187))</f>
        <v/>
      </c>
      <c r="Z143" s="463">
        <f>IF(A143="","",X143-Y143)</f>
        <v/>
      </c>
      <c r="AA143">
        <f>IF(A143="","",SUMPRODUCT((Entrada_Manual!$I$88:$I$187=A143)*1))</f>
        <v/>
      </c>
      <c r="AB143">
        <f>IF(A143="","",IF(S143&lt;=1,"",IF(AA143=0,"PENDIENTE — SIN ASIGNAR",IF(Z143=0,"RESUELTO","PARCIAL — DIFERENCIA "&amp;TEXT(Z143,"#,##0")))))</f>
        <v/>
      </c>
    </row>
    <row r="144" ht="14.25" customHeight="1" s="235">
      <c r="A144" s="47">
        <f>IF(Exogena_RAW!E153&lt;&gt;"",ROW()-5,"")</f>
        <v/>
      </c>
      <c r="B144" s="48">
        <f>IF(A144="","",153)</f>
        <v/>
      </c>
      <c r="C144" s="48">
        <f>IF(A144="","",IFERROR(Exogena_RAW!A153,""))</f>
        <v/>
      </c>
      <c r="D144" s="48">
        <f>IF(A144="","",IFERROR(Exogena_RAW!B153,""))</f>
        <v/>
      </c>
      <c r="E144" s="48">
        <f>IF(A144="","",Exogena_RAW!E153)</f>
        <v/>
      </c>
      <c r="F144" s="461">
        <f>IF(A144="","",Exogena_RAW!F153)</f>
        <v/>
      </c>
      <c r="G144" s="48">
        <f>IF(A144="","",IFERROR(Exogena_RAW!G153,""))</f>
        <v/>
      </c>
      <c r="H144" s="48">
        <f>IF(A144="","",IFERROR(Exogena_RAW!H153,""))</f>
        <v/>
      </c>
      <c r="I144" s="48">
        <f>IF(A144="","",IFERROR(IF(S144&gt;1,"VARIAS CASILLAS",IF(S144=1,IF(T144=1,"PROPUESTA DE CASILLA","REVISIÓN: CASILLA NO DIRECTA"),IF(OR(ISNUMBER(SEARCH("TOPE",UPPER(E144))),ISNUMBER(SEARCH("TOPE",UPPER(G144)))),"SOLO CONTROL",IF(ISNUMBER(SEARCH("RETEN",UPPER(E144))),"RETENCIÓN","REVISAR")))),"REVISAR"))</f>
        <v/>
      </c>
      <c r="J144" s="48">
        <f>IF(A144="","",IF(ISNUMBER(SEARCH("ingreso laboral promedio de los últimos seis meses",E144)),"",IFERROR(IF(AND(S144=1,T144=1),U144,""),"")))</f>
        <v/>
      </c>
      <c r="K144" s="216" t="n"/>
      <c r="L144" s="48">
        <f>IF(A144="","",IFERROR(IF(K144&lt;&gt;"","Casilla elegida por usuario",IF(S144&gt;1,"Varias casillas — elegir en K",IF(J144&lt;&gt;"","Sugerencia directa",IF(S144=1,"No trasladar directo — revisar",IF(OR(ISNUMBER(SEARCH("TOPE",UPPER(E144))),ISNUMBER(SEARCH("TOPE",UPPER(G144)))),"Solo control","Revisar manualmente"))))),"Revisar manualmente"))</f>
        <v/>
      </c>
      <c r="M144" s="461">
        <f>IF(A144="","",IF(IF(K144&lt;&gt;"",K144,J144)="",0,IF(COUNTIFS(Reglas!$I$5:$I$118,IF(K144&lt;&gt;"",K144,J144),Reglas!$J$5:$J$118,"Sí")=1,F144,0)))</f>
        <v/>
      </c>
      <c r="N144" s="56" t="n"/>
      <c r="O144" s="462">
        <f>IF(A144="","",IF(M144=0,"",M144))</f>
        <v/>
      </c>
      <c r="P144" s="461">
        <f>IF(A144="","",IF(O144="",0,IF(ISNUMBER(O144),O144,0)))</f>
        <v/>
      </c>
      <c r="Q144" s="48">
        <f>IF(A144="","",IF(Exogena_RAW!$C$4="","BLOQUEADO: FALTA AÑO",IF(Exogena_RAW!$K$10&lt;&gt;Reglas!$B$5,"BLOQUEADO: AÑO",IF(IF(K144&lt;&gt;"",K144,J144)="",IF(S144&gt;1,"REQUIERE ASIGNACIÓN MANUAL (VARIAS CASILLAS)","INFORMATIVO (sin casilla — no se declara)"),IF(COUNTIFS(Reglas!$I$5:$I$118,IF(K144&lt;&gt;"",K144,J144),Reglas!$J$5:$J$118,"Sí")=0,"BLOQUEADO: CASILLA NO DIRECTA",IF(O144="","EXCLUIDO (valor borrado por el usuario)",IF(_xlfn.ISFORMULA(O144),IF(W144&lt;&gt;"","BORRADOR — VALOR SUGERIDO DIAN ⚠ VER ALERTA","BORRADOR — VALOR SUGERIDO DIAN"),IF(W144&lt;&gt;"","ACEPTADO ⚠ VER ALERTA","ACEPTADO"))))))))</f>
        <v/>
      </c>
      <c r="R144" s="218" t="n"/>
      <c r="S144" s="58">
        <f>IF(A144="","",IFERROR(--ISNUMBER(SEARCH("R28",G144)),0)+IFERROR(--ISNUMBER(SEARCH("R29",G144)),0)+IFERROR(--ISNUMBER(SEARCH("R30",G144)),0)+IFERROR(--ISNUMBER(SEARCH("R31",G144)),0)+IFERROR(--ISNUMBER(SEARCH("R32",G144)),0)+IFERROR(--ISNUMBER(SEARCH("R33",G144)),0)+IFERROR(--ISNUMBER(SEARCH("R34",G144)),0)+IFERROR(--ISNUMBER(SEARCH("R35",G144)),0)+IFERROR(--ISNUMBER(SEARCH("R36",G144)),0)+IFERROR(--ISNUMBER(SEARCH("R37",G144)),0)+IFERROR(--ISNUMBER(SEARCH("R38",G144)),0)+IFERROR(--ISNUMBER(SEARCH("R39",G144)),0)+IFERROR(--ISNUMBER(SEARCH("R40",G144)),0)+IFERROR(--ISNUMBER(SEARCH("R41",G144)),0)+IFERROR(--ISNUMBER(SEARCH("R42",G144)),0)+IFERROR(--ISNUMBER(SEARCH("R43",G144)),0)+IFERROR(--ISNUMBER(SEARCH("R44",G144)),0)+IFERROR(--ISNUMBER(SEARCH("R45",G144)),0)+IFERROR(--ISNUMBER(SEARCH("R46",G144)),0)+IFERROR(--ISNUMBER(SEARCH("R47",G144)),0)+IFERROR(--ISNUMBER(SEARCH("R48",G144)),0)+IFERROR(--ISNUMBER(SEARCH("R49",G144)),0)+IFERROR(--ISNUMBER(SEARCH("R50",G144)),0)+IFERROR(--ISNUMBER(SEARCH("R51",G144)),0)+IFERROR(--ISNUMBER(SEARCH("R52",G144)),0)+IFERROR(--ISNUMBER(SEARCH("R53",G144)),0)+IFERROR(--ISNUMBER(SEARCH("R54",G144)),0)+IFERROR(--ISNUMBER(SEARCH("R55",G144)),0)+IFERROR(--ISNUMBER(SEARCH("R56",G144)),0)+IFERROR(--ISNUMBER(SEARCH("R57",G144)),0)+IFERROR(--ISNUMBER(SEARCH("R58",G144)),0)+IFERROR(--ISNUMBER(SEARCH("R59",G144)),0)+IFERROR(--ISNUMBER(SEARCH("R60",G144)),0)+IFERROR(--ISNUMBER(SEARCH("R61",G144)),0)+IFERROR(--ISNUMBER(SEARCH("R62",G144)),0)+IFERROR(--ISNUMBER(SEARCH("R63",G144)),0)+IFERROR(--ISNUMBER(SEARCH("R64",G144)),0)+IFERROR(--ISNUMBER(SEARCH("R65",G144)),0)+IFERROR(--ISNUMBER(SEARCH("R66",G144)),0)+IFERROR(--ISNUMBER(SEARCH("R67",G144)),0)+IFERROR(--ISNUMBER(SEARCH("R68",G144)),0)+IFERROR(--ISNUMBER(SEARCH("R69",G144)),0)+IFERROR(--ISNUMBER(SEARCH("R70",G144)),0)+IFERROR(--ISNUMBER(SEARCH("R71",G144)),0)+IFERROR(--ISNUMBER(SEARCH("R72",G144)),0)+IFERROR(--ISNUMBER(SEARCH("R73",G144)),0)+IFERROR(--ISNUMBER(SEARCH("R74",G144)),0)+IFERROR(--ISNUMBER(SEARCH("R75",G144)),0)+IFERROR(--ISNUMBER(SEARCH("R76",G144)),0)+IFERROR(--ISNUMBER(SEARCH("R77",G144)),0)+IFERROR(--ISNUMBER(SEARCH("R78",G144)),0)+IFERROR(--ISNUMBER(SEARCH("R79",G144)),0)+IFERROR(--ISNUMBER(SEARCH("R80",G144)),0)+IFERROR(--ISNUMBER(SEARCH("R81",G144)),0)+IFERROR(--ISNUMBER(SEARCH("R82",G144)),0)+IFERROR(--ISNUMBER(SEARCH("R83",G144)),0)+IFERROR(--ISNUMBER(SEARCH("R84",G144)),0)+IFERROR(--ISNUMBER(SEARCH("R85",G144)),0)+IFERROR(--ISNUMBER(SEARCH("R86",G144)),0)+IFERROR(--ISNUMBER(SEARCH("R87",G144)),0)+IFERROR(--ISNUMBER(SEARCH("R88",G144)),0)+IFERROR(--ISNUMBER(SEARCH("R89",G144)),0)+IFERROR(--ISNUMBER(SEARCH("R90",G144)),0)+IFERROR(--ISNUMBER(SEARCH("R91",G144)),0)+IFERROR(--ISNUMBER(SEARCH("R92",G144)),0)+IFERROR(--ISNUMBER(SEARCH("R93",G144)),0)+IFERROR(--ISNUMBER(SEARCH("R94",G144)),0)+IFERROR(--ISNUMBER(SEARCH("R95",G144)),0)+IFERROR(--ISNUMBER(SEARCH("R96",G144)),0)+IFERROR(--ISNUMBER(SEARCH("R97",G144)),0)+IFERROR(--ISNUMBER(SEARCH("R98",G144)),0)+IFERROR(--ISNUMBER(SEARCH("R99",G144)),0)+IFERROR(--ISNUMBER(SEARCH("R100",G144)),0)+IFERROR(--ISNUMBER(SEARCH("R101",G144)),0)+IFERROR(--ISNUMBER(SEARCH("R102",G144)),0)+IFERROR(--ISNUMBER(SEARCH("R103",G144)),0)+IFERROR(--ISNUMBER(SEARCH("R104",G144)),0)+IFERROR(--ISNUMBER(SEARCH("R105",G144)),0)+IFERROR(--ISNUMBER(SEARCH("R106",G144)),0)+IFERROR(--ISNUMBER(SEARCH("R107",G144)),0)+IFERROR(--ISNUMBER(SEARCH("R108",G144)),0)+IFERROR(--ISNUMBER(SEARCH("R109",G144)),0)+IFERROR(--ISNUMBER(SEARCH("R110",G144)),0)+IFERROR(--ISNUMBER(SEARCH("R111",G144)),0)+IFERROR(--ISNUMBER(SEARCH("R112",G144)),0)+IFERROR(--ISNUMBER(SEARCH("R113",G144)),0)+IFERROR(--ISNUMBER(SEARCH("R114",G144)),0)+IFERROR(--ISNUMBER(SEARCH("R115",G144)),0)+IFERROR(--ISNUMBER(SEARCH("R116",G144)),0)+IFERROR(--ISNUMBER(SEARCH("R117",G144)),0)+IFERROR(--ISNUMBER(SEARCH("R118",G144)),0)+IFERROR(--ISNUMBER(SEARCH("R119",G144)),0)+IFERROR(--ISNUMBER(SEARCH("R120",G144)),0)+IFERROR(--ISNUMBER(SEARCH("R121",G144)),0)+IFERROR(--ISNUMBER(SEARCH("R122",G144)),0)+IFERROR(--ISNUMBER(SEARCH("R123",G144)),0)+IFERROR(--ISNUMBER(SEARCH("R124",G144)),0)+IFERROR(--ISNUMBER(SEARCH("R125",G144)),0)+IFERROR(--ISNUMBER(SEARCH("R126",G144)),0)+IFERROR(--ISNUMBER(SEARCH("R127",G144)),0)+IFERROR(--ISNUMBER(SEARCH("R128",G144)),0)+IFERROR(--ISNUMBER(SEARCH("R129",G144)),0)+IFERROR(--ISNUMBER(SEARCH("R130",G144)),0)+IFERROR(--ISNUMBER(SEARCH("R131",G144)),0)+IFERROR(--ISNUMBER(SEARCH("R132",G144)),0)+IFERROR(--ISNUMBER(SEARCH("R133",G144)),0)+IFERROR(--ISNUMBER(SEARCH("R134",G144)),0)+IFERROR(--ISNUMBER(SEARCH("R135",G144)),0)+IFERROR(--ISNUMBER(SEARCH("R136",G144)),0)+IFERROR(--ISNUMBER(SEARCH("R137",G144)),0)+IFERROR(--ISNUMBER(SEARCH("R138",G144)),0)+IFERROR(--ISNUMBER(SEARCH("R139",G144)),0)+IFERROR(--ISNUMBER(SEARCH("R140",G144)),0)+IFERROR(--ISNUMBER(SEARCH("R141",G144)),0))</f>
        <v/>
      </c>
      <c r="T144" s="58">
        <f>IF(A144="","",IFERROR(--ISNUMBER(SEARCH("R28",G144)),0)+IFERROR(--ISNUMBER(SEARCH("R29",G144)),0)+IFERROR(--ISNUMBER(SEARCH("R30",G144)),0)+IFERROR(--ISNUMBER(SEARCH("R32",G144)),0)+IFERROR(--ISNUMBER(SEARCH("R33",G144)),0)+IFERROR(--ISNUMBER(SEARCH("R35",G144)),0)+IFERROR(--ISNUMBER(SEARCH("R36",G144)),0)+IFERROR(--ISNUMBER(SEARCH("R38",G144)),0)+IFERROR(--ISNUMBER(SEARCH("R39",G144)),0)+IFERROR(--ISNUMBER(SEARCH("R43",G144)),0)+IFERROR(--ISNUMBER(SEARCH("R44",G144)),0)+IFERROR(--ISNUMBER(SEARCH("R45",G144)),0)+IFERROR(--ISNUMBER(SEARCH("R47",G144)),0)+IFERROR(--ISNUMBER(SEARCH("R48",G144)),0)+IFERROR(--ISNUMBER(SEARCH("R50",G144)),0)+IFERROR(--ISNUMBER(SEARCH("R51",G144)),0)+IFERROR(--ISNUMBER(SEARCH("R56",G144)),0)+IFERROR(--ISNUMBER(SEARCH("R58",G144)),0)+IFERROR(--ISNUMBER(SEARCH("R59",G144)),0)+IFERROR(--ISNUMBER(SEARCH("R60",G144)),0)+IFERROR(--ISNUMBER(SEARCH("R62",G144)),0)+IFERROR(--ISNUMBER(SEARCH("R63",G144)),0)+IFERROR(--ISNUMBER(SEARCH("R64",G144)),0)+IFERROR(--ISNUMBER(SEARCH("R66",G144)),0)+IFERROR(--ISNUMBER(SEARCH("R67",G144)),0)+IFERROR(--ISNUMBER(SEARCH("R72",G144)),0)+IFERROR(--ISNUMBER(SEARCH("R74",G144)),0)+IFERROR(--ISNUMBER(SEARCH("R75",G144)),0)+IFERROR(--ISNUMBER(SEARCH("R76",G144)),0)+IFERROR(--ISNUMBER(SEARCH("R77",G144)),0)+IFERROR(--ISNUMBER(SEARCH("R79",G144)),0)+IFERROR(--ISNUMBER(SEARCH("R80",G144)),0)+IFERROR(--ISNUMBER(SEARCH("R81",G144)),0)+IFERROR(--ISNUMBER(SEARCH("R83",G144)),0)+IFERROR(--ISNUMBER(SEARCH("R84",G144)),0)+IFERROR(--ISNUMBER(SEARCH("R89",G144)),0)+IFERROR(--ISNUMBER(SEARCH("R94",G144)),0)+IFERROR(--ISNUMBER(SEARCH("R95",G144)),0)+IFERROR(--ISNUMBER(SEARCH("R96",G144)),0)+IFERROR(--ISNUMBER(SEARCH("R98",G144)),0)+IFERROR(--ISNUMBER(SEARCH("R99",G144)),0)+IFERROR(--ISNUMBER(SEARCH("R100",G144)),0)+IFERROR(--ISNUMBER(SEARCH("R104",G144)),0)+IFERROR(--ISNUMBER(SEARCH("R105",G144)),0)+IFERROR(--ISNUMBER(SEARCH("R107",G144)),0)+IFERROR(--ISNUMBER(SEARCH("R108",G144)),0)+IFERROR(--ISNUMBER(SEARCH("R109",G144)),0)+IFERROR(--ISNUMBER(SEARCH("R110",G144)),0)+IFERROR(--ISNUMBER(SEARCH("R112",G144)),0)+IFERROR(--ISNUMBER(SEARCH("R113",G144)),0)+IFERROR(--ISNUMBER(SEARCH("R114",G144)),0)+IFERROR(--ISNUMBER(SEARCH("R118",G144)),0)+IFERROR(--ISNUMBER(SEARCH("R119",G144)),0)+IFERROR(--ISNUMBER(SEARCH("R120",G144)),0)+IFERROR(--ISNUMBER(SEARCH("R122",G144)),0)+IFERROR(--ISNUMBER(SEARCH("R123",G144)),0)+IFERROR(--ISNUMBER(SEARCH("R124",G144)),0)+IFERROR(--ISNUMBER(SEARCH("R128",G144)),0)+IFERROR(--ISNUMBER(SEARCH("R130",G144)),0)+IFERROR(--ISNUMBER(SEARCH("R131",G144)),0)+IFERROR(--ISNUMBER(SEARCH("R132",G144)),0)+IFERROR(--ISNUMBER(SEARCH("R135",G144)),0)+IFERROR(--ISNUMBER(SEARCH("R138",G144)),0)+IFERROR(--ISNUMBER(SEARCH("R141",G144)),0))</f>
        <v/>
      </c>
      <c r="U144" s="58">
        <f>IF(A144="","",IFERROR(--ISNUMBER(SEARCH("R28",G144))*28,0)+IFERROR(--ISNUMBER(SEARCH("R29",G144))*29,0)+IFERROR(--ISNUMBER(SEARCH("R30",G144))*30,0)+IFERROR(--ISNUMBER(SEARCH("R31",G144))*31,0)+IFERROR(--ISNUMBER(SEARCH("R32",G144))*32,0)+IFERROR(--ISNUMBER(SEARCH("R33",G144))*33,0)+IFERROR(--ISNUMBER(SEARCH("R34",G144))*34,0)+IFERROR(--ISNUMBER(SEARCH("R35",G144))*35,0)+IFERROR(--ISNUMBER(SEARCH("R36",G144))*36,0)+IFERROR(--ISNUMBER(SEARCH("R37",G144))*37,0)+IFERROR(--ISNUMBER(SEARCH("R38",G144))*38,0)+IFERROR(--ISNUMBER(SEARCH("R39",G144))*39,0)+IFERROR(--ISNUMBER(SEARCH("R40",G144))*40,0)+IFERROR(--ISNUMBER(SEARCH("R41",G144))*41,0)+IFERROR(--ISNUMBER(SEARCH("R42",G144))*42,0)+IFERROR(--ISNUMBER(SEARCH("R43",G144))*43,0)+IFERROR(--ISNUMBER(SEARCH("R44",G144))*44,0)+IFERROR(--ISNUMBER(SEARCH("R45",G144))*45,0)+IFERROR(--ISNUMBER(SEARCH("R46",G144))*46,0)+IFERROR(--ISNUMBER(SEARCH("R47",G144))*47,0)+IFERROR(--ISNUMBER(SEARCH("R48",G144))*48,0)+IFERROR(--ISNUMBER(SEARCH("R49",G144))*49,0)+IFERROR(--ISNUMBER(SEARCH("R50",G144))*50,0)+IFERROR(--ISNUMBER(SEARCH("R51",G144))*51,0)+IFERROR(--ISNUMBER(SEARCH("R52",G144))*52,0)+IFERROR(--ISNUMBER(SEARCH("R53",G144))*53,0)+IFERROR(--ISNUMBER(SEARCH("R54",G144))*54,0)+IFERROR(--ISNUMBER(SEARCH("R55",G144))*55,0)+IFERROR(--ISNUMBER(SEARCH("R56",G144))*56,0)+IFERROR(--ISNUMBER(SEARCH("R57",G144))*57,0)+IFERROR(--ISNUMBER(SEARCH("R58",G144))*58,0)+IFERROR(--ISNUMBER(SEARCH("R59",G144))*59,0)+IFERROR(--ISNUMBER(SEARCH("R60",G144))*60,0)+IFERROR(--ISNUMBER(SEARCH("R61",G144))*61,0)+IFERROR(--ISNUMBER(SEARCH("R62",G144))*62,0)+IFERROR(--ISNUMBER(SEARCH("R63",G144))*63,0)+IFERROR(--ISNUMBER(SEARCH("R64",G144))*64,0)+IFERROR(--ISNUMBER(SEARCH("R65",G144))*65,0)+IFERROR(--ISNUMBER(SEARCH("R66",G144))*66,0)+IFERROR(--ISNUMBER(SEARCH("R67",G144))*67,0)+IFERROR(--ISNUMBER(SEARCH("R68",G144))*68,0)+IFERROR(--ISNUMBER(SEARCH("R69",G144))*69,0)+IFERROR(--ISNUMBER(SEARCH("R70",G144))*70,0)+IFERROR(--ISNUMBER(SEARCH("R71",G144))*71,0)+IFERROR(--ISNUMBER(SEARCH("R72",G144))*72,0)+IFERROR(--ISNUMBER(SEARCH("R73",G144))*73,0)+IFERROR(--ISNUMBER(SEARCH("R74",G144))*74,0)+IFERROR(--ISNUMBER(SEARCH("R75",G144))*75,0)+IFERROR(--ISNUMBER(SEARCH("R76",G144))*76,0)+IFERROR(--ISNUMBER(SEARCH("R77",G144))*77,0)+IFERROR(--ISNUMBER(SEARCH("R78",G144))*78,0)+IFERROR(--ISNUMBER(SEARCH("R79",G144))*79,0)+IFERROR(--ISNUMBER(SEARCH("R80",G144))*80,0)+IFERROR(--ISNUMBER(SEARCH("R81",G144))*81,0)+IFERROR(--ISNUMBER(SEARCH("R82",G144))*82,0)+IFERROR(--ISNUMBER(SEARCH("R83",G144))*83,0)+IFERROR(--ISNUMBER(SEARCH("R84",G144))*84,0)+IFERROR(--ISNUMBER(SEARCH("R85",G144))*85,0)+IFERROR(--ISNUMBER(SEARCH("R86",G144))*86,0)+IFERROR(--ISNUMBER(SEARCH("R87",G144))*87,0)+IFERROR(--ISNUMBER(SEARCH("R88",G144))*88,0)+IFERROR(--ISNUMBER(SEARCH("R89",G144))*89,0)+IFERROR(--ISNUMBER(SEARCH("R90",G144))*90,0)+IFERROR(--ISNUMBER(SEARCH("R91",G144))*91,0)+IFERROR(--ISNUMBER(SEARCH("R92",G144))*92,0)+IFERROR(--ISNUMBER(SEARCH("R93",G144))*93,0)+IFERROR(--ISNUMBER(SEARCH("R94",G144))*94,0)+IFERROR(--ISNUMBER(SEARCH("R95",G144))*95,0)+IFERROR(--ISNUMBER(SEARCH("R96",G144))*96,0)+IFERROR(--ISNUMBER(SEARCH("R97",G144))*97,0)+IFERROR(--ISNUMBER(SEARCH("R98",G144))*98,0)+IFERROR(--ISNUMBER(SEARCH("R99",G144))*99,0)+IFERROR(--ISNUMBER(SEARCH("R100",G144))*100,0)+IFERROR(--ISNUMBER(SEARCH("R101",G144))*101,0)+IFERROR(--ISNUMBER(SEARCH("R102",G144))*102,0)+IFERROR(--ISNUMBER(SEARCH("R103",G144))*103,0)+IFERROR(--ISNUMBER(SEARCH("R104",G144))*104,0)+IFERROR(--ISNUMBER(SEARCH("R105",G144))*105,0)+IFERROR(--ISNUMBER(SEARCH("R106",G144))*106,0)+IFERROR(--ISNUMBER(SEARCH("R107",G144))*107,0)+IFERROR(--ISNUMBER(SEARCH("R108",G144))*108,0)+IFERROR(--ISNUMBER(SEARCH("R109",G144))*109,0)+IFERROR(--ISNUMBER(SEARCH("R110",G144))*110,0)+IFERROR(--ISNUMBER(SEARCH("R111",G144))*111,0)+IFERROR(--ISNUMBER(SEARCH("R112",G144))*112,0)+IFERROR(--ISNUMBER(SEARCH("R113",G144))*113,0)+IFERROR(--ISNUMBER(SEARCH("R114",G144))*114,0)+IFERROR(--ISNUMBER(SEARCH("R115",G144))*115,0)+IFERROR(--ISNUMBER(SEARCH("R116",G144))*116,0)+IFERROR(--ISNUMBER(SEARCH("R117",G144))*117,0)+IFERROR(--ISNUMBER(SEARCH("R118",G144))*118,0)+IFERROR(--ISNUMBER(SEARCH("R119",G144))*119,0)+IFERROR(--ISNUMBER(SEARCH("R120",G144))*120,0)+IFERROR(--ISNUMBER(SEARCH("R121",G144))*121,0)+IFERROR(--ISNUMBER(SEARCH("R122",G144))*122,0)+IFERROR(--ISNUMBER(SEARCH("R123",G144))*123,0)+IFERROR(--ISNUMBER(SEARCH("R124",G144))*124,0)+IFERROR(--ISNUMBER(SEARCH("R125",G144))*125,0)+IFERROR(--ISNUMBER(SEARCH("R126",G144))*126,0)+IFERROR(--ISNUMBER(SEARCH("R127",G144))*127,0)+IFERROR(--ISNUMBER(SEARCH("R128",G144))*128,0)+IFERROR(--ISNUMBER(SEARCH("R129",G144))*129,0)+IFERROR(--ISNUMBER(SEARCH("R130",G144))*130,0)+IFERROR(--ISNUMBER(SEARCH("R131",G144))*131,0)+IFERROR(--ISNUMBER(SEARCH("R132",G144))*132,0)+IFERROR(--ISNUMBER(SEARCH("R133",G144))*133,0)+IFERROR(--ISNUMBER(SEARCH("R134",G144))*134,0)+IFERROR(--ISNUMBER(SEARCH("R135",G144))*135,0)+IFERROR(--ISNUMBER(SEARCH("R136",G144))*136,0)+IFERROR(--ISNUMBER(SEARCH("R137",G144))*137,0)+IFERROR(--ISNUMBER(SEARCH("R138",G144))*138,0)+IFERROR(--ISNUMBER(SEARCH("R139",G144))*139,0)+IFERROR(--ISNUMBER(SEARCH("R140",G144))*140,0)+IFERROR(--ISNUMBER(SEARCH("R141",G144))*141,0))</f>
        <v/>
      </c>
      <c r="V144" s="59">
        <f>IF(A144="","",IF(K144&lt;&gt;"",K144,J144))</f>
        <v/>
      </c>
      <c r="W144" s="59">
        <f>IF(A144="","",IF(AND(V144=29,O144&lt;&gt;"",COUNTIFS($V$6:$V$505,29,$F$6:$F$505,F144,$C$6:$C$505,C144,$O$6:$O$505,"&lt;&gt;")&gt;1),IF(COUNTIFS($V$6:V144,29,$F$6:F144,F144,$C$6:C144,C144,$O$6:O144,"&lt;&gt;")=1,"Esta es la fila que se debe CONSERVAR (aparición 1 de "&amp;COUNTIFS($V$6:$V$505,29,$F$6:$F$505,F144,$C$6:$C$505,C144,$O$6:$O$505,"&lt;&gt;")&amp;" con el mismo tercero y valor, casilla 29). Si hay más filas iguales, bórreles el valor a ELLAS, no a esta.","DUPLICADO — ya existe otra fila con el mismo tercero y valor para casilla 29 (aparición "&amp;COUNTIFS($V$6:V144,29,$F$6:F144,F144,$C$6:C144,C144,$O$6:O144,"&lt;&gt;")&amp;" de "&amp;COUNTIFS($V$6:$V$505,29,$F$6:$F$505,F144,$C$6:$C$505,C144,$O$6:$O$505,"&lt;&gt;")&amp;"). Para resolverlo: seleccione la celda O"&amp;ROW()&amp;" (columna Valor a declarar de ESTA fila) y presione Supr."),""))</f>
        <v/>
      </c>
      <c r="X144" s="463">
        <f>IF(A144="","",F144)</f>
        <v/>
      </c>
      <c r="Y144" s="463">
        <f>IF(A144="","",SUMIF(Entrada_Manual!$I$88:$I$187,A144,Entrada_Manual!$F$88:$F$187))</f>
        <v/>
      </c>
      <c r="Z144" s="463">
        <f>IF(A144="","",X144-Y144)</f>
        <v/>
      </c>
      <c r="AA144">
        <f>IF(A144="","",SUMPRODUCT((Entrada_Manual!$I$88:$I$187=A144)*1))</f>
        <v/>
      </c>
      <c r="AB144">
        <f>IF(A144="","",IF(S144&lt;=1,"",IF(AA144=0,"PENDIENTE — SIN ASIGNAR",IF(Z144=0,"RESUELTO","PARCIAL — DIFERENCIA "&amp;TEXT(Z144,"#,##0")))))</f>
        <v/>
      </c>
    </row>
    <row r="145" ht="14.25" customHeight="1" s="235">
      <c r="A145" s="47">
        <f>IF(Exogena_RAW!E154&lt;&gt;"",ROW()-5,"")</f>
        <v/>
      </c>
      <c r="B145" s="48">
        <f>IF(A145="","",154)</f>
        <v/>
      </c>
      <c r="C145" s="48">
        <f>IF(A145="","",IFERROR(Exogena_RAW!A154,""))</f>
        <v/>
      </c>
      <c r="D145" s="48">
        <f>IF(A145="","",IFERROR(Exogena_RAW!B154,""))</f>
        <v/>
      </c>
      <c r="E145" s="48">
        <f>IF(A145="","",Exogena_RAW!E154)</f>
        <v/>
      </c>
      <c r="F145" s="461">
        <f>IF(A145="","",Exogena_RAW!F154)</f>
        <v/>
      </c>
      <c r="G145" s="48">
        <f>IF(A145="","",IFERROR(Exogena_RAW!G154,""))</f>
        <v/>
      </c>
      <c r="H145" s="48">
        <f>IF(A145="","",IFERROR(Exogena_RAW!H154,""))</f>
        <v/>
      </c>
      <c r="I145" s="48">
        <f>IF(A145="","",IFERROR(IF(S145&gt;1,"VARIAS CASILLAS",IF(S145=1,IF(T145=1,"PROPUESTA DE CASILLA","REVISIÓN: CASILLA NO DIRECTA"),IF(OR(ISNUMBER(SEARCH("TOPE",UPPER(E145))),ISNUMBER(SEARCH("TOPE",UPPER(G145)))),"SOLO CONTROL",IF(ISNUMBER(SEARCH("RETEN",UPPER(E145))),"RETENCIÓN","REVISAR")))),"REVISAR"))</f>
        <v/>
      </c>
      <c r="J145" s="48">
        <f>IF(A145="","",IF(ISNUMBER(SEARCH("ingreso laboral promedio de los últimos seis meses",E145)),"",IFERROR(IF(AND(S145=1,T145=1),U145,""),"")))</f>
        <v/>
      </c>
      <c r="K145" s="216" t="n"/>
      <c r="L145" s="48">
        <f>IF(A145="","",IFERROR(IF(K145&lt;&gt;"","Casilla elegida por usuario",IF(S145&gt;1,"Varias casillas — elegir en K",IF(J145&lt;&gt;"","Sugerencia directa",IF(S145=1,"No trasladar directo — revisar",IF(OR(ISNUMBER(SEARCH("TOPE",UPPER(E145))),ISNUMBER(SEARCH("TOPE",UPPER(G145)))),"Solo control","Revisar manualmente"))))),"Revisar manualmente"))</f>
        <v/>
      </c>
      <c r="M145" s="461">
        <f>IF(A145="","",IF(IF(K145&lt;&gt;"",K145,J145)="",0,IF(COUNTIFS(Reglas!$I$5:$I$118,IF(K145&lt;&gt;"",K145,J145),Reglas!$J$5:$J$118,"Sí")=1,F145,0)))</f>
        <v/>
      </c>
      <c r="N145" s="56" t="n"/>
      <c r="O145" s="462">
        <f>IF(A145="","",IF(M145=0,"",M145))</f>
        <v/>
      </c>
      <c r="P145" s="461">
        <f>IF(A145="","",IF(O145="",0,IF(ISNUMBER(O145),O145,0)))</f>
        <v/>
      </c>
      <c r="Q145" s="48">
        <f>IF(A145="","",IF(Exogena_RAW!$C$4="","BLOQUEADO: FALTA AÑO",IF(Exogena_RAW!$K$10&lt;&gt;Reglas!$B$5,"BLOQUEADO: AÑO",IF(IF(K145&lt;&gt;"",K145,J145)="",IF(S145&gt;1,"REQUIERE ASIGNACIÓN MANUAL (VARIAS CASILLAS)","INFORMATIVO (sin casilla — no se declara)"),IF(COUNTIFS(Reglas!$I$5:$I$118,IF(K145&lt;&gt;"",K145,J145),Reglas!$J$5:$J$118,"Sí")=0,"BLOQUEADO: CASILLA NO DIRECTA",IF(O145="","EXCLUIDO (valor borrado por el usuario)",IF(_xlfn.ISFORMULA(O145),IF(W145&lt;&gt;"","BORRADOR — VALOR SUGERIDO DIAN ⚠ VER ALERTA","BORRADOR — VALOR SUGERIDO DIAN"),IF(W145&lt;&gt;"","ACEPTADO ⚠ VER ALERTA","ACEPTADO"))))))))</f>
        <v/>
      </c>
      <c r="R145" s="218" t="n"/>
      <c r="S145" s="58">
        <f>IF(A145="","",IFERROR(--ISNUMBER(SEARCH("R28",G145)),0)+IFERROR(--ISNUMBER(SEARCH("R29",G145)),0)+IFERROR(--ISNUMBER(SEARCH("R30",G145)),0)+IFERROR(--ISNUMBER(SEARCH("R31",G145)),0)+IFERROR(--ISNUMBER(SEARCH("R32",G145)),0)+IFERROR(--ISNUMBER(SEARCH("R33",G145)),0)+IFERROR(--ISNUMBER(SEARCH("R34",G145)),0)+IFERROR(--ISNUMBER(SEARCH("R35",G145)),0)+IFERROR(--ISNUMBER(SEARCH("R36",G145)),0)+IFERROR(--ISNUMBER(SEARCH("R37",G145)),0)+IFERROR(--ISNUMBER(SEARCH("R38",G145)),0)+IFERROR(--ISNUMBER(SEARCH("R39",G145)),0)+IFERROR(--ISNUMBER(SEARCH("R40",G145)),0)+IFERROR(--ISNUMBER(SEARCH("R41",G145)),0)+IFERROR(--ISNUMBER(SEARCH("R42",G145)),0)+IFERROR(--ISNUMBER(SEARCH("R43",G145)),0)+IFERROR(--ISNUMBER(SEARCH("R44",G145)),0)+IFERROR(--ISNUMBER(SEARCH("R45",G145)),0)+IFERROR(--ISNUMBER(SEARCH("R46",G145)),0)+IFERROR(--ISNUMBER(SEARCH("R47",G145)),0)+IFERROR(--ISNUMBER(SEARCH("R48",G145)),0)+IFERROR(--ISNUMBER(SEARCH("R49",G145)),0)+IFERROR(--ISNUMBER(SEARCH("R50",G145)),0)+IFERROR(--ISNUMBER(SEARCH("R51",G145)),0)+IFERROR(--ISNUMBER(SEARCH("R52",G145)),0)+IFERROR(--ISNUMBER(SEARCH("R53",G145)),0)+IFERROR(--ISNUMBER(SEARCH("R54",G145)),0)+IFERROR(--ISNUMBER(SEARCH("R55",G145)),0)+IFERROR(--ISNUMBER(SEARCH("R56",G145)),0)+IFERROR(--ISNUMBER(SEARCH("R57",G145)),0)+IFERROR(--ISNUMBER(SEARCH("R58",G145)),0)+IFERROR(--ISNUMBER(SEARCH("R59",G145)),0)+IFERROR(--ISNUMBER(SEARCH("R60",G145)),0)+IFERROR(--ISNUMBER(SEARCH("R61",G145)),0)+IFERROR(--ISNUMBER(SEARCH("R62",G145)),0)+IFERROR(--ISNUMBER(SEARCH("R63",G145)),0)+IFERROR(--ISNUMBER(SEARCH("R64",G145)),0)+IFERROR(--ISNUMBER(SEARCH("R65",G145)),0)+IFERROR(--ISNUMBER(SEARCH("R66",G145)),0)+IFERROR(--ISNUMBER(SEARCH("R67",G145)),0)+IFERROR(--ISNUMBER(SEARCH("R68",G145)),0)+IFERROR(--ISNUMBER(SEARCH("R69",G145)),0)+IFERROR(--ISNUMBER(SEARCH("R70",G145)),0)+IFERROR(--ISNUMBER(SEARCH("R71",G145)),0)+IFERROR(--ISNUMBER(SEARCH("R72",G145)),0)+IFERROR(--ISNUMBER(SEARCH("R73",G145)),0)+IFERROR(--ISNUMBER(SEARCH("R74",G145)),0)+IFERROR(--ISNUMBER(SEARCH("R75",G145)),0)+IFERROR(--ISNUMBER(SEARCH("R76",G145)),0)+IFERROR(--ISNUMBER(SEARCH("R77",G145)),0)+IFERROR(--ISNUMBER(SEARCH("R78",G145)),0)+IFERROR(--ISNUMBER(SEARCH("R79",G145)),0)+IFERROR(--ISNUMBER(SEARCH("R80",G145)),0)+IFERROR(--ISNUMBER(SEARCH("R81",G145)),0)+IFERROR(--ISNUMBER(SEARCH("R82",G145)),0)+IFERROR(--ISNUMBER(SEARCH("R83",G145)),0)+IFERROR(--ISNUMBER(SEARCH("R84",G145)),0)+IFERROR(--ISNUMBER(SEARCH("R85",G145)),0)+IFERROR(--ISNUMBER(SEARCH("R86",G145)),0)+IFERROR(--ISNUMBER(SEARCH("R87",G145)),0)+IFERROR(--ISNUMBER(SEARCH("R88",G145)),0)+IFERROR(--ISNUMBER(SEARCH("R89",G145)),0)+IFERROR(--ISNUMBER(SEARCH("R90",G145)),0)+IFERROR(--ISNUMBER(SEARCH("R91",G145)),0)+IFERROR(--ISNUMBER(SEARCH("R92",G145)),0)+IFERROR(--ISNUMBER(SEARCH("R93",G145)),0)+IFERROR(--ISNUMBER(SEARCH("R94",G145)),0)+IFERROR(--ISNUMBER(SEARCH("R95",G145)),0)+IFERROR(--ISNUMBER(SEARCH("R96",G145)),0)+IFERROR(--ISNUMBER(SEARCH("R97",G145)),0)+IFERROR(--ISNUMBER(SEARCH("R98",G145)),0)+IFERROR(--ISNUMBER(SEARCH("R99",G145)),0)+IFERROR(--ISNUMBER(SEARCH("R100",G145)),0)+IFERROR(--ISNUMBER(SEARCH("R101",G145)),0)+IFERROR(--ISNUMBER(SEARCH("R102",G145)),0)+IFERROR(--ISNUMBER(SEARCH("R103",G145)),0)+IFERROR(--ISNUMBER(SEARCH("R104",G145)),0)+IFERROR(--ISNUMBER(SEARCH("R105",G145)),0)+IFERROR(--ISNUMBER(SEARCH("R106",G145)),0)+IFERROR(--ISNUMBER(SEARCH("R107",G145)),0)+IFERROR(--ISNUMBER(SEARCH("R108",G145)),0)+IFERROR(--ISNUMBER(SEARCH("R109",G145)),0)+IFERROR(--ISNUMBER(SEARCH("R110",G145)),0)+IFERROR(--ISNUMBER(SEARCH("R111",G145)),0)+IFERROR(--ISNUMBER(SEARCH("R112",G145)),0)+IFERROR(--ISNUMBER(SEARCH("R113",G145)),0)+IFERROR(--ISNUMBER(SEARCH("R114",G145)),0)+IFERROR(--ISNUMBER(SEARCH("R115",G145)),0)+IFERROR(--ISNUMBER(SEARCH("R116",G145)),0)+IFERROR(--ISNUMBER(SEARCH("R117",G145)),0)+IFERROR(--ISNUMBER(SEARCH("R118",G145)),0)+IFERROR(--ISNUMBER(SEARCH("R119",G145)),0)+IFERROR(--ISNUMBER(SEARCH("R120",G145)),0)+IFERROR(--ISNUMBER(SEARCH("R121",G145)),0)+IFERROR(--ISNUMBER(SEARCH("R122",G145)),0)+IFERROR(--ISNUMBER(SEARCH("R123",G145)),0)+IFERROR(--ISNUMBER(SEARCH("R124",G145)),0)+IFERROR(--ISNUMBER(SEARCH("R125",G145)),0)+IFERROR(--ISNUMBER(SEARCH("R126",G145)),0)+IFERROR(--ISNUMBER(SEARCH("R127",G145)),0)+IFERROR(--ISNUMBER(SEARCH("R128",G145)),0)+IFERROR(--ISNUMBER(SEARCH("R129",G145)),0)+IFERROR(--ISNUMBER(SEARCH("R130",G145)),0)+IFERROR(--ISNUMBER(SEARCH("R131",G145)),0)+IFERROR(--ISNUMBER(SEARCH("R132",G145)),0)+IFERROR(--ISNUMBER(SEARCH("R133",G145)),0)+IFERROR(--ISNUMBER(SEARCH("R134",G145)),0)+IFERROR(--ISNUMBER(SEARCH("R135",G145)),0)+IFERROR(--ISNUMBER(SEARCH("R136",G145)),0)+IFERROR(--ISNUMBER(SEARCH("R137",G145)),0)+IFERROR(--ISNUMBER(SEARCH("R138",G145)),0)+IFERROR(--ISNUMBER(SEARCH("R139",G145)),0)+IFERROR(--ISNUMBER(SEARCH("R140",G145)),0)+IFERROR(--ISNUMBER(SEARCH("R141",G145)),0))</f>
        <v/>
      </c>
      <c r="T145" s="58">
        <f>IF(A145="","",IFERROR(--ISNUMBER(SEARCH("R28",G145)),0)+IFERROR(--ISNUMBER(SEARCH("R29",G145)),0)+IFERROR(--ISNUMBER(SEARCH("R30",G145)),0)+IFERROR(--ISNUMBER(SEARCH("R32",G145)),0)+IFERROR(--ISNUMBER(SEARCH("R33",G145)),0)+IFERROR(--ISNUMBER(SEARCH("R35",G145)),0)+IFERROR(--ISNUMBER(SEARCH("R36",G145)),0)+IFERROR(--ISNUMBER(SEARCH("R38",G145)),0)+IFERROR(--ISNUMBER(SEARCH("R39",G145)),0)+IFERROR(--ISNUMBER(SEARCH("R43",G145)),0)+IFERROR(--ISNUMBER(SEARCH("R44",G145)),0)+IFERROR(--ISNUMBER(SEARCH("R45",G145)),0)+IFERROR(--ISNUMBER(SEARCH("R47",G145)),0)+IFERROR(--ISNUMBER(SEARCH("R48",G145)),0)+IFERROR(--ISNUMBER(SEARCH("R50",G145)),0)+IFERROR(--ISNUMBER(SEARCH("R51",G145)),0)+IFERROR(--ISNUMBER(SEARCH("R56",G145)),0)+IFERROR(--ISNUMBER(SEARCH("R58",G145)),0)+IFERROR(--ISNUMBER(SEARCH("R59",G145)),0)+IFERROR(--ISNUMBER(SEARCH("R60",G145)),0)+IFERROR(--ISNUMBER(SEARCH("R62",G145)),0)+IFERROR(--ISNUMBER(SEARCH("R63",G145)),0)+IFERROR(--ISNUMBER(SEARCH("R64",G145)),0)+IFERROR(--ISNUMBER(SEARCH("R66",G145)),0)+IFERROR(--ISNUMBER(SEARCH("R67",G145)),0)+IFERROR(--ISNUMBER(SEARCH("R72",G145)),0)+IFERROR(--ISNUMBER(SEARCH("R74",G145)),0)+IFERROR(--ISNUMBER(SEARCH("R75",G145)),0)+IFERROR(--ISNUMBER(SEARCH("R76",G145)),0)+IFERROR(--ISNUMBER(SEARCH("R77",G145)),0)+IFERROR(--ISNUMBER(SEARCH("R79",G145)),0)+IFERROR(--ISNUMBER(SEARCH("R80",G145)),0)+IFERROR(--ISNUMBER(SEARCH("R81",G145)),0)+IFERROR(--ISNUMBER(SEARCH("R83",G145)),0)+IFERROR(--ISNUMBER(SEARCH("R84",G145)),0)+IFERROR(--ISNUMBER(SEARCH("R89",G145)),0)+IFERROR(--ISNUMBER(SEARCH("R94",G145)),0)+IFERROR(--ISNUMBER(SEARCH("R95",G145)),0)+IFERROR(--ISNUMBER(SEARCH("R96",G145)),0)+IFERROR(--ISNUMBER(SEARCH("R98",G145)),0)+IFERROR(--ISNUMBER(SEARCH("R99",G145)),0)+IFERROR(--ISNUMBER(SEARCH("R100",G145)),0)+IFERROR(--ISNUMBER(SEARCH("R104",G145)),0)+IFERROR(--ISNUMBER(SEARCH("R105",G145)),0)+IFERROR(--ISNUMBER(SEARCH("R107",G145)),0)+IFERROR(--ISNUMBER(SEARCH("R108",G145)),0)+IFERROR(--ISNUMBER(SEARCH("R109",G145)),0)+IFERROR(--ISNUMBER(SEARCH("R110",G145)),0)+IFERROR(--ISNUMBER(SEARCH("R112",G145)),0)+IFERROR(--ISNUMBER(SEARCH("R113",G145)),0)+IFERROR(--ISNUMBER(SEARCH("R114",G145)),0)+IFERROR(--ISNUMBER(SEARCH("R118",G145)),0)+IFERROR(--ISNUMBER(SEARCH("R119",G145)),0)+IFERROR(--ISNUMBER(SEARCH("R120",G145)),0)+IFERROR(--ISNUMBER(SEARCH("R122",G145)),0)+IFERROR(--ISNUMBER(SEARCH("R123",G145)),0)+IFERROR(--ISNUMBER(SEARCH("R124",G145)),0)+IFERROR(--ISNUMBER(SEARCH("R128",G145)),0)+IFERROR(--ISNUMBER(SEARCH("R130",G145)),0)+IFERROR(--ISNUMBER(SEARCH("R131",G145)),0)+IFERROR(--ISNUMBER(SEARCH("R132",G145)),0)+IFERROR(--ISNUMBER(SEARCH("R135",G145)),0)+IFERROR(--ISNUMBER(SEARCH("R138",G145)),0)+IFERROR(--ISNUMBER(SEARCH("R141",G145)),0))</f>
        <v/>
      </c>
      <c r="U145" s="58">
        <f>IF(A145="","",IFERROR(--ISNUMBER(SEARCH("R28",G145))*28,0)+IFERROR(--ISNUMBER(SEARCH("R29",G145))*29,0)+IFERROR(--ISNUMBER(SEARCH("R30",G145))*30,0)+IFERROR(--ISNUMBER(SEARCH("R31",G145))*31,0)+IFERROR(--ISNUMBER(SEARCH("R32",G145))*32,0)+IFERROR(--ISNUMBER(SEARCH("R33",G145))*33,0)+IFERROR(--ISNUMBER(SEARCH("R34",G145))*34,0)+IFERROR(--ISNUMBER(SEARCH("R35",G145))*35,0)+IFERROR(--ISNUMBER(SEARCH("R36",G145))*36,0)+IFERROR(--ISNUMBER(SEARCH("R37",G145))*37,0)+IFERROR(--ISNUMBER(SEARCH("R38",G145))*38,0)+IFERROR(--ISNUMBER(SEARCH("R39",G145))*39,0)+IFERROR(--ISNUMBER(SEARCH("R40",G145))*40,0)+IFERROR(--ISNUMBER(SEARCH("R41",G145))*41,0)+IFERROR(--ISNUMBER(SEARCH("R42",G145))*42,0)+IFERROR(--ISNUMBER(SEARCH("R43",G145))*43,0)+IFERROR(--ISNUMBER(SEARCH("R44",G145))*44,0)+IFERROR(--ISNUMBER(SEARCH("R45",G145))*45,0)+IFERROR(--ISNUMBER(SEARCH("R46",G145))*46,0)+IFERROR(--ISNUMBER(SEARCH("R47",G145))*47,0)+IFERROR(--ISNUMBER(SEARCH("R48",G145))*48,0)+IFERROR(--ISNUMBER(SEARCH("R49",G145))*49,0)+IFERROR(--ISNUMBER(SEARCH("R50",G145))*50,0)+IFERROR(--ISNUMBER(SEARCH("R51",G145))*51,0)+IFERROR(--ISNUMBER(SEARCH("R52",G145))*52,0)+IFERROR(--ISNUMBER(SEARCH("R53",G145))*53,0)+IFERROR(--ISNUMBER(SEARCH("R54",G145))*54,0)+IFERROR(--ISNUMBER(SEARCH("R55",G145))*55,0)+IFERROR(--ISNUMBER(SEARCH("R56",G145))*56,0)+IFERROR(--ISNUMBER(SEARCH("R57",G145))*57,0)+IFERROR(--ISNUMBER(SEARCH("R58",G145))*58,0)+IFERROR(--ISNUMBER(SEARCH("R59",G145))*59,0)+IFERROR(--ISNUMBER(SEARCH("R60",G145))*60,0)+IFERROR(--ISNUMBER(SEARCH("R61",G145))*61,0)+IFERROR(--ISNUMBER(SEARCH("R62",G145))*62,0)+IFERROR(--ISNUMBER(SEARCH("R63",G145))*63,0)+IFERROR(--ISNUMBER(SEARCH("R64",G145))*64,0)+IFERROR(--ISNUMBER(SEARCH("R65",G145))*65,0)+IFERROR(--ISNUMBER(SEARCH("R66",G145))*66,0)+IFERROR(--ISNUMBER(SEARCH("R67",G145))*67,0)+IFERROR(--ISNUMBER(SEARCH("R68",G145))*68,0)+IFERROR(--ISNUMBER(SEARCH("R69",G145))*69,0)+IFERROR(--ISNUMBER(SEARCH("R70",G145))*70,0)+IFERROR(--ISNUMBER(SEARCH("R71",G145))*71,0)+IFERROR(--ISNUMBER(SEARCH("R72",G145))*72,0)+IFERROR(--ISNUMBER(SEARCH("R73",G145))*73,0)+IFERROR(--ISNUMBER(SEARCH("R74",G145))*74,0)+IFERROR(--ISNUMBER(SEARCH("R75",G145))*75,0)+IFERROR(--ISNUMBER(SEARCH("R76",G145))*76,0)+IFERROR(--ISNUMBER(SEARCH("R77",G145))*77,0)+IFERROR(--ISNUMBER(SEARCH("R78",G145))*78,0)+IFERROR(--ISNUMBER(SEARCH("R79",G145))*79,0)+IFERROR(--ISNUMBER(SEARCH("R80",G145))*80,0)+IFERROR(--ISNUMBER(SEARCH("R81",G145))*81,0)+IFERROR(--ISNUMBER(SEARCH("R82",G145))*82,0)+IFERROR(--ISNUMBER(SEARCH("R83",G145))*83,0)+IFERROR(--ISNUMBER(SEARCH("R84",G145))*84,0)+IFERROR(--ISNUMBER(SEARCH("R85",G145))*85,0)+IFERROR(--ISNUMBER(SEARCH("R86",G145))*86,0)+IFERROR(--ISNUMBER(SEARCH("R87",G145))*87,0)+IFERROR(--ISNUMBER(SEARCH("R88",G145))*88,0)+IFERROR(--ISNUMBER(SEARCH("R89",G145))*89,0)+IFERROR(--ISNUMBER(SEARCH("R90",G145))*90,0)+IFERROR(--ISNUMBER(SEARCH("R91",G145))*91,0)+IFERROR(--ISNUMBER(SEARCH("R92",G145))*92,0)+IFERROR(--ISNUMBER(SEARCH("R93",G145))*93,0)+IFERROR(--ISNUMBER(SEARCH("R94",G145))*94,0)+IFERROR(--ISNUMBER(SEARCH("R95",G145))*95,0)+IFERROR(--ISNUMBER(SEARCH("R96",G145))*96,0)+IFERROR(--ISNUMBER(SEARCH("R97",G145))*97,0)+IFERROR(--ISNUMBER(SEARCH("R98",G145))*98,0)+IFERROR(--ISNUMBER(SEARCH("R99",G145))*99,0)+IFERROR(--ISNUMBER(SEARCH("R100",G145))*100,0)+IFERROR(--ISNUMBER(SEARCH("R101",G145))*101,0)+IFERROR(--ISNUMBER(SEARCH("R102",G145))*102,0)+IFERROR(--ISNUMBER(SEARCH("R103",G145))*103,0)+IFERROR(--ISNUMBER(SEARCH("R104",G145))*104,0)+IFERROR(--ISNUMBER(SEARCH("R105",G145))*105,0)+IFERROR(--ISNUMBER(SEARCH("R106",G145))*106,0)+IFERROR(--ISNUMBER(SEARCH("R107",G145))*107,0)+IFERROR(--ISNUMBER(SEARCH("R108",G145))*108,0)+IFERROR(--ISNUMBER(SEARCH("R109",G145))*109,0)+IFERROR(--ISNUMBER(SEARCH("R110",G145))*110,0)+IFERROR(--ISNUMBER(SEARCH("R111",G145))*111,0)+IFERROR(--ISNUMBER(SEARCH("R112",G145))*112,0)+IFERROR(--ISNUMBER(SEARCH("R113",G145))*113,0)+IFERROR(--ISNUMBER(SEARCH("R114",G145))*114,0)+IFERROR(--ISNUMBER(SEARCH("R115",G145))*115,0)+IFERROR(--ISNUMBER(SEARCH("R116",G145))*116,0)+IFERROR(--ISNUMBER(SEARCH("R117",G145))*117,0)+IFERROR(--ISNUMBER(SEARCH("R118",G145))*118,0)+IFERROR(--ISNUMBER(SEARCH("R119",G145))*119,0)+IFERROR(--ISNUMBER(SEARCH("R120",G145))*120,0)+IFERROR(--ISNUMBER(SEARCH("R121",G145))*121,0)+IFERROR(--ISNUMBER(SEARCH("R122",G145))*122,0)+IFERROR(--ISNUMBER(SEARCH("R123",G145))*123,0)+IFERROR(--ISNUMBER(SEARCH("R124",G145))*124,0)+IFERROR(--ISNUMBER(SEARCH("R125",G145))*125,0)+IFERROR(--ISNUMBER(SEARCH("R126",G145))*126,0)+IFERROR(--ISNUMBER(SEARCH("R127",G145))*127,0)+IFERROR(--ISNUMBER(SEARCH("R128",G145))*128,0)+IFERROR(--ISNUMBER(SEARCH("R129",G145))*129,0)+IFERROR(--ISNUMBER(SEARCH("R130",G145))*130,0)+IFERROR(--ISNUMBER(SEARCH("R131",G145))*131,0)+IFERROR(--ISNUMBER(SEARCH("R132",G145))*132,0)+IFERROR(--ISNUMBER(SEARCH("R133",G145))*133,0)+IFERROR(--ISNUMBER(SEARCH("R134",G145))*134,0)+IFERROR(--ISNUMBER(SEARCH("R135",G145))*135,0)+IFERROR(--ISNUMBER(SEARCH("R136",G145))*136,0)+IFERROR(--ISNUMBER(SEARCH("R137",G145))*137,0)+IFERROR(--ISNUMBER(SEARCH("R138",G145))*138,0)+IFERROR(--ISNUMBER(SEARCH("R139",G145))*139,0)+IFERROR(--ISNUMBER(SEARCH("R140",G145))*140,0)+IFERROR(--ISNUMBER(SEARCH("R141",G145))*141,0))</f>
        <v/>
      </c>
      <c r="V145" s="59">
        <f>IF(A145="","",IF(K145&lt;&gt;"",K145,J145))</f>
        <v/>
      </c>
      <c r="W145" s="59">
        <f>IF(A145="","",IF(AND(V145=29,O145&lt;&gt;"",COUNTIFS($V$6:$V$505,29,$F$6:$F$505,F145,$C$6:$C$505,C145,$O$6:$O$505,"&lt;&gt;")&gt;1),IF(COUNTIFS($V$6:V145,29,$F$6:F145,F145,$C$6:C145,C145,$O$6:O145,"&lt;&gt;")=1,"Esta es la fila que se debe CONSERVAR (aparición 1 de "&amp;COUNTIFS($V$6:$V$505,29,$F$6:$F$505,F145,$C$6:$C$505,C145,$O$6:$O$505,"&lt;&gt;")&amp;" con el mismo tercero y valor, casilla 29). Si hay más filas iguales, bórreles el valor a ELLAS, no a esta.","DUPLICADO — ya existe otra fila con el mismo tercero y valor para casilla 29 (aparición "&amp;COUNTIFS($V$6:V145,29,$F$6:F145,F145,$C$6:C145,C145,$O$6:O145,"&lt;&gt;")&amp;" de "&amp;COUNTIFS($V$6:$V$505,29,$F$6:$F$505,F145,$C$6:$C$505,C145,$O$6:$O$505,"&lt;&gt;")&amp;"). Para resolverlo: seleccione la celda O"&amp;ROW()&amp;" (columna Valor a declarar de ESTA fila) y presione Supr."),""))</f>
        <v/>
      </c>
      <c r="X145" s="463">
        <f>IF(A145="","",F145)</f>
        <v/>
      </c>
      <c r="Y145" s="463">
        <f>IF(A145="","",SUMIF(Entrada_Manual!$I$88:$I$187,A145,Entrada_Manual!$F$88:$F$187))</f>
        <v/>
      </c>
      <c r="Z145" s="463">
        <f>IF(A145="","",X145-Y145)</f>
        <v/>
      </c>
      <c r="AA145">
        <f>IF(A145="","",SUMPRODUCT((Entrada_Manual!$I$88:$I$187=A145)*1))</f>
        <v/>
      </c>
      <c r="AB145">
        <f>IF(A145="","",IF(S145&lt;=1,"",IF(AA145=0,"PENDIENTE — SIN ASIGNAR",IF(Z145=0,"RESUELTO","PARCIAL — DIFERENCIA "&amp;TEXT(Z145,"#,##0")))))</f>
        <v/>
      </c>
    </row>
    <row r="146" ht="14.25" customHeight="1" s="235">
      <c r="A146" s="47">
        <f>IF(Exogena_RAW!E155&lt;&gt;"",ROW()-5,"")</f>
        <v/>
      </c>
      <c r="B146" s="48">
        <f>IF(A146="","",155)</f>
        <v/>
      </c>
      <c r="C146" s="48">
        <f>IF(A146="","",IFERROR(Exogena_RAW!A155,""))</f>
        <v/>
      </c>
      <c r="D146" s="48">
        <f>IF(A146="","",IFERROR(Exogena_RAW!B155,""))</f>
        <v/>
      </c>
      <c r="E146" s="48">
        <f>IF(A146="","",Exogena_RAW!E155)</f>
        <v/>
      </c>
      <c r="F146" s="461">
        <f>IF(A146="","",Exogena_RAW!F155)</f>
        <v/>
      </c>
      <c r="G146" s="48">
        <f>IF(A146="","",IFERROR(Exogena_RAW!G155,""))</f>
        <v/>
      </c>
      <c r="H146" s="48">
        <f>IF(A146="","",IFERROR(Exogena_RAW!H155,""))</f>
        <v/>
      </c>
      <c r="I146" s="48">
        <f>IF(A146="","",IFERROR(IF(S146&gt;1,"VARIAS CASILLAS",IF(S146=1,IF(T146=1,"PROPUESTA DE CASILLA","REVISIÓN: CASILLA NO DIRECTA"),IF(OR(ISNUMBER(SEARCH("TOPE",UPPER(E146))),ISNUMBER(SEARCH("TOPE",UPPER(G146)))),"SOLO CONTROL",IF(ISNUMBER(SEARCH("RETEN",UPPER(E146))),"RETENCIÓN","REVISAR")))),"REVISAR"))</f>
        <v/>
      </c>
      <c r="J146" s="48">
        <f>IF(A146="","",IF(ISNUMBER(SEARCH("ingreso laboral promedio de los últimos seis meses",E146)),"",IFERROR(IF(AND(S146=1,T146=1),U146,""),"")))</f>
        <v/>
      </c>
      <c r="K146" s="216" t="n"/>
      <c r="L146" s="48">
        <f>IF(A146="","",IFERROR(IF(K146&lt;&gt;"","Casilla elegida por usuario",IF(S146&gt;1,"Varias casillas — elegir en K",IF(J146&lt;&gt;"","Sugerencia directa",IF(S146=1,"No trasladar directo — revisar",IF(OR(ISNUMBER(SEARCH("TOPE",UPPER(E146))),ISNUMBER(SEARCH("TOPE",UPPER(G146)))),"Solo control","Revisar manualmente"))))),"Revisar manualmente"))</f>
        <v/>
      </c>
      <c r="M146" s="461">
        <f>IF(A146="","",IF(IF(K146&lt;&gt;"",K146,J146)="",0,IF(COUNTIFS(Reglas!$I$5:$I$118,IF(K146&lt;&gt;"",K146,J146),Reglas!$J$5:$J$118,"Sí")=1,F146,0)))</f>
        <v/>
      </c>
      <c r="N146" s="56" t="n"/>
      <c r="O146" s="462">
        <f>IF(A146="","",IF(M146=0,"",M146))</f>
        <v/>
      </c>
      <c r="P146" s="461">
        <f>IF(A146="","",IF(O146="",0,IF(ISNUMBER(O146),O146,0)))</f>
        <v/>
      </c>
      <c r="Q146" s="48">
        <f>IF(A146="","",IF(Exogena_RAW!$C$4="","BLOQUEADO: FALTA AÑO",IF(Exogena_RAW!$K$10&lt;&gt;Reglas!$B$5,"BLOQUEADO: AÑO",IF(IF(K146&lt;&gt;"",K146,J146)="",IF(S146&gt;1,"REQUIERE ASIGNACIÓN MANUAL (VARIAS CASILLAS)","INFORMATIVO (sin casilla — no se declara)"),IF(COUNTIFS(Reglas!$I$5:$I$118,IF(K146&lt;&gt;"",K146,J146),Reglas!$J$5:$J$118,"Sí")=0,"BLOQUEADO: CASILLA NO DIRECTA",IF(O146="","EXCLUIDO (valor borrado por el usuario)",IF(_xlfn.ISFORMULA(O146),IF(W146&lt;&gt;"","BORRADOR — VALOR SUGERIDO DIAN ⚠ VER ALERTA","BORRADOR — VALOR SUGERIDO DIAN"),IF(W146&lt;&gt;"","ACEPTADO ⚠ VER ALERTA","ACEPTADO"))))))))</f>
        <v/>
      </c>
      <c r="R146" s="218" t="n"/>
      <c r="S146" s="58">
        <f>IF(A146="","",IFERROR(--ISNUMBER(SEARCH("R28",G146)),0)+IFERROR(--ISNUMBER(SEARCH("R29",G146)),0)+IFERROR(--ISNUMBER(SEARCH("R30",G146)),0)+IFERROR(--ISNUMBER(SEARCH("R31",G146)),0)+IFERROR(--ISNUMBER(SEARCH("R32",G146)),0)+IFERROR(--ISNUMBER(SEARCH("R33",G146)),0)+IFERROR(--ISNUMBER(SEARCH("R34",G146)),0)+IFERROR(--ISNUMBER(SEARCH("R35",G146)),0)+IFERROR(--ISNUMBER(SEARCH("R36",G146)),0)+IFERROR(--ISNUMBER(SEARCH("R37",G146)),0)+IFERROR(--ISNUMBER(SEARCH("R38",G146)),0)+IFERROR(--ISNUMBER(SEARCH("R39",G146)),0)+IFERROR(--ISNUMBER(SEARCH("R40",G146)),0)+IFERROR(--ISNUMBER(SEARCH("R41",G146)),0)+IFERROR(--ISNUMBER(SEARCH("R42",G146)),0)+IFERROR(--ISNUMBER(SEARCH("R43",G146)),0)+IFERROR(--ISNUMBER(SEARCH("R44",G146)),0)+IFERROR(--ISNUMBER(SEARCH("R45",G146)),0)+IFERROR(--ISNUMBER(SEARCH("R46",G146)),0)+IFERROR(--ISNUMBER(SEARCH("R47",G146)),0)+IFERROR(--ISNUMBER(SEARCH("R48",G146)),0)+IFERROR(--ISNUMBER(SEARCH("R49",G146)),0)+IFERROR(--ISNUMBER(SEARCH("R50",G146)),0)+IFERROR(--ISNUMBER(SEARCH("R51",G146)),0)+IFERROR(--ISNUMBER(SEARCH("R52",G146)),0)+IFERROR(--ISNUMBER(SEARCH("R53",G146)),0)+IFERROR(--ISNUMBER(SEARCH("R54",G146)),0)+IFERROR(--ISNUMBER(SEARCH("R55",G146)),0)+IFERROR(--ISNUMBER(SEARCH("R56",G146)),0)+IFERROR(--ISNUMBER(SEARCH("R57",G146)),0)+IFERROR(--ISNUMBER(SEARCH("R58",G146)),0)+IFERROR(--ISNUMBER(SEARCH("R59",G146)),0)+IFERROR(--ISNUMBER(SEARCH("R60",G146)),0)+IFERROR(--ISNUMBER(SEARCH("R61",G146)),0)+IFERROR(--ISNUMBER(SEARCH("R62",G146)),0)+IFERROR(--ISNUMBER(SEARCH("R63",G146)),0)+IFERROR(--ISNUMBER(SEARCH("R64",G146)),0)+IFERROR(--ISNUMBER(SEARCH("R65",G146)),0)+IFERROR(--ISNUMBER(SEARCH("R66",G146)),0)+IFERROR(--ISNUMBER(SEARCH("R67",G146)),0)+IFERROR(--ISNUMBER(SEARCH("R68",G146)),0)+IFERROR(--ISNUMBER(SEARCH("R69",G146)),0)+IFERROR(--ISNUMBER(SEARCH("R70",G146)),0)+IFERROR(--ISNUMBER(SEARCH("R71",G146)),0)+IFERROR(--ISNUMBER(SEARCH("R72",G146)),0)+IFERROR(--ISNUMBER(SEARCH("R73",G146)),0)+IFERROR(--ISNUMBER(SEARCH("R74",G146)),0)+IFERROR(--ISNUMBER(SEARCH("R75",G146)),0)+IFERROR(--ISNUMBER(SEARCH("R76",G146)),0)+IFERROR(--ISNUMBER(SEARCH("R77",G146)),0)+IFERROR(--ISNUMBER(SEARCH("R78",G146)),0)+IFERROR(--ISNUMBER(SEARCH("R79",G146)),0)+IFERROR(--ISNUMBER(SEARCH("R80",G146)),0)+IFERROR(--ISNUMBER(SEARCH("R81",G146)),0)+IFERROR(--ISNUMBER(SEARCH("R82",G146)),0)+IFERROR(--ISNUMBER(SEARCH("R83",G146)),0)+IFERROR(--ISNUMBER(SEARCH("R84",G146)),0)+IFERROR(--ISNUMBER(SEARCH("R85",G146)),0)+IFERROR(--ISNUMBER(SEARCH("R86",G146)),0)+IFERROR(--ISNUMBER(SEARCH("R87",G146)),0)+IFERROR(--ISNUMBER(SEARCH("R88",G146)),0)+IFERROR(--ISNUMBER(SEARCH("R89",G146)),0)+IFERROR(--ISNUMBER(SEARCH("R90",G146)),0)+IFERROR(--ISNUMBER(SEARCH("R91",G146)),0)+IFERROR(--ISNUMBER(SEARCH("R92",G146)),0)+IFERROR(--ISNUMBER(SEARCH("R93",G146)),0)+IFERROR(--ISNUMBER(SEARCH("R94",G146)),0)+IFERROR(--ISNUMBER(SEARCH("R95",G146)),0)+IFERROR(--ISNUMBER(SEARCH("R96",G146)),0)+IFERROR(--ISNUMBER(SEARCH("R97",G146)),0)+IFERROR(--ISNUMBER(SEARCH("R98",G146)),0)+IFERROR(--ISNUMBER(SEARCH("R99",G146)),0)+IFERROR(--ISNUMBER(SEARCH("R100",G146)),0)+IFERROR(--ISNUMBER(SEARCH("R101",G146)),0)+IFERROR(--ISNUMBER(SEARCH("R102",G146)),0)+IFERROR(--ISNUMBER(SEARCH("R103",G146)),0)+IFERROR(--ISNUMBER(SEARCH("R104",G146)),0)+IFERROR(--ISNUMBER(SEARCH("R105",G146)),0)+IFERROR(--ISNUMBER(SEARCH("R106",G146)),0)+IFERROR(--ISNUMBER(SEARCH("R107",G146)),0)+IFERROR(--ISNUMBER(SEARCH("R108",G146)),0)+IFERROR(--ISNUMBER(SEARCH("R109",G146)),0)+IFERROR(--ISNUMBER(SEARCH("R110",G146)),0)+IFERROR(--ISNUMBER(SEARCH("R111",G146)),0)+IFERROR(--ISNUMBER(SEARCH("R112",G146)),0)+IFERROR(--ISNUMBER(SEARCH("R113",G146)),0)+IFERROR(--ISNUMBER(SEARCH("R114",G146)),0)+IFERROR(--ISNUMBER(SEARCH("R115",G146)),0)+IFERROR(--ISNUMBER(SEARCH("R116",G146)),0)+IFERROR(--ISNUMBER(SEARCH("R117",G146)),0)+IFERROR(--ISNUMBER(SEARCH("R118",G146)),0)+IFERROR(--ISNUMBER(SEARCH("R119",G146)),0)+IFERROR(--ISNUMBER(SEARCH("R120",G146)),0)+IFERROR(--ISNUMBER(SEARCH("R121",G146)),0)+IFERROR(--ISNUMBER(SEARCH("R122",G146)),0)+IFERROR(--ISNUMBER(SEARCH("R123",G146)),0)+IFERROR(--ISNUMBER(SEARCH("R124",G146)),0)+IFERROR(--ISNUMBER(SEARCH("R125",G146)),0)+IFERROR(--ISNUMBER(SEARCH("R126",G146)),0)+IFERROR(--ISNUMBER(SEARCH("R127",G146)),0)+IFERROR(--ISNUMBER(SEARCH("R128",G146)),0)+IFERROR(--ISNUMBER(SEARCH("R129",G146)),0)+IFERROR(--ISNUMBER(SEARCH("R130",G146)),0)+IFERROR(--ISNUMBER(SEARCH("R131",G146)),0)+IFERROR(--ISNUMBER(SEARCH("R132",G146)),0)+IFERROR(--ISNUMBER(SEARCH("R133",G146)),0)+IFERROR(--ISNUMBER(SEARCH("R134",G146)),0)+IFERROR(--ISNUMBER(SEARCH("R135",G146)),0)+IFERROR(--ISNUMBER(SEARCH("R136",G146)),0)+IFERROR(--ISNUMBER(SEARCH("R137",G146)),0)+IFERROR(--ISNUMBER(SEARCH("R138",G146)),0)+IFERROR(--ISNUMBER(SEARCH("R139",G146)),0)+IFERROR(--ISNUMBER(SEARCH("R140",G146)),0)+IFERROR(--ISNUMBER(SEARCH("R141",G146)),0))</f>
        <v/>
      </c>
      <c r="T146" s="58">
        <f>IF(A146="","",IFERROR(--ISNUMBER(SEARCH("R28",G146)),0)+IFERROR(--ISNUMBER(SEARCH("R29",G146)),0)+IFERROR(--ISNUMBER(SEARCH("R30",G146)),0)+IFERROR(--ISNUMBER(SEARCH("R32",G146)),0)+IFERROR(--ISNUMBER(SEARCH("R33",G146)),0)+IFERROR(--ISNUMBER(SEARCH("R35",G146)),0)+IFERROR(--ISNUMBER(SEARCH("R36",G146)),0)+IFERROR(--ISNUMBER(SEARCH("R38",G146)),0)+IFERROR(--ISNUMBER(SEARCH("R39",G146)),0)+IFERROR(--ISNUMBER(SEARCH("R43",G146)),0)+IFERROR(--ISNUMBER(SEARCH("R44",G146)),0)+IFERROR(--ISNUMBER(SEARCH("R45",G146)),0)+IFERROR(--ISNUMBER(SEARCH("R47",G146)),0)+IFERROR(--ISNUMBER(SEARCH("R48",G146)),0)+IFERROR(--ISNUMBER(SEARCH("R50",G146)),0)+IFERROR(--ISNUMBER(SEARCH("R51",G146)),0)+IFERROR(--ISNUMBER(SEARCH("R56",G146)),0)+IFERROR(--ISNUMBER(SEARCH("R58",G146)),0)+IFERROR(--ISNUMBER(SEARCH("R59",G146)),0)+IFERROR(--ISNUMBER(SEARCH("R60",G146)),0)+IFERROR(--ISNUMBER(SEARCH("R62",G146)),0)+IFERROR(--ISNUMBER(SEARCH("R63",G146)),0)+IFERROR(--ISNUMBER(SEARCH("R64",G146)),0)+IFERROR(--ISNUMBER(SEARCH("R66",G146)),0)+IFERROR(--ISNUMBER(SEARCH("R67",G146)),0)+IFERROR(--ISNUMBER(SEARCH("R72",G146)),0)+IFERROR(--ISNUMBER(SEARCH("R74",G146)),0)+IFERROR(--ISNUMBER(SEARCH("R75",G146)),0)+IFERROR(--ISNUMBER(SEARCH("R76",G146)),0)+IFERROR(--ISNUMBER(SEARCH("R77",G146)),0)+IFERROR(--ISNUMBER(SEARCH("R79",G146)),0)+IFERROR(--ISNUMBER(SEARCH("R80",G146)),0)+IFERROR(--ISNUMBER(SEARCH("R81",G146)),0)+IFERROR(--ISNUMBER(SEARCH("R83",G146)),0)+IFERROR(--ISNUMBER(SEARCH("R84",G146)),0)+IFERROR(--ISNUMBER(SEARCH("R89",G146)),0)+IFERROR(--ISNUMBER(SEARCH("R94",G146)),0)+IFERROR(--ISNUMBER(SEARCH("R95",G146)),0)+IFERROR(--ISNUMBER(SEARCH("R96",G146)),0)+IFERROR(--ISNUMBER(SEARCH("R98",G146)),0)+IFERROR(--ISNUMBER(SEARCH("R99",G146)),0)+IFERROR(--ISNUMBER(SEARCH("R100",G146)),0)+IFERROR(--ISNUMBER(SEARCH("R104",G146)),0)+IFERROR(--ISNUMBER(SEARCH("R105",G146)),0)+IFERROR(--ISNUMBER(SEARCH("R107",G146)),0)+IFERROR(--ISNUMBER(SEARCH("R108",G146)),0)+IFERROR(--ISNUMBER(SEARCH("R109",G146)),0)+IFERROR(--ISNUMBER(SEARCH("R110",G146)),0)+IFERROR(--ISNUMBER(SEARCH("R112",G146)),0)+IFERROR(--ISNUMBER(SEARCH("R113",G146)),0)+IFERROR(--ISNUMBER(SEARCH("R114",G146)),0)+IFERROR(--ISNUMBER(SEARCH("R118",G146)),0)+IFERROR(--ISNUMBER(SEARCH("R119",G146)),0)+IFERROR(--ISNUMBER(SEARCH("R120",G146)),0)+IFERROR(--ISNUMBER(SEARCH("R122",G146)),0)+IFERROR(--ISNUMBER(SEARCH("R123",G146)),0)+IFERROR(--ISNUMBER(SEARCH("R124",G146)),0)+IFERROR(--ISNUMBER(SEARCH("R128",G146)),0)+IFERROR(--ISNUMBER(SEARCH("R130",G146)),0)+IFERROR(--ISNUMBER(SEARCH("R131",G146)),0)+IFERROR(--ISNUMBER(SEARCH("R132",G146)),0)+IFERROR(--ISNUMBER(SEARCH("R135",G146)),0)+IFERROR(--ISNUMBER(SEARCH("R138",G146)),0)+IFERROR(--ISNUMBER(SEARCH("R141",G146)),0))</f>
        <v/>
      </c>
      <c r="U146" s="58">
        <f>IF(A146="","",IFERROR(--ISNUMBER(SEARCH("R28",G146))*28,0)+IFERROR(--ISNUMBER(SEARCH("R29",G146))*29,0)+IFERROR(--ISNUMBER(SEARCH("R30",G146))*30,0)+IFERROR(--ISNUMBER(SEARCH("R31",G146))*31,0)+IFERROR(--ISNUMBER(SEARCH("R32",G146))*32,0)+IFERROR(--ISNUMBER(SEARCH("R33",G146))*33,0)+IFERROR(--ISNUMBER(SEARCH("R34",G146))*34,0)+IFERROR(--ISNUMBER(SEARCH("R35",G146))*35,0)+IFERROR(--ISNUMBER(SEARCH("R36",G146))*36,0)+IFERROR(--ISNUMBER(SEARCH("R37",G146))*37,0)+IFERROR(--ISNUMBER(SEARCH("R38",G146))*38,0)+IFERROR(--ISNUMBER(SEARCH("R39",G146))*39,0)+IFERROR(--ISNUMBER(SEARCH("R40",G146))*40,0)+IFERROR(--ISNUMBER(SEARCH("R41",G146))*41,0)+IFERROR(--ISNUMBER(SEARCH("R42",G146))*42,0)+IFERROR(--ISNUMBER(SEARCH("R43",G146))*43,0)+IFERROR(--ISNUMBER(SEARCH("R44",G146))*44,0)+IFERROR(--ISNUMBER(SEARCH("R45",G146))*45,0)+IFERROR(--ISNUMBER(SEARCH("R46",G146))*46,0)+IFERROR(--ISNUMBER(SEARCH("R47",G146))*47,0)+IFERROR(--ISNUMBER(SEARCH("R48",G146))*48,0)+IFERROR(--ISNUMBER(SEARCH("R49",G146))*49,0)+IFERROR(--ISNUMBER(SEARCH("R50",G146))*50,0)+IFERROR(--ISNUMBER(SEARCH("R51",G146))*51,0)+IFERROR(--ISNUMBER(SEARCH("R52",G146))*52,0)+IFERROR(--ISNUMBER(SEARCH("R53",G146))*53,0)+IFERROR(--ISNUMBER(SEARCH("R54",G146))*54,0)+IFERROR(--ISNUMBER(SEARCH("R55",G146))*55,0)+IFERROR(--ISNUMBER(SEARCH("R56",G146))*56,0)+IFERROR(--ISNUMBER(SEARCH("R57",G146))*57,0)+IFERROR(--ISNUMBER(SEARCH("R58",G146))*58,0)+IFERROR(--ISNUMBER(SEARCH("R59",G146))*59,0)+IFERROR(--ISNUMBER(SEARCH("R60",G146))*60,0)+IFERROR(--ISNUMBER(SEARCH("R61",G146))*61,0)+IFERROR(--ISNUMBER(SEARCH("R62",G146))*62,0)+IFERROR(--ISNUMBER(SEARCH("R63",G146))*63,0)+IFERROR(--ISNUMBER(SEARCH("R64",G146))*64,0)+IFERROR(--ISNUMBER(SEARCH("R65",G146))*65,0)+IFERROR(--ISNUMBER(SEARCH("R66",G146))*66,0)+IFERROR(--ISNUMBER(SEARCH("R67",G146))*67,0)+IFERROR(--ISNUMBER(SEARCH("R68",G146))*68,0)+IFERROR(--ISNUMBER(SEARCH("R69",G146))*69,0)+IFERROR(--ISNUMBER(SEARCH("R70",G146))*70,0)+IFERROR(--ISNUMBER(SEARCH("R71",G146))*71,0)+IFERROR(--ISNUMBER(SEARCH("R72",G146))*72,0)+IFERROR(--ISNUMBER(SEARCH("R73",G146))*73,0)+IFERROR(--ISNUMBER(SEARCH("R74",G146))*74,0)+IFERROR(--ISNUMBER(SEARCH("R75",G146))*75,0)+IFERROR(--ISNUMBER(SEARCH("R76",G146))*76,0)+IFERROR(--ISNUMBER(SEARCH("R77",G146))*77,0)+IFERROR(--ISNUMBER(SEARCH("R78",G146))*78,0)+IFERROR(--ISNUMBER(SEARCH("R79",G146))*79,0)+IFERROR(--ISNUMBER(SEARCH("R80",G146))*80,0)+IFERROR(--ISNUMBER(SEARCH("R81",G146))*81,0)+IFERROR(--ISNUMBER(SEARCH("R82",G146))*82,0)+IFERROR(--ISNUMBER(SEARCH("R83",G146))*83,0)+IFERROR(--ISNUMBER(SEARCH("R84",G146))*84,0)+IFERROR(--ISNUMBER(SEARCH("R85",G146))*85,0)+IFERROR(--ISNUMBER(SEARCH("R86",G146))*86,0)+IFERROR(--ISNUMBER(SEARCH("R87",G146))*87,0)+IFERROR(--ISNUMBER(SEARCH("R88",G146))*88,0)+IFERROR(--ISNUMBER(SEARCH("R89",G146))*89,0)+IFERROR(--ISNUMBER(SEARCH("R90",G146))*90,0)+IFERROR(--ISNUMBER(SEARCH("R91",G146))*91,0)+IFERROR(--ISNUMBER(SEARCH("R92",G146))*92,0)+IFERROR(--ISNUMBER(SEARCH("R93",G146))*93,0)+IFERROR(--ISNUMBER(SEARCH("R94",G146))*94,0)+IFERROR(--ISNUMBER(SEARCH("R95",G146))*95,0)+IFERROR(--ISNUMBER(SEARCH("R96",G146))*96,0)+IFERROR(--ISNUMBER(SEARCH("R97",G146))*97,0)+IFERROR(--ISNUMBER(SEARCH("R98",G146))*98,0)+IFERROR(--ISNUMBER(SEARCH("R99",G146))*99,0)+IFERROR(--ISNUMBER(SEARCH("R100",G146))*100,0)+IFERROR(--ISNUMBER(SEARCH("R101",G146))*101,0)+IFERROR(--ISNUMBER(SEARCH("R102",G146))*102,0)+IFERROR(--ISNUMBER(SEARCH("R103",G146))*103,0)+IFERROR(--ISNUMBER(SEARCH("R104",G146))*104,0)+IFERROR(--ISNUMBER(SEARCH("R105",G146))*105,0)+IFERROR(--ISNUMBER(SEARCH("R106",G146))*106,0)+IFERROR(--ISNUMBER(SEARCH("R107",G146))*107,0)+IFERROR(--ISNUMBER(SEARCH("R108",G146))*108,0)+IFERROR(--ISNUMBER(SEARCH("R109",G146))*109,0)+IFERROR(--ISNUMBER(SEARCH("R110",G146))*110,0)+IFERROR(--ISNUMBER(SEARCH("R111",G146))*111,0)+IFERROR(--ISNUMBER(SEARCH("R112",G146))*112,0)+IFERROR(--ISNUMBER(SEARCH("R113",G146))*113,0)+IFERROR(--ISNUMBER(SEARCH("R114",G146))*114,0)+IFERROR(--ISNUMBER(SEARCH("R115",G146))*115,0)+IFERROR(--ISNUMBER(SEARCH("R116",G146))*116,0)+IFERROR(--ISNUMBER(SEARCH("R117",G146))*117,0)+IFERROR(--ISNUMBER(SEARCH("R118",G146))*118,0)+IFERROR(--ISNUMBER(SEARCH("R119",G146))*119,0)+IFERROR(--ISNUMBER(SEARCH("R120",G146))*120,0)+IFERROR(--ISNUMBER(SEARCH("R121",G146))*121,0)+IFERROR(--ISNUMBER(SEARCH("R122",G146))*122,0)+IFERROR(--ISNUMBER(SEARCH("R123",G146))*123,0)+IFERROR(--ISNUMBER(SEARCH("R124",G146))*124,0)+IFERROR(--ISNUMBER(SEARCH("R125",G146))*125,0)+IFERROR(--ISNUMBER(SEARCH("R126",G146))*126,0)+IFERROR(--ISNUMBER(SEARCH("R127",G146))*127,0)+IFERROR(--ISNUMBER(SEARCH("R128",G146))*128,0)+IFERROR(--ISNUMBER(SEARCH("R129",G146))*129,0)+IFERROR(--ISNUMBER(SEARCH("R130",G146))*130,0)+IFERROR(--ISNUMBER(SEARCH("R131",G146))*131,0)+IFERROR(--ISNUMBER(SEARCH("R132",G146))*132,0)+IFERROR(--ISNUMBER(SEARCH("R133",G146))*133,0)+IFERROR(--ISNUMBER(SEARCH("R134",G146))*134,0)+IFERROR(--ISNUMBER(SEARCH("R135",G146))*135,0)+IFERROR(--ISNUMBER(SEARCH("R136",G146))*136,0)+IFERROR(--ISNUMBER(SEARCH("R137",G146))*137,0)+IFERROR(--ISNUMBER(SEARCH("R138",G146))*138,0)+IFERROR(--ISNUMBER(SEARCH("R139",G146))*139,0)+IFERROR(--ISNUMBER(SEARCH("R140",G146))*140,0)+IFERROR(--ISNUMBER(SEARCH("R141",G146))*141,0))</f>
        <v/>
      </c>
      <c r="V146" s="59">
        <f>IF(A146="","",IF(K146&lt;&gt;"",K146,J146))</f>
        <v/>
      </c>
      <c r="W146" s="59">
        <f>IF(A146="","",IF(AND(V146=29,O146&lt;&gt;"",COUNTIFS($V$6:$V$505,29,$F$6:$F$505,F146,$C$6:$C$505,C146,$O$6:$O$505,"&lt;&gt;")&gt;1),IF(COUNTIFS($V$6:V146,29,$F$6:F146,F146,$C$6:C146,C146,$O$6:O146,"&lt;&gt;")=1,"Esta es la fila que se debe CONSERVAR (aparición 1 de "&amp;COUNTIFS($V$6:$V$505,29,$F$6:$F$505,F146,$C$6:$C$505,C146,$O$6:$O$505,"&lt;&gt;")&amp;" con el mismo tercero y valor, casilla 29). Si hay más filas iguales, bórreles el valor a ELLAS, no a esta.","DUPLICADO — ya existe otra fila con el mismo tercero y valor para casilla 29 (aparición "&amp;COUNTIFS($V$6:V146,29,$F$6:F146,F146,$C$6:C146,C146,$O$6:O146,"&lt;&gt;")&amp;" de "&amp;COUNTIFS($V$6:$V$505,29,$F$6:$F$505,F146,$C$6:$C$505,C146,$O$6:$O$505,"&lt;&gt;")&amp;"). Para resolverlo: seleccione la celda O"&amp;ROW()&amp;" (columna Valor a declarar de ESTA fila) y presione Supr."),""))</f>
        <v/>
      </c>
      <c r="X146" s="463">
        <f>IF(A146="","",F146)</f>
        <v/>
      </c>
      <c r="Y146" s="463">
        <f>IF(A146="","",SUMIF(Entrada_Manual!$I$88:$I$187,A146,Entrada_Manual!$F$88:$F$187))</f>
        <v/>
      </c>
      <c r="Z146" s="463">
        <f>IF(A146="","",X146-Y146)</f>
        <v/>
      </c>
      <c r="AA146">
        <f>IF(A146="","",SUMPRODUCT((Entrada_Manual!$I$88:$I$187=A146)*1))</f>
        <v/>
      </c>
      <c r="AB146">
        <f>IF(A146="","",IF(S146&lt;=1,"",IF(AA146=0,"PENDIENTE — SIN ASIGNAR",IF(Z146=0,"RESUELTO","PARCIAL — DIFERENCIA "&amp;TEXT(Z146,"#,##0")))))</f>
        <v/>
      </c>
    </row>
    <row r="147" ht="14.25" customHeight="1" s="235">
      <c r="A147" s="47">
        <f>IF(Exogena_RAW!E156&lt;&gt;"",ROW()-5,"")</f>
        <v/>
      </c>
      <c r="B147" s="48">
        <f>IF(A147="","",156)</f>
        <v/>
      </c>
      <c r="C147" s="48">
        <f>IF(A147="","",IFERROR(Exogena_RAW!A156,""))</f>
        <v/>
      </c>
      <c r="D147" s="48">
        <f>IF(A147="","",IFERROR(Exogena_RAW!B156,""))</f>
        <v/>
      </c>
      <c r="E147" s="48">
        <f>IF(A147="","",Exogena_RAW!E156)</f>
        <v/>
      </c>
      <c r="F147" s="461">
        <f>IF(A147="","",Exogena_RAW!F156)</f>
        <v/>
      </c>
      <c r="G147" s="48">
        <f>IF(A147="","",IFERROR(Exogena_RAW!G156,""))</f>
        <v/>
      </c>
      <c r="H147" s="48">
        <f>IF(A147="","",IFERROR(Exogena_RAW!H156,""))</f>
        <v/>
      </c>
      <c r="I147" s="48">
        <f>IF(A147="","",IFERROR(IF(S147&gt;1,"VARIAS CASILLAS",IF(S147=1,IF(T147=1,"PROPUESTA DE CASILLA","REVISIÓN: CASILLA NO DIRECTA"),IF(OR(ISNUMBER(SEARCH("TOPE",UPPER(E147))),ISNUMBER(SEARCH("TOPE",UPPER(G147)))),"SOLO CONTROL",IF(ISNUMBER(SEARCH("RETEN",UPPER(E147))),"RETENCIÓN","REVISAR")))),"REVISAR"))</f>
        <v/>
      </c>
      <c r="J147" s="48">
        <f>IF(A147="","",IF(ISNUMBER(SEARCH("ingreso laboral promedio de los últimos seis meses",E147)),"",IFERROR(IF(AND(S147=1,T147=1),U147,""),"")))</f>
        <v/>
      </c>
      <c r="K147" s="216" t="n"/>
      <c r="L147" s="48">
        <f>IF(A147="","",IFERROR(IF(K147&lt;&gt;"","Casilla elegida por usuario",IF(S147&gt;1,"Varias casillas — elegir en K",IF(J147&lt;&gt;"","Sugerencia directa",IF(S147=1,"No trasladar directo — revisar",IF(OR(ISNUMBER(SEARCH("TOPE",UPPER(E147))),ISNUMBER(SEARCH("TOPE",UPPER(G147)))),"Solo control","Revisar manualmente"))))),"Revisar manualmente"))</f>
        <v/>
      </c>
      <c r="M147" s="461">
        <f>IF(A147="","",IF(IF(K147&lt;&gt;"",K147,J147)="",0,IF(COUNTIFS(Reglas!$I$5:$I$118,IF(K147&lt;&gt;"",K147,J147),Reglas!$J$5:$J$118,"Sí")=1,F147,0)))</f>
        <v/>
      </c>
      <c r="N147" s="56" t="n"/>
      <c r="O147" s="462">
        <f>IF(A147="","",IF(M147=0,"",M147))</f>
        <v/>
      </c>
      <c r="P147" s="461">
        <f>IF(A147="","",IF(O147="",0,IF(ISNUMBER(O147),O147,0)))</f>
        <v/>
      </c>
      <c r="Q147" s="48">
        <f>IF(A147="","",IF(Exogena_RAW!$C$4="","BLOQUEADO: FALTA AÑO",IF(Exogena_RAW!$K$10&lt;&gt;Reglas!$B$5,"BLOQUEADO: AÑO",IF(IF(K147&lt;&gt;"",K147,J147)="",IF(S147&gt;1,"REQUIERE ASIGNACIÓN MANUAL (VARIAS CASILLAS)","INFORMATIVO (sin casilla — no se declara)"),IF(COUNTIFS(Reglas!$I$5:$I$118,IF(K147&lt;&gt;"",K147,J147),Reglas!$J$5:$J$118,"Sí")=0,"BLOQUEADO: CASILLA NO DIRECTA",IF(O147="","EXCLUIDO (valor borrado por el usuario)",IF(_xlfn.ISFORMULA(O147),IF(W147&lt;&gt;"","BORRADOR — VALOR SUGERIDO DIAN ⚠ VER ALERTA","BORRADOR — VALOR SUGERIDO DIAN"),IF(W147&lt;&gt;"","ACEPTADO ⚠ VER ALERTA","ACEPTADO"))))))))</f>
        <v/>
      </c>
      <c r="R147" s="218" t="n"/>
      <c r="S147" s="58">
        <f>IF(A147="","",IFERROR(--ISNUMBER(SEARCH("R28",G147)),0)+IFERROR(--ISNUMBER(SEARCH("R29",G147)),0)+IFERROR(--ISNUMBER(SEARCH("R30",G147)),0)+IFERROR(--ISNUMBER(SEARCH("R31",G147)),0)+IFERROR(--ISNUMBER(SEARCH("R32",G147)),0)+IFERROR(--ISNUMBER(SEARCH("R33",G147)),0)+IFERROR(--ISNUMBER(SEARCH("R34",G147)),0)+IFERROR(--ISNUMBER(SEARCH("R35",G147)),0)+IFERROR(--ISNUMBER(SEARCH("R36",G147)),0)+IFERROR(--ISNUMBER(SEARCH("R37",G147)),0)+IFERROR(--ISNUMBER(SEARCH("R38",G147)),0)+IFERROR(--ISNUMBER(SEARCH("R39",G147)),0)+IFERROR(--ISNUMBER(SEARCH("R40",G147)),0)+IFERROR(--ISNUMBER(SEARCH("R41",G147)),0)+IFERROR(--ISNUMBER(SEARCH("R42",G147)),0)+IFERROR(--ISNUMBER(SEARCH("R43",G147)),0)+IFERROR(--ISNUMBER(SEARCH("R44",G147)),0)+IFERROR(--ISNUMBER(SEARCH("R45",G147)),0)+IFERROR(--ISNUMBER(SEARCH("R46",G147)),0)+IFERROR(--ISNUMBER(SEARCH("R47",G147)),0)+IFERROR(--ISNUMBER(SEARCH("R48",G147)),0)+IFERROR(--ISNUMBER(SEARCH("R49",G147)),0)+IFERROR(--ISNUMBER(SEARCH("R50",G147)),0)+IFERROR(--ISNUMBER(SEARCH("R51",G147)),0)+IFERROR(--ISNUMBER(SEARCH("R52",G147)),0)+IFERROR(--ISNUMBER(SEARCH("R53",G147)),0)+IFERROR(--ISNUMBER(SEARCH("R54",G147)),0)+IFERROR(--ISNUMBER(SEARCH("R55",G147)),0)+IFERROR(--ISNUMBER(SEARCH("R56",G147)),0)+IFERROR(--ISNUMBER(SEARCH("R57",G147)),0)+IFERROR(--ISNUMBER(SEARCH("R58",G147)),0)+IFERROR(--ISNUMBER(SEARCH("R59",G147)),0)+IFERROR(--ISNUMBER(SEARCH("R60",G147)),0)+IFERROR(--ISNUMBER(SEARCH("R61",G147)),0)+IFERROR(--ISNUMBER(SEARCH("R62",G147)),0)+IFERROR(--ISNUMBER(SEARCH("R63",G147)),0)+IFERROR(--ISNUMBER(SEARCH("R64",G147)),0)+IFERROR(--ISNUMBER(SEARCH("R65",G147)),0)+IFERROR(--ISNUMBER(SEARCH("R66",G147)),0)+IFERROR(--ISNUMBER(SEARCH("R67",G147)),0)+IFERROR(--ISNUMBER(SEARCH("R68",G147)),0)+IFERROR(--ISNUMBER(SEARCH("R69",G147)),0)+IFERROR(--ISNUMBER(SEARCH("R70",G147)),0)+IFERROR(--ISNUMBER(SEARCH("R71",G147)),0)+IFERROR(--ISNUMBER(SEARCH("R72",G147)),0)+IFERROR(--ISNUMBER(SEARCH("R73",G147)),0)+IFERROR(--ISNUMBER(SEARCH("R74",G147)),0)+IFERROR(--ISNUMBER(SEARCH("R75",G147)),0)+IFERROR(--ISNUMBER(SEARCH("R76",G147)),0)+IFERROR(--ISNUMBER(SEARCH("R77",G147)),0)+IFERROR(--ISNUMBER(SEARCH("R78",G147)),0)+IFERROR(--ISNUMBER(SEARCH("R79",G147)),0)+IFERROR(--ISNUMBER(SEARCH("R80",G147)),0)+IFERROR(--ISNUMBER(SEARCH("R81",G147)),0)+IFERROR(--ISNUMBER(SEARCH("R82",G147)),0)+IFERROR(--ISNUMBER(SEARCH("R83",G147)),0)+IFERROR(--ISNUMBER(SEARCH("R84",G147)),0)+IFERROR(--ISNUMBER(SEARCH("R85",G147)),0)+IFERROR(--ISNUMBER(SEARCH("R86",G147)),0)+IFERROR(--ISNUMBER(SEARCH("R87",G147)),0)+IFERROR(--ISNUMBER(SEARCH("R88",G147)),0)+IFERROR(--ISNUMBER(SEARCH("R89",G147)),0)+IFERROR(--ISNUMBER(SEARCH("R90",G147)),0)+IFERROR(--ISNUMBER(SEARCH("R91",G147)),0)+IFERROR(--ISNUMBER(SEARCH("R92",G147)),0)+IFERROR(--ISNUMBER(SEARCH("R93",G147)),0)+IFERROR(--ISNUMBER(SEARCH("R94",G147)),0)+IFERROR(--ISNUMBER(SEARCH("R95",G147)),0)+IFERROR(--ISNUMBER(SEARCH("R96",G147)),0)+IFERROR(--ISNUMBER(SEARCH("R97",G147)),0)+IFERROR(--ISNUMBER(SEARCH("R98",G147)),0)+IFERROR(--ISNUMBER(SEARCH("R99",G147)),0)+IFERROR(--ISNUMBER(SEARCH("R100",G147)),0)+IFERROR(--ISNUMBER(SEARCH("R101",G147)),0)+IFERROR(--ISNUMBER(SEARCH("R102",G147)),0)+IFERROR(--ISNUMBER(SEARCH("R103",G147)),0)+IFERROR(--ISNUMBER(SEARCH("R104",G147)),0)+IFERROR(--ISNUMBER(SEARCH("R105",G147)),0)+IFERROR(--ISNUMBER(SEARCH("R106",G147)),0)+IFERROR(--ISNUMBER(SEARCH("R107",G147)),0)+IFERROR(--ISNUMBER(SEARCH("R108",G147)),0)+IFERROR(--ISNUMBER(SEARCH("R109",G147)),0)+IFERROR(--ISNUMBER(SEARCH("R110",G147)),0)+IFERROR(--ISNUMBER(SEARCH("R111",G147)),0)+IFERROR(--ISNUMBER(SEARCH("R112",G147)),0)+IFERROR(--ISNUMBER(SEARCH("R113",G147)),0)+IFERROR(--ISNUMBER(SEARCH("R114",G147)),0)+IFERROR(--ISNUMBER(SEARCH("R115",G147)),0)+IFERROR(--ISNUMBER(SEARCH("R116",G147)),0)+IFERROR(--ISNUMBER(SEARCH("R117",G147)),0)+IFERROR(--ISNUMBER(SEARCH("R118",G147)),0)+IFERROR(--ISNUMBER(SEARCH("R119",G147)),0)+IFERROR(--ISNUMBER(SEARCH("R120",G147)),0)+IFERROR(--ISNUMBER(SEARCH("R121",G147)),0)+IFERROR(--ISNUMBER(SEARCH("R122",G147)),0)+IFERROR(--ISNUMBER(SEARCH("R123",G147)),0)+IFERROR(--ISNUMBER(SEARCH("R124",G147)),0)+IFERROR(--ISNUMBER(SEARCH("R125",G147)),0)+IFERROR(--ISNUMBER(SEARCH("R126",G147)),0)+IFERROR(--ISNUMBER(SEARCH("R127",G147)),0)+IFERROR(--ISNUMBER(SEARCH("R128",G147)),0)+IFERROR(--ISNUMBER(SEARCH("R129",G147)),0)+IFERROR(--ISNUMBER(SEARCH("R130",G147)),0)+IFERROR(--ISNUMBER(SEARCH("R131",G147)),0)+IFERROR(--ISNUMBER(SEARCH("R132",G147)),0)+IFERROR(--ISNUMBER(SEARCH("R133",G147)),0)+IFERROR(--ISNUMBER(SEARCH("R134",G147)),0)+IFERROR(--ISNUMBER(SEARCH("R135",G147)),0)+IFERROR(--ISNUMBER(SEARCH("R136",G147)),0)+IFERROR(--ISNUMBER(SEARCH("R137",G147)),0)+IFERROR(--ISNUMBER(SEARCH("R138",G147)),0)+IFERROR(--ISNUMBER(SEARCH("R139",G147)),0)+IFERROR(--ISNUMBER(SEARCH("R140",G147)),0)+IFERROR(--ISNUMBER(SEARCH("R141",G147)),0))</f>
        <v/>
      </c>
      <c r="T147" s="58">
        <f>IF(A147="","",IFERROR(--ISNUMBER(SEARCH("R28",G147)),0)+IFERROR(--ISNUMBER(SEARCH("R29",G147)),0)+IFERROR(--ISNUMBER(SEARCH("R30",G147)),0)+IFERROR(--ISNUMBER(SEARCH("R32",G147)),0)+IFERROR(--ISNUMBER(SEARCH("R33",G147)),0)+IFERROR(--ISNUMBER(SEARCH("R35",G147)),0)+IFERROR(--ISNUMBER(SEARCH("R36",G147)),0)+IFERROR(--ISNUMBER(SEARCH("R38",G147)),0)+IFERROR(--ISNUMBER(SEARCH("R39",G147)),0)+IFERROR(--ISNUMBER(SEARCH("R43",G147)),0)+IFERROR(--ISNUMBER(SEARCH("R44",G147)),0)+IFERROR(--ISNUMBER(SEARCH("R45",G147)),0)+IFERROR(--ISNUMBER(SEARCH("R47",G147)),0)+IFERROR(--ISNUMBER(SEARCH("R48",G147)),0)+IFERROR(--ISNUMBER(SEARCH("R50",G147)),0)+IFERROR(--ISNUMBER(SEARCH("R51",G147)),0)+IFERROR(--ISNUMBER(SEARCH("R56",G147)),0)+IFERROR(--ISNUMBER(SEARCH("R58",G147)),0)+IFERROR(--ISNUMBER(SEARCH("R59",G147)),0)+IFERROR(--ISNUMBER(SEARCH("R60",G147)),0)+IFERROR(--ISNUMBER(SEARCH("R62",G147)),0)+IFERROR(--ISNUMBER(SEARCH("R63",G147)),0)+IFERROR(--ISNUMBER(SEARCH("R64",G147)),0)+IFERROR(--ISNUMBER(SEARCH("R66",G147)),0)+IFERROR(--ISNUMBER(SEARCH("R67",G147)),0)+IFERROR(--ISNUMBER(SEARCH("R72",G147)),0)+IFERROR(--ISNUMBER(SEARCH("R74",G147)),0)+IFERROR(--ISNUMBER(SEARCH("R75",G147)),0)+IFERROR(--ISNUMBER(SEARCH("R76",G147)),0)+IFERROR(--ISNUMBER(SEARCH("R77",G147)),0)+IFERROR(--ISNUMBER(SEARCH("R79",G147)),0)+IFERROR(--ISNUMBER(SEARCH("R80",G147)),0)+IFERROR(--ISNUMBER(SEARCH("R81",G147)),0)+IFERROR(--ISNUMBER(SEARCH("R83",G147)),0)+IFERROR(--ISNUMBER(SEARCH("R84",G147)),0)+IFERROR(--ISNUMBER(SEARCH("R89",G147)),0)+IFERROR(--ISNUMBER(SEARCH("R94",G147)),0)+IFERROR(--ISNUMBER(SEARCH("R95",G147)),0)+IFERROR(--ISNUMBER(SEARCH("R96",G147)),0)+IFERROR(--ISNUMBER(SEARCH("R98",G147)),0)+IFERROR(--ISNUMBER(SEARCH("R99",G147)),0)+IFERROR(--ISNUMBER(SEARCH("R100",G147)),0)+IFERROR(--ISNUMBER(SEARCH("R104",G147)),0)+IFERROR(--ISNUMBER(SEARCH("R105",G147)),0)+IFERROR(--ISNUMBER(SEARCH("R107",G147)),0)+IFERROR(--ISNUMBER(SEARCH("R108",G147)),0)+IFERROR(--ISNUMBER(SEARCH("R109",G147)),0)+IFERROR(--ISNUMBER(SEARCH("R110",G147)),0)+IFERROR(--ISNUMBER(SEARCH("R112",G147)),0)+IFERROR(--ISNUMBER(SEARCH("R113",G147)),0)+IFERROR(--ISNUMBER(SEARCH("R114",G147)),0)+IFERROR(--ISNUMBER(SEARCH("R118",G147)),0)+IFERROR(--ISNUMBER(SEARCH("R119",G147)),0)+IFERROR(--ISNUMBER(SEARCH("R120",G147)),0)+IFERROR(--ISNUMBER(SEARCH("R122",G147)),0)+IFERROR(--ISNUMBER(SEARCH("R123",G147)),0)+IFERROR(--ISNUMBER(SEARCH("R124",G147)),0)+IFERROR(--ISNUMBER(SEARCH("R128",G147)),0)+IFERROR(--ISNUMBER(SEARCH("R130",G147)),0)+IFERROR(--ISNUMBER(SEARCH("R131",G147)),0)+IFERROR(--ISNUMBER(SEARCH("R132",G147)),0)+IFERROR(--ISNUMBER(SEARCH("R135",G147)),0)+IFERROR(--ISNUMBER(SEARCH("R138",G147)),0)+IFERROR(--ISNUMBER(SEARCH("R141",G147)),0))</f>
        <v/>
      </c>
      <c r="U147" s="58">
        <f>IF(A147="","",IFERROR(--ISNUMBER(SEARCH("R28",G147))*28,0)+IFERROR(--ISNUMBER(SEARCH("R29",G147))*29,0)+IFERROR(--ISNUMBER(SEARCH("R30",G147))*30,0)+IFERROR(--ISNUMBER(SEARCH("R31",G147))*31,0)+IFERROR(--ISNUMBER(SEARCH("R32",G147))*32,0)+IFERROR(--ISNUMBER(SEARCH("R33",G147))*33,0)+IFERROR(--ISNUMBER(SEARCH("R34",G147))*34,0)+IFERROR(--ISNUMBER(SEARCH("R35",G147))*35,0)+IFERROR(--ISNUMBER(SEARCH("R36",G147))*36,0)+IFERROR(--ISNUMBER(SEARCH("R37",G147))*37,0)+IFERROR(--ISNUMBER(SEARCH("R38",G147))*38,0)+IFERROR(--ISNUMBER(SEARCH("R39",G147))*39,0)+IFERROR(--ISNUMBER(SEARCH("R40",G147))*40,0)+IFERROR(--ISNUMBER(SEARCH("R41",G147))*41,0)+IFERROR(--ISNUMBER(SEARCH("R42",G147))*42,0)+IFERROR(--ISNUMBER(SEARCH("R43",G147))*43,0)+IFERROR(--ISNUMBER(SEARCH("R44",G147))*44,0)+IFERROR(--ISNUMBER(SEARCH("R45",G147))*45,0)+IFERROR(--ISNUMBER(SEARCH("R46",G147))*46,0)+IFERROR(--ISNUMBER(SEARCH("R47",G147))*47,0)+IFERROR(--ISNUMBER(SEARCH("R48",G147))*48,0)+IFERROR(--ISNUMBER(SEARCH("R49",G147))*49,0)+IFERROR(--ISNUMBER(SEARCH("R50",G147))*50,0)+IFERROR(--ISNUMBER(SEARCH("R51",G147))*51,0)+IFERROR(--ISNUMBER(SEARCH("R52",G147))*52,0)+IFERROR(--ISNUMBER(SEARCH("R53",G147))*53,0)+IFERROR(--ISNUMBER(SEARCH("R54",G147))*54,0)+IFERROR(--ISNUMBER(SEARCH("R55",G147))*55,0)+IFERROR(--ISNUMBER(SEARCH("R56",G147))*56,0)+IFERROR(--ISNUMBER(SEARCH("R57",G147))*57,0)+IFERROR(--ISNUMBER(SEARCH("R58",G147))*58,0)+IFERROR(--ISNUMBER(SEARCH("R59",G147))*59,0)+IFERROR(--ISNUMBER(SEARCH("R60",G147))*60,0)+IFERROR(--ISNUMBER(SEARCH("R61",G147))*61,0)+IFERROR(--ISNUMBER(SEARCH("R62",G147))*62,0)+IFERROR(--ISNUMBER(SEARCH("R63",G147))*63,0)+IFERROR(--ISNUMBER(SEARCH("R64",G147))*64,0)+IFERROR(--ISNUMBER(SEARCH("R65",G147))*65,0)+IFERROR(--ISNUMBER(SEARCH("R66",G147))*66,0)+IFERROR(--ISNUMBER(SEARCH("R67",G147))*67,0)+IFERROR(--ISNUMBER(SEARCH("R68",G147))*68,0)+IFERROR(--ISNUMBER(SEARCH("R69",G147))*69,0)+IFERROR(--ISNUMBER(SEARCH("R70",G147))*70,0)+IFERROR(--ISNUMBER(SEARCH("R71",G147))*71,0)+IFERROR(--ISNUMBER(SEARCH("R72",G147))*72,0)+IFERROR(--ISNUMBER(SEARCH("R73",G147))*73,0)+IFERROR(--ISNUMBER(SEARCH("R74",G147))*74,0)+IFERROR(--ISNUMBER(SEARCH("R75",G147))*75,0)+IFERROR(--ISNUMBER(SEARCH("R76",G147))*76,0)+IFERROR(--ISNUMBER(SEARCH("R77",G147))*77,0)+IFERROR(--ISNUMBER(SEARCH("R78",G147))*78,0)+IFERROR(--ISNUMBER(SEARCH("R79",G147))*79,0)+IFERROR(--ISNUMBER(SEARCH("R80",G147))*80,0)+IFERROR(--ISNUMBER(SEARCH("R81",G147))*81,0)+IFERROR(--ISNUMBER(SEARCH("R82",G147))*82,0)+IFERROR(--ISNUMBER(SEARCH("R83",G147))*83,0)+IFERROR(--ISNUMBER(SEARCH("R84",G147))*84,0)+IFERROR(--ISNUMBER(SEARCH("R85",G147))*85,0)+IFERROR(--ISNUMBER(SEARCH("R86",G147))*86,0)+IFERROR(--ISNUMBER(SEARCH("R87",G147))*87,0)+IFERROR(--ISNUMBER(SEARCH("R88",G147))*88,0)+IFERROR(--ISNUMBER(SEARCH("R89",G147))*89,0)+IFERROR(--ISNUMBER(SEARCH("R90",G147))*90,0)+IFERROR(--ISNUMBER(SEARCH("R91",G147))*91,0)+IFERROR(--ISNUMBER(SEARCH("R92",G147))*92,0)+IFERROR(--ISNUMBER(SEARCH("R93",G147))*93,0)+IFERROR(--ISNUMBER(SEARCH("R94",G147))*94,0)+IFERROR(--ISNUMBER(SEARCH("R95",G147))*95,0)+IFERROR(--ISNUMBER(SEARCH("R96",G147))*96,0)+IFERROR(--ISNUMBER(SEARCH("R97",G147))*97,0)+IFERROR(--ISNUMBER(SEARCH("R98",G147))*98,0)+IFERROR(--ISNUMBER(SEARCH("R99",G147))*99,0)+IFERROR(--ISNUMBER(SEARCH("R100",G147))*100,0)+IFERROR(--ISNUMBER(SEARCH("R101",G147))*101,0)+IFERROR(--ISNUMBER(SEARCH("R102",G147))*102,0)+IFERROR(--ISNUMBER(SEARCH("R103",G147))*103,0)+IFERROR(--ISNUMBER(SEARCH("R104",G147))*104,0)+IFERROR(--ISNUMBER(SEARCH("R105",G147))*105,0)+IFERROR(--ISNUMBER(SEARCH("R106",G147))*106,0)+IFERROR(--ISNUMBER(SEARCH("R107",G147))*107,0)+IFERROR(--ISNUMBER(SEARCH("R108",G147))*108,0)+IFERROR(--ISNUMBER(SEARCH("R109",G147))*109,0)+IFERROR(--ISNUMBER(SEARCH("R110",G147))*110,0)+IFERROR(--ISNUMBER(SEARCH("R111",G147))*111,0)+IFERROR(--ISNUMBER(SEARCH("R112",G147))*112,0)+IFERROR(--ISNUMBER(SEARCH("R113",G147))*113,0)+IFERROR(--ISNUMBER(SEARCH("R114",G147))*114,0)+IFERROR(--ISNUMBER(SEARCH("R115",G147))*115,0)+IFERROR(--ISNUMBER(SEARCH("R116",G147))*116,0)+IFERROR(--ISNUMBER(SEARCH("R117",G147))*117,0)+IFERROR(--ISNUMBER(SEARCH("R118",G147))*118,0)+IFERROR(--ISNUMBER(SEARCH("R119",G147))*119,0)+IFERROR(--ISNUMBER(SEARCH("R120",G147))*120,0)+IFERROR(--ISNUMBER(SEARCH("R121",G147))*121,0)+IFERROR(--ISNUMBER(SEARCH("R122",G147))*122,0)+IFERROR(--ISNUMBER(SEARCH("R123",G147))*123,0)+IFERROR(--ISNUMBER(SEARCH("R124",G147))*124,0)+IFERROR(--ISNUMBER(SEARCH("R125",G147))*125,0)+IFERROR(--ISNUMBER(SEARCH("R126",G147))*126,0)+IFERROR(--ISNUMBER(SEARCH("R127",G147))*127,0)+IFERROR(--ISNUMBER(SEARCH("R128",G147))*128,0)+IFERROR(--ISNUMBER(SEARCH("R129",G147))*129,0)+IFERROR(--ISNUMBER(SEARCH("R130",G147))*130,0)+IFERROR(--ISNUMBER(SEARCH("R131",G147))*131,0)+IFERROR(--ISNUMBER(SEARCH("R132",G147))*132,0)+IFERROR(--ISNUMBER(SEARCH("R133",G147))*133,0)+IFERROR(--ISNUMBER(SEARCH("R134",G147))*134,0)+IFERROR(--ISNUMBER(SEARCH("R135",G147))*135,0)+IFERROR(--ISNUMBER(SEARCH("R136",G147))*136,0)+IFERROR(--ISNUMBER(SEARCH("R137",G147))*137,0)+IFERROR(--ISNUMBER(SEARCH("R138",G147))*138,0)+IFERROR(--ISNUMBER(SEARCH("R139",G147))*139,0)+IFERROR(--ISNUMBER(SEARCH("R140",G147))*140,0)+IFERROR(--ISNUMBER(SEARCH("R141",G147))*141,0))</f>
        <v/>
      </c>
      <c r="V147" s="59">
        <f>IF(A147="","",IF(K147&lt;&gt;"",K147,J147))</f>
        <v/>
      </c>
      <c r="W147" s="59">
        <f>IF(A147="","",IF(AND(V147=29,O147&lt;&gt;"",COUNTIFS($V$6:$V$505,29,$F$6:$F$505,F147,$C$6:$C$505,C147,$O$6:$O$505,"&lt;&gt;")&gt;1),IF(COUNTIFS($V$6:V147,29,$F$6:F147,F147,$C$6:C147,C147,$O$6:O147,"&lt;&gt;")=1,"Esta es la fila que se debe CONSERVAR (aparición 1 de "&amp;COUNTIFS($V$6:$V$505,29,$F$6:$F$505,F147,$C$6:$C$505,C147,$O$6:$O$505,"&lt;&gt;")&amp;" con el mismo tercero y valor, casilla 29). Si hay más filas iguales, bórreles el valor a ELLAS, no a esta.","DUPLICADO — ya existe otra fila con el mismo tercero y valor para casilla 29 (aparición "&amp;COUNTIFS($V$6:V147,29,$F$6:F147,F147,$C$6:C147,C147,$O$6:O147,"&lt;&gt;")&amp;" de "&amp;COUNTIFS($V$6:$V$505,29,$F$6:$F$505,F147,$C$6:$C$505,C147,$O$6:$O$505,"&lt;&gt;")&amp;"). Para resolverlo: seleccione la celda O"&amp;ROW()&amp;" (columna Valor a declarar de ESTA fila) y presione Supr."),""))</f>
        <v/>
      </c>
      <c r="X147" s="463">
        <f>IF(A147="","",F147)</f>
        <v/>
      </c>
      <c r="Y147" s="463">
        <f>IF(A147="","",SUMIF(Entrada_Manual!$I$88:$I$187,A147,Entrada_Manual!$F$88:$F$187))</f>
        <v/>
      </c>
      <c r="Z147" s="463">
        <f>IF(A147="","",X147-Y147)</f>
        <v/>
      </c>
      <c r="AA147">
        <f>IF(A147="","",SUMPRODUCT((Entrada_Manual!$I$88:$I$187=A147)*1))</f>
        <v/>
      </c>
      <c r="AB147">
        <f>IF(A147="","",IF(S147&lt;=1,"",IF(AA147=0,"PENDIENTE — SIN ASIGNAR",IF(Z147=0,"RESUELTO","PARCIAL — DIFERENCIA "&amp;TEXT(Z147,"#,##0")))))</f>
        <v/>
      </c>
    </row>
    <row r="148" ht="14.25" customHeight="1" s="235">
      <c r="A148" s="47">
        <f>IF(Exogena_RAW!E157&lt;&gt;"",ROW()-5,"")</f>
        <v/>
      </c>
      <c r="B148" s="48">
        <f>IF(A148="","",157)</f>
        <v/>
      </c>
      <c r="C148" s="48">
        <f>IF(A148="","",IFERROR(Exogena_RAW!A157,""))</f>
        <v/>
      </c>
      <c r="D148" s="48">
        <f>IF(A148="","",IFERROR(Exogena_RAW!B157,""))</f>
        <v/>
      </c>
      <c r="E148" s="48">
        <f>IF(A148="","",Exogena_RAW!E157)</f>
        <v/>
      </c>
      <c r="F148" s="461">
        <f>IF(A148="","",Exogena_RAW!F157)</f>
        <v/>
      </c>
      <c r="G148" s="48">
        <f>IF(A148="","",IFERROR(Exogena_RAW!G157,""))</f>
        <v/>
      </c>
      <c r="H148" s="48">
        <f>IF(A148="","",IFERROR(Exogena_RAW!H157,""))</f>
        <v/>
      </c>
      <c r="I148" s="48">
        <f>IF(A148="","",IFERROR(IF(S148&gt;1,"VARIAS CASILLAS",IF(S148=1,IF(T148=1,"PROPUESTA DE CASILLA","REVISIÓN: CASILLA NO DIRECTA"),IF(OR(ISNUMBER(SEARCH("TOPE",UPPER(E148))),ISNUMBER(SEARCH("TOPE",UPPER(G148)))),"SOLO CONTROL",IF(ISNUMBER(SEARCH("RETEN",UPPER(E148))),"RETENCIÓN","REVISAR")))),"REVISAR"))</f>
        <v/>
      </c>
      <c r="J148" s="48">
        <f>IF(A148="","",IF(ISNUMBER(SEARCH("ingreso laboral promedio de los últimos seis meses",E148)),"",IFERROR(IF(AND(S148=1,T148=1),U148,""),"")))</f>
        <v/>
      </c>
      <c r="K148" s="216" t="n"/>
      <c r="L148" s="48">
        <f>IF(A148="","",IFERROR(IF(K148&lt;&gt;"","Casilla elegida por usuario",IF(S148&gt;1,"Varias casillas — elegir en K",IF(J148&lt;&gt;"","Sugerencia directa",IF(S148=1,"No trasladar directo — revisar",IF(OR(ISNUMBER(SEARCH("TOPE",UPPER(E148))),ISNUMBER(SEARCH("TOPE",UPPER(G148)))),"Solo control","Revisar manualmente"))))),"Revisar manualmente"))</f>
        <v/>
      </c>
      <c r="M148" s="461">
        <f>IF(A148="","",IF(IF(K148&lt;&gt;"",K148,J148)="",0,IF(COUNTIFS(Reglas!$I$5:$I$118,IF(K148&lt;&gt;"",K148,J148),Reglas!$J$5:$J$118,"Sí")=1,F148,0)))</f>
        <v/>
      </c>
      <c r="N148" s="56" t="n"/>
      <c r="O148" s="462">
        <f>IF(A148="","",IF(M148=0,"",M148))</f>
        <v/>
      </c>
      <c r="P148" s="461">
        <f>IF(A148="","",IF(O148="",0,IF(ISNUMBER(O148),O148,0)))</f>
        <v/>
      </c>
      <c r="Q148" s="48">
        <f>IF(A148="","",IF(Exogena_RAW!$C$4="","BLOQUEADO: FALTA AÑO",IF(Exogena_RAW!$K$10&lt;&gt;Reglas!$B$5,"BLOQUEADO: AÑO",IF(IF(K148&lt;&gt;"",K148,J148)="",IF(S148&gt;1,"REQUIERE ASIGNACIÓN MANUAL (VARIAS CASILLAS)","INFORMATIVO (sin casilla — no se declara)"),IF(COUNTIFS(Reglas!$I$5:$I$118,IF(K148&lt;&gt;"",K148,J148),Reglas!$J$5:$J$118,"Sí")=0,"BLOQUEADO: CASILLA NO DIRECTA",IF(O148="","EXCLUIDO (valor borrado por el usuario)",IF(_xlfn.ISFORMULA(O148),IF(W148&lt;&gt;"","BORRADOR — VALOR SUGERIDO DIAN ⚠ VER ALERTA","BORRADOR — VALOR SUGERIDO DIAN"),IF(W148&lt;&gt;"","ACEPTADO ⚠ VER ALERTA","ACEPTADO"))))))))</f>
        <v/>
      </c>
      <c r="R148" s="218" t="n"/>
      <c r="S148" s="58">
        <f>IF(A148="","",IFERROR(--ISNUMBER(SEARCH("R28",G148)),0)+IFERROR(--ISNUMBER(SEARCH("R29",G148)),0)+IFERROR(--ISNUMBER(SEARCH("R30",G148)),0)+IFERROR(--ISNUMBER(SEARCH("R31",G148)),0)+IFERROR(--ISNUMBER(SEARCH("R32",G148)),0)+IFERROR(--ISNUMBER(SEARCH("R33",G148)),0)+IFERROR(--ISNUMBER(SEARCH("R34",G148)),0)+IFERROR(--ISNUMBER(SEARCH("R35",G148)),0)+IFERROR(--ISNUMBER(SEARCH("R36",G148)),0)+IFERROR(--ISNUMBER(SEARCH("R37",G148)),0)+IFERROR(--ISNUMBER(SEARCH("R38",G148)),0)+IFERROR(--ISNUMBER(SEARCH("R39",G148)),0)+IFERROR(--ISNUMBER(SEARCH("R40",G148)),0)+IFERROR(--ISNUMBER(SEARCH("R41",G148)),0)+IFERROR(--ISNUMBER(SEARCH("R42",G148)),0)+IFERROR(--ISNUMBER(SEARCH("R43",G148)),0)+IFERROR(--ISNUMBER(SEARCH("R44",G148)),0)+IFERROR(--ISNUMBER(SEARCH("R45",G148)),0)+IFERROR(--ISNUMBER(SEARCH("R46",G148)),0)+IFERROR(--ISNUMBER(SEARCH("R47",G148)),0)+IFERROR(--ISNUMBER(SEARCH("R48",G148)),0)+IFERROR(--ISNUMBER(SEARCH("R49",G148)),0)+IFERROR(--ISNUMBER(SEARCH("R50",G148)),0)+IFERROR(--ISNUMBER(SEARCH("R51",G148)),0)+IFERROR(--ISNUMBER(SEARCH("R52",G148)),0)+IFERROR(--ISNUMBER(SEARCH("R53",G148)),0)+IFERROR(--ISNUMBER(SEARCH("R54",G148)),0)+IFERROR(--ISNUMBER(SEARCH("R55",G148)),0)+IFERROR(--ISNUMBER(SEARCH("R56",G148)),0)+IFERROR(--ISNUMBER(SEARCH("R57",G148)),0)+IFERROR(--ISNUMBER(SEARCH("R58",G148)),0)+IFERROR(--ISNUMBER(SEARCH("R59",G148)),0)+IFERROR(--ISNUMBER(SEARCH("R60",G148)),0)+IFERROR(--ISNUMBER(SEARCH("R61",G148)),0)+IFERROR(--ISNUMBER(SEARCH("R62",G148)),0)+IFERROR(--ISNUMBER(SEARCH("R63",G148)),0)+IFERROR(--ISNUMBER(SEARCH("R64",G148)),0)+IFERROR(--ISNUMBER(SEARCH("R65",G148)),0)+IFERROR(--ISNUMBER(SEARCH("R66",G148)),0)+IFERROR(--ISNUMBER(SEARCH("R67",G148)),0)+IFERROR(--ISNUMBER(SEARCH("R68",G148)),0)+IFERROR(--ISNUMBER(SEARCH("R69",G148)),0)+IFERROR(--ISNUMBER(SEARCH("R70",G148)),0)+IFERROR(--ISNUMBER(SEARCH("R71",G148)),0)+IFERROR(--ISNUMBER(SEARCH("R72",G148)),0)+IFERROR(--ISNUMBER(SEARCH("R73",G148)),0)+IFERROR(--ISNUMBER(SEARCH("R74",G148)),0)+IFERROR(--ISNUMBER(SEARCH("R75",G148)),0)+IFERROR(--ISNUMBER(SEARCH("R76",G148)),0)+IFERROR(--ISNUMBER(SEARCH("R77",G148)),0)+IFERROR(--ISNUMBER(SEARCH("R78",G148)),0)+IFERROR(--ISNUMBER(SEARCH("R79",G148)),0)+IFERROR(--ISNUMBER(SEARCH("R80",G148)),0)+IFERROR(--ISNUMBER(SEARCH("R81",G148)),0)+IFERROR(--ISNUMBER(SEARCH("R82",G148)),0)+IFERROR(--ISNUMBER(SEARCH("R83",G148)),0)+IFERROR(--ISNUMBER(SEARCH("R84",G148)),0)+IFERROR(--ISNUMBER(SEARCH("R85",G148)),0)+IFERROR(--ISNUMBER(SEARCH("R86",G148)),0)+IFERROR(--ISNUMBER(SEARCH("R87",G148)),0)+IFERROR(--ISNUMBER(SEARCH("R88",G148)),0)+IFERROR(--ISNUMBER(SEARCH("R89",G148)),0)+IFERROR(--ISNUMBER(SEARCH("R90",G148)),0)+IFERROR(--ISNUMBER(SEARCH("R91",G148)),0)+IFERROR(--ISNUMBER(SEARCH("R92",G148)),0)+IFERROR(--ISNUMBER(SEARCH("R93",G148)),0)+IFERROR(--ISNUMBER(SEARCH("R94",G148)),0)+IFERROR(--ISNUMBER(SEARCH("R95",G148)),0)+IFERROR(--ISNUMBER(SEARCH("R96",G148)),0)+IFERROR(--ISNUMBER(SEARCH("R97",G148)),0)+IFERROR(--ISNUMBER(SEARCH("R98",G148)),0)+IFERROR(--ISNUMBER(SEARCH("R99",G148)),0)+IFERROR(--ISNUMBER(SEARCH("R100",G148)),0)+IFERROR(--ISNUMBER(SEARCH("R101",G148)),0)+IFERROR(--ISNUMBER(SEARCH("R102",G148)),0)+IFERROR(--ISNUMBER(SEARCH("R103",G148)),0)+IFERROR(--ISNUMBER(SEARCH("R104",G148)),0)+IFERROR(--ISNUMBER(SEARCH("R105",G148)),0)+IFERROR(--ISNUMBER(SEARCH("R106",G148)),0)+IFERROR(--ISNUMBER(SEARCH("R107",G148)),0)+IFERROR(--ISNUMBER(SEARCH("R108",G148)),0)+IFERROR(--ISNUMBER(SEARCH("R109",G148)),0)+IFERROR(--ISNUMBER(SEARCH("R110",G148)),0)+IFERROR(--ISNUMBER(SEARCH("R111",G148)),0)+IFERROR(--ISNUMBER(SEARCH("R112",G148)),0)+IFERROR(--ISNUMBER(SEARCH("R113",G148)),0)+IFERROR(--ISNUMBER(SEARCH("R114",G148)),0)+IFERROR(--ISNUMBER(SEARCH("R115",G148)),0)+IFERROR(--ISNUMBER(SEARCH("R116",G148)),0)+IFERROR(--ISNUMBER(SEARCH("R117",G148)),0)+IFERROR(--ISNUMBER(SEARCH("R118",G148)),0)+IFERROR(--ISNUMBER(SEARCH("R119",G148)),0)+IFERROR(--ISNUMBER(SEARCH("R120",G148)),0)+IFERROR(--ISNUMBER(SEARCH("R121",G148)),0)+IFERROR(--ISNUMBER(SEARCH("R122",G148)),0)+IFERROR(--ISNUMBER(SEARCH("R123",G148)),0)+IFERROR(--ISNUMBER(SEARCH("R124",G148)),0)+IFERROR(--ISNUMBER(SEARCH("R125",G148)),0)+IFERROR(--ISNUMBER(SEARCH("R126",G148)),0)+IFERROR(--ISNUMBER(SEARCH("R127",G148)),0)+IFERROR(--ISNUMBER(SEARCH("R128",G148)),0)+IFERROR(--ISNUMBER(SEARCH("R129",G148)),0)+IFERROR(--ISNUMBER(SEARCH("R130",G148)),0)+IFERROR(--ISNUMBER(SEARCH("R131",G148)),0)+IFERROR(--ISNUMBER(SEARCH("R132",G148)),0)+IFERROR(--ISNUMBER(SEARCH("R133",G148)),0)+IFERROR(--ISNUMBER(SEARCH("R134",G148)),0)+IFERROR(--ISNUMBER(SEARCH("R135",G148)),0)+IFERROR(--ISNUMBER(SEARCH("R136",G148)),0)+IFERROR(--ISNUMBER(SEARCH("R137",G148)),0)+IFERROR(--ISNUMBER(SEARCH("R138",G148)),0)+IFERROR(--ISNUMBER(SEARCH("R139",G148)),0)+IFERROR(--ISNUMBER(SEARCH("R140",G148)),0)+IFERROR(--ISNUMBER(SEARCH("R141",G148)),0))</f>
        <v/>
      </c>
      <c r="T148" s="58">
        <f>IF(A148="","",IFERROR(--ISNUMBER(SEARCH("R28",G148)),0)+IFERROR(--ISNUMBER(SEARCH("R29",G148)),0)+IFERROR(--ISNUMBER(SEARCH("R30",G148)),0)+IFERROR(--ISNUMBER(SEARCH("R32",G148)),0)+IFERROR(--ISNUMBER(SEARCH("R33",G148)),0)+IFERROR(--ISNUMBER(SEARCH("R35",G148)),0)+IFERROR(--ISNUMBER(SEARCH("R36",G148)),0)+IFERROR(--ISNUMBER(SEARCH("R38",G148)),0)+IFERROR(--ISNUMBER(SEARCH("R39",G148)),0)+IFERROR(--ISNUMBER(SEARCH("R43",G148)),0)+IFERROR(--ISNUMBER(SEARCH("R44",G148)),0)+IFERROR(--ISNUMBER(SEARCH("R45",G148)),0)+IFERROR(--ISNUMBER(SEARCH("R47",G148)),0)+IFERROR(--ISNUMBER(SEARCH("R48",G148)),0)+IFERROR(--ISNUMBER(SEARCH("R50",G148)),0)+IFERROR(--ISNUMBER(SEARCH("R51",G148)),0)+IFERROR(--ISNUMBER(SEARCH("R56",G148)),0)+IFERROR(--ISNUMBER(SEARCH("R58",G148)),0)+IFERROR(--ISNUMBER(SEARCH("R59",G148)),0)+IFERROR(--ISNUMBER(SEARCH("R60",G148)),0)+IFERROR(--ISNUMBER(SEARCH("R62",G148)),0)+IFERROR(--ISNUMBER(SEARCH("R63",G148)),0)+IFERROR(--ISNUMBER(SEARCH("R64",G148)),0)+IFERROR(--ISNUMBER(SEARCH("R66",G148)),0)+IFERROR(--ISNUMBER(SEARCH("R67",G148)),0)+IFERROR(--ISNUMBER(SEARCH("R72",G148)),0)+IFERROR(--ISNUMBER(SEARCH("R74",G148)),0)+IFERROR(--ISNUMBER(SEARCH("R75",G148)),0)+IFERROR(--ISNUMBER(SEARCH("R76",G148)),0)+IFERROR(--ISNUMBER(SEARCH("R77",G148)),0)+IFERROR(--ISNUMBER(SEARCH("R79",G148)),0)+IFERROR(--ISNUMBER(SEARCH("R80",G148)),0)+IFERROR(--ISNUMBER(SEARCH("R81",G148)),0)+IFERROR(--ISNUMBER(SEARCH("R83",G148)),0)+IFERROR(--ISNUMBER(SEARCH("R84",G148)),0)+IFERROR(--ISNUMBER(SEARCH("R89",G148)),0)+IFERROR(--ISNUMBER(SEARCH("R94",G148)),0)+IFERROR(--ISNUMBER(SEARCH("R95",G148)),0)+IFERROR(--ISNUMBER(SEARCH("R96",G148)),0)+IFERROR(--ISNUMBER(SEARCH("R98",G148)),0)+IFERROR(--ISNUMBER(SEARCH("R99",G148)),0)+IFERROR(--ISNUMBER(SEARCH("R100",G148)),0)+IFERROR(--ISNUMBER(SEARCH("R104",G148)),0)+IFERROR(--ISNUMBER(SEARCH("R105",G148)),0)+IFERROR(--ISNUMBER(SEARCH("R107",G148)),0)+IFERROR(--ISNUMBER(SEARCH("R108",G148)),0)+IFERROR(--ISNUMBER(SEARCH("R109",G148)),0)+IFERROR(--ISNUMBER(SEARCH("R110",G148)),0)+IFERROR(--ISNUMBER(SEARCH("R112",G148)),0)+IFERROR(--ISNUMBER(SEARCH("R113",G148)),0)+IFERROR(--ISNUMBER(SEARCH("R114",G148)),0)+IFERROR(--ISNUMBER(SEARCH("R118",G148)),0)+IFERROR(--ISNUMBER(SEARCH("R119",G148)),0)+IFERROR(--ISNUMBER(SEARCH("R120",G148)),0)+IFERROR(--ISNUMBER(SEARCH("R122",G148)),0)+IFERROR(--ISNUMBER(SEARCH("R123",G148)),0)+IFERROR(--ISNUMBER(SEARCH("R124",G148)),0)+IFERROR(--ISNUMBER(SEARCH("R128",G148)),0)+IFERROR(--ISNUMBER(SEARCH("R130",G148)),0)+IFERROR(--ISNUMBER(SEARCH("R131",G148)),0)+IFERROR(--ISNUMBER(SEARCH("R132",G148)),0)+IFERROR(--ISNUMBER(SEARCH("R135",G148)),0)+IFERROR(--ISNUMBER(SEARCH("R138",G148)),0)+IFERROR(--ISNUMBER(SEARCH("R141",G148)),0))</f>
        <v/>
      </c>
      <c r="U148" s="58">
        <f>IF(A148="","",IFERROR(--ISNUMBER(SEARCH("R28",G148))*28,0)+IFERROR(--ISNUMBER(SEARCH("R29",G148))*29,0)+IFERROR(--ISNUMBER(SEARCH("R30",G148))*30,0)+IFERROR(--ISNUMBER(SEARCH("R31",G148))*31,0)+IFERROR(--ISNUMBER(SEARCH("R32",G148))*32,0)+IFERROR(--ISNUMBER(SEARCH("R33",G148))*33,0)+IFERROR(--ISNUMBER(SEARCH("R34",G148))*34,0)+IFERROR(--ISNUMBER(SEARCH("R35",G148))*35,0)+IFERROR(--ISNUMBER(SEARCH("R36",G148))*36,0)+IFERROR(--ISNUMBER(SEARCH("R37",G148))*37,0)+IFERROR(--ISNUMBER(SEARCH("R38",G148))*38,0)+IFERROR(--ISNUMBER(SEARCH("R39",G148))*39,0)+IFERROR(--ISNUMBER(SEARCH("R40",G148))*40,0)+IFERROR(--ISNUMBER(SEARCH("R41",G148))*41,0)+IFERROR(--ISNUMBER(SEARCH("R42",G148))*42,0)+IFERROR(--ISNUMBER(SEARCH("R43",G148))*43,0)+IFERROR(--ISNUMBER(SEARCH("R44",G148))*44,0)+IFERROR(--ISNUMBER(SEARCH("R45",G148))*45,0)+IFERROR(--ISNUMBER(SEARCH("R46",G148))*46,0)+IFERROR(--ISNUMBER(SEARCH("R47",G148))*47,0)+IFERROR(--ISNUMBER(SEARCH("R48",G148))*48,0)+IFERROR(--ISNUMBER(SEARCH("R49",G148))*49,0)+IFERROR(--ISNUMBER(SEARCH("R50",G148))*50,0)+IFERROR(--ISNUMBER(SEARCH("R51",G148))*51,0)+IFERROR(--ISNUMBER(SEARCH("R52",G148))*52,0)+IFERROR(--ISNUMBER(SEARCH("R53",G148))*53,0)+IFERROR(--ISNUMBER(SEARCH("R54",G148))*54,0)+IFERROR(--ISNUMBER(SEARCH("R55",G148))*55,0)+IFERROR(--ISNUMBER(SEARCH("R56",G148))*56,0)+IFERROR(--ISNUMBER(SEARCH("R57",G148))*57,0)+IFERROR(--ISNUMBER(SEARCH("R58",G148))*58,0)+IFERROR(--ISNUMBER(SEARCH("R59",G148))*59,0)+IFERROR(--ISNUMBER(SEARCH("R60",G148))*60,0)+IFERROR(--ISNUMBER(SEARCH("R61",G148))*61,0)+IFERROR(--ISNUMBER(SEARCH("R62",G148))*62,0)+IFERROR(--ISNUMBER(SEARCH("R63",G148))*63,0)+IFERROR(--ISNUMBER(SEARCH("R64",G148))*64,0)+IFERROR(--ISNUMBER(SEARCH("R65",G148))*65,0)+IFERROR(--ISNUMBER(SEARCH("R66",G148))*66,0)+IFERROR(--ISNUMBER(SEARCH("R67",G148))*67,0)+IFERROR(--ISNUMBER(SEARCH("R68",G148))*68,0)+IFERROR(--ISNUMBER(SEARCH("R69",G148))*69,0)+IFERROR(--ISNUMBER(SEARCH("R70",G148))*70,0)+IFERROR(--ISNUMBER(SEARCH("R71",G148))*71,0)+IFERROR(--ISNUMBER(SEARCH("R72",G148))*72,0)+IFERROR(--ISNUMBER(SEARCH("R73",G148))*73,0)+IFERROR(--ISNUMBER(SEARCH("R74",G148))*74,0)+IFERROR(--ISNUMBER(SEARCH("R75",G148))*75,0)+IFERROR(--ISNUMBER(SEARCH("R76",G148))*76,0)+IFERROR(--ISNUMBER(SEARCH("R77",G148))*77,0)+IFERROR(--ISNUMBER(SEARCH("R78",G148))*78,0)+IFERROR(--ISNUMBER(SEARCH("R79",G148))*79,0)+IFERROR(--ISNUMBER(SEARCH("R80",G148))*80,0)+IFERROR(--ISNUMBER(SEARCH("R81",G148))*81,0)+IFERROR(--ISNUMBER(SEARCH("R82",G148))*82,0)+IFERROR(--ISNUMBER(SEARCH("R83",G148))*83,0)+IFERROR(--ISNUMBER(SEARCH("R84",G148))*84,0)+IFERROR(--ISNUMBER(SEARCH("R85",G148))*85,0)+IFERROR(--ISNUMBER(SEARCH("R86",G148))*86,0)+IFERROR(--ISNUMBER(SEARCH("R87",G148))*87,0)+IFERROR(--ISNUMBER(SEARCH("R88",G148))*88,0)+IFERROR(--ISNUMBER(SEARCH("R89",G148))*89,0)+IFERROR(--ISNUMBER(SEARCH("R90",G148))*90,0)+IFERROR(--ISNUMBER(SEARCH("R91",G148))*91,0)+IFERROR(--ISNUMBER(SEARCH("R92",G148))*92,0)+IFERROR(--ISNUMBER(SEARCH("R93",G148))*93,0)+IFERROR(--ISNUMBER(SEARCH("R94",G148))*94,0)+IFERROR(--ISNUMBER(SEARCH("R95",G148))*95,0)+IFERROR(--ISNUMBER(SEARCH("R96",G148))*96,0)+IFERROR(--ISNUMBER(SEARCH("R97",G148))*97,0)+IFERROR(--ISNUMBER(SEARCH("R98",G148))*98,0)+IFERROR(--ISNUMBER(SEARCH("R99",G148))*99,0)+IFERROR(--ISNUMBER(SEARCH("R100",G148))*100,0)+IFERROR(--ISNUMBER(SEARCH("R101",G148))*101,0)+IFERROR(--ISNUMBER(SEARCH("R102",G148))*102,0)+IFERROR(--ISNUMBER(SEARCH("R103",G148))*103,0)+IFERROR(--ISNUMBER(SEARCH("R104",G148))*104,0)+IFERROR(--ISNUMBER(SEARCH("R105",G148))*105,0)+IFERROR(--ISNUMBER(SEARCH("R106",G148))*106,0)+IFERROR(--ISNUMBER(SEARCH("R107",G148))*107,0)+IFERROR(--ISNUMBER(SEARCH("R108",G148))*108,0)+IFERROR(--ISNUMBER(SEARCH("R109",G148))*109,0)+IFERROR(--ISNUMBER(SEARCH("R110",G148))*110,0)+IFERROR(--ISNUMBER(SEARCH("R111",G148))*111,0)+IFERROR(--ISNUMBER(SEARCH("R112",G148))*112,0)+IFERROR(--ISNUMBER(SEARCH("R113",G148))*113,0)+IFERROR(--ISNUMBER(SEARCH("R114",G148))*114,0)+IFERROR(--ISNUMBER(SEARCH("R115",G148))*115,0)+IFERROR(--ISNUMBER(SEARCH("R116",G148))*116,0)+IFERROR(--ISNUMBER(SEARCH("R117",G148))*117,0)+IFERROR(--ISNUMBER(SEARCH("R118",G148))*118,0)+IFERROR(--ISNUMBER(SEARCH("R119",G148))*119,0)+IFERROR(--ISNUMBER(SEARCH("R120",G148))*120,0)+IFERROR(--ISNUMBER(SEARCH("R121",G148))*121,0)+IFERROR(--ISNUMBER(SEARCH("R122",G148))*122,0)+IFERROR(--ISNUMBER(SEARCH("R123",G148))*123,0)+IFERROR(--ISNUMBER(SEARCH("R124",G148))*124,0)+IFERROR(--ISNUMBER(SEARCH("R125",G148))*125,0)+IFERROR(--ISNUMBER(SEARCH("R126",G148))*126,0)+IFERROR(--ISNUMBER(SEARCH("R127",G148))*127,0)+IFERROR(--ISNUMBER(SEARCH("R128",G148))*128,0)+IFERROR(--ISNUMBER(SEARCH("R129",G148))*129,0)+IFERROR(--ISNUMBER(SEARCH("R130",G148))*130,0)+IFERROR(--ISNUMBER(SEARCH("R131",G148))*131,0)+IFERROR(--ISNUMBER(SEARCH("R132",G148))*132,0)+IFERROR(--ISNUMBER(SEARCH("R133",G148))*133,0)+IFERROR(--ISNUMBER(SEARCH("R134",G148))*134,0)+IFERROR(--ISNUMBER(SEARCH("R135",G148))*135,0)+IFERROR(--ISNUMBER(SEARCH("R136",G148))*136,0)+IFERROR(--ISNUMBER(SEARCH("R137",G148))*137,0)+IFERROR(--ISNUMBER(SEARCH("R138",G148))*138,0)+IFERROR(--ISNUMBER(SEARCH("R139",G148))*139,0)+IFERROR(--ISNUMBER(SEARCH("R140",G148))*140,0)+IFERROR(--ISNUMBER(SEARCH("R141",G148))*141,0))</f>
        <v/>
      </c>
      <c r="V148" s="59">
        <f>IF(A148="","",IF(K148&lt;&gt;"",K148,J148))</f>
        <v/>
      </c>
      <c r="W148" s="59">
        <f>IF(A148="","",IF(AND(V148=29,O148&lt;&gt;"",COUNTIFS($V$6:$V$505,29,$F$6:$F$505,F148,$C$6:$C$505,C148,$O$6:$O$505,"&lt;&gt;")&gt;1),IF(COUNTIFS($V$6:V148,29,$F$6:F148,F148,$C$6:C148,C148,$O$6:O148,"&lt;&gt;")=1,"Esta es la fila que se debe CONSERVAR (aparición 1 de "&amp;COUNTIFS($V$6:$V$505,29,$F$6:$F$505,F148,$C$6:$C$505,C148,$O$6:$O$505,"&lt;&gt;")&amp;" con el mismo tercero y valor, casilla 29). Si hay más filas iguales, bórreles el valor a ELLAS, no a esta.","DUPLICADO — ya existe otra fila con el mismo tercero y valor para casilla 29 (aparición "&amp;COUNTIFS($V$6:V148,29,$F$6:F148,F148,$C$6:C148,C148,$O$6:O148,"&lt;&gt;")&amp;" de "&amp;COUNTIFS($V$6:$V$505,29,$F$6:$F$505,F148,$C$6:$C$505,C148,$O$6:$O$505,"&lt;&gt;")&amp;"). Para resolverlo: seleccione la celda O"&amp;ROW()&amp;" (columna Valor a declarar de ESTA fila) y presione Supr."),""))</f>
        <v/>
      </c>
      <c r="X148" s="463">
        <f>IF(A148="","",F148)</f>
        <v/>
      </c>
      <c r="Y148" s="463">
        <f>IF(A148="","",SUMIF(Entrada_Manual!$I$88:$I$187,A148,Entrada_Manual!$F$88:$F$187))</f>
        <v/>
      </c>
      <c r="Z148" s="463">
        <f>IF(A148="","",X148-Y148)</f>
        <v/>
      </c>
      <c r="AA148">
        <f>IF(A148="","",SUMPRODUCT((Entrada_Manual!$I$88:$I$187=A148)*1))</f>
        <v/>
      </c>
      <c r="AB148">
        <f>IF(A148="","",IF(S148&lt;=1,"",IF(AA148=0,"PENDIENTE — SIN ASIGNAR",IF(Z148=0,"RESUELTO","PARCIAL — DIFERENCIA "&amp;TEXT(Z148,"#,##0")))))</f>
        <v/>
      </c>
    </row>
    <row r="149" ht="14.25" customHeight="1" s="235">
      <c r="A149" s="47">
        <f>IF(Exogena_RAW!E158&lt;&gt;"",ROW()-5,"")</f>
        <v/>
      </c>
      <c r="B149" s="48">
        <f>IF(A149="","",158)</f>
        <v/>
      </c>
      <c r="C149" s="48">
        <f>IF(A149="","",IFERROR(Exogena_RAW!A158,""))</f>
        <v/>
      </c>
      <c r="D149" s="48">
        <f>IF(A149="","",IFERROR(Exogena_RAW!B158,""))</f>
        <v/>
      </c>
      <c r="E149" s="48">
        <f>IF(A149="","",Exogena_RAW!E158)</f>
        <v/>
      </c>
      <c r="F149" s="461">
        <f>IF(A149="","",Exogena_RAW!F158)</f>
        <v/>
      </c>
      <c r="G149" s="48">
        <f>IF(A149="","",IFERROR(Exogena_RAW!G158,""))</f>
        <v/>
      </c>
      <c r="H149" s="48">
        <f>IF(A149="","",IFERROR(Exogena_RAW!H158,""))</f>
        <v/>
      </c>
      <c r="I149" s="48">
        <f>IF(A149="","",IFERROR(IF(S149&gt;1,"VARIAS CASILLAS",IF(S149=1,IF(T149=1,"PROPUESTA DE CASILLA","REVISIÓN: CASILLA NO DIRECTA"),IF(OR(ISNUMBER(SEARCH("TOPE",UPPER(E149))),ISNUMBER(SEARCH("TOPE",UPPER(G149)))),"SOLO CONTROL",IF(ISNUMBER(SEARCH("RETEN",UPPER(E149))),"RETENCIÓN","REVISAR")))),"REVISAR"))</f>
        <v/>
      </c>
      <c r="J149" s="48">
        <f>IF(A149="","",IF(ISNUMBER(SEARCH("ingreso laboral promedio de los últimos seis meses",E149)),"",IFERROR(IF(AND(S149=1,T149=1),U149,""),"")))</f>
        <v/>
      </c>
      <c r="K149" s="216" t="n"/>
      <c r="L149" s="48">
        <f>IF(A149="","",IFERROR(IF(K149&lt;&gt;"","Casilla elegida por usuario",IF(S149&gt;1,"Varias casillas — elegir en K",IF(J149&lt;&gt;"","Sugerencia directa",IF(S149=1,"No trasladar directo — revisar",IF(OR(ISNUMBER(SEARCH("TOPE",UPPER(E149))),ISNUMBER(SEARCH("TOPE",UPPER(G149)))),"Solo control","Revisar manualmente"))))),"Revisar manualmente"))</f>
        <v/>
      </c>
      <c r="M149" s="461">
        <f>IF(A149="","",IF(IF(K149&lt;&gt;"",K149,J149)="",0,IF(COUNTIFS(Reglas!$I$5:$I$118,IF(K149&lt;&gt;"",K149,J149),Reglas!$J$5:$J$118,"Sí")=1,F149,0)))</f>
        <v/>
      </c>
      <c r="N149" s="56" t="n"/>
      <c r="O149" s="462">
        <f>IF(A149="","",IF(M149=0,"",M149))</f>
        <v/>
      </c>
      <c r="P149" s="461">
        <f>IF(A149="","",IF(O149="",0,IF(ISNUMBER(O149),O149,0)))</f>
        <v/>
      </c>
      <c r="Q149" s="48">
        <f>IF(A149="","",IF(Exogena_RAW!$C$4="","BLOQUEADO: FALTA AÑO",IF(Exogena_RAW!$K$10&lt;&gt;Reglas!$B$5,"BLOQUEADO: AÑO",IF(IF(K149&lt;&gt;"",K149,J149)="",IF(S149&gt;1,"REQUIERE ASIGNACIÓN MANUAL (VARIAS CASILLAS)","INFORMATIVO (sin casilla — no se declara)"),IF(COUNTIFS(Reglas!$I$5:$I$118,IF(K149&lt;&gt;"",K149,J149),Reglas!$J$5:$J$118,"Sí")=0,"BLOQUEADO: CASILLA NO DIRECTA",IF(O149="","EXCLUIDO (valor borrado por el usuario)",IF(_xlfn.ISFORMULA(O149),IF(W149&lt;&gt;"","BORRADOR — VALOR SUGERIDO DIAN ⚠ VER ALERTA","BORRADOR — VALOR SUGERIDO DIAN"),IF(W149&lt;&gt;"","ACEPTADO ⚠ VER ALERTA","ACEPTADO"))))))))</f>
        <v/>
      </c>
      <c r="R149" s="218" t="n"/>
      <c r="S149" s="58">
        <f>IF(A149="","",IFERROR(--ISNUMBER(SEARCH("R28",G149)),0)+IFERROR(--ISNUMBER(SEARCH("R29",G149)),0)+IFERROR(--ISNUMBER(SEARCH("R30",G149)),0)+IFERROR(--ISNUMBER(SEARCH("R31",G149)),0)+IFERROR(--ISNUMBER(SEARCH("R32",G149)),0)+IFERROR(--ISNUMBER(SEARCH("R33",G149)),0)+IFERROR(--ISNUMBER(SEARCH("R34",G149)),0)+IFERROR(--ISNUMBER(SEARCH("R35",G149)),0)+IFERROR(--ISNUMBER(SEARCH("R36",G149)),0)+IFERROR(--ISNUMBER(SEARCH("R37",G149)),0)+IFERROR(--ISNUMBER(SEARCH("R38",G149)),0)+IFERROR(--ISNUMBER(SEARCH("R39",G149)),0)+IFERROR(--ISNUMBER(SEARCH("R40",G149)),0)+IFERROR(--ISNUMBER(SEARCH("R41",G149)),0)+IFERROR(--ISNUMBER(SEARCH("R42",G149)),0)+IFERROR(--ISNUMBER(SEARCH("R43",G149)),0)+IFERROR(--ISNUMBER(SEARCH("R44",G149)),0)+IFERROR(--ISNUMBER(SEARCH("R45",G149)),0)+IFERROR(--ISNUMBER(SEARCH("R46",G149)),0)+IFERROR(--ISNUMBER(SEARCH("R47",G149)),0)+IFERROR(--ISNUMBER(SEARCH("R48",G149)),0)+IFERROR(--ISNUMBER(SEARCH("R49",G149)),0)+IFERROR(--ISNUMBER(SEARCH("R50",G149)),0)+IFERROR(--ISNUMBER(SEARCH("R51",G149)),0)+IFERROR(--ISNUMBER(SEARCH("R52",G149)),0)+IFERROR(--ISNUMBER(SEARCH("R53",G149)),0)+IFERROR(--ISNUMBER(SEARCH("R54",G149)),0)+IFERROR(--ISNUMBER(SEARCH("R55",G149)),0)+IFERROR(--ISNUMBER(SEARCH("R56",G149)),0)+IFERROR(--ISNUMBER(SEARCH("R57",G149)),0)+IFERROR(--ISNUMBER(SEARCH("R58",G149)),0)+IFERROR(--ISNUMBER(SEARCH("R59",G149)),0)+IFERROR(--ISNUMBER(SEARCH("R60",G149)),0)+IFERROR(--ISNUMBER(SEARCH("R61",G149)),0)+IFERROR(--ISNUMBER(SEARCH("R62",G149)),0)+IFERROR(--ISNUMBER(SEARCH("R63",G149)),0)+IFERROR(--ISNUMBER(SEARCH("R64",G149)),0)+IFERROR(--ISNUMBER(SEARCH("R65",G149)),0)+IFERROR(--ISNUMBER(SEARCH("R66",G149)),0)+IFERROR(--ISNUMBER(SEARCH("R67",G149)),0)+IFERROR(--ISNUMBER(SEARCH("R68",G149)),0)+IFERROR(--ISNUMBER(SEARCH("R69",G149)),0)+IFERROR(--ISNUMBER(SEARCH("R70",G149)),0)+IFERROR(--ISNUMBER(SEARCH("R71",G149)),0)+IFERROR(--ISNUMBER(SEARCH("R72",G149)),0)+IFERROR(--ISNUMBER(SEARCH("R73",G149)),0)+IFERROR(--ISNUMBER(SEARCH("R74",G149)),0)+IFERROR(--ISNUMBER(SEARCH("R75",G149)),0)+IFERROR(--ISNUMBER(SEARCH("R76",G149)),0)+IFERROR(--ISNUMBER(SEARCH("R77",G149)),0)+IFERROR(--ISNUMBER(SEARCH("R78",G149)),0)+IFERROR(--ISNUMBER(SEARCH("R79",G149)),0)+IFERROR(--ISNUMBER(SEARCH("R80",G149)),0)+IFERROR(--ISNUMBER(SEARCH("R81",G149)),0)+IFERROR(--ISNUMBER(SEARCH("R82",G149)),0)+IFERROR(--ISNUMBER(SEARCH("R83",G149)),0)+IFERROR(--ISNUMBER(SEARCH("R84",G149)),0)+IFERROR(--ISNUMBER(SEARCH("R85",G149)),0)+IFERROR(--ISNUMBER(SEARCH("R86",G149)),0)+IFERROR(--ISNUMBER(SEARCH("R87",G149)),0)+IFERROR(--ISNUMBER(SEARCH("R88",G149)),0)+IFERROR(--ISNUMBER(SEARCH("R89",G149)),0)+IFERROR(--ISNUMBER(SEARCH("R90",G149)),0)+IFERROR(--ISNUMBER(SEARCH("R91",G149)),0)+IFERROR(--ISNUMBER(SEARCH("R92",G149)),0)+IFERROR(--ISNUMBER(SEARCH("R93",G149)),0)+IFERROR(--ISNUMBER(SEARCH("R94",G149)),0)+IFERROR(--ISNUMBER(SEARCH("R95",G149)),0)+IFERROR(--ISNUMBER(SEARCH("R96",G149)),0)+IFERROR(--ISNUMBER(SEARCH("R97",G149)),0)+IFERROR(--ISNUMBER(SEARCH("R98",G149)),0)+IFERROR(--ISNUMBER(SEARCH("R99",G149)),0)+IFERROR(--ISNUMBER(SEARCH("R100",G149)),0)+IFERROR(--ISNUMBER(SEARCH("R101",G149)),0)+IFERROR(--ISNUMBER(SEARCH("R102",G149)),0)+IFERROR(--ISNUMBER(SEARCH("R103",G149)),0)+IFERROR(--ISNUMBER(SEARCH("R104",G149)),0)+IFERROR(--ISNUMBER(SEARCH("R105",G149)),0)+IFERROR(--ISNUMBER(SEARCH("R106",G149)),0)+IFERROR(--ISNUMBER(SEARCH("R107",G149)),0)+IFERROR(--ISNUMBER(SEARCH("R108",G149)),0)+IFERROR(--ISNUMBER(SEARCH("R109",G149)),0)+IFERROR(--ISNUMBER(SEARCH("R110",G149)),0)+IFERROR(--ISNUMBER(SEARCH("R111",G149)),0)+IFERROR(--ISNUMBER(SEARCH("R112",G149)),0)+IFERROR(--ISNUMBER(SEARCH("R113",G149)),0)+IFERROR(--ISNUMBER(SEARCH("R114",G149)),0)+IFERROR(--ISNUMBER(SEARCH("R115",G149)),0)+IFERROR(--ISNUMBER(SEARCH("R116",G149)),0)+IFERROR(--ISNUMBER(SEARCH("R117",G149)),0)+IFERROR(--ISNUMBER(SEARCH("R118",G149)),0)+IFERROR(--ISNUMBER(SEARCH("R119",G149)),0)+IFERROR(--ISNUMBER(SEARCH("R120",G149)),0)+IFERROR(--ISNUMBER(SEARCH("R121",G149)),0)+IFERROR(--ISNUMBER(SEARCH("R122",G149)),0)+IFERROR(--ISNUMBER(SEARCH("R123",G149)),0)+IFERROR(--ISNUMBER(SEARCH("R124",G149)),0)+IFERROR(--ISNUMBER(SEARCH("R125",G149)),0)+IFERROR(--ISNUMBER(SEARCH("R126",G149)),0)+IFERROR(--ISNUMBER(SEARCH("R127",G149)),0)+IFERROR(--ISNUMBER(SEARCH("R128",G149)),0)+IFERROR(--ISNUMBER(SEARCH("R129",G149)),0)+IFERROR(--ISNUMBER(SEARCH("R130",G149)),0)+IFERROR(--ISNUMBER(SEARCH("R131",G149)),0)+IFERROR(--ISNUMBER(SEARCH("R132",G149)),0)+IFERROR(--ISNUMBER(SEARCH("R133",G149)),0)+IFERROR(--ISNUMBER(SEARCH("R134",G149)),0)+IFERROR(--ISNUMBER(SEARCH("R135",G149)),0)+IFERROR(--ISNUMBER(SEARCH("R136",G149)),0)+IFERROR(--ISNUMBER(SEARCH("R137",G149)),0)+IFERROR(--ISNUMBER(SEARCH("R138",G149)),0)+IFERROR(--ISNUMBER(SEARCH("R139",G149)),0)+IFERROR(--ISNUMBER(SEARCH("R140",G149)),0)+IFERROR(--ISNUMBER(SEARCH("R141",G149)),0))</f>
        <v/>
      </c>
      <c r="T149" s="58">
        <f>IF(A149="","",IFERROR(--ISNUMBER(SEARCH("R28",G149)),0)+IFERROR(--ISNUMBER(SEARCH("R29",G149)),0)+IFERROR(--ISNUMBER(SEARCH("R30",G149)),0)+IFERROR(--ISNUMBER(SEARCH("R32",G149)),0)+IFERROR(--ISNUMBER(SEARCH("R33",G149)),0)+IFERROR(--ISNUMBER(SEARCH("R35",G149)),0)+IFERROR(--ISNUMBER(SEARCH("R36",G149)),0)+IFERROR(--ISNUMBER(SEARCH("R38",G149)),0)+IFERROR(--ISNUMBER(SEARCH("R39",G149)),0)+IFERROR(--ISNUMBER(SEARCH("R43",G149)),0)+IFERROR(--ISNUMBER(SEARCH("R44",G149)),0)+IFERROR(--ISNUMBER(SEARCH("R45",G149)),0)+IFERROR(--ISNUMBER(SEARCH("R47",G149)),0)+IFERROR(--ISNUMBER(SEARCH("R48",G149)),0)+IFERROR(--ISNUMBER(SEARCH("R50",G149)),0)+IFERROR(--ISNUMBER(SEARCH("R51",G149)),0)+IFERROR(--ISNUMBER(SEARCH("R56",G149)),0)+IFERROR(--ISNUMBER(SEARCH("R58",G149)),0)+IFERROR(--ISNUMBER(SEARCH("R59",G149)),0)+IFERROR(--ISNUMBER(SEARCH("R60",G149)),0)+IFERROR(--ISNUMBER(SEARCH("R62",G149)),0)+IFERROR(--ISNUMBER(SEARCH("R63",G149)),0)+IFERROR(--ISNUMBER(SEARCH("R64",G149)),0)+IFERROR(--ISNUMBER(SEARCH("R66",G149)),0)+IFERROR(--ISNUMBER(SEARCH("R67",G149)),0)+IFERROR(--ISNUMBER(SEARCH("R72",G149)),0)+IFERROR(--ISNUMBER(SEARCH("R74",G149)),0)+IFERROR(--ISNUMBER(SEARCH("R75",G149)),0)+IFERROR(--ISNUMBER(SEARCH("R76",G149)),0)+IFERROR(--ISNUMBER(SEARCH("R77",G149)),0)+IFERROR(--ISNUMBER(SEARCH("R79",G149)),0)+IFERROR(--ISNUMBER(SEARCH("R80",G149)),0)+IFERROR(--ISNUMBER(SEARCH("R81",G149)),0)+IFERROR(--ISNUMBER(SEARCH("R83",G149)),0)+IFERROR(--ISNUMBER(SEARCH("R84",G149)),0)+IFERROR(--ISNUMBER(SEARCH("R89",G149)),0)+IFERROR(--ISNUMBER(SEARCH("R94",G149)),0)+IFERROR(--ISNUMBER(SEARCH("R95",G149)),0)+IFERROR(--ISNUMBER(SEARCH("R96",G149)),0)+IFERROR(--ISNUMBER(SEARCH("R98",G149)),0)+IFERROR(--ISNUMBER(SEARCH("R99",G149)),0)+IFERROR(--ISNUMBER(SEARCH("R100",G149)),0)+IFERROR(--ISNUMBER(SEARCH("R104",G149)),0)+IFERROR(--ISNUMBER(SEARCH("R105",G149)),0)+IFERROR(--ISNUMBER(SEARCH("R107",G149)),0)+IFERROR(--ISNUMBER(SEARCH("R108",G149)),0)+IFERROR(--ISNUMBER(SEARCH("R109",G149)),0)+IFERROR(--ISNUMBER(SEARCH("R110",G149)),0)+IFERROR(--ISNUMBER(SEARCH("R112",G149)),0)+IFERROR(--ISNUMBER(SEARCH("R113",G149)),0)+IFERROR(--ISNUMBER(SEARCH("R114",G149)),0)+IFERROR(--ISNUMBER(SEARCH("R118",G149)),0)+IFERROR(--ISNUMBER(SEARCH("R119",G149)),0)+IFERROR(--ISNUMBER(SEARCH("R120",G149)),0)+IFERROR(--ISNUMBER(SEARCH("R122",G149)),0)+IFERROR(--ISNUMBER(SEARCH("R123",G149)),0)+IFERROR(--ISNUMBER(SEARCH("R124",G149)),0)+IFERROR(--ISNUMBER(SEARCH("R128",G149)),0)+IFERROR(--ISNUMBER(SEARCH("R130",G149)),0)+IFERROR(--ISNUMBER(SEARCH("R131",G149)),0)+IFERROR(--ISNUMBER(SEARCH("R132",G149)),0)+IFERROR(--ISNUMBER(SEARCH("R135",G149)),0)+IFERROR(--ISNUMBER(SEARCH("R138",G149)),0)+IFERROR(--ISNUMBER(SEARCH("R141",G149)),0))</f>
        <v/>
      </c>
      <c r="U149" s="58">
        <f>IF(A149="","",IFERROR(--ISNUMBER(SEARCH("R28",G149))*28,0)+IFERROR(--ISNUMBER(SEARCH("R29",G149))*29,0)+IFERROR(--ISNUMBER(SEARCH("R30",G149))*30,0)+IFERROR(--ISNUMBER(SEARCH("R31",G149))*31,0)+IFERROR(--ISNUMBER(SEARCH("R32",G149))*32,0)+IFERROR(--ISNUMBER(SEARCH("R33",G149))*33,0)+IFERROR(--ISNUMBER(SEARCH("R34",G149))*34,0)+IFERROR(--ISNUMBER(SEARCH("R35",G149))*35,0)+IFERROR(--ISNUMBER(SEARCH("R36",G149))*36,0)+IFERROR(--ISNUMBER(SEARCH("R37",G149))*37,0)+IFERROR(--ISNUMBER(SEARCH("R38",G149))*38,0)+IFERROR(--ISNUMBER(SEARCH("R39",G149))*39,0)+IFERROR(--ISNUMBER(SEARCH("R40",G149))*40,0)+IFERROR(--ISNUMBER(SEARCH("R41",G149))*41,0)+IFERROR(--ISNUMBER(SEARCH("R42",G149))*42,0)+IFERROR(--ISNUMBER(SEARCH("R43",G149))*43,0)+IFERROR(--ISNUMBER(SEARCH("R44",G149))*44,0)+IFERROR(--ISNUMBER(SEARCH("R45",G149))*45,0)+IFERROR(--ISNUMBER(SEARCH("R46",G149))*46,0)+IFERROR(--ISNUMBER(SEARCH("R47",G149))*47,0)+IFERROR(--ISNUMBER(SEARCH("R48",G149))*48,0)+IFERROR(--ISNUMBER(SEARCH("R49",G149))*49,0)+IFERROR(--ISNUMBER(SEARCH("R50",G149))*50,0)+IFERROR(--ISNUMBER(SEARCH("R51",G149))*51,0)+IFERROR(--ISNUMBER(SEARCH("R52",G149))*52,0)+IFERROR(--ISNUMBER(SEARCH("R53",G149))*53,0)+IFERROR(--ISNUMBER(SEARCH("R54",G149))*54,0)+IFERROR(--ISNUMBER(SEARCH("R55",G149))*55,0)+IFERROR(--ISNUMBER(SEARCH("R56",G149))*56,0)+IFERROR(--ISNUMBER(SEARCH("R57",G149))*57,0)+IFERROR(--ISNUMBER(SEARCH("R58",G149))*58,0)+IFERROR(--ISNUMBER(SEARCH("R59",G149))*59,0)+IFERROR(--ISNUMBER(SEARCH("R60",G149))*60,0)+IFERROR(--ISNUMBER(SEARCH("R61",G149))*61,0)+IFERROR(--ISNUMBER(SEARCH("R62",G149))*62,0)+IFERROR(--ISNUMBER(SEARCH("R63",G149))*63,0)+IFERROR(--ISNUMBER(SEARCH("R64",G149))*64,0)+IFERROR(--ISNUMBER(SEARCH("R65",G149))*65,0)+IFERROR(--ISNUMBER(SEARCH("R66",G149))*66,0)+IFERROR(--ISNUMBER(SEARCH("R67",G149))*67,0)+IFERROR(--ISNUMBER(SEARCH("R68",G149))*68,0)+IFERROR(--ISNUMBER(SEARCH("R69",G149))*69,0)+IFERROR(--ISNUMBER(SEARCH("R70",G149))*70,0)+IFERROR(--ISNUMBER(SEARCH("R71",G149))*71,0)+IFERROR(--ISNUMBER(SEARCH("R72",G149))*72,0)+IFERROR(--ISNUMBER(SEARCH("R73",G149))*73,0)+IFERROR(--ISNUMBER(SEARCH("R74",G149))*74,0)+IFERROR(--ISNUMBER(SEARCH("R75",G149))*75,0)+IFERROR(--ISNUMBER(SEARCH("R76",G149))*76,0)+IFERROR(--ISNUMBER(SEARCH("R77",G149))*77,0)+IFERROR(--ISNUMBER(SEARCH("R78",G149))*78,0)+IFERROR(--ISNUMBER(SEARCH("R79",G149))*79,0)+IFERROR(--ISNUMBER(SEARCH("R80",G149))*80,0)+IFERROR(--ISNUMBER(SEARCH("R81",G149))*81,0)+IFERROR(--ISNUMBER(SEARCH("R82",G149))*82,0)+IFERROR(--ISNUMBER(SEARCH("R83",G149))*83,0)+IFERROR(--ISNUMBER(SEARCH("R84",G149))*84,0)+IFERROR(--ISNUMBER(SEARCH("R85",G149))*85,0)+IFERROR(--ISNUMBER(SEARCH("R86",G149))*86,0)+IFERROR(--ISNUMBER(SEARCH("R87",G149))*87,0)+IFERROR(--ISNUMBER(SEARCH("R88",G149))*88,0)+IFERROR(--ISNUMBER(SEARCH("R89",G149))*89,0)+IFERROR(--ISNUMBER(SEARCH("R90",G149))*90,0)+IFERROR(--ISNUMBER(SEARCH("R91",G149))*91,0)+IFERROR(--ISNUMBER(SEARCH("R92",G149))*92,0)+IFERROR(--ISNUMBER(SEARCH("R93",G149))*93,0)+IFERROR(--ISNUMBER(SEARCH("R94",G149))*94,0)+IFERROR(--ISNUMBER(SEARCH("R95",G149))*95,0)+IFERROR(--ISNUMBER(SEARCH("R96",G149))*96,0)+IFERROR(--ISNUMBER(SEARCH("R97",G149))*97,0)+IFERROR(--ISNUMBER(SEARCH("R98",G149))*98,0)+IFERROR(--ISNUMBER(SEARCH("R99",G149))*99,0)+IFERROR(--ISNUMBER(SEARCH("R100",G149))*100,0)+IFERROR(--ISNUMBER(SEARCH("R101",G149))*101,0)+IFERROR(--ISNUMBER(SEARCH("R102",G149))*102,0)+IFERROR(--ISNUMBER(SEARCH("R103",G149))*103,0)+IFERROR(--ISNUMBER(SEARCH("R104",G149))*104,0)+IFERROR(--ISNUMBER(SEARCH("R105",G149))*105,0)+IFERROR(--ISNUMBER(SEARCH("R106",G149))*106,0)+IFERROR(--ISNUMBER(SEARCH("R107",G149))*107,0)+IFERROR(--ISNUMBER(SEARCH("R108",G149))*108,0)+IFERROR(--ISNUMBER(SEARCH("R109",G149))*109,0)+IFERROR(--ISNUMBER(SEARCH("R110",G149))*110,0)+IFERROR(--ISNUMBER(SEARCH("R111",G149))*111,0)+IFERROR(--ISNUMBER(SEARCH("R112",G149))*112,0)+IFERROR(--ISNUMBER(SEARCH("R113",G149))*113,0)+IFERROR(--ISNUMBER(SEARCH("R114",G149))*114,0)+IFERROR(--ISNUMBER(SEARCH("R115",G149))*115,0)+IFERROR(--ISNUMBER(SEARCH("R116",G149))*116,0)+IFERROR(--ISNUMBER(SEARCH("R117",G149))*117,0)+IFERROR(--ISNUMBER(SEARCH("R118",G149))*118,0)+IFERROR(--ISNUMBER(SEARCH("R119",G149))*119,0)+IFERROR(--ISNUMBER(SEARCH("R120",G149))*120,0)+IFERROR(--ISNUMBER(SEARCH("R121",G149))*121,0)+IFERROR(--ISNUMBER(SEARCH("R122",G149))*122,0)+IFERROR(--ISNUMBER(SEARCH("R123",G149))*123,0)+IFERROR(--ISNUMBER(SEARCH("R124",G149))*124,0)+IFERROR(--ISNUMBER(SEARCH("R125",G149))*125,0)+IFERROR(--ISNUMBER(SEARCH("R126",G149))*126,0)+IFERROR(--ISNUMBER(SEARCH("R127",G149))*127,0)+IFERROR(--ISNUMBER(SEARCH("R128",G149))*128,0)+IFERROR(--ISNUMBER(SEARCH("R129",G149))*129,0)+IFERROR(--ISNUMBER(SEARCH("R130",G149))*130,0)+IFERROR(--ISNUMBER(SEARCH("R131",G149))*131,0)+IFERROR(--ISNUMBER(SEARCH("R132",G149))*132,0)+IFERROR(--ISNUMBER(SEARCH("R133",G149))*133,0)+IFERROR(--ISNUMBER(SEARCH("R134",G149))*134,0)+IFERROR(--ISNUMBER(SEARCH("R135",G149))*135,0)+IFERROR(--ISNUMBER(SEARCH("R136",G149))*136,0)+IFERROR(--ISNUMBER(SEARCH("R137",G149))*137,0)+IFERROR(--ISNUMBER(SEARCH("R138",G149))*138,0)+IFERROR(--ISNUMBER(SEARCH("R139",G149))*139,0)+IFERROR(--ISNUMBER(SEARCH("R140",G149))*140,0)+IFERROR(--ISNUMBER(SEARCH("R141",G149))*141,0))</f>
        <v/>
      </c>
      <c r="V149" s="59">
        <f>IF(A149="","",IF(K149&lt;&gt;"",K149,J149))</f>
        <v/>
      </c>
      <c r="W149" s="59">
        <f>IF(A149="","",IF(AND(V149=29,O149&lt;&gt;"",COUNTIFS($V$6:$V$505,29,$F$6:$F$505,F149,$C$6:$C$505,C149,$O$6:$O$505,"&lt;&gt;")&gt;1),IF(COUNTIFS($V$6:V149,29,$F$6:F149,F149,$C$6:C149,C149,$O$6:O149,"&lt;&gt;")=1,"Esta es la fila que se debe CONSERVAR (aparición 1 de "&amp;COUNTIFS($V$6:$V$505,29,$F$6:$F$505,F149,$C$6:$C$505,C149,$O$6:$O$505,"&lt;&gt;")&amp;" con el mismo tercero y valor, casilla 29). Si hay más filas iguales, bórreles el valor a ELLAS, no a esta.","DUPLICADO — ya existe otra fila con el mismo tercero y valor para casilla 29 (aparición "&amp;COUNTIFS($V$6:V149,29,$F$6:F149,F149,$C$6:C149,C149,$O$6:O149,"&lt;&gt;")&amp;" de "&amp;COUNTIFS($V$6:$V$505,29,$F$6:$F$505,F149,$C$6:$C$505,C149,$O$6:$O$505,"&lt;&gt;")&amp;"). Para resolverlo: seleccione la celda O"&amp;ROW()&amp;" (columna Valor a declarar de ESTA fila) y presione Supr."),""))</f>
        <v/>
      </c>
      <c r="X149" s="463">
        <f>IF(A149="","",F149)</f>
        <v/>
      </c>
      <c r="Y149" s="463">
        <f>IF(A149="","",SUMIF(Entrada_Manual!$I$88:$I$187,A149,Entrada_Manual!$F$88:$F$187))</f>
        <v/>
      </c>
      <c r="Z149" s="463">
        <f>IF(A149="","",X149-Y149)</f>
        <v/>
      </c>
      <c r="AA149">
        <f>IF(A149="","",SUMPRODUCT((Entrada_Manual!$I$88:$I$187=A149)*1))</f>
        <v/>
      </c>
      <c r="AB149">
        <f>IF(A149="","",IF(S149&lt;=1,"",IF(AA149=0,"PENDIENTE — SIN ASIGNAR",IF(Z149=0,"RESUELTO","PARCIAL — DIFERENCIA "&amp;TEXT(Z149,"#,##0")))))</f>
        <v/>
      </c>
    </row>
    <row r="150" ht="14.25" customHeight="1" s="235">
      <c r="A150" s="47">
        <f>IF(Exogena_RAW!E159&lt;&gt;"",ROW()-5,"")</f>
        <v/>
      </c>
      <c r="B150" s="48">
        <f>IF(A150="","",159)</f>
        <v/>
      </c>
      <c r="C150" s="48">
        <f>IF(A150="","",IFERROR(Exogena_RAW!A159,""))</f>
        <v/>
      </c>
      <c r="D150" s="48">
        <f>IF(A150="","",IFERROR(Exogena_RAW!B159,""))</f>
        <v/>
      </c>
      <c r="E150" s="48">
        <f>IF(A150="","",Exogena_RAW!E159)</f>
        <v/>
      </c>
      <c r="F150" s="461">
        <f>IF(A150="","",Exogena_RAW!F159)</f>
        <v/>
      </c>
      <c r="G150" s="48">
        <f>IF(A150="","",IFERROR(Exogena_RAW!G159,""))</f>
        <v/>
      </c>
      <c r="H150" s="48">
        <f>IF(A150="","",IFERROR(Exogena_RAW!H159,""))</f>
        <v/>
      </c>
      <c r="I150" s="48">
        <f>IF(A150="","",IFERROR(IF(S150&gt;1,"VARIAS CASILLAS",IF(S150=1,IF(T150=1,"PROPUESTA DE CASILLA","REVISIÓN: CASILLA NO DIRECTA"),IF(OR(ISNUMBER(SEARCH("TOPE",UPPER(E150))),ISNUMBER(SEARCH("TOPE",UPPER(G150)))),"SOLO CONTROL",IF(ISNUMBER(SEARCH("RETEN",UPPER(E150))),"RETENCIÓN","REVISAR")))),"REVISAR"))</f>
        <v/>
      </c>
      <c r="J150" s="48">
        <f>IF(A150="","",IF(ISNUMBER(SEARCH("ingreso laboral promedio de los últimos seis meses",E150)),"",IFERROR(IF(AND(S150=1,T150=1),U150,""),"")))</f>
        <v/>
      </c>
      <c r="K150" s="216" t="n"/>
      <c r="L150" s="48">
        <f>IF(A150="","",IFERROR(IF(K150&lt;&gt;"","Casilla elegida por usuario",IF(S150&gt;1,"Varias casillas — elegir en K",IF(J150&lt;&gt;"","Sugerencia directa",IF(S150=1,"No trasladar directo — revisar",IF(OR(ISNUMBER(SEARCH("TOPE",UPPER(E150))),ISNUMBER(SEARCH("TOPE",UPPER(G150)))),"Solo control","Revisar manualmente"))))),"Revisar manualmente"))</f>
        <v/>
      </c>
      <c r="M150" s="461">
        <f>IF(A150="","",IF(IF(K150&lt;&gt;"",K150,J150)="",0,IF(COUNTIFS(Reglas!$I$5:$I$118,IF(K150&lt;&gt;"",K150,J150),Reglas!$J$5:$J$118,"Sí")=1,F150,0)))</f>
        <v/>
      </c>
      <c r="N150" s="56" t="n"/>
      <c r="O150" s="462">
        <f>IF(A150="","",IF(M150=0,"",M150))</f>
        <v/>
      </c>
      <c r="P150" s="461">
        <f>IF(A150="","",IF(O150="",0,IF(ISNUMBER(O150),O150,0)))</f>
        <v/>
      </c>
      <c r="Q150" s="48">
        <f>IF(A150="","",IF(Exogena_RAW!$C$4="","BLOQUEADO: FALTA AÑO",IF(Exogena_RAW!$K$10&lt;&gt;Reglas!$B$5,"BLOQUEADO: AÑO",IF(IF(K150&lt;&gt;"",K150,J150)="",IF(S150&gt;1,"REQUIERE ASIGNACIÓN MANUAL (VARIAS CASILLAS)","INFORMATIVO (sin casilla — no se declara)"),IF(COUNTIFS(Reglas!$I$5:$I$118,IF(K150&lt;&gt;"",K150,J150),Reglas!$J$5:$J$118,"Sí")=0,"BLOQUEADO: CASILLA NO DIRECTA",IF(O150="","EXCLUIDO (valor borrado por el usuario)",IF(_xlfn.ISFORMULA(O150),IF(W150&lt;&gt;"","BORRADOR — VALOR SUGERIDO DIAN ⚠ VER ALERTA","BORRADOR — VALOR SUGERIDO DIAN"),IF(W150&lt;&gt;"","ACEPTADO ⚠ VER ALERTA","ACEPTADO"))))))))</f>
        <v/>
      </c>
      <c r="R150" s="218" t="n"/>
      <c r="S150" s="58">
        <f>IF(A150="","",IFERROR(--ISNUMBER(SEARCH("R28",G150)),0)+IFERROR(--ISNUMBER(SEARCH("R29",G150)),0)+IFERROR(--ISNUMBER(SEARCH("R30",G150)),0)+IFERROR(--ISNUMBER(SEARCH("R31",G150)),0)+IFERROR(--ISNUMBER(SEARCH("R32",G150)),0)+IFERROR(--ISNUMBER(SEARCH("R33",G150)),0)+IFERROR(--ISNUMBER(SEARCH("R34",G150)),0)+IFERROR(--ISNUMBER(SEARCH("R35",G150)),0)+IFERROR(--ISNUMBER(SEARCH("R36",G150)),0)+IFERROR(--ISNUMBER(SEARCH("R37",G150)),0)+IFERROR(--ISNUMBER(SEARCH("R38",G150)),0)+IFERROR(--ISNUMBER(SEARCH("R39",G150)),0)+IFERROR(--ISNUMBER(SEARCH("R40",G150)),0)+IFERROR(--ISNUMBER(SEARCH("R41",G150)),0)+IFERROR(--ISNUMBER(SEARCH("R42",G150)),0)+IFERROR(--ISNUMBER(SEARCH("R43",G150)),0)+IFERROR(--ISNUMBER(SEARCH("R44",G150)),0)+IFERROR(--ISNUMBER(SEARCH("R45",G150)),0)+IFERROR(--ISNUMBER(SEARCH("R46",G150)),0)+IFERROR(--ISNUMBER(SEARCH("R47",G150)),0)+IFERROR(--ISNUMBER(SEARCH("R48",G150)),0)+IFERROR(--ISNUMBER(SEARCH("R49",G150)),0)+IFERROR(--ISNUMBER(SEARCH("R50",G150)),0)+IFERROR(--ISNUMBER(SEARCH("R51",G150)),0)+IFERROR(--ISNUMBER(SEARCH("R52",G150)),0)+IFERROR(--ISNUMBER(SEARCH("R53",G150)),0)+IFERROR(--ISNUMBER(SEARCH("R54",G150)),0)+IFERROR(--ISNUMBER(SEARCH("R55",G150)),0)+IFERROR(--ISNUMBER(SEARCH("R56",G150)),0)+IFERROR(--ISNUMBER(SEARCH("R57",G150)),0)+IFERROR(--ISNUMBER(SEARCH("R58",G150)),0)+IFERROR(--ISNUMBER(SEARCH("R59",G150)),0)+IFERROR(--ISNUMBER(SEARCH("R60",G150)),0)+IFERROR(--ISNUMBER(SEARCH("R61",G150)),0)+IFERROR(--ISNUMBER(SEARCH("R62",G150)),0)+IFERROR(--ISNUMBER(SEARCH("R63",G150)),0)+IFERROR(--ISNUMBER(SEARCH("R64",G150)),0)+IFERROR(--ISNUMBER(SEARCH("R65",G150)),0)+IFERROR(--ISNUMBER(SEARCH("R66",G150)),0)+IFERROR(--ISNUMBER(SEARCH("R67",G150)),0)+IFERROR(--ISNUMBER(SEARCH("R68",G150)),0)+IFERROR(--ISNUMBER(SEARCH("R69",G150)),0)+IFERROR(--ISNUMBER(SEARCH("R70",G150)),0)+IFERROR(--ISNUMBER(SEARCH("R71",G150)),0)+IFERROR(--ISNUMBER(SEARCH("R72",G150)),0)+IFERROR(--ISNUMBER(SEARCH("R73",G150)),0)+IFERROR(--ISNUMBER(SEARCH("R74",G150)),0)+IFERROR(--ISNUMBER(SEARCH("R75",G150)),0)+IFERROR(--ISNUMBER(SEARCH("R76",G150)),0)+IFERROR(--ISNUMBER(SEARCH("R77",G150)),0)+IFERROR(--ISNUMBER(SEARCH("R78",G150)),0)+IFERROR(--ISNUMBER(SEARCH("R79",G150)),0)+IFERROR(--ISNUMBER(SEARCH("R80",G150)),0)+IFERROR(--ISNUMBER(SEARCH("R81",G150)),0)+IFERROR(--ISNUMBER(SEARCH("R82",G150)),0)+IFERROR(--ISNUMBER(SEARCH("R83",G150)),0)+IFERROR(--ISNUMBER(SEARCH("R84",G150)),0)+IFERROR(--ISNUMBER(SEARCH("R85",G150)),0)+IFERROR(--ISNUMBER(SEARCH("R86",G150)),0)+IFERROR(--ISNUMBER(SEARCH("R87",G150)),0)+IFERROR(--ISNUMBER(SEARCH("R88",G150)),0)+IFERROR(--ISNUMBER(SEARCH("R89",G150)),0)+IFERROR(--ISNUMBER(SEARCH("R90",G150)),0)+IFERROR(--ISNUMBER(SEARCH("R91",G150)),0)+IFERROR(--ISNUMBER(SEARCH("R92",G150)),0)+IFERROR(--ISNUMBER(SEARCH("R93",G150)),0)+IFERROR(--ISNUMBER(SEARCH("R94",G150)),0)+IFERROR(--ISNUMBER(SEARCH("R95",G150)),0)+IFERROR(--ISNUMBER(SEARCH("R96",G150)),0)+IFERROR(--ISNUMBER(SEARCH("R97",G150)),0)+IFERROR(--ISNUMBER(SEARCH("R98",G150)),0)+IFERROR(--ISNUMBER(SEARCH("R99",G150)),0)+IFERROR(--ISNUMBER(SEARCH("R100",G150)),0)+IFERROR(--ISNUMBER(SEARCH("R101",G150)),0)+IFERROR(--ISNUMBER(SEARCH("R102",G150)),0)+IFERROR(--ISNUMBER(SEARCH("R103",G150)),0)+IFERROR(--ISNUMBER(SEARCH("R104",G150)),0)+IFERROR(--ISNUMBER(SEARCH("R105",G150)),0)+IFERROR(--ISNUMBER(SEARCH("R106",G150)),0)+IFERROR(--ISNUMBER(SEARCH("R107",G150)),0)+IFERROR(--ISNUMBER(SEARCH("R108",G150)),0)+IFERROR(--ISNUMBER(SEARCH("R109",G150)),0)+IFERROR(--ISNUMBER(SEARCH("R110",G150)),0)+IFERROR(--ISNUMBER(SEARCH("R111",G150)),0)+IFERROR(--ISNUMBER(SEARCH("R112",G150)),0)+IFERROR(--ISNUMBER(SEARCH("R113",G150)),0)+IFERROR(--ISNUMBER(SEARCH("R114",G150)),0)+IFERROR(--ISNUMBER(SEARCH("R115",G150)),0)+IFERROR(--ISNUMBER(SEARCH("R116",G150)),0)+IFERROR(--ISNUMBER(SEARCH("R117",G150)),0)+IFERROR(--ISNUMBER(SEARCH("R118",G150)),0)+IFERROR(--ISNUMBER(SEARCH("R119",G150)),0)+IFERROR(--ISNUMBER(SEARCH("R120",G150)),0)+IFERROR(--ISNUMBER(SEARCH("R121",G150)),0)+IFERROR(--ISNUMBER(SEARCH("R122",G150)),0)+IFERROR(--ISNUMBER(SEARCH("R123",G150)),0)+IFERROR(--ISNUMBER(SEARCH("R124",G150)),0)+IFERROR(--ISNUMBER(SEARCH("R125",G150)),0)+IFERROR(--ISNUMBER(SEARCH("R126",G150)),0)+IFERROR(--ISNUMBER(SEARCH("R127",G150)),0)+IFERROR(--ISNUMBER(SEARCH("R128",G150)),0)+IFERROR(--ISNUMBER(SEARCH("R129",G150)),0)+IFERROR(--ISNUMBER(SEARCH("R130",G150)),0)+IFERROR(--ISNUMBER(SEARCH("R131",G150)),0)+IFERROR(--ISNUMBER(SEARCH("R132",G150)),0)+IFERROR(--ISNUMBER(SEARCH("R133",G150)),0)+IFERROR(--ISNUMBER(SEARCH("R134",G150)),0)+IFERROR(--ISNUMBER(SEARCH("R135",G150)),0)+IFERROR(--ISNUMBER(SEARCH("R136",G150)),0)+IFERROR(--ISNUMBER(SEARCH("R137",G150)),0)+IFERROR(--ISNUMBER(SEARCH("R138",G150)),0)+IFERROR(--ISNUMBER(SEARCH("R139",G150)),0)+IFERROR(--ISNUMBER(SEARCH("R140",G150)),0)+IFERROR(--ISNUMBER(SEARCH("R141",G150)),0))</f>
        <v/>
      </c>
      <c r="T150" s="58">
        <f>IF(A150="","",IFERROR(--ISNUMBER(SEARCH("R28",G150)),0)+IFERROR(--ISNUMBER(SEARCH("R29",G150)),0)+IFERROR(--ISNUMBER(SEARCH("R30",G150)),0)+IFERROR(--ISNUMBER(SEARCH("R32",G150)),0)+IFERROR(--ISNUMBER(SEARCH("R33",G150)),0)+IFERROR(--ISNUMBER(SEARCH("R35",G150)),0)+IFERROR(--ISNUMBER(SEARCH("R36",G150)),0)+IFERROR(--ISNUMBER(SEARCH("R38",G150)),0)+IFERROR(--ISNUMBER(SEARCH("R39",G150)),0)+IFERROR(--ISNUMBER(SEARCH("R43",G150)),0)+IFERROR(--ISNUMBER(SEARCH("R44",G150)),0)+IFERROR(--ISNUMBER(SEARCH("R45",G150)),0)+IFERROR(--ISNUMBER(SEARCH("R47",G150)),0)+IFERROR(--ISNUMBER(SEARCH("R48",G150)),0)+IFERROR(--ISNUMBER(SEARCH("R50",G150)),0)+IFERROR(--ISNUMBER(SEARCH("R51",G150)),0)+IFERROR(--ISNUMBER(SEARCH("R56",G150)),0)+IFERROR(--ISNUMBER(SEARCH("R58",G150)),0)+IFERROR(--ISNUMBER(SEARCH("R59",G150)),0)+IFERROR(--ISNUMBER(SEARCH("R60",G150)),0)+IFERROR(--ISNUMBER(SEARCH("R62",G150)),0)+IFERROR(--ISNUMBER(SEARCH("R63",G150)),0)+IFERROR(--ISNUMBER(SEARCH("R64",G150)),0)+IFERROR(--ISNUMBER(SEARCH("R66",G150)),0)+IFERROR(--ISNUMBER(SEARCH("R67",G150)),0)+IFERROR(--ISNUMBER(SEARCH("R72",G150)),0)+IFERROR(--ISNUMBER(SEARCH("R74",G150)),0)+IFERROR(--ISNUMBER(SEARCH("R75",G150)),0)+IFERROR(--ISNUMBER(SEARCH("R76",G150)),0)+IFERROR(--ISNUMBER(SEARCH("R77",G150)),0)+IFERROR(--ISNUMBER(SEARCH("R79",G150)),0)+IFERROR(--ISNUMBER(SEARCH("R80",G150)),0)+IFERROR(--ISNUMBER(SEARCH("R81",G150)),0)+IFERROR(--ISNUMBER(SEARCH("R83",G150)),0)+IFERROR(--ISNUMBER(SEARCH("R84",G150)),0)+IFERROR(--ISNUMBER(SEARCH("R89",G150)),0)+IFERROR(--ISNUMBER(SEARCH("R94",G150)),0)+IFERROR(--ISNUMBER(SEARCH("R95",G150)),0)+IFERROR(--ISNUMBER(SEARCH("R96",G150)),0)+IFERROR(--ISNUMBER(SEARCH("R98",G150)),0)+IFERROR(--ISNUMBER(SEARCH("R99",G150)),0)+IFERROR(--ISNUMBER(SEARCH("R100",G150)),0)+IFERROR(--ISNUMBER(SEARCH("R104",G150)),0)+IFERROR(--ISNUMBER(SEARCH("R105",G150)),0)+IFERROR(--ISNUMBER(SEARCH("R107",G150)),0)+IFERROR(--ISNUMBER(SEARCH("R108",G150)),0)+IFERROR(--ISNUMBER(SEARCH("R109",G150)),0)+IFERROR(--ISNUMBER(SEARCH("R110",G150)),0)+IFERROR(--ISNUMBER(SEARCH("R112",G150)),0)+IFERROR(--ISNUMBER(SEARCH("R113",G150)),0)+IFERROR(--ISNUMBER(SEARCH("R114",G150)),0)+IFERROR(--ISNUMBER(SEARCH("R118",G150)),0)+IFERROR(--ISNUMBER(SEARCH("R119",G150)),0)+IFERROR(--ISNUMBER(SEARCH("R120",G150)),0)+IFERROR(--ISNUMBER(SEARCH("R122",G150)),0)+IFERROR(--ISNUMBER(SEARCH("R123",G150)),0)+IFERROR(--ISNUMBER(SEARCH("R124",G150)),0)+IFERROR(--ISNUMBER(SEARCH("R128",G150)),0)+IFERROR(--ISNUMBER(SEARCH("R130",G150)),0)+IFERROR(--ISNUMBER(SEARCH("R131",G150)),0)+IFERROR(--ISNUMBER(SEARCH("R132",G150)),0)+IFERROR(--ISNUMBER(SEARCH("R135",G150)),0)+IFERROR(--ISNUMBER(SEARCH("R138",G150)),0)+IFERROR(--ISNUMBER(SEARCH("R141",G150)),0))</f>
        <v/>
      </c>
      <c r="U150" s="58">
        <f>IF(A150="","",IFERROR(--ISNUMBER(SEARCH("R28",G150))*28,0)+IFERROR(--ISNUMBER(SEARCH("R29",G150))*29,0)+IFERROR(--ISNUMBER(SEARCH("R30",G150))*30,0)+IFERROR(--ISNUMBER(SEARCH("R31",G150))*31,0)+IFERROR(--ISNUMBER(SEARCH("R32",G150))*32,0)+IFERROR(--ISNUMBER(SEARCH("R33",G150))*33,0)+IFERROR(--ISNUMBER(SEARCH("R34",G150))*34,0)+IFERROR(--ISNUMBER(SEARCH("R35",G150))*35,0)+IFERROR(--ISNUMBER(SEARCH("R36",G150))*36,0)+IFERROR(--ISNUMBER(SEARCH("R37",G150))*37,0)+IFERROR(--ISNUMBER(SEARCH("R38",G150))*38,0)+IFERROR(--ISNUMBER(SEARCH("R39",G150))*39,0)+IFERROR(--ISNUMBER(SEARCH("R40",G150))*40,0)+IFERROR(--ISNUMBER(SEARCH("R41",G150))*41,0)+IFERROR(--ISNUMBER(SEARCH("R42",G150))*42,0)+IFERROR(--ISNUMBER(SEARCH("R43",G150))*43,0)+IFERROR(--ISNUMBER(SEARCH("R44",G150))*44,0)+IFERROR(--ISNUMBER(SEARCH("R45",G150))*45,0)+IFERROR(--ISNUMBER(SEARCH("R46",G150))*46,0)+IFERROR(--ISNUMBER(SEARCH("R47",G150))*47,0)+IFERROR(--ISNUMBER(SEARCH("R48",G150))*48,0)+IFERROR(--ISNUMBER(SEARCH("R49",G150))*49,0)+IFERROR(--ISNUMBER(SEARCH("R50",G150))*50,0)+IFERROR(--ISNUMBER(SEARCH("R51",G150))*51,0)+IFERROR(--ISNUMBER(SEARCH("R52",G150))*52,0)+IFERROR(--ISNUMBER(SEARCH("R53",G150))*53,0)+IFERROR(--ISNUMBER(SEARCH("R54",G150))*54,0)+IFERROR(--ISNUMBER(SEARCH("R55",G150))*55,0)+IFERROR(--ISNUMBER(SEARCH("R56",G150))*56,0)+IFERROR(--ISNUMBER(SEARCH("R57",G150))*57,0)+IFERROR(--ISNUMBER(SEARCH("R58",G150))*58,0)+IFERROR(--ISNUMBER(SEARCH("R59",G150))*59,0)+IFERROR(--ISNUMBER(SEARCH("R60",G150))*60,0)+IFERROR(--ISNUMBER(SEARCH("R61",G150))*61,0)+IFERROR(--ISNUMBER(SEARCH("R62",G150))*62,0)+IFERROR(--ISNUMBER(SEARCH("R63",G150))*63,0)+IFERROR(--ISNUMBER(SEARCH("R64",G150))*64,0)+IFERROR(--ISNUMBER(SEARCH("R65",G150))*65,0)+IFERROR(--ISNUMBER(SEARCH("R66",G150))*66,0)+IFERROR(--ISNUMBER(SEARCH("R67",G150))*67,0)+IFERROR(--ISNUMBER(SEARCH("R68",G150))*68,0)+IFERROR(--ISNUMBER(SEARCH("R69",G150))*69,0)+IFERROR(--ISNUMBER(SEARCH("R70",G150))*70,0)+IFERROR(--ISNUMBER(SEARCH("R71",G150))*71,0)+IFERROR(--ISNUMBER(SEARCH("R72",G150))*72,0)+IFERROR(--ISNUMBER(SEARCH("R73",G150))*73,0)+IFERROR(--ISNUMBER(SEARCH("R74",G150))*74,0)+IFERROR(--ISNUMBER(SEARCH("R75",G150))*75,0)+IFERROR(--ISNUMBER(SEARCH("R76",G150))*76,0)+IFERROR(--ISNUMBER(SEARCH("R77",G150))*77,0)+IFERROR(--ISNUMBER(SEARCH("R78",G150))*78,0)+IFERROR(--ISNUMBER(SEARCH("R79",G150))*79,0)+IFERROR(--ISNUMBER(SEARCH("R80",G150))*80,0)+IFERROR(--ISNUMBER(SEARCH("R81",G150))*81,0)+IFERROR(--ISNUMBER(SEARCH("R82",G150))*82,0)+IFERROR(--ISNUMBER(SEARCH("R83",G150))*83,0)+IFERROR(--ISNUMBER(SEARCH("R84",G150))*84,0)+IFERROR(--ISNUMBER(SEARCH("R85",G150))*85,0)+IFERROR(--ISNUMBER(SEARCH("R86",G150))*86,0)+IFERROR(--ISNUMBER(SEARCH("R87",G150))*87,0)+IFERROR(--ISNUMBER(SEARCH("R88",G150))*88,0)+IFERROR(--ISNUMBER(SEARCH("R89",G150))*89,0)+IFERROR(--ISNUMBER(SEARCH("R90",G150))*90,0)+IFERROR(--ISNUMBER(SEARCH("R91",G150))*91,0)+IFERROR(--ISNUMBER(SEARCH("R92",G150))*92,0)+IFERROR(--ISNUMBER(SEARCH("R93",G150))*93,0)+IFERROR(--ISNUMBER(SEARCH("R94",G150))*94,0)+IFERROR(--ISNUMBER(SEARCH("R95",G150))*95,0)+IFERROR(--ISNUMBER(SEARCH("R96",G150))*96,0)+IFERROR(--ISNUMBER(SEARCH("R97",G150))*97,0)+IFERROR(--ISNUMBER(SEARCH("R98",G150))*98,0)+IFERROR(--ISNUMBER(SEARCH("R99",G150))*99,0)+IFERROR(--ISNUMBER(SEARCH("R100",G150))*100,0)+IFERROR(--ISNUMBER(SEARCH("R101",G150))*101,0)+IFERROR(--ISNUMBER(SEARCH("R102",G150))*102,0)+IFERROR(--ISNUMBER(SEARCH("R103",G150))*103,0)+IFERROR(--ISNUMBER(SEARCH("R104",G150))*104,0)+IFERROR(--ISNUMBER(SEARCH("R105",G150))*105,0)+IFERROR(--ISNUMBER(SEARCH("R106",G150))*106,0)+IFERROR(--ISNUMBER(SEARCH("R107",G150))*107,0)+IFERROR(--ISNUMBER(SEARCH("R108",G150))*108,0)+IFERROR(--ISNUMBER(SEARCH("R109",G150))*109,0)+IFERROR(--ISNUMBER(SEARCH("R110",G150))*110,0)+IFERROR(--ISNUMBER(SEARCH("R111",G150))*111,0)+IFERROR(--ISNUMBER(SEARCH("R112",G150))*112,0)+IFERROR(--ISNUMBER(SEARCH("R113",G150))*113,0)+IFERROR(--ISNUMBER(SEARCH("R114",G150))*114,0)+IFERROR(--ISNUMBER(SEARCH("R115",G150))*115,0)+IFERROR(--ISNUMBER(SEARCH("R116",G150))*116,0)+IFERROR(--ISNUMBER(SEARCH("R117",G150))*117,0)+IFERROR(--ISNUMBER(SEARCH("R118",G150))*118,0)+IFERROR(--ISNUMBER(SEARCH("R119",G150))*119,0)+IFERROR(--ISNUMBER(SEARCH("R120",G150))*120,0)+IFERROR(--ISNUMBER(SEARCH("R121",G150))*121,0)+IFERROR(--ISNUMBER(SEARCH("R122",G150))*122,0)+IFERROR(--ISNUMBER(SEARCH("R123",G150))*123,0)+IFERROR(--ISNUMBER(SEARCH("R124",G150))*124,0)+IFERROR(--ISNUMBER(SEARCH("R125",G150))*125,0)+IFERROR(--ISNUMBER(SEARCH("R126",G150))*126,0)+IFERROR(--ISNUMBER(SEARCH("R127",G150))*127,0)+IFERROR(--ISNUMBER(SEARCH("R128",G150))*128,0)+IFERROR(--ISNUMBER(SEARCH("R129",G150))*129,0)+IFERROR(--ISNUMBER(SEARCH("R130",G150))*130,0)+IFERROR(--ISNUMBER(SEARCH("R131",G150))*131,0)+IFERROR(--ISNUMBER(SEARCH("R132",G150))*132,0)+IFERROR(--ISNUMBER(SEARCH("R133",G150))*133,0)+IFERROR(--ISNUMBER(SEARCH("R134",G150))*134,0)+IFERROR(--ISNUMBER(SEARCH("R135",G150))*135,0)+IFERROR(--ISNUMBER(SEARCH("R136",G150))*136,0)+IFERROR(--ISNUMBER(SEARCH("R137",G150))*137,0)+IFERROR(--ISNUMBER(SEARCH("R138",G150))*138,0)+IFERROR(--ISNUMBER(SEARCH("R139",G150))*139,0)+IFERROR(--ISNUMBER(SEARCH("R140",G150))*140,0)+IFERROR(--ISNUMBER(SEARCH("R141",G150))*141,0))</f>
        <v/>
      </c>
      <c r="V150" s="59">
        <f>IF(A150="","",IF(K150&lt;&gt;"",K150,J150))</f>
        <v/>
      </c>
      <c r="W150" s="59">
        <f>IF(A150="","",IF(AND(V150=29,O150&lt;&gt;"",COUNTIFS($V$6:$V$505,29,$F$6:$F$505,F150,$C$6:$C$505,C150,$O$6:$O$505,"&lt;&gt;")&gt;1),IF(COUNTIFS($V$6:V150,29,$F$6:F150,F150,$C$6:C150,C150,$O$6:O150,"&lt;&gt;")=1,"Esta es la fila que se debe CONSERVAR (aparición 1 de "&amp;COUNTIFS($V$6:$V$505,29,$F$6:$F$505,F150,$C$6:$C$505,C150,$O$6:$O$505,"&lt;&gt;")&amp;" con el mismo tercero y valor, casilla 29). Si hay más filas iguales, bórreles el valor a ELLAS, no a esta.","DUPLICADO — ya existe otra fila con el mismo tercero y valor para casilla 29 (aparición "&amp;COUNTIFS($V$6:V150,29,$F$6:F150,F150,$C$6:C150,C150,$O$6:O150,"&lt;&gt;")&amp;" de "&amp;COUNTIFS($V$6:$V$505,29,$F$6:$F$505,F150,$C$6:$C$505,C150,$O$6:$O$505,"&lt;&gt;")&amp;"). Para resolverlo: seleccione la celda O"&amp;ROW()&amp;" (columna Valor a declarar de ESTA fila) y presione Supr."),""))</f>
        <v/>
      </c>
      <c r="X150" s="463">
        <f>IF(A150="","",F150)</f>
        <v/>
      </c>
      <c r="Y150" s="463">
        <f>IF(A150="","",SUMIF(Entrada_Manual!$I$88:$I$187,A150,Entrada_Manual!$F$88:$F$187))</f>
        <v/>
      </c>
      <c r="Z150" s="463">
        <f>IF(A150="","",X150-Y150)</f>
        <v/>
      </c>
      <c r="AA150">
        <f>IF(A150="","",SUMPRODUCT((Entrada_Manual!$I$88:$I$187=A150)*1))</f>
        <v/>
      </c>
      <c r="AB150">
        <f>IF(A150="","",IF(S150&lt;=1,"",IF(AA150=0,"PENDIENTE — SIN ASIGNAR",IF(Z150=0,"RESUELTO","PARCIAL — DIFERENCIA "&amp;TEXT(Z150,"#,##0")))))</f>
        <v/>
      </c>
    </row>
    <row r="151" ht="14.25" customHeight="1" s="235">
      <c r="A151" s="47">
        <f>IF(Exogena_RAW!E160&lt;&gt;"",ROW()-5,"")</f>
        <v/>
      </c>
      <c r="B151" s="48">
        <f>IF(A151="","",160)</f>
        <v/>
      </c>
      <c r="C151" s="48">
        <f>IF(A151="","",IFERROR(Exogena_RAW!A160,""))</f>
        <v/>
      </c>
      <c r="D151" s="48">
        <f>IF(A151="","",IFERROR(Exogena_RAW!B160,""))</f>
        <v/>
      </c>
      <c r="E151" s="48">
        <f>IF(A151="","",Exogena_RAW!E160)</f>
        <v/>
      </c>
      <c r="F151" s="461">
        <f>IF(A151="","",Exogena_RAW!F160)</f>
        <v/>
      </c>
      <c r="G151" s="48">
        <f>IF(A151="","",IFERROR(Exogena_RAW!G160,""))</f>
        <v/>
      </c>
      <c r="H151" s="48">
        <f>IF(A151="","",IFERROR(Exogena_RAW!H160,""))</f>
        <v/>
      </c>
      <c r="I151" s="48">
        <f>IF(A151="","",IFERROR(IF(S151&gt;1,"VARIAS CASILLAS",IF(S151=1,IF(T151=1,"PROPUESTA DE CASILLA","REVISIÓN: CASILLA NO DIRECTA"),IF(OR(ISNUMBER(SEARCH("TOPE",UPPER(E151))),ISNUMBER(SEARCH("TOPE",UPPER(G151)))),"SOLO CONTROL",IF(ISNUMBER(SEARCH("RETEN",UPPER(E151))),"RETENCIÓN","REVISAR")))),"REVISAR"))</f>
        <v/>
      </c>
      <c r="J151" s="48">
        <f>IF(A151="","",IF(ISNUMBER(SEARCH("ingreso laboral promedio de los últimos seis meses",E151)),"",IFERROR(IF(AND(S151=1,T151=1),U151,""),"")))</f>
        <v/>
      </c>
      <c r="K151" s="216" t="n"/>
      <c r="L151" s="48">
        <f>IF(A151="","",IFERROR(IF(K151&lt;&gt;"","Casilla elegida por usuario",IF(S151&gt;1,"Varias casillas — elegir en K",IF(J151&lt;&gt;"","Sugerencia directa",IF(S151=1,"No trasladar directo — revisar",IF(OR(ISNUMBER(SEARCH("TOPE",UPPER(E151))),ISNUMBER(SEARCH("TOPE",UPPER(G151)))),"Solo control","Revisar manualmente"))))),"Revisar manualmente"))</f>
        <v/>
      </c>
      <c r="M151" s="461">
        <f>IF(A151="","",IF(IF(K151&lt;&gt;"",K151,J151)="",0,IF(COUNTIFS(Reglas!$I$5:$I$118,IF(K151&lt;&gt;"",K151,J151),Reglas!$J$5:$J$118,"Sí")=1,F151,0)))</f>
        <v/>
      </c>
      <c r="N151" s="56" t="n"/>
      <c r="O151" s="462">
        <f>IF(A151="","",IF(M151=0,"",M151))</f>
        <v/>
      </c>
      <c r="P151" s="461">
        <f>IF(A151="","",IF(O151="",0,IF(ISNUMBER(O151),O151,0)))</f>
        <v/>
      </c>
      <c r="Q151" s="48">
        <f>IF(A151="","",IF(Exogena_RAW!$C$4="","BLOQUEADO: FALTA AÑO",IF(Exogena_RAW!$K$10&lt;&gt;Reglas!$B$5,"BLOQUEADO: AÑO",IF(IF(K151&lt;&gt;"",K151,J151)="",IF(S151&gt;1,"REQUIERE ASIGNACIÓN MANUAL (VARIAS CASILLAS)","INFORMATIVO (sin casilla — no se declara)"),IF(COUNTIFS(Reglas!$I$5:$I$118,IF(K151&lt;&gt;"",K151,J151),Reglas!$J$5:$J$118,"Sí")=0,"BLOQUEADO: CASILLA NO DIRECTA",IF(O151="","EXCLUIDO (valor borrado por el usuario)",IF(_xlfn.ISFORMULA(O151),IF(W151&lt;&gt;"","BORRADOR — VALOR SUGERIDO DIAN ⚠ VER ALERTA","BORRADOR — VALOR SUGERIDO DIAN"),IF(W151&lt;&gt;"","ACEPTADO ⚠ VER ALERTA","ACEPTADO"))))))))</f>
        <v/>
      </c>
      <c r="R151" s="218" t="n"/>
      <c r="S151" s="58">
        <f>IF(A151="","",IFERROR(--ISNUMBER(SEARCH("R28",G151)),0)+IFERROR(--ISNUMBER(SEARCH("R29",G151)),0)+IFERROR(--ISNUMBER(SEARCH("R30",G151)),0)+IFERROR(--ISNUMBER(SEARCH("R31",G151)),0)+IFERROR(--ISNUMBER(SEARCH("R32",G151)),0)+IFERROR(--ISNUMBER(SEARCH("R33",G151)),0)+IFERROR(--ISNUMBER(SEARCH("R34",G151)),0)+IFERROR(--ISNUMBER(SEARCH("R35",G151)),0)+IFERROR(--ISNUMBER(SEARCH("R36",G151)),0)+IFERROR(--ISNUMBER(SEARCH("R37",G151)),0)+IFERROR(--ISNUMBER(SEARCH("R38",G151)),0)+IFERROR(--ISNUMBER(SEARCH("R39",G151)),0)+IFERROR(--ISNUMBER(SEARCH("R40",G151)),0)+IFERROR(--ISNUMBER(SEARCH("R41",G151)),0)+IFERROR(--ISNUMBER(SEARCH("R42",G151)),0)+IFERROR(--ISNUMBER(SEARCH("R43",G151)),0)+IFERROR(--ISNUMBER(SEARCH("R44",G151)),0)+IFERROR(--ISNUMBER(SEARCH("R45",G151)),0)+IFERROR(--ISNUMBER(SEARCH("R46",G151)),0)+IFERROR(--ISNUMBER(SEARCH("R47",G151)),0)+IFERROR(--ISNUMBER(SEARCH("R48",G151)),0)+IFERROR(--ISNUMBER(SEARCH("R49",G151)),0)+IFERROR(--ISNUMBER(SEARCH("R50",G151)),0)+IFERROR(--ISNUMBER(SEARCH("R51",G151)),0)+IFERROR(--ISNUMBER(SEARCH("R52",G151)),0)+IFERROR(--ISNUMBER(SEARCH("R53",G151)),0)+IFERROR(--ISNUMBER(SEARCH("R54",G151)),0)+IFERROR(--ISNUMBER(SEARCH("R55",G151)),0)+IFERROR(--ISNUMBER(SEARCH("R56",G151)),0)+IFERROR(--ISNUMBER(SEARCH("R57",G151)),0)+IFERROR(--ISNUMBER(SEARCH("R58",G151)),0)+IFERROR(--ISNUMBER(SEARCH("R59",G151)),0)+IFERROR(--ISNUMBER(SEARCH("R60",G151)),0)+IFERROR(--ISNUMBER(SEARCH("R61",G151)),0)+IFERROR(--ISNUMBER(SEARCH("R62",G151)),0)+IFERROR(--ISNUMBER(SEARCH("R63",G151)),0)+IFERROR(--ISNUMBER(SEARCH("R64",G151)),0)+IFERROR(--ISNUMBER(SEARCH("R65",G151)),0)+IFERROR(--ISNUMBER(SEARCH("R66",G151)),0)+IFERROR(--ISNUMBER(SEARCH("R67",G151)),0)+IFERROR(--ISNUMBER(SEARCH("R68",G151)),0)+IFERROR(--ISNUMBER(SEARCH("R69",G151)),0)+IFERROR(--ISNUMBER(SEARCH("R70",G151)),0)+IFERROR(--ISNUMBER(SEARCH("R71",G151)),0)+IFERROR(--ISNUMBER(SEARCH("R72",G151)),0)+IFERROR(--ISNUMBER(SEARCH("R73",G151)),0)+IFERROR(--ISNUMBER(SEARCH("R74",G151)),0)+IFERROR(--ISNUMBER(SEARCH("R75",G151)),0)+IFERROR(--ISNUMBER(SEARCH("R76",G151)),0)+IFERROR(--ISNUMBER(SEARCH("R77",G151)),0)+IFERROR(--ISNUMBER(SEARCH("R78",G151)),0)+IFERROR(--ISNUMBER(SEARCH("R79",G151)),0)+IFERROR(--ISNUMBER(SEARCH("R80",G151)),0)+IFERROR(--ISNUMBER(SEARCH("R81",G151)),0)+IFERROR(--ISNUMBER(SEARCH("R82",G151)),0)+IFERROR(--ISNUMBER(SEARCH("R83",G151)),0)+IFERROR(--ISNUMBER(SEARCH("R84",G151)),0)+IFERROR(--ISNUMBER(SEARCH("R85",G151)),0)+IFERROR(--ISNUMBER(SEARCH("R86",G151)),0)+IFERROR(--ISNUMBER(SEARCH("R87",G151)),0)+IFERROR(--ISNUMBER(SEARCH("R88",G151)),0)+IFERROR(--ISNUMBER(SEARCH("R89",G151)),0)+IFERROR(--ISNUMBER(SEARCH("R90",G151)),0)+IFERROR(--ISNUMBER(SEARCH("R91",G151)),0)+IFERROR(--ISNUMBER(SEARCH("R92",G151)),0)+IFERROR(--ISNUMBER(SEARCH("R93",G151)),0)+IFERROR(--ISNUMBER(SEARCH("R94",G151)),0)+IFERROR(--ISNUMBER(SEARCH("R95",G151)),0)+IFERROR(--ISNUMBER(SEARCH("R96",G151)),0)+IFERROR(--ISNUMBER(SEARCH("R97",G151)),0)+IFERROR(--ISNUMBER(SEARCH("R98",G151)),0)+IFERROR(--ISNUMBER(SEARCH("R99",G151)),0)+IFERROR(--ISNUMBER(SEARCH("R100",G151)),0)+IFERROR(--ISNUMBER(SEARCH("R101",G151)),0)+IFERROR(--ISNUMBER(SEARCH("R102",G151)),0)+IFERROR(--ISNUMBER(SEARCH("R103",G151)),0)+IFERROR(--ISNUMBER(SEARCH("R104",G151)),0)+IFERROR(--ISNUMBER(SEARCH("R105",G151)),0)+IFERROR(--ISNUMBER(SEARCH("R106",G151)),0)+IFERROR(--ISNUMBER(SEARCH("R107",G151)),0)+IFERROR(--ISNUMBER(SEARCH("R108",G151)),0)+IFERROR(--ISNUMBER(SEARCH("R109",G151)),0)+IFERROR(--ISNUMBER(SEARCH("R110",G151)),0)+IFERROR(--ISNUMBER(SEARCH("R111",G151)),0)+IFERROR(--ISNUMBER(SEARCH("R112",G151)),0)+IFERROR(--ISNUMBER(SEARCH("R113",G151)),0)+IFERROR(--ISNUMBER(SEARCH("R114",G151)),0)+IFERROR(--ISNUMBER(SEARCH("R115",G151)),0)+IFERROR(--ISNUMBER(SEARCH("R116",G151)),0)+IFERROR(--ISNUMBER(SEARCH("R117",G151)),0)+IFERROR(--ISNUMBER(SEARCH("R118",G151)),0)+IFERROR(--ISNUMBER(SEARCH("R119",G151)),0)+IFERROR(--ISNUMBER(SEARCH("R120",G151)),0)+IFERROR(--ISNUMBER(SEARCH("R121",G151)),0)+IFERROR(--ISNUMBER(SEARCH("R122",G151)),0)+IFERROR(--ISNUMBER(SEARCH("R123",G151)),0)+IFERROR(--ISNUMBER(SEARCH("R124",G151)),0)+IFERROR(--ISNUMBER(SEARCH("R125",G151)),0)+IFERROR(--ISNUMBER(SEARCH("R126",G151)),0)+IFERROR(--ISNUMBER(SEARCH("R127",G151)),0)+IFERROR(--ISNUMBER(SEARCH("R128",G151)),0)+IFERROR(--ISNUMBER(SEARCH("R129",G151)),0)+IFERROR(--ISNUMBER(SEARCH("R130",G151)),0)+IFERROR(--ISNUMBER(SEARCH("R131",G151)),0)+IFERROR(--ISNUMBER(SEARCH("R132",G151)),0)+IFERROR(--ISNUMBER(SEARCH("R133",G151)),0)+IFERROR(--ISNUMBER(SEARCH("R134",G151)),0)+IFERROR(--ISNUMBER(SEARCH("R135",G151)),0)+IFERROR(--ISNUMBER(SEARCH("R136",G151)),0)+IFERROR(--ISNUMBER(SEARCH("R137",G151)),0)+IFERROR(--ISNUMBER(SEARCH("R138",G151)),0)+IFERROR(--ISNUMBER(SEARCH("R139",G151)),0)+IFERROR(--ISNUMBER(SEARCH("R140",G151)),0)+IFERROR(--ISNUMBER(SEARCH("R141",G151)),0))</f>
        <v/>
      </c>
      <c r="T151" s="58">
        <f>IF(A151="","",IFERROR(--ISNUMBER(SEARCH("R28",G151)),0)+IFERROR(--ISNUMBER(SEARCH("R29",G151)),0)+IFERROR(--ISNUMBER(SEARCH("R30",G151)),0)+IFERROR(--ISNUMBER(SEARCH("R32",G151)),0)+IFERROR(--ISNUMBER(SEARCH("R33",G151)),0)+IFERROR(--ISNUMBER(SEARCH("R35",G151)),0)+IFERROR(--ISNUMBER(SEARCH("R36",G151)),0)+IFERROR(--ISNUMBER(SEARCH("R38",G151)),0)+IFERROR(--ISNUMBER(SEARCH("R39",G151)),0)+IFERROR(--ISNUMBER(SEARCH("R43",G151)),0)+IFERROR(--ISNUMBER(SEARCH("R44",G151)),0)+IFERROR(--ISNUMBER(SEARCH("R45",G151)),0)+IFERROR(--ISNUMBER(SEARCH("R47",G151)),0)+IFERROR(--ISNUMBER(SEARCH("R48",G151)),0)+IFERROR(--ISNUMBER(SEARCH("R50",G151)),0)+IFERROR(--ISNUMBER(SEARCH("R51",G151)),0)+IFERROR(--ISNUMBER(SEARCH("R56",G151)),0)+IFERROR(--ISNUMBER(SEARCH("R58",G151)),0)+IFERROR(--ISNUMBER(SEARCH("R59",G151)),0)+IFERROR(--ISNUMBER(SEARCH("R60",G151)),0)+IFERROR(--ISNUMBER(SEARCH("R62",G151)),0)+IFERROR(--ISNUMBER(SEARCH("R63",G151)),0)+IFERROR(--ISNUMBER(SEARCH("R64",G151)),0)+IFERROR(--ISNUMBER(SEARCH("R66",G151)),0)+IFERROR(--ISNUMBER(SEARCH("R67",G151)),0)+IFERROR(--ISNUMBER(SEARCH("R72",G151)),0)+IFERROR(--ISNUMBER(SEARCH("R74",G151)),0)+IFERROR(--ISNUMBER(SEARCH("R75",G151)),0)+IFERROR(--ISNUMBER(SEARCH("R76",G151)),0)+IFERROR(--ISNUMBER(SEARCH("R77",G151)),0)+IFERROR(--ISNUMBER(SEARCH("R79",G151)),0)+IFERROR(--ISNUMBER(SEARCH("R80",G151)),0)+IFERROR(--ISNUMBER(SEARCH("R81",G151)),0)+IFERROR(--ISNUMBER(SEARCH("R83",G151)),0)+IFERROR(--ISNUMBER(SEARCH("R84",G151)),0)+IFERROR(--ISNUMBER(SEARCH("R89",G151)),0)+IFERROR(--ISNUMBER(SEARCH("R94",G151)),0)+IFERROR(--ISNUMBER(SEARCH("R95",G151)),0)+IFERROR(--ISNUMBER(SEARCH("R96",G151)),0)+IFERROR(--ISNUMBER(SEARCH("R98",G151)),0)+IFERROR(--ISNUMBER(SEARCH("R99",G151)),0)+IFERROR(--ISNUMBER(SEARCH("R100",G151)),0)+IFERROR(--ISNUMBER(SEARCH("R104",G151)),0)+IFERROR(--ISNUMBER(SEARCH("R105",G151)),0)+IFERROR(--ISNUMBER(SEARCH("R107",G151)),0)+IFERROR(--ISNUMBER(SEARCH("R108",G151)),0)+IFERROR(--ISNUMBER(SEARCH("R109",G151)),0)+IFERROR(--ISNUMBER(SEARCH("R110",G151)),0)+IFERROR(--ISNUMBER(SEARCH("R112",G151)),0)+IFERROR(--ISNUMBER(SEARCH("R113",G151)),0)+IFERROR(--ISNUMBER(SEARCH("R114",G151)),0)+IFERROR(--ISNUMBER(SEARCH("R118",G151)),0)+IFERROR(--ISNUMBER(SEARCH("R119",G151)),0)+IFERROR(--ISNUMBER(SEARCH("R120",G151)),0)+IFERROR(--ISNUMBER(SEARCH("R122",G151)),0)+IFERROR(--ISNUMBER(SEARCH("R123",G151)),0)+IFERROR(--ISNUMBER(SEARCH("R124",G151)),0)+IFERROR(--ISNUMBER(SEARCH("R128",G151)),0)+IFERROR(--ISNUMBER(SEARCH("R130",G151)),0)+IFERROR(--ISNUMBER(SEARCH("R131",G151)),0)+IFERROR(--ISNUMBER(SEARCH("R132",G151)),0)+IFERROR(--ISNUMBER(SEARCH("R135",G151)),0)+IFERROR(--ISNUMBER(SEARCH("R138",G151)),0)+IFERROR(--ISNUMBER(SEARCH("R141",G151)),0))</f>
        <v/>
      </c>
      <c r="U151" s="58">
        <f>IF(A151="","",IFERROR(--ISNUMBER(SEARCH("R28",G151))*28,0)+IFERROR(--ISNUMBER(SEARCH("R29",G151))*29,0)+IFERROR(--ISNUMBER(SEARCH("R30",G151))*30,0)+IFERROR(--ISNUMBER(SEARCH("R31",G151))*31,0)+IFERROR(--ISNUMBER(SEARCH("R32",G151))*32,0)+IFERROR(--ISNUMBER(SEARCH("R33",G151))*33,0)+IFERROR(--ISNUMBER(SEARCH("R34",G151))*34,0)+IFERROR(--ISNUMBER(SEARCH("R35",G151))*35,0)+IFERROR(--ISNUMBER(SEARCH("R36",G151))*36,0)+IFERROR(--ISNUMBER(SEARCH("R37",G151))*37,0)+IFERROR(--ISNUMBER(SEARCH("R38",G151))*38,0)+IFERROR(--ISNUMBER(SEARCH("R39",G151))*39,0)+IFERROR(--ISNUMBER(SEARCH("R40",G151))*40,0)+IFERROR(--ISNUMBER(SEARCH("R41",G151))*41,0)+IFERROR(--ISNUMBER(SEARCH("R42",G151))*42,0)+IFERROR(--ISNUMBER(SEARCH("R43",G151))*43,0)+IFERROR(--ISNUMBER(SEARCH("R44",G151))*44,0)+IFERROR(--ISNUMBER(SEARCH("R45",G151))*45,0)+IFERROR(--ISNUMBER(SEARCH("R46",G151))*46,0)+IFERROR(--ISNUMBER(SEARCH("R47",G151))*47,0)+IFERROR(--ISNUMBER(SEARCH("R48",G151))*48,0)+IFERROR(--ISNUMBER(SEARCH("R49",G151))*49,0)+IFERROR(--ISNUMBER(SEARCH("R50",G151))*50,0)+IFERROR(--ISNUMBER(SEARCH("R51",G151))*51,0)+IFERROR(--ISNUMBER(SEARCH("R52",G151))*52,0)+IFERROR(--ISNUMBER(SEARCH("R53",G151))*53,0)+IFERROR(--ISNUMBER(SEARCH("R54",G151))*54,0)+IFERROR(--ISNUMBER(SEARCH("R55",G151))*55,0)+IFERROR(--ISNUMBER(SEARCH("R56",G151))*56,0)+IFERROR(--ISNUMBER(SEARCH("R57",G151))*57,0)+IFERROR(--ISNUMBER(SEARCH("R58",G151))*58,0)+IFERROR(--ISNUMBER(SEARCH("R59",G151))*59,0)+IFERROR(--ISNUMBER(SEARCH("R60",G151))*60,0)+IFERROR(--ISNUMBER(SEARCH("R61",G151))*61,0)+IFERROR(--ISNUMBER(SEARCH("R62",G151))*62,0)+IFERROR(--ISNUMBER(SEARCH("R63",G151))*63,0)+IFERROR(--ISNUMBER(SEARCH("R64",G151))*64,0)+IFERROR(--ISNUMBER(SEARCH("R65",G151))*65,0)+IFERROR(--ISNUMBER(SEARCH("R66",G151))*66,0)+IFERROR(--ISNUMBER(SEARCH("R67",G151))*67,0)+IFERROR(--ISNUMBER(SEARCH("R68",G151))*68,0)+IFERROR(--ISNUMBER(SEARCH("R69",G151))*69,0)+IFERROR(--ISNUMBER(SEARCH("R70",G151))*70,0)+IFERROR(--ISNUMBER(SEARCH("R71",G151))*71,0)+IFERROR(--ISNUMBER(SEARCH("R72",G151))*72,0)+IFERROR(--ISNUMBER(SEARCH("R73",G151))*73,0)+IFERROR(--ISNUMBER(SEARCH("R74",G151))*74,0)+IFERROR(--ISNUMBER(SEARCH("R75",G151))*75,0)+IFERROR(--ISNUMBER(SEARCH("R76",G151))*76,0)+IFERROR(--ISNUMBER(SEARCH("R77",G151))*77,0)+IFERROR(--ISNUMBER(SEARCH("R78",G151))*78,0)+IFERROR(--ISNUMBER(SEARCH("R79",G151))*79,0)+IFERROR(--ISNUMBER(SEARCH("R80",G151))*80,0)+IFERROR(--ISNUMBER(SEARCH("R81",G151))*81,0)+IFERROR(--ISNUMBER(SEARCH("R82",G151))*82,0)+IFERROR(--ISNUMBER(SEARCH("R83",G151))*83,0)+IFERROR(--ISNUMBER(SEARCH("R84",G151))*84,0)+IFERROR(--ISNUMBER(SEARCH("R85",G151))*85,0)+IFERROR(--ISNUMBER(SEARCH("R86",G151))*86,0)+IFERROR(--ISNUMBER(SEARCH("R87",G151))*87,0)+IFERROR(--ISNUMBER(SEARCH("R88",G151))*88,0)+IFERROR(--ISNUMBER(SEARCH("R89",G151))*89,0)+IFERROR(--ISNUMBER(SEARCH("R90",G151))*90,0)+IFERROR(--ISNUMBER(SEARCH("R91",G151))*91,0)+IFERROR(--ISNUMBER(SEARCH("R92",G151))*92,0)+IFERROR(--ISNUMBER(SEARCH("R93",G151))*93,0)+IFERROR(--ISNUMBER(SEARCH("R94",G151))*94,0)+IFERROR(--ISNUMBER(SEARCH("R95",G151))*95,0)+IFERROR(--ISNUMBER(SEARCH("R96",G151))*96,0)+IFERROR(--ISNUMBER(SEARCH("R97",G151))*97,0)+IFERROR(--ISNUMBER(SEARCH("R98",G151))*98,0)+IFERROR(--ISNUMBER(SEARCH("R99",G151))*99,0)+IFERROR(--ISNUMBER(SEARCH("R100",G151))*100,0)+IFERROR(--ISNUMBER(SEARCH("R101",G151))*101,0)+IFERROR(--ISNUMBER(SEARCH("R102",G151))*102,0)+IFERROR(--ISNUMBER(SEARCH("R103",G151))*103,0)+IFERROR(--ISNUMBER(SEARCH("R104",G151))*104,0)+IFERROR(--ISNUMBER(SEARCH("R105",G151))*105,0)+IFERROR(--ISNUMBER(SEARCH("R106",G151))*106,0)+IFERROR(--ISNUMBER(SEARCH("R107",G151))*107,0)+IFERROR(--ISNUMBER(SEARCH("R108",G151))*108,0)+IFERROR(--ISNUMBER(SEARCH("R109",G151))*109,0)+IFERROR(--ISNUMBER(SEARCH("R110",G151))*110,0)+IFERROR(--ISNUMBER(SEARCH("R111",G151))*111,0)+IFERROR(--ISNUMBER(SEARCH("R112",G151))*112,0)+IFERROR(--ISNUMBER(SEARCH("R113",G151))*113,0)+IFERROR(--ISNUMBER(SEARCH("R114",G151))*114,0)+IFERROR(--ISNUMBER(SEARCH("R115",G151))*115,0)+IFERROR(--ISNUMBER(SEARCH("R116",G151))*116,0)+IFERROR(--ISNUMBER(SEARCH("R117",G151))*117,0)+IFERROR(--ISNUMBER(SEARCH("R118",G151))*118,0)+IFERROR(--ISNUMBER(SEARCH("R119",G151))*119,0)+IFERROR(--ISNUMBER(SEARCH("R120",G151))*120,0)+IFERROR(--ISNUMBER(SEARCH("R121",G151))*121,0)+IFERROR(--ISNUMBER(SEARCH("R122",G151))*122,0)+IFERROR(--ISNUMBER(SEARCH("R123",G151))*123,0)+IFERROR(--ISNUMBER(SEARCH("R124",G151))*124,0)+IFERROR(--ISNUMBER(SEARCH("R125",G151))*125,0)+IFERROR(--ISNUMBER(SEARCH("R126",G151))*126,0)+IFERROR(--ISNUMBER(SEARCH("R127",G151))*127,0)+IFERROR(--ISNUMBER(SEARCH("R128",G151))*128,0)+IFERROR(--ISNUMBER(SEARCH("R129",G151))*129,0)+IFERROR(--ISNUMBER(SEARCH("R130",G151))*130,0)+IFERROR(--ISNUMBER(SEARCH("R131",G151))*131,0)+IFERROR(--ISNUMBER(SEARCH("R132",G151))*132,0)+IFERROR(--ISNUMBER(SEARCH("R133",G151))*133,0)+IFERROR(--ISNUMBER(SEARCH("R134",G151))*134,0)+IFERROR(--ISNUMBER(SEARCH("R135",G151))*135,0)+IFERROR(--ISNUMBER(SEARCH("R136",G151))*136,0)+IFERROR(--ISNUMBER(SEARCH("R137",G151))*137,0)+IFERROR(--ISNUMBER(SEARCH("R138",G151))*138,0)+IFERROR(--ISNUMBER(SEARCH("R139",G151))*139,0)+IFERROR(--ISNUMBER(SEARCH("R140",G151))*140,0)+IFERROR(--ISNUMBER(SEARCH("R141",G151))*141,0))</f>
        <v/>
      </c>
      <c r="V151" s="59">
        <f>IF(A151="","",IF(K151&lt;&gt;"",K151,J151))</f>
        <v/>
      </c>
      <c r="W151" s="59">
        <f>IF(A151="","",IF(AND(V151=29,O151&lt;&gt;"",COUNTIFS($V$6:$V$505,29,$F$6:$F$505,F151,$C$6:$C$505,C151,$O$6:$O$505,"&lt;&gt;")&gt;1),IF(COUNTIFS($V$6:V151,29,$F$6:F151,F151,$C$6:C151,C151,$O$6:O151,"&lt;&gt;")=1,"Esta es la fila que se debe CONSERVAR (aparición 1 de "&amp;COUNTIFS($V$6:$V$505,29,$F$6:$F$505,F151,$C$6:$C$505,C151,$O$6:$O$505,"&lt;&gt;")&amp;" con el mismo tercero y valor, casilla 29). Si hay más filas iguales, bórreles el valor a ELLAS, no a esta.","DUPLICADO — ya existe otra fila con el mismo tercero y valor para casilla 29 (aparición "&amp;COUNTIFS($V$6:V151,29,$F$6:F151,F151,$C$6:C151,C151,$O$6:O151,"&lt;&gt;")&amp;" de "&amp;COUNTIFS($V$6:$V$505,29,$F$6:$F$505,F151,$C$6:$C$505,C151,$O$6:$O$505,"&lt;&gt;")&amp;"). Para resolverlo: seleccione la celda O"&amp;ROW()&amp;" (columna Valor a declarar de ESTA fila) y presione Supr."),""))</f>
        <v/>
      </c>
      <c r="X151" s="463">
        <f>IF(A151="","",F151)</f>
        <v/>
      </c>
      <c r="Y151" s="463">
        <f>IF(A151="","",SUMIF(Entrada_Manual!$I$88:$I$187,A151,Entrada_Manual!$F$88:$F$187))</f>
        <v/>
      </c>
      <c r="Z151" s="463">
        <f>IF(A151="","",X151-Y151)</f>
        <v/>
      </c>
      <c r="AA151">
        <f>IF(A151="","",SUMPRODUCT((Entrada_Manual!$I$88:$I$187=A151)*1))</f>
        <v/>
      </c>
      <c r="AB151">
        <f>IF(A151="","",IF(S151&lt;=1,"",IF(AA151=0,"PENDIENTE — SIN ASIGNAR",IF(Z151=0,"RESUELTO","PARCIAL — DIFERENCIA "&amp;TEXT(Z151,"#,##0")))))</f>
        <v/>
      </c>
    </row>
    <row r="152" ht="14.25" customHeight="1" s="235">
      <c r="A152" s="47">
        <f>IF(Exogena_RAW!E161&lt;&gt;"",ROW()-5,"")</f>
        <v/>
      </c>
      <c r="B152" s="48">
        <f>IF(A152="","",161)</f>
        <v/>
      </c>
      <c r="C152" s="48">
        <f>IF(A152="","",IFERROR(Exogena_RAW!A161,""))</f>
        <v/>
      </c>
      <c r="D152" s="48">
        <f>IF(A152="","",IFERROR(Exogena_RAW!B161,""))</f>
        <v/>
      </c>
      <c r="E152" s="48">
        <f>IF(A152="","",Exogena_RAW!E161)</f>
        <v/>
      </c>
      <c r="F152" s="461">
        <f>IF(A152="","",Exogena_RAW!F161)</f>
        <v/>
      </c>
      <c r="G152" s="48">
        <f>IF(A152="","",IFERROR(Exogena_RAW!G161,""))</f>
        <v/>
      </c>
      <c r="H152" s="48">
        <f>IF(A152="","",IFERROR(Exogena_RAW!H161,""))</f>
        <v/>
      </c>
      <c r="I152" s="48">
        <f>IF(A152="","",IFERROR(IF(S152&gt;1,"VARIAS CASILLAS",IF(S152=1,IF(T152=1,"PROPUESTA DE CASILLA","REVISIÓN: CASILLA NO DIRECTA"),IF(OR(ISNUMBER(SEARCH("TOPE",UPPER(E152))),ISNUMBER(SEARCH("TOPE",UPPER(G152)))),"SOLO CONTROL",IF(ISNUMBER(SEARCH("RETEN",UPPER(E152))),"RETENCIÓN","REVISAR")))),"REVISAR"))</f>
        <v/>
      </c>
      <c r="J152" s="48">
        <f>IF(A152="","",IF(ISNUMBER(SEARCH("ingreso laboral promedio de los últimos seis meses",E152)),"",IFERROR(IF(AND(S152=1,T152=1),U152,""),"")))</f>
        <v/>
      </c>
      <c r="K152" s="216" t="n"/>
      <c r="L152" s="48">
        <f>IF(A152="","",IFERROR(IF(K152&lt;&gt;"","Casilla elegida por usuario",IF(S152&gt;1,"Varias casillas — elegir en K",IF(J152&lt;&gt;"","Sugerencia directa",IF(S152=1,"No trasladar directo — revisar",IF(OR(ISNUMBER(SEARCH("TOPE",UPPER(E152))),ISNUMBER(SEARCH("TOPE",UPPER(G152)))),"Solo control","Revisar manualmente"))))),"Revisar manualmente"))</f>
        <v/>
      </c>
      <c r="M152" s="461">
        <f>IF(A152="","",IF(IF(K152&lt;&gt;"",K152,J152)="",0,IF(COUNTIFS(Reglas!$I$5:$I$118,IF(K152&lt;&gt;"",K152,J152),Reglas!$J$5:$J$118,"Sí")=1,F152,0)))</f>
        <v/>
      </c>
      <c r="N152" s="56" t="n"/>
      <c r="O152" s="462">
        <f>IF(A152="","",IF(M152=0,"",M152))</f>
        <v/>
      </c>
      <c r="P152" s="461">
        <f>IF(A152="","",IF(O152="",0,IF(ISNUMBER(O152),O152,0)))</f>
        <v/>
      </c>
      <c r="Q152" s="48">
        <f>IF(A152="","",IF(Exogena_RAW!$C$4="","BLOQUEADO: FALTA AÑO",IF(Exogena_RAW!$K$10&lt;&gt;Reglas!$B$5,"BLOQUEADO: AÑO",IF(IF(K152&lt;&gt;"",K152,J152)="",IF(S152&gt;1,"REQUIERE ASIGNACIÓN MANUAL (VARIAS CASILLAS)","INFORMATIVO (sin casilla — no se declara)"),IF(COUNTIFS(Reglas!$I$5:$I$118,IF(K152&lt;&gt;"",K152,J152),Reglas!$J$5:$J$118,"Sí")=0,"BLOQUEADO: CASILLA NO DIRECTA",IF(O152="","EXCLUIDO (valor borrado por el usuario)",IF(_xlfn.ISFORMULA(O152),IF(W152&lt;&gt;"","BORRADOR — VALOR SUGERIDO DIAN ⚠ VER ALERTA","BORRADOR — VALOR SUGERIDO DIAN"),IF(W152&lt;&gt;"","ACEPTADO ⚠ VER ALERTA","ACEPTADO"))))))))</f>
        <v/>
      </c>
      <c r="R152" s="218" t="n"/>
      <c r="S152" s="58">
        <f>IF(A152="","",IFERROR(--ISNUMBER(SEARCH("R28",G152)),0)+IFERROR(--ISNUMBER(SEARCH("R29",G152)),0)+IFERROR(--ISNUMBER(SEARCH("R30",G152)),0)+IFERROR(--ISNUMBER(SEARCH("R31",G152)),0)+IFERROR(--ISNUMBER(SEARCH("R32",G152)),0)+IFERROR(--ISNUMBER(SEARCH("R33",G152)),0)+IFERROR(--ISNUMBER(SEARCH("R34",G152)),0)+IFERROR(--ISNUMBER(SEARCH("R35",G152)),0)+IFERROR(--ISNUMBER(SEARCH("R36",G152)),0)+IFERROR(--ISNUMBER(SEARCH("R37",G152)),0)+IFERROR(--ISNUMBER(SEARCH("R38",G152)),0)+IFERROR(--ISNUMBER(SEARCH("R39",G152)),0)+IFERROR(--ISNUMBER(SEARCH("R40",G152)),0)+IFERROR(--ISNUMBER(SEARCH("R41",G152)),0)+IFERROR(--ISNUMBER(SEARCH("R42",G152)),0)+IFERROR(--ISNUMBER(SEARCH("R43",G152)),0)+IFERROR(--ISNUMBER(SEARCH("R44",G152)),0)+IFERROR(--ISNUMBER(SEARCH("R45",G152)),0)+IFERROR(--ISNUMBER(SEARCH("R46",G152)),0)+IFERROR(--ISNUMBER(SEARCH("R47",G152)),0)+IFERROR(--ISNUMBER(SEARCH("R48",G152)),0)+IFERROR(--ISNUMBER(SEARCH("R49",G152)),0)+IFERROR(--ISNUMBER(SEARCH("R50",G152)),0)+IFERROR(--ISNUMBER(SEARCH("R51",G152)),0)+IFERROR(--ISNUMBER(SEARCH("R52",G152)),0)+IFERROR(--ISNUMBER(SEARCH("R53",G152)),0)+IFERROR(--ISNUMBER(SEARCH("R54",G152)),0)+IFERROR(--ISNUMBER(SEARCH("R55",G152)),0)+IFERROR(--ISNUMBER(SEARCH("R56",G152)),0)+IFERROR(--ISNUMBER(SEARCH("R57",G152)),0)+IFERROR(--ISNUMBER(SEARCH("R58",G152)),0)+IFERROR(--ISNUMBER(SEARCH("R59",G152)),0)+IFERROR(--ISNUMBER(SEARCH("R60",G152)),0)+IFERROR(--ISNUMBER(SEARCH("R61",G152)),0)+IFERROR(--ISNUMBER(SEARCH("R62",G152)),0)+IFERROR(--ISNUMBER(SEARCH("R63",G152)),0)+IFERROR(--ISNUMBER(SEARCH("R64",G152)),0)+IFERROR(--ISNUMBER(SEARCH("R65",G152)),0)+IFERROR(--ISNUMBER(SEARCH("R66",G152)),0)+IFERROR(--ISNUMBER(SEARCH("R67",G152)),0)+IFERROR(--ISNUMBER(SEARCH("R68",G152)),0)+IFERROR(--ISNUMBER(SEARCH("R69",G152)),0)+IFERROR(--ISNUMBER(SEARCH("R70",G152)),0)+IFERROR(--ISNUMBER(SEARCH("R71",G152)),0)+IFERROR(--ISNUMBER(SEARCH("R72",G152)),0)+IFERROR(--ISNUMBER(SEARCH("R73",G152)),0)+IFERROR(--ISNUMBER(SEARCH("R74",G152)),0)+IFERROR(--ISNUMBER(SEARCH("R75",G152)),0)+IFERROR(--ISNUMBER(SEARCH("R76",G152)),0)+IFERROR(--ISNUMBER(SEARCH("R77",G152)),0)+IFERROR(--ISNUMBER(SEARCH("R78",G152)),0)+IFERROR(--ISNUMBER(SEARCH("R79",G152)),0)+IFERROR(--ISNUMBER(SEARCH("R80",G152)),0)+IFERROR(--ISNUMBER(SEARCH("R81",G152)),0)+IFERROR(--ISNUMBER(SEARCH("R82",G152)),0)+IFERROR(--ISNUMBER(SEARCH("R83",G152)),0)+IFERROR(--ISNUMBER(SEARCH("R84",G152)),0)+IFERROR(--ISNUMBER(SEARCH("R85",G152)),0)+IFERROR(--ISNUMBER(SEARCH("R86",G152)),0)+IFERROR(--ISNUMBER(SEARCH("R87",G152)),0)+IFERROR(--ISNUMBER(SEARCH("R88",G152)),0)+IFERROR(--ISNUMBER(SEARCH("R89",G152)),0)+IFERROR(--ISNUMBER(SEARCH("R90",G152)),0)+IFERROR(--ISNUMBER(SEARCH("R91",G152)),0)+IFERROR(--ISNUMBER(SEARCH("R92",G152)),0)+IFERROR(--ISNUMBER(SEARCH("R93",G152)),0)+IFERROR(--ISNUMBER(SEARCH("R94",G152)),0)+IFERROR(--ISNUMBER(SEARCH("R95",G152)),0)+IFERROR(--ISNUMBER(SEARCH("R96",G152)),0)+IFERROR(--ISNUMBER(SEARCH("R97",G152)),0)+IFERROR(--ISNUMBER(SEARCH("R98",G152)),0)+IFERROR(--ISNUMBER(SEARCH("R99",G152)),0)+IFERROR(--ISNUMBER(SEARCH("R100",G152)),0)+IFERROR(--ISNUMBER(SEARCH("R101",G152)),0)+IFERROR(--ISNUMBER(SEARCH("R102",G152)),0)+IFERROR(--ISNUMBER(SEARCH("R103",G152)),0)+IFERROR(--ISNUMBER(SEARCH("R104",G152)),0)+IFERROR(--ISNUMBER(SEARCH("R105",G152)),0)+IFERROR(--ISNUMBER(SEARCH("R106",G152)),0)+IFERROR(--ISNUMBER(SEARCH("R107",G152)),0)+IFERROR(--ISNUMBER(SEARCH("R108",G152)),0)+IFERROR(--ISNUMBER(SEARCH("R109",G152)),0)+IFERROR(--ISNUMBER(SEARCH("R110",G152)),0)+IFERROR(--ISNUMBER(SEARCH("R111",G152)),0)+IFERROR(--ISNUMBER(SEARCH("R112",G152)),0)+IFERROR(--ISNUMBER(SEARCH("R113",G152)),0)+IFERROR(--ISNUMBER(SEARCH("R114",G152)),0)+IFERROR(--ISNUMBER(SEARCH("R115",G152)),0)+IFERROR(--ISNUMBER(SEARCH("R116",G152)),0)+IFERROR(--ISNUMBER(SEARCH("R117",G152)),0)+IFERROR(--ISNUMBER(SEARCH("R118",G152)),0)+IFERROR(--ISNUMBER(SEARCH("R119",G152)),0)+IFERROR(--ISNUMBER(SEARCH("R120",G152)),0)+IFERROR(--ISNUMBER(SEARCH("R121",G152)),0)+IFERROR(--ISNUMBER(SEARCH("R122",G152)),0)+IFERROR(--ISNUMBER(SEARCH("R123",G152)),0)+IFERROR(--ISNUMBER(SEARCH("R124",G152)),0)+IFERROR(--ISNUMBER(SEARCH("R125",G152)),0)+IFERROR(--ISNUMBER(SEARCH("R126",G152)),0)+IFERROR(--ISNUMBER(SEARCH("R127",G152)),0)+IFERROR(--ISNUMBER(SEARCH("R128",G152)),0)+IFERROR(--ISNUMBER(SEARCH("R129",G152)),0)+IFERROR(--ISNUMBER(SEARCH("R130",G152)),0)+IFERROR(--ISNUMBER(SEARCH("R131",G152)),0)+IFERROR(--ISNUMBER(SEARCH("R132",G152)),0)+IFERROR(--ISNUMBER(SEARCH("R133",G152)),0)+IFERROR(--ISNUMBER(SEARCH("R134",G152)),0)+IFERROR(--ISNUMBER(SEARCH("R135",G152)),0)+IFERROR(--ISNUMBER(SEARCH("R136",G152)),0)+IFERROR(--ISNUMBER(SEARCH("R137",G152)),0)+IFERROR(--ISNUMBER(SEARCH("R138",G152)),0)+IFERROR(--ISNUMBER(SEARCH("R139",G152)),0)+IFERROR(--ISNUMBER(SEARCH("R140",G152)),0)+IFERROR(--ISNUMBER(SEARCH("R141",G152)),0))</f>
        <v/>
      </c>
      <c r="T152" s="58">
        <f>IF(A152="","",IFERROR(--ISNUMBER(SEARCH("R28",G152)),0)+IFERROR(--ISNUMBER(SEARCH("R29",G152)),0)+IFERROR(--ISNUMBER(SEARCH("R30",G152)),0)+IFERROR(--ISNUMBER(SEARCH("R32",G152)),0)+IFERROR(--ISNUMBER(SEARCH("R33",G152)),0)+IFERROR(--ISNUMBER(SEARCH("R35",G152)),0)+IFERROR(--ISNUMBER(SEARCH("R36",G152)),0)+IFERROR(--ISNUMBER(SEARCH("R38",G152)),0)+IFERROR(--ISNUMBER(SEARCH("R39",G152)),0)+IFERROR(--ISNUMBER(SEARCH("R43",G152)),0)+IFERROR(--ISNUMBER(SEARCH("R44",G152)),0)+IFERROR(--ISNUMBER(SEARCH("R45",G152)),0)+IFERROR(--ISNUMBER(SEARCH("R47",G152)),0)+IFERROR(--ISNUMBER(SEARCH("R48",G152)),0)+IFERROR(--ISNUMBER(SEARCH("R50",G152)),0)+IFERROR(--ISNUMBER(SEARCH("R51",G152)),0)+IFERROR(--ISNUMBER(SEARCH("R56",G152)),0)+IFERROR(--ISNUMBER(SEARCH("R58",G152)),0)+IFERROR(--ISNUMBER(SEARCH("R59",G152)),0)+IFERROR(--ISNUMBER(SEARCH("R60",G152)),0)+IFERROR(--ISNUMBER(SEARCH("R62",G152)),0)+IFERROR(--ISNUMBER(SEARCH("R63",G152)),0)+IFERROR(--ISNUMBER(SEARCH("R64",G152)),0)+IFERROR(--ISNUMBER(SEARCH("R66",G152)),0)+IFERROR(--ISNUMBER(SEARCH("R67",G152)),0)+IFERROR(--ISNUMBER(SEARCH("R72",G152)),0)+IFERROR(--ISNUMBER(SEARCH("R74",G152)),0)+IFERROR(--ISNUMBER(SEARCH("R75",G152)),0)+IFERROR(--ISNUMBER(SEARCH("R76",G152)),0)+IFERROR(--ISNUMBER(SEARCH("R77",G152)),0)+IFERROR(--ISNUMBER(SEARCH("R79",G152)),0)+IFERROR(--ISNUMBER(SEARCH("R80",G152)),0)+IFERROR(--ISNUMBER(SEARCH("R81",G152)),0)+IFERROR(--ISNUMBER(SEARCH("R83",G152)),0)+IFERROR(--ISNUMBER(SEARCH("R84",G152)),0)+IFERROR(--ISNUMBER(SEARCH("R89",G152)),0)+IFERROR(--ISNUMBER(SEARCH("R94",G152)),0)+IFERROR(--ISNUMBER(SEARCH("R95",G152)),0)+IFERROR(--ISNUMBER(SEARCH("R96",G152)),0)+IFERROR(--ISNUMBER(SEARCH("R98",G152)),0)+IFERROR(--ISNUMBER(SEARCH("R99",G152)),0)+IFERROR(--ISNUMBER(SEARCH("R100",G152)),0)+IFERROR(--ISNUMBER(SEARCH("R104",G152)),0)+IFERROR(--ISNUMBER(SEARCH("R105",G152)),0)+IFERROR(--ISNUMBER(SEARCH("R107",G152)),0)+IFERROR(--ISNUMBER(SEARCH("R108",G152)),0)+IFERROR(--ISNUMBER(SEARCH("R109",G152)),0)+IFERROR(--ISNUMBER(SEARCH("R110",G152)),0)+IFERROR(--ISNUMBER(SEARCH("R112",G152)),0)+IFERROR(--ISNUMBER(SEARCH("R113",G152)),0)+IFERROR(--ISNUMBER(SEARCH("R114",G152)),0)+IFERROR(--ISNUMBER(SEARCH("R118",G152)),0)+IFERROR(--ISNUMBER(SEARCH("R119",G152)),0)+IFERROR(--ISNUMBER(SEARCH("R120",G152)),0)+IFERROR(--ISNUMBER(SEARCH("R122",G152)),0)+IFERROR(--ISNUMBER(SEARCH("R123",G152)),0)+IFERROR(--ISNUMBER(SEARCH("R124",G152)),0)+IFERROR(--ISNUMBER(SEARCH("R128",G152)),0)+IFERROR(--ISNUMBER(SEARCH("R130",G152)),0)+IFERROR(--ISNUMBER(SEARCH("R131",G152)),0)+IFERROR(--ISNUMBER(SEARCH("R132",G152)),0)+IFERROR(--ISNUMBER(SEARCH("R135",G152)),0)+IFERROR(--ISNUMBER(SEARCH("R138",G152)),0)+IFERROR(--ISNUMBER(SEARCH("R141",G152)),0))</f>
        <v/>
      </c>
      <c r="U152" s="58">
        <f>IF(A152="","",IFERROR(--ISNUMBER(SEARCH("R28",G152))*28,0)+IFERROR(--ISNUMBER(SEARCH("R29",G152))*29,0)+IFERROR(--ISNUMBER(SEARCH("R30",G152))*30,0)+IFERROR(--ISNUMBER(SEARCH("R31",G152))*31,0)+IFERROR(--ISNUMBER(SEARCH("R32",G152))*32,0)+IFERROR(--ISNUMBER(SEARCH("R33",G152))*33,0)+IFERROR(--ISNUMBER(SEARCH("R34",G152))*34,0)+IFERROR(--ISNUMBER(SEARCH("R35",G152))*35,0)+IFERROR(--ISNUMBER(SEARCH("R36",G152))*36,0)+IFERROR(--ISNUMBER(SEARCH("R37",G152))*37,0)+IFERROR(--ISNUMBER(SEARCH("R38",G152))*38,0)+IFERROR(--ISNUMBER(SEARCH("R39",G152))*39,0)+IFERROR(--ISNUMBER(SEARCH("R40",G152))*40,0)+IFERROR(--ISNUMBER(SEARCH("R41",G152))*41,0)+IFERROR(--ISNUMBER(SEARCH("R42",G152))*42,0)+IFERROR(--ISNUMBER(SEARCH("R43",G152))*43,0)+IFERROR(--ISNUMBER(SEARCH("R44",G152))*44,0)+IFERROR(--ISNUMBER(SEARCH("R45",G152))*45,0)+IFERROR(--ISNUMBER(SEARCH("R46",G152))*46,0)+IFERROR(--ISNUMBER(SEARCH("R47",G152))*47,0)+IFERROR(--ISNUMBER(SEARCH("R48",G152))*48,0)+IFERROR(--ISNUMBER(SEARCH("R49",G152))*49,0)+IFERROR(--ISNUMBER(SEARCH("R50",G152))*50,0)+IFERROR(--ISNUMBER(SEARCH("R51",G152))*51,0)+IFERROR(--ISNUMBER(SEARCH("R52",G152))*52,0)+IFERROR(--ISNUMBER(SEARCH("R53",G152))*53,0)+IFERROR(--ISNUMBER(SEARCH("R54",G152))*54,0)+IFERROR(--ISNUMBER(SEARCH("R55",G152))*55,0)+IFERROR(--ISNUMBER(SEARCH("R56",G152))*56,0)+IFERROR(--ISNUMBER(SEARCH("R57",G152))*57,0)+IFERROR(--ISNUMBER(SEARCH("R58",G152))*58,0)+IFERROR(--ISNUMBER(SEARCH("R59",G152))*59,0)+IFERROR(--ISNUMBER(SEARCH("R60",G152))*60,0)+IFERROR(--ISNUMBER(SEARCH("R61",G152))*61,0)+IFERROR(--ISNUMBER(SEARCH("R62",G152))*62,0)+IFERROR(--ISNUMBER(SEARCH("R63",G152))*63,0)+IFERROR(--ISNUMBER(SEARCH("R64",G152))*64,0)+IFERROR(--ISNUMBER(SEARCH("R65",G152))*65,0)+IFERROR(--ISNUMBER(SEARCH("R66",G152))*66,0)+IFERROR(--ISNUMBER(SEARCH("R67",G152))*67,0)+IFERROR(--ISNUMBER(SEARCH("R68",G152))*68,0)+IFERROR(--ISNUMBER(SEARCH("R69",G152))*69,0)+IFERROR(--ISNUMBER(SEARCH("R70",G152))*70,0)+IFERROR(--ISNUMBER(SEARCH("R71",G152))*71,0)+IFERROR(--ISNUMBER(SEARCH("R72",G152))*72,0)+IFERROR(--ISNUMBER(SEARCH("R73",G152))*73,0)+IFERROR(--ISNUMBER(SEARCH("R74",G152))*74,0)+IFERROR(--ISNUMBER(SEARCH("R75",G152))*75,0)+IFERROR(--ISNUMBER(SEARCH("R76",G152))*76,0)+IFERROR(--ISNUMBER(SEARCH("R77",G152))*77,0)+IFERROR(--ISNUMBER(SEARCH("R78",G152))*78,0)+IFERROR(--ISNUMBER(SEARCH("R79",G152))*79,0)+IFERROR(--ISNUMBER(SEARCH("R80",G152))*80,0)+IFERROR(--ISNUMBER(SEARCH("R81",G152))*81,0)+IFERROR(--ISNUMBER(SEARCH("R82",G152))*82,0)+IFERROR(--ISNUMBER(SEARCH("R83",G152))*83,0)+IFERROR(--ISNUMBER(SEARCH("R84",G152))*84,0)+IFERROR(--ISNUMBER(SEARCH("R85",G152))*85,0)+IFERROR(--ISNUMBER(SEARCH("R86",G152))*86,0)+IFERROR(--ISNUMBER(SEARCH("R87",G152))*87,0)+IFERROR(--ISNUMBER(SEARCH("R88",G152))*88,0)+IFERROR(--ISNUMBER(SEARCH("R89",G152))*89,0)+IFERROR(--ISNUMBER(SEARCH("R90",G152))*90,0)+IFERROR(--ISNUMBER(SEARCH("R91",G152))*91,0)+IFERROR(--ISNUMBER(SEARCH("R92",G152))*92,0)+IFERROR(--ISNUMBER(SEARCH("R93",G152))*93,0)+IFERROR(--ISNUMBER(SEARCH("R94",G152))*94,0)+IFERROR(--ISNUMBER(SEARCH("R95",G152))*95,0)+IFERROR(--ISNUMBER(SEARCH("R96",G152))*96,0)+IFERROR(--ISNUMBER(SEARCH("R97",G152))*97,0)+IFERROR(--ISNUMBER(SEARCH("R98",G152))*98,0)+IFERROR(--ISNUMBER(SEARCH("R99",G152))*99,0)+IFERROR(--ISNUMBER(SEARCH("R100",G152))*100,0)+IFERROR(--ISNUMBER(SEARCH("R101",G152))*101,0)+IFERROR(--ISNUMBER(SEARCH("R102",G152))*102,0)+IFERROR(--ISNUMBER(SEARCH("R103",G152))*103,0)+IFERROR(--ISNUMBER(SEARCH("R104",G152))*104,0)+IFERROR(--ISNUMBER(SEARCH("R105",G152))*105,0)+IFERROR(--ISNUMBER(SEARCH("R106",G152))*106,0)+IFERROR(--ISNUMBER(SEARCH("R107",G152))*107,0)+IFERROR(--ISNUMBER(SEARCH("R108",G152))*108,0)+IFERROR(--ISNUMBER(SEARCH("R109",G152))*109,0)+IFERROR(--ISNUMBER(SEARCH("R110",G152))*110,0)+IFERROR(--ISNUMBER(SEARCH("R111",G152))*111,0)+IFERROR(--ISNUMBER(SEARCH("R112",G152))*112,0)+IFERROR(--ISNUMBER(SEARCH("R113",G152))*113,0)+IFERROR(--ISNUMBER(SEARCH("R114",G152))*114,0)+IFERROR(--ISNUMBER(SEARCH("R115",G152))*115,0)+IFERROR(--ISNUMBER(SEARCH("R116",G152))*116,0)+IFERROR(--ISNUMBER(SEARCH("R117",G152))*117,0)+IFERROR(--ISNUMBER(SEARCH("R118",G152))*118,0)+IFERROR(--ISNUMBER(SEARCH("R119",G152))*119,0)+IFERROR(--ISNUMBER(SEARCH("R120",G152))*120,0)+IFERROR(--ISNUMBER(SEARCH("R121",G152))*121,0)+IFERROR(--ISNUMBER(SEARCH("R122",G152))*122,0)+IFERROR(--ISNUMBER(SEARCH("R123",G152))*123,0)+IFERROR(--ISNUMBER(SEARCH("R124",G152))*124,0)+IFERROR(--ISNUMBER(SEARCH("R125",G152))*125,0)+IFERROR(--ISNUMBER(SEARCH("R126",G152))*126,0)+IFERROR(--ISNUMBER(SEARCH("R127",G152))*127,0)+IFERROR(--ISNUMBER(SEARCH("R128",G152))*128,0)+IFERROR(--ISNUMBER(SEARCH("R129",G152))*129,0)+IFERROR(--ISNUMBER(SEARCH("R130",G152))*130,0)+IFERROR(--ISNUMBER(SEARCH("R131",G152))*131,0)+IFERROR(--ISNUMBER(SEARCH("R132",G152))*132,0)+IFERROR(--ISNUMBER(SEARCH("R133",G152))*133,0)+IFERROR(--ISNUMBER(SEARCH("R134",G152))*134,0)+IFERROR(--ISNUMBER(SEARCH("R135",G152))*135,0)+IFERROR(--ISNUMBER(SEARCH("R136",G152))*136,0)+IFERROR(--ISNUMBER(SEARCH("R137",G152))*137,0)+IFERROR(--ISNUMBER(SEARCH("R138",G152))*138,0)+IFERROR(--ISNUMBER(SEARCH("R139",G152))*139,0)+IFERROR(--ISNUMBER(SEARCH("R140",G152))*140,0)+IFERROR(--ISNUMBER(SEARCH("R141",G152))*141,0))</f>
        <v/>
      </c>
      <c r="V152" s="59">
        <f>IF(A152="","",IF(K152&lt;&gt;"",K152,J152))</f>
        <v/>
      </c>
      <c r="W152" s="59">
        <f>IF(A152="","",IF(AND(V152=29,O152&lt;&gt;"",COUNTIFS($V$6:$V$505,29,$F$6:$F$505,F152,$C$6:$C$505,C152,$O$6:$O$505,"&lt;&gt;")&gt;1),IF(COUNTIFS($V$6:V152,29,$F$6:F152,F152,$C$6:C152,C152,$O$6:O152,"&lt;&gt;")=1,"Esta es la fila que se debe CONSERVAR (aparición 1 de "&amp;COUNTIFS($V$6:$V$505,29,$F$6:$F$505,F152,$C$6:$C$505,C152,$O$6:$O$505,"&lt;&gt;")&amp;" con el mismo tercero y valor, casilla 29). Si hay más filas iguales, bórreles el valor a ELLAS, no a esta.","DUPLICADO — ya existe otra fila con el mismo tercero y valor para casilla 29 (aparición "&amp;COUNTIFS($V$6:V152,29,$F$6:F152,F152,$C$6:C152,C152,$O$6:O152,"&lt;&gt;")&amp;" de "&amp;COUNTIFS($V$6:$V$505,29,$F$6:$F$505,F152,$C$6:$C$505,C152,$O$6:$O$505,"&lt;&gt;")&amp;"). Para resolverlo: seleccione la celda O"&amp;ROW()&amp;" (columna Valor a declarar de ESTA fila) y presione Supr."),""))</f>
        <v/>
      </c>
      <c r="X152" s="463">
        <f>IF(A152="","",F152)</f>
        <v/>
      </c>
      <c r="Y152" s="463">
        <f>IF(A152="","",SUMIF(Entrada_Manual!$I$88:$I$187,A152,Entrada_Manual!$F$88:$F$187))</f>
        <v/>
      </c>
      <c r="Z152" s="463">
        <f>IF(A152="","",X152-Y152)</f>
        <v/>
      </c>
      <c r="AA152">
        <f>IF(A152="","",SUMPRODUCT((Entrada_Manual!$I$88:$I$187=A152)*1))</f>
        <v/>
      </c>
      <c r="AB152">
        <f>IF(A152="","",IF(S152&lt;=1,"",IF(AA152=0,"PENDIENTE — SIN ASIGNAR",IF(Z152=0,"RESUELTO","PARCIAL — DIFERENCIA "&amp;TEXT(Z152,"#,##0")))))</f>
        <v/>
      </c>
    </row>
    <row r="153" ht="14.25" customHeight="1" s="235">
      <c r="A153" s="47">
        <f>IF(Exogena_RAW!E162&lt;&gt;"",ROW()-5,"")</f>
        <v/>
      </c>
      <c r="B153" s="48">
        <f>IF(A153="","",162)</f>
        <v/>
      </c>
      <c r="C153" s="48">
        <f>IF(A153="","",IFERROR(Exogena_RAW!A162,""))</f>
        <v/>
      </c>
      <c r="D153" s="48">
        <f>IF(A153="","",IFERROR(Exogena_RAW!B162,""))</f>
        <v/>
      </c>
      <c r="E153" s="48">
        <f>IF(A153="","",Exogena_RAW!E162)</f>
        <v/>
      </c>
      <c r="F153" s="461">
        <f>IF(A153="","",Exogena_RAW!F162)</f>
        <v/>
      </c>
      <c r="G153" s="48">
        <f>IF(A153="","",IFERROR(Exogena_RAW!G162,""))</f>
        <v/>
      </c>
      <c r="H153" s="48">
        <f>IF(A153="","",IFERROR(Exogena_RAW!H162,""))</f>
        <v/>
      </c>
      <c r="I153" s="48">
        <f>IF(A153="","",IFERROR(IF(S153&gt;1,"VARIAS CASILLAS",IF(S153=1,IF(T153=1,"PROPUESTA DE CASILLA","REVISIÓN: CASILLA NO DIRECTA"),IF(OR(ISNUMBER(SEARCH("TOPE",UPPER(E153))),ISNUMBER(SEARCH("TOPE",UPPER(G153)))),"SOLO CONTROL",IF(ISNUMBER(SEARCH("RETEN",UPPER(E153))),"RETENCIÓN","REVISAR")))),"REVISAR"))</f>
        <v/>
      </c>
      <c r="J153" s="48">
        <f>IF(A153="","",IF(ISNUMBER(SEARCH("ingreso laboral promedio de los últimos seis meses",E153)),"",IFERROR(IF(AND(S153=1,T153=1),U153,""),"")))</f>
        <v/>
      </c>
      <c r="K153" s="216" t="n"/>
      <c r="L153" s="48">
        <f>IF(A153="","",IFERROR(IF(K153&lt;&gt;"","Casilla elegida por usuario",IF(S153&gt;1,"Varias casillas — elegir en K",IF(J153&lt;&gt;"","Sugerencia directa",IF(S153=1,"No trasladar directo — revisar",IF(OR(ISNUMBER(SEARCH("TOPE",UPPER(E153))),ISNUMBER(SEARCH("TOPE",UPPER(G153)))),"Solo control","Revisar manualmente"))))),"Revisar manualmente"))</f>
        <v/>
      </c>
      <c r="M153" s="461">
        <f>IF(A153="","",IF(IF(K153&lt;&gt;"",K153,J153)="",0,IF(COUNTIFS(Reglas!$I$5:$I$118,IF(K153&lt;&gt;"",K153,J153),Reglas!$J$5:$J$118,"Sí")=1,F153,0)))</f>
        <v/>
      </c>
      <c r="N153" s="56" t="n"/>
      <c r="O153" s="462">
        <f>IF(A153="","",IF(M153=0,"",M153))</f>
        <v/>
      </c>
      <c r="P153" s="461">
        <f>IF(A153="","",IF(O153="",0,IF(ISNUMBER(O153),O153,0)))</f>
        <v/>
      </c>
      <c r="Q153" s="48">
        <f>IF(A153="","",IF(Exogena_RAW!$C$4="","BLOQUEADO: FALTA AÑO",IF(Exogena_RAW!$K$10&lt;&gt;Reglas!$B$5,"BLOQUEADO: AÑO",IF(IF(K153&lt;&gt;"",K153,J153)="",IF(S153&gt;1,"REQUIERE ASIGNACIÓN MANUAL (VARIAS CASILLAS)","INFORMATIVO (sin casilla — no se declara)"),IF(COUNTIFS(Reglas!$I$5:$I$118,IF(K153&lt;&gt;"",K153,J153),Reglas!$J$5:$J$118,"Sí")=0,"BLOQUEADO: CASILLA NO DIRECTA",IF(O153="","EXCLUIDO (valor borrado por el usuario)",IF(_xlfn.ISFORMULA(O153),IF(W153&lt;&gt;"","BORRADOR — VALOR SUGERIDO DIAN ⚠ VER ALERTA","BORRADOR — VALOR SUGERIDO DIAN"),IF(W153&lt;&gt;"","ACEPTADO ⚠ VER ALERTA","ACEPTADO"))))))))</f>
        <v/>
      </c>
      <c r="R153" s="218" t="n"/>
      <c r="S153" s="58">
        <f>IF(A153="","",IFERROR(--ISNUMBER(SEARCH("R28",G153)),0)+IFERROR(--ISNUMBER(SEARCH("R29",G153)),0)+IFERROR(--ISNUMBER(SEARCH("R30",G153)),0)+IFERROR(--ISNUMBER(SEARCH("R31",G153)),0)+IFERROR(--ISNUMBER(SEARCH("R32",G153)),0)+IFERROR(--ISNUMBER(SEARCH("R33",G153)),0)+IFERROR(--ISNUMBER(SEARCH("R34",G153)),0)+IFERROR(--ISNUMBER(SEARCH("R35",G153)),0)+IFERROR(--ISNUMBER(SEARCH("R36",G153)),0)+IFERROR(--ISNUMBER(SEARCH("R37",G153)),0)+IFERROR(--ISNUMBER(SEARCH("R38",G153)),0)+IFERROR(--ISNUMBER(SEARCH("R39",G153)),0)+IFERROR(--ISNUMBER(SEARCH("R40",G153)),0)+IFERROR(--ISNUMBER(SEARCH("R41",G153)),0)+IFERROR(--ISNUMBER(SEARCH("R42",G153)),0)+IFERROR(--ISNUMBER(SEARCH("R43",G153)),0)+IFERROR(--ISNUMBER(SEARCH("R44",G153)),0)+IFERROR(--ISNUMBER(SEARCH("R45",G153)),0)+IFERROR(--ISNUMBER(SEARCH("R46",G153)),0)+IFERROR(--ISNUMBER(SEARCH("R47",G153)),0)+IFERROR(--ISNUMBER(SEARCH("R48",G153)),0)+IFERROR(--ISNUMBER(SEARCH("R49",G153)),0)+IFERROR(--ISNUMBER(SEARCH("R50",G153)),0)+IFERROR(--ISNUMBER(SEARCH("R51",G153)),0)+IFERROR(--ISNUMBER(SEARCH("R52",G153)),0)+IFERROR(--ISNUMBER(SEARCH("R53",G153)),0)+IFERROR(--ISNUMBER(SEARCH("R54",G153)),0)+IFERROR(--ISNUMBER(SEARCH("R55",G153)),0)+IFERROR(--ISNUMBER(SEARCH("R56",G153)),0)+IFERROR(--ISNUMBER(SEARCH("R57",G153)),0)+IFERROR(--ISNUMBER(SEARCH("R58",G153)),0)+IFERROR(--ISNUMBER(SEARCH("R59",G153)),0)+IFERROR(--ISNUMBER(SEARCH("R60",G153)),0)+IFERROR(--ISNUMBER(SEARCH("R61",G153)),0)+IFERROR(--ISNUMBER(SEARCH("R62",G153)),0)+IFERROR(--ISNUMBER(SEARCH("R63",G153)),0)+IFERROR(--ISNUMBER(SEARCH("R64",G153)),0)+IFERROR(--ISNUMBER(SEARCH("R65",G153)),0)+IFERROR(--ISNUMBER(SEARCH("R66",G153)),0)+IFERROR(--ISNUMBER(SEARCH("R67",G153)),0)+IFERROR(--ISNUMBER(SEARCH("R68",G153)),0)+IFERROR(--ISNUMBER(SEARCH("R69",G153)),0)+IFERROR(--ISNUMBER(SEARCH("R70",G153)),0)+IFERROR(--ISNUMBER(SEARCH("R71",G153)),0)+IFERROR(--ISNUMBER(SEARCH("R72",G153)),0)+IFERROR(--ISNUMBER(SEARCH("R73",G153)),0)+IFERROR(--ISNUMBER(SEARCH("R74",G153)),0)+IFERROR(--ISNUMBER(SEARCH("R75",G153)),0)+IFERROR(--ISNUMBER(SEARCH("R76",G153)),0)+IFERROR(--ISNUMBER(SEARCH("R77",G153)),0)+IFERROR(--ISNUMBER(SEARCH("R78",G153)),0)+IFERROR(--ISNUMBER(SEARCH("R79",G153)),0)+IFERROR(--ISNUMBER(SEARCH("R80",G153)),0)+IFERROR(--ISNUMBER(SEARCH("R81",G153)),0)+IFERROR(--ISNUMBER(SEARCH("R82",G153)),0)+IFERROR(--ISNUMBER(SEARCH("R83",G153)),0)+IFERROR(--ISNUMBER(SEARCH("R84",G153)),0)+IFERROR(--ISNUMBER(SEARCH("R85",G153)),0)+IFERROR(--ISNUMBER(SEARCH("R86",G153)),0)+IFERROR(--ISNUMBER(SEARCH("R87",G153)),0)+IFERROR(--ISNUMBER(SEARCH("R88",G153)),0)+IFERROR(--ISNUMBER(SEARCH("R89",G153)),0)+IFERROR(--ISNUMBER(SEARCH("R90",G153)),0)+IFERROR(--ISNUMBER(SEARCH("R91",G153)),0)+IFERROR(--ISNUMBER(SEARCH("R92",G153)),0)+IFERROR(--ISNUMBER(SEARCH("R93",G153)),0)+IFERROR(--ISNUMBER(SEARCH("R94",G153)),0)+IFERROR(--ISNUMBER(SEARCH("R95",G153)),0)+IFERROR(--ISNUMBER(SEARCH("R96",G153)),0)+IFERROR(--ISNUMBER(SEARCH("R97",G153)),0)+IFERROR(--ISNUMBER(SEARCH("R98",G153)),0)+IFERROR(--ISNUMBER(SEARCH("R99",G153)),0)+IFERROR(--ISNUMBER(SEARCH("R100",G153)),0)+IFERROR(--ISNUMBER(SEARCH("R101",G153)),0)+IFERROR(--ISNUMBER(SEARCH("R102",G153)),0)+IFERROR(--ISNUMBER(SEARCH("R103",G153)),0)+IFERROR(--ISNUMBER(SEARCH("R104",G153)),0)+IFERROR(--ISNUMBER(SEARCH("R105",G153)),0)+IFERROR(--ISNUMBER(SEARCH("R106",G153)),0)+IFERROR(--ISNUMBER(SEARCH("R107",G153)),0)+IFERROR(--ISNUMBER(SEARCH("R108",G153)),0)+IFERROR(--ISNUMBER(SEARCH("R109",G153)),0)+IFERROR(--ISNUMBER(SEARCH("R110",G153)),0)+IFERROR(--ISNUMBER(SEARCH("R111",G153)),0)+IFERROR(--ISNUMBER(SEARCH("R112",G153)),0)+IFERROR(--ISNUMBER(SEARCH("R113",G153)),0)+IFERROR(--ISNUMBER(SEARCH("R114",G153)),0)+IFERROR(--ISNUMBER(SEARCH("R115",G153)),0)+IFERROR(--ISNUMBER(SEARCH("R116",G153)),0)+IFERROR(--ISNUMBER(SEARCH("R117",G153)),0)+IFERROR(--ISNUMBER(SEARCH("R118",G153)),0)+IFERROR(--ISNUMBER(SEARCH("R119",G153)),0)+IFERROR(--ISNUMBER(SEARCH("R120",G153)),0)+IFERROR(--ISNUMBER(SEARCH("R121",G153)),0)+IFERROR(--ISNUMBER(SEARCH("R122",G153)),0)+IFERROR(--ISNUMBER(SEARCH("R123",G153)),0)+IFERROR(--ISNUMBER(SEARCH("R124",G153)),0)+IFERROR(--ISNUMBER(SEARCH("R125",G153)),0)+IFERROR(--ISNUMBER(SEARCH("R126",G153)),0)+IFERROR(--ISNUMBER(SEARCH("R127",G153)),0)+IFERROR(--ISNUMBER(SEARCH("R128",G153)),0)+IFERROR(--ISNUMBER(SEARCH("R129",G153)),0)+IFERROR(--ISNUMBER(SEARCH("R130",G153)),0)+IFERROR(--ISNUMBER(SEARCH("R131",G153)),0)+IFERROR(--ISNUMBER(SEARCH("R132",G153)),0)+IFERROR(--ISNUMBER(SEARCH("R133",G153)),0)+IFERROR(--ISNUMBER(SEARCH("R134",G153)),0)+IFERROR(--ISNUMBER(SEARCH("R135",G153)),0)+IFERROR(--ISNUMBER(SEARCH("R136",G153)),0)+IFERROR(--ISNUMBER(SEARCH("R137",G153)),0)+IFERROR(--ISNUMBER(SEARCH("R138",G153)),0)+IFERROR(--ISNUMBER(SEARCH("R139",G153)),0)+IFERROR(--ISNUMBER(SEARCH("R140",G153)),0)+IFERROR(--ISNUMBER(SEARCH("R141",G153)),0))</f>
        <v/>
      </c>
      <c r="T153" s="58">
        <f>IF(A153="","",IFERROR(--ISNUMBER(SEARCH("R28",G153)),0)+IFERROR(--ISNUMBER(SEARCH("R29",G153)),0)+IFERROR(--ISNUMBER(SEARCH("R30",G153)),0)+IFERROR(--ISNUMBER(SEARCH("R32",G153)),0)+IFERROR(--ISNUMBER(SEARCH("R33",G153)),0)+IFERROR(--ISNUMBER(SEARCH("R35",G153)),0)+IFERROR(--ISNUMBER(SEARCH("R36",G153)),0)+IFERROR(--ISNUMBER(SEARCH("R38",G153)),0)+IFERROR(--ISNUMBER(SEARCH("R39",G153)),0)+IFERROR(--ISNUMBER(SEARCH("R43",G153)),0)+IFERROR(--ISNUMBER(SEARCH("R44",G153)),0)+IFERROR(--ISNUMBER(SEARCH("R45",G153)),0)+IFERROR(--ISNUMBER(SEARCH("R47",G153)),0)+IFERROR(--ISNUMBER(SEARCH("R48",G153)),0)+IFERROR(--ISNUMBER(SEARCH("R50",G153)),0)+IFERROR(--ISNUMBER(SEARCH("R51",G153)),0)+IFERROR(--ISNUMBER(SEARCH("R56",G153)),0)+IFERROR(--ISNUMBER(SEARCH("R58",G153)),0)+IFERROR(--ISNUMBER(SEARCH("R59",G153)),0)+IFERROR(--ISNUMBER(SEARCH("R60",G153)),0)+IFERROR(--ISNUMBER(SEARCH("R62",G153)),0)+IFERROR(--ISNUMBER(SEARCH("R63",G153)),0)+IFERROR(--ISNUMBER(SEARCH("R64",G153)),0)+IFERROR(--ISNUMBER(SEARCH("R66",G153)),0)+IFERROR(--ISNUMBER(SEARCH("R67",G153)),0)+IFERROR(--ISNUMBER(SEARCH("R72",G153)),0)+IFERROR(--ISNUMBER(SEARCH("R74",G153)),0)+IFERROR(--ISNUMBER(SEARCH("R75",G153)),0)+IFERROR(--ISNUMBER(SEARCH("R76",G153)),0)+IFERROR(--ISNUMBER(SEARCH("R77",G153)),0)+IFERROR(--ISNUMBER(SEARCH("R79",G153)),0)+IFERROR(--ISNUMBER(SEARCH("R80",G153)),0)+IFERROR(--ISNUMBER(SEARCH("R81",G153)),0)+IFERROR(--ISNUMBER(SEARCH("R83",G153)),0)+IFERROR(--ISNUMBER(SEARCH("R84",G153)),0)+IFERROR(--ISNUMBER(SEARCH("R89",G153)),0)+IFERROR(--ISNUMBER(SEARCH("R94",G153)),0)+IFERROR(--ISNUMBER(SEARCH("R95",G153)),0)+IFERROR(--ISNUMBER(SEARCH("R96",G153)),0)+IFERROR(--ISNUMBER(SEARCH("R98",G153)),0)+IFERROR(--ISNUMBER(SEARCH("R99",G153)),0)+IFERROR(--ISNUMBER(SEARCH("R100",G153)),0)+IFERROR(--ISNUMBER(SEARCH("R104",G153)),0)+IFERROR(--ISNUMBER(SEARCH("R105",G153)),0)+IFERROR(--ISNUMBER(SEARCH("R107",G153)),0)+IFERROR(--ISNUMBER(SEARCH("R108",G153)),0)+IFERROR(--ISNUMBER(SEARCH("R109",G153)),0)+IFERROR(--ISNUMBER(SEARCH("R110",G153)),0)+IFERROR(--ISNUMBER(SEARCH("R112",G153)),0)+IFERROR(--ISNUMBER(SEARCH("R113",G153)),0)+IFERROR(--ISNUMBER(SEARCH("R114",G153)),0)+IFERROR(--ISNUMBER(SEARCH("R118",G153)),0)+IFERROR(--ISNUMBER(SEARCH("R119",G153)),0)+IFERROR(--ISNUMBER(SEARCH("R120",G153)),0)+IFERROR(--ISNUMBER(SEARCH("R122",G153)),0)+IFERROR(--ISNUMBER(SEARCH("R123",G153)),0)+IFERROR(--ISNUMBER(SEARCH("R124",G153)),0)+IFERROR(--ISNUMBER(SEARCH("R128",G153)),0)+IFERROR(--ISNUMBER(SEARCH("R130",G153)),0)+IFERROR(--ISNUMBER(SEARCH("R131",G153)),0)+IFERROR(--ISNUMBER(SEARCH("R132",G153)),0)+IFERROR(--ISNUMBER(SEARCH("R135",G153)),0)+IFERROR(--ISNUMBER(SEARCH("R138",G153)),0)+IFERROR(--ISNUMBER(SEARCH("R141",G153)),0))</f>
        <v/>
      </c>
      <c r="U153" s="58">
        <f>IF(A153="","",IFERROR(--ISNUMBER(SEARCH("R28",G153))*28,0)+IFERROR(--ISNUMBER(SEARCH("R29",G153))*29,0)+IFERROR(--ISNUMBER(SEARCH("R30",G153))*30,0)+IFERROR(--ISNUMBER(SEARCH("R31",G153))*31,0)+IFERROR(--ISNUMBER(SEARCH("R32",G153))*32,0)+IFERROR(--ISNUMBER(SEARCH("R33",G153))*33,0)+IFERROR(--ISNUMBER(SEARCH("R34",G153))*34,0)+IFERROR(--ISNUMBER(SEARCH("R35",G153))*35,0)+IFERROR(--ISNUMBER(SEARCH("R36",G153))*36,0)+IFERROR(--ISNUMBER(SEARCH("R37",G153))*37,0)+IFERROR(--ISNUMBER(SEARCH("R38",G153))*38,0)+IFERROR(--ISNUMBER(SEARCH("R39",G153))*39,0)+IFERROR(--ISNUMBER(SEARCH("R40",G153))*40,0)+IFERROR(--ISNUMBER(SEARCH("R41",G153))*41,0)+IFERROR(--ISNUMBER(SEARCH("R42",G153))*42,0)+IFERROR(--ISNUMBER(SEARCH("R43",G153))*43,0)+IFERROR(--ISNUMBER(SEARCH("R44",G153))*44,0)+IFERROR(--ISNUMBER(SEARCH("R45",G153))*45,0)+IFERROR(--ISNUMBER(SEARCH("R46",G153))*46,0)+IFERROR(--ISNUMBER(SEARCH("R47",G153))*47,0)+IFERROR(--ISNUMBER(SEARCH("R48",G153))*48,0)+IFERROR(--ISNUMBER(SEARCH("R49",G153))*49,0)+IFERROR(--ISNUMBER(SEARCH("R50",G153))*50,0)+IFERROR(--ISNUMBER(SEARCH("R51",G153))*51,0)+IFERROR(--ISNUMBER(SEARCH("R52",G153))*52,0)+IFERROR(--ISNUMBER(SEARCH("R53",G153))*53,0)+IFERROR(--ISNUMBER(SEARCH("R54",G153))*54,0)+IFERROR(--ISNUMBER(SEARCH("R55",G153))*55,0)+IFERROR(--ISNUMBER(SEARCH("R56",G153))*56,0)+IFERROR(--ISNUMBER(SEARCH("R57",G153))*57,0)+IFERROR(--ISNUMBER(SEARCH("R58",G153))*58,0)+IFERROR(--ISNUMBER(SEARCH("R59",G153))*59,0)+IFERROR(--ISNUMBER(SEARCH("R60",G153))*60,0)+IFERROR(--ISNUMBER(SEARCH("R61",G153))*61,0)+IFERROR(--ISNUMBER(SEARCH("R62",G153))*62,0)+IFERROR(--ISNUMBER(SEARCH("R63",G153))*63,0)+IFERROR(--ISNUMBER(SEARCH("R64",G153))*64,0)+IFERROR(--ISNUMBER(SEARCH("R65",G153))*65,0)+IFERROR(--ISNUMBER(SEARCH("R66",G153))*66,0)+IFERROR(--ISNUMBER(SEARCH("R67",G153))*67,0)+IFERROR(--ISNUMBER(SEARCH("R68",G153))*68,0)+IFERROR(--ISNUMBER(SEARCH("R69",G153))*69,0)+IFERROR(--ISNUMBER(SEARCH("R70",G153))*70,0)+IFERROR(--ISNUMBER(SEARCH("R71",G153))*71,0)+IFERROR(--ISNUMBER(SEARCH("R72",G153))*72,0)+IFERROR(--ISNUMBER(SEARCH("R73",G153))*73,0)+IFERROR(--ISNUMBER(SEARCH("R74",G153))*74,0)+IFERROR(--ISNUMBER(SEARCH("R75",G153))*75,0)+IFERROR(--ISNUMBER(SEARCH("R76",G153))*76,0)+IFERROR(--ISNUMBER(SEARCH("R77",G153))*77,0)+IFERROR(--ISNUMBER(SEARCH("R78",G153))*78,0)+IFERROR(--ISNUMBER(SEARCH("R79",G153))*79,0)+IFERROR(--ISNUMBER(SEARCH("R80",G153))*80,0)+IFERROR(--ISNUMBER(SEARCH("R81",G153))*81,0)+IFERROR(--ISNUMBER(SEARCH("R82",G153))*82,0)+IFERROR(--ISNUMBER(SEARCH("R83",G153))*83,0)+IFERROR(--ISNUMBER(SEARCH("R84",G153))*84,0)+IFERROR(--ISNUMBER(SEARCH("R85",G153))*85,0)+IFERROR(--ISNUMBER(SEARCH("R86",G153))*86,0)+IFERROR(--ISNUMBER(SEARCH("R87",G153))*87,0)+IFERROR(--ISNUMBER(SEARCH("R88",G153))*88,0)+IFERROR(--ISNUMBER(SEARCH("R89",G153))*89,0)+IFERROR(--ISNUMBER(SEARCH("R90",G153))*90,0)+IFERROR(--ISNUMBER(SEARCH("R91",G153))*91,0)+IFERROR(--ISNUMBER(SEARCH("R92",G153))*92,0)+IFERROR(--ISNUMBER(SEARCH("R93",G153))*93,0)+IFERROR(--ISNUMBER(SEARCH("R94",G153))*94,0)+IFERROR(--ISNUMBER(SEARCH("R95",G153))*95,0)+IFERROR(--ISNUMBER(SEARCH("R96",G153))*96,0)+IFERROR(--ISNUMBER(SEARCH("R97",G153))*97,0)+IFERROR(--ISNUMBER(SEARCH("R98",G153))*98,0)+IFERROR(--ISNUMBER(SEARCH("R99",G153))*99,0)+IFERROR(--ISNUMBER(SEARCH("R100",G153))*100,0)+IFERROR(--ISNUMBER(SEARCH("R101",G153))*101,0)+IFERROR(--ISNUMBER(SEARCH("R102",G153))*102,0)+IFERROR(--ISNUMBER(SEARCH("R103",G153))*103,0)+IFERROR(--ISNUMBER(SEARCH("R104",G153))*104,0)+IFERROR(--ISNUMBER(SEARCH("R105",G153))*105,0)+IFERROR(--ISNUMBER(SEARCH("R106",G153))*106,0)+IFERROR(--ISNUMBER(SEARCH("R107",G153))*107,0)+IFERROR(--ISNUMBER(SEARCH("R108",G153))*108,0)+IFERROR(--ISNUMBER(SEARCH("R109",G153))*109,0)+IFERROR(--ISNUMBER(SEARCH("R110",G153))*110,0)+IFERROR(--ISNUMBER(SEARCH("R111",G153))*111,0)+IFERROR(--ISNUMBER(SEARCH("R112",G153))*112,0)+IFERROR(--ISNUMBER(SEARCH("R113",G153))*113,0)+IFERROR(--ISNUMBER(SEARCH("R114",G153))*114,0)+IFERROR(--ISNUMBER(SEARCH("R115",G153))*115,0)+IFERROR(--ISNUMBER(SEARCH("R116",G153))*116,0)+IFERROR(--ISNUMBER(SEARCH("R117",G153))*117,0)+IFERROR(--ISNUMBER(SEARCH("R118",G153))*118,0)+IFERROR(--ISNUMBER(SEARCH("R119",G153))*119,0)+IFERROR(--ISNUMBER(SEARCH("R120",G153))*120,0)+IFERROR(--ISNUMBER(SEARCH("R121",G153))*121,0)+IFERROR(--ISNUMBER(SEARCH("R122",G153))*122,0)+IFERROR(--ISNUMBER(SEARCH("R123",G153))*123,0)+IFERROR(--ISNUMBER(SEARCH("R124",G153))*124,0)+IFERROR(--ISNUMBER(SEARCH("R125",G153))*125,0)+IFERROR(--ISNUMBER(SEARCH("R126",G153))*126,0)+IFERROR(--ISNUMBER(SEARCH("R127",G153))*127,0)+IFERROR(--ISNUMBER(SEARCH("R128",G153))*128,0)+IFERROR(--ISNUMBER(SEARCH("R129",G153))*129,0)+IFERROR(--ISNUMBER(SEARCH("R130",G153))*130,0)+IFERROR(--ISNUMBER(SEARCH("R131",G153))*131,0)+IFERROR(--ISNUMBER(SEARCH("R132",G153))*132,0)+IFERROR(--ISNUMBER(SEARCH("R133",G153))*133,0)+IFERROR(--ISNUMBER(SEARCH("R134",G153))*134,0)+IFERROR(--ISNUMBER(SEARCH("R135",G153))*135,0)+IFERROR(--ISNUMBER(SEARCH("R136",G153))*136,0)+IFERROR(--ISNUMBER(SEARCH("R137",G153))*137,0)+IFERROR(--ISNUMBER(SEARCH("R138",G153))*138,0)+IFERROR(--ISNUMBER(SEARCH("R139",G153))*139,0)+IFERROR(--ISNUMBER(SEARCH("R140",G153))*140,0)+IFERROR(--ISNUMBER(SEARCH("R141",G153))*141,0))</f>
        <v/>
      </c>
      <c r="V153" s="59">
        <f>IF(A153="","",IF(K153&lt;&gt;"",K153,J153))</f>
        <v/>
      </c>
      <c r="W153" s="59">
        <f>IF(A153="","",IF(AND(V153=29,O153&lt;&gt;"",COUNTIFS($V$6:$V$505,29,$F$6:$F$505,F153,$C$6:$C$505,C153,$O$6:$O$505,"&lt;&gt;")&gt;1),IF(COUNTIFS($V$6:V153,29,$F$6:F153,F153,$C$6:C153,C153,$O$6:O153,"&lt;&gt;")=1,"Esta es la fila que se debe CONSERVAR (aparición 1 de "&amp;COUNTIFS($V$6:$V$505,29,$F$6:$F$505,F153,$C$6:$C$505,C153,$O$6:$O$505,"&lt;&gt;")&amp;" con el mismo tercero y valor, casilla 29). Si hay más filas iguales, bórreles el valor a ELLAS, no a esta.","DUPLICADO — ya existe otra fila con el mismo tercero y valor para casilla 29 (aparición "&amp;COUNTIFS($V$6:V153,29,$F$6:F153,F153,$C$6:C153,C153,$O$6:O153,"&lt;&gt;")&amp;" de "&amp;COUNTIFS($V$6:$V$505,29,$F$6:$F$505,F153,$C$6:$C$505,C153,$O$6:$O$505,"&lt;&gt;")&amp;"). Para resolverlo: seleccione la celda O"&amp;ROW()&amp;" (columna Valor a declarar de ESTA fila) y presione Supr."),""))</f>
        <v/>
      </c>
      <c r="X153" s="463">
        <f>IF(A153="","",F153)</f>
        <v/>
      </c>
      <c r="Y153" s="463">
        <f>IF(A153="","",SUMIF(Entrada_Manual!$I$88:$I$187,A153,Entrada_Manual!$F$88:$F$187))</f>
        <v/>
      </c>
      <c r="Z153" s="463">
        <f>IF(A153="","",X153-Y153)</f>
        <v/>
      </c>
      <c r="AA153">
        <f>IF(A153="","",SUMPRODUCT((Entrada_Manual!$I$88:$I$187=A153)*1))</f>
        <v/>
      </c>
      <c r="AB153">
        <f>IF(A153="","",IF(S153&lt;=1,"",IF(AA153=0,"PENDIENTE — SIN ASIGNAR",IF(Z153=0,"RESUELTO","PARCIAL — DIFERENCIA "&amp;TEXT(Z153,"#,##0")))))</f>
        <v/>
      </c>
    </row>
    <row r="154" ht="14.25" customHeight="1" s="235">
      <c r="A154" s="47">
        <f>IF(Exogena_RAW!E163&lt;&gt;"",ROW()-5,"")</f>
        <v/>
      </c>
      <c r="B154" s="48">
        <f>IF(A154="","",163)</f>
        <v/>
      </c>
      <c r="C154" s="48">
        <f>IF(A154="","",IFERROR(Exogena_RAW!A163,""))</f>
        <v/>
      </c>
      <c r="D154" s="48">
        <f>IF(A154="","",IFERROR(Exogena_RAW!B163,""))</f>
        <v/>
      </c>
      <c r="E154" s="48">
        <f>IF(A154="","",Exogena_RAW!E163)</f>
        <v/>
      </c>
      <c r="F154" s="461">
        <f>IF(A154="","",Exogena_RAW!F163)</f>
        <v/>
      </c>
      <c r="G154" s="48">
        <f>IF(A154="","",IFERROR(Exogena_RAW!G163,""))</f>
        <v/>
      </c>
      <c r="H154" s="48">
        <f>IF(A154="","",IFERROR(Exogena_RAW!H163,""))</f>
        <v/>
      </c>
      <c r="I154" s="48">
        <f>IF(A154="","",IFERROR(IF(S154&gt;1,"VARIAS CASILLAS",IF(S154=1,IF(T154=1,"PROPUESTA DE CASILLA","REVISIÓN: CASILLA NO DIRECTA"),IF(OR(ISNUMBER(SEARCH("TOPE",UPPER(E154))),ISNUMBER(SEARCH("TOPE",UPPER(G154)))),"SOLO CONTROL",IF(ISNUMBER(SEARCH("RETEN",UPPER(E154))),"RETENCIÓN","REVISAR")))),"REVISAR"))</f>
        <v/>
      </c>
      <c r="J154" s="48">
        <f>IF(A154="","",IF(ISNUMBER(SEARCH("ingreso laboral promedio de los últimos seis meses",E154)),"",IFERROR(IF(AND(S154=1,T154=1),U154,""),"")))</f>
        <v/>
      </c>
      <c r="K154" s="216" t="n"/>
      <c r="L154" s="48">
        <f>IF(A154="","",IFERROR(IF(K154&lt;&gt;"","Casilla elegida por usuario",IF(S154&gt;1,"Varias casillas — elegir en K",IF(J154&lt;&gt;"","Sugerencia directa",IF(S154=1,"No trasladar directo — revisar",IF(OR(ISNUMBER(SEARCH("TOPE",UPPER(E154))),ISNUMBER(SEARCH("TOPE",UPPER(G154)))),"Solo control","Revisar manualmente"))))),"Revisar manualmente"))</f>
        <v/>
      </c>
      <c r="M154" s="461">
        <f>IF(A154="","",IF(IF(K154&lt;&gt;"",K154,J154)="",0,IF(COUNTIFS(Reglas!$I$5:$I$118,IF(K154&lt;&gt;"",K154,J154),Reglas!$J$5:$J$118,"Sí")=1,F154,0)))</f>
        <v/>
      </c>
      <c r="N154" s="56" t="n"/>
      <c r="O154" s="462">
        <f>IF(A154="","",IF(M154=0,"",M154))</f>
        <v/>
      </c>
      <c r="P154" s="461">
        <f>IF(A154="","",IF(O154="",0,IF(ISNUMBER(O154),O154,0)))</f>
        <v/>
      </c>
      <c r="Q154" s="48">
        <f>IF(A154="","",IF(Exogena_RAW!$C$4="","BLOQUEADO: FALTA AÑO",IF(Exogena_RAW!$K$10&lt;&gt;Reglas!$B$5,"BLOQUEADO: AÑO",IF(IF(K154&lt;&gt;"",K154,J154)="",IF(S154&gt;1,"REQUIERE ASIGNACIÓN MANUAL (VARIAS CASILLAS)","INFORMATIVO (sin casilla — no se declara)"),IF(COUNTIFS(Reglas!$I$5:$I$118,IF(K154&lt;&gt;"",K154,J154),Reglas!$J$5:$J$118,"Sí")=0,"BLOQUEADO: CASILLA NO DIRECTA",IF(O154="","EXCLUIDO (valor borrado por el usuario)",IF(_xlfn.ISFORMULA(O154),IF(W154&lt;&gt;"","BORRADOR — VALOR SUGERIDO DIAN ⚠ VER ALERTA","BORRADOR — VALOR SUGERIDO DIAN"),IF(W154&lt;&gt;"","ACEPTADO ⚠ VER ALERTA","ACEPTADO"))))))))</f>
        <v/>
      </c>
      <c r="R154" s="218" t="n"/>
      <c r="S154" s="58">
        <f>IF(A154="","",IFERROR(--ISNUMBER(SEARCH("R28",G154)),0)+IFERROR(--ISNUMBER(SEARCH("R29",G154)),0)+IFERROR(--ISNUMBER(SEARCH("R30",G154)),0)+IFERROR(--ISNUMBER(SEARCH("R31",G154)),0)+IFERROR(--ISNUMBER(SEARCH("R32",G154)),0)+IFERROR(--ISNUMBER(SEARCH("R33",G154)),0)+IFERROR(--ISNUMBER(SEARCH("R34",G154)),0)+IFERROR(--ISNUMBER(SEARCH("R35",G154)),0)+IFERROR(--ISNUMBER(SEARCH("R36",G154)),0)+IFERROR(--ISNUMBER(SEARCH("R37",G154)),0)+IFERROR(--ISNUMBER(SEARCH("R38",G154)),0)+IFERROR(--ISNUMBER(SEARCH("R39",G154)),0)+IFERROR(--ISNUMBER(SEARCH("R40",G154)),0)+IFERROR(--ISNUMBER(SEARCH("R41",G154)),0)+IFERROR(--ISNUMBER(SEARCH("R42",G154)),0)+IFERROR(--ISNUMBER(SEARCH("R43",G154)),0)+IFERROR(--ISNUMBER(SEARCH("R44",G154)),0)+IFERROR(--ISNUMBER(SEARCH("R45",G154)),0)+IFERROR(--ISNUMBER(SEARCH("R46",G154)),0)+IFERROR(--ISNUMBER(SEARCH("R47",G154)),0)+IFERROR(--ISNUMBER(SEARCH("R48",G154)),0)+IFERROR(--ISNUMBER(SEARCH("R49",G154)),0)+IFERROR(--ISNUMBER(SEARCH("R50",G154)),0)+IFERROR(--ISNUMBER(SEARCH("R51",G154)),0)+IFERROR(--ISNUMBER(SEARCH("R52",G154)),0)+IFERROR(--ISNUMBER(SEARCH("R53",G154)),0)+IFERROR(--ISNUMBER(SEARCH("R54",G154)),0)+IFERROR(--ISNUMBER(SEARCH("R55",G154)),0)+IFERROR(--ISNUMBER(SEARCH("R56",G154)),0)+IFERROR(--ISNUMBER(SEARCH("R57",G154)),0)+IFERROR(--ISNUMBER(SEARCH("R58",G154)),0)+IFERROR(--ISNUMBER(SEARCH("R59",G154)),0)+IFERROR(--ISNUMBER(SEARCH("R60",G154)),0)+IFERROR(--ISNUMBER(SEARCH("R61",G154)),0)+IFERROR(--ISNUMBER(SEARCH("R62",G154)),0)+IFERROR(--ISNUMBER(SEARCH("R63",G154)),0)+IFERROR(--ISNUMBER(SEARCH("R64",G154)),0)+IFERROR(--ISNUMBER(SEARCH("R65",G154)),0)+IFERROR(--ISNUMBER(SEARCH("R66",G154)),0)+IFERROR(--ISNUMBER(SEARCH("R67",G154)),0)+IFERROR(--ISNUMBER(SEARCH("R68",G154)),0)+IFERROR(--ISNUMBER(SEARCH("R69",G154)),0)+IFERROR(--ISNUMBER(SEARCH("R70",G154)),0)+IFERROR(--ISNUMBER(SEARCH("R71",G154)),0)+IFERROR(--ISNUMBER(SEARCH("R72",G154)),0)+IFERROR(--ISNUMBER(SEARCH("R73",G154)),0)+IFERROR(--ISNUMBER(SEARCH("R74",G154)),0)+IFERROR(--ISNUMBER(SEARCH("R75",G154)),0)+IFERROR(--ISNUMBER(SEARCH("R76",G154)),0)+IFERROR(--ISNUMBER(SEARCH("R77",G154)),0)+IFERROR(--ISNUMBER(SEARCH("R78",G154)),0)+IFERROR(--ISNUMBER(SEARCH("R79",G154)),0)+IFERROR(--ISNUMBER(SEARCH("R80",G154)),0)+IFERROR(--ISNUMBER(SEARCH("R81",G154)),0)+IFERROR(--ISNUMBER(SEARCH("R82",G154)),0)+IFERROR(--ISNUMBER(SEARCH("R83",G154)),0)+IFERROR(--ISNUMBER(SEARCH("R84",G154)),0)+IFERROR(--ISNUMBER(SEARCH("R85",G154)),0)+IFERROR(--ISNUMBER(SEARCH("R86",G154)),0)+IFERROR(--ISNUMBER(SEARCH("R87",G154)),0)+IFERROR(--ISNUMBER(SEARCH("R88",G154)),0)+IFERROR(--ISNUMBER(SEARCH("R89",G154)),0)+IFERROR(--ISNUMBER(SEARCH("R90",G154)),0)+IFERROR(--ISNUMBER(SEARCH("R91",G154)),0)+IFERROR(--ISNUMBER(SEARCH("R92",G154)),0)+IFERROR(--ISNUMBER(SEARCH("R93",G154)),0)+IFERROR(--ISNUMBER(SEARCH("R94",G154)),0)+IFERROR(--ISNUMBER(SEARCH("R95",G154)),0)+IFERROR(--ISNUMBER(SEARCH("R96",G154)),0)+IFERROR(--ISNUMBER(SEARCH("R97",G154)),0)+IFERROR(--ISNUMBER(SEARCH("R98",G154)),0)+IFERROR(--ISNUMBER(SEARCH("R99",G154)),0)+IFERROR(--ISNUMBER(SEARCH("R100",G154)),0)+IFERROR(--ISNUMBER(SEARCH("R101",G154)),0)+IFERROR(--ISNUMBER(SEARCH("R102",G154)),0)+IFERROR(--ISNUMBER(SEARCH("R103",G154)),0)+IFERROR(--ISNUMBER(SEARCH("R104",G154)),0)+IFERROR(--ISNUMBER(SEARCH("R105",G154)),0)+IFERROR(--ISNUMBER(SEARCH("R106",G154)),0)+IFERROR(--ISNUMBER(SEARCH("R107",G154)),0)+IFERROR(--ISNUMBER(SEARCH("R108",G154)),0)+IFERROR(--ISNUMBER(SEARCH("R109",G154)),0)+IFERROR(--ISNUMBER(SEARCH("R110",G154)),0)+IFERROR(--ISNUMBER(SEARCH("R111",G154)),0)+IFERROR(--ISNUMBER(SEARCH("R112",G154)),0)+IFERROR(--ISNUMBER(SEARCH("R113",G154)),0)+IFERROR(--ISNUMBER(SEARCH("R114",G154)),0)+IFERROR(--ISNUMBER(SEARCH("R115",G154)),0)+IFERROR(--ISNUMBER(SEARCH("R116",G154)),0)+IFERROR(--ISNUMBER(SEARCH("R117",G154)),0)+IFERROR(--ISNUMBER(SEARCH("R118",G154)),0)+IFERROR(--ISNUMBER(SEARCH("R119",G154)),0)+IFERROR(--ISNUMBER(SEARCH("R120",G154)),0)+IFERROR(--ISNUMBER(SEARCH("R121",G154)),0)+IFERROR(--ISNUMBER(SEARCH("R122",G154)),0)+IFERROR(--ISNUMBER(SEARCH("R123",G154)),0)+IFERROR(--ISNUMBER(SEARCH("R124",G154)),0)+IFERROR(--ISNUMBER(SEARCH("R125",G154)),0)+IFERROR(--ISNUMBER(SEARCH("R126",G154)),0)+IFERROR(--ISNUMBER(SEARCH("R127",G154)),0)+IFERROR(--ISNUMBER(SEARCH("R128",G154)),0)+IFERROR(--ISNUMBER(SEARCH("R129",G154)),0)+IFERROR(--ISNUMBER(SEARCH("R130",G154)),0)+IFERROR(--ISNUMBER(SEARCH("R131",G154)),0)+IFERROR(--ISNUMBER(SEARCH("R132",G154)),0)+IFERROR(--ISNUMBER(SEARCH("R133",G154)),0)+IFERROR(--ISNUMBER(SEARCH("R134",G154)),0)+IFERROR(--ISNUMBER(SEARCH("R135",G154)),0)+IFERROR(--ISNUMBER(SEARCH("R136",G154)),0)+IFERROR(--ISNUMBER(SEARCH("R137",G154)),0)+IFERROR(--ISNUMBER(SEARCH("R138",G154)),0)+IFERROR(--ISNUMBER(SEARCH("R139",G154)),0)+IFERROR(--ISNUMBER(SEARCH("R140",G154)),0)+IFERROR(--ISNUMBER(SEARCH("R141",G154)),0))</f>
        <v/>
      </c>
      <c r="T154" s="58">
        <f>IF(A154="","",IFERROR(--ISNUMBER(SEARCH("R28",G154)),0)+IFERROR(--ISNUMBER(SEARCH("R29",G154)),0)+IFERROR(--ISNUMBER(SEARCH("R30",G154)),0)+IFERROR(--ISNUMBER(SEARCH("R32",G154)),0)+IFERROR(--ISNUMBER(SEARCH("R33",G154)),0)+IFERROR(--ISNUMBER(SEARCH("R35",G154)),0)+IFERROR(--ISNUMBER(SEARCH("R36",G154)),0)+IFERROR(--ISNUMBER(SEARCH("R38",G154)),0)+IFERROR(--ISNUMBER(SEARCH("R39",G154)),0)+IFERROR(--ISNUMBER(SEARCH("R43",G154)),0)+IFERROR(--ISNUMBER(SEARCH("R44",G154)),0)+IFERROR(--ISNUMBER(SEARCH("R45",G154)),0)+IFERROR(--ISNUMBER(SEARCH("R47",G154)),0)+IFERROR(--ISNUMBER(SEARCH("R48",G154)),0)+IFERROR(--ISNUMBER(SEARCH("R50",G154)),0)+IFERROR(--ISNUMBER(SEARCH("R51",G154)),0)+IFERROR(--ISNUMBER(SEARCH("R56",G154)),0)+IFERROR(--ISNUMBER(SEARCH("R58",G154)),0)+IFERROR(--ISNUMBER(SEARCH("R59",G154)),0)+IFERROR(--ISNUMBER(SEARCH("R60",G154)),0)+IFERROR(--ISNUMBER(SEARCH("R62",G154)),0)+IFERROR(--ISNUMBER(SEARCH("R63",G154)),0)+IFERROR(--ISNUMBER(SEARCH("R64",G154)),0)+IFERROR(--ISNUMBER(SEARCH("R66",G154)),0)+IFERROR(--ISNUMBER(SEARCH("R67",G154)),0)+IFERROR(--ISNUMBER(SEARCH("R72",G154)),0)+IFERROR(--ISNUMBER(SEARCH("R74",G154)),0)+IFERROR(--ISNUMBER(SEARCH("R75",G154)),0)+IFERROR(--ISNUMBER(SEARCH("R76",G154)),0)+IFERROR(--ISNUMBER(SEARCH("R77",G154)),0)+IFERROR(--ISNUMBER(SEARCH("R79",G154)),0)+IFERROR(--ISNUMBER(SEARCH("R80",G154)),0)+IFERROR(--ISNUMBER(SEARCH("R81",G154)),0)+IFERROR(--ISNUMBER(SEARCH("R83",G154)),0)+IFERROR(--ISNUMBER(SEARCH("R84",G154)),0)+IFERROR(--ISNUMBER(SEARCH("R89",G154)),0)+IFERROR(--ISNUMBER(SEARCH("R94",G154)),0)+IFERROR(--ISNUMBER(SEARCH("R95",G154)),0)+IFERROR(--ISNUMBER(SEARCH("R96",G154)),0)+IFERROR(--ISNUMBER(SEARCH("R98",G154)),0)+IFERROR(--ISNUMBER(SEARCH("R99",G154)),0)+IFERROR(--ISNUMBER(SEARCH("R100",G154)),0)+IFERROR(--ISNUMBER(SEARCH("R104",G154)),0)+IFERROR(--ISNUMBER(SEARCH("R105",G154)),0)+IFERROR(--ISNUMBER(SEARCH("R107",G154)),0)+IFERROR(--ISNUMBER(SEARCH("R108",G154)),0)+IFERROR(--ISNUMBER(SEARCH("R109",G154)),0)+IFERROR(--ISNUMBER(SEARCH("R110",G154)),0)+IFERROR(--ISNUMBER(SEARCH("R112",G154)),0)+IFERROR(--ISNUMBER(SEARCH("R113",G154)),0)+IFERROR(--ISNUMBER(SEARCH("R114",G154)),0)+IFERROR(--ISNUMBER(SEARCH("R118",G154)),0)+IFERROR(--ISNUMBER(SEARCH("R119",G154)),0)+IFERROR(--ISNUMBER(SEARCH("R120",G154)),0)+IFERROR(--ISNUMBER(SEARCH("R122",G154)),0)+IFERROR(--ISNUMBER(SEARCH("R123",G154)),0)+IFERROR(--ISNUMBER(SEARCH("R124",G154)),0)+IFERROR(--ISNUMBER(SEARCH("R128",G154)),0)+IFERROR(--ISNUMBER(SEARCH("R130",G154)),0)+IFERROR(--ISNUMBER(SEARCH("R131",G154)),0)+IFERROR(--ISNUMBER(SEARCH("R132",G154)),0)+IFERROR(--ISNUMBER(SEARCH("R135",G154)),0)+IFERROR(--ISNUMBER(SEARCH("R138",G154)),0)+IFERROR(--ISNUMBER(SEARCH("R141",G154)),0))</f>
        <v/>
      </c>
      <c r="U154" s="58">
        <f>IF(A154="","",IFERROR(--ISNUMBER(SEARCH("R28",G154))*28,0)+IFERROR(--ISNUMBER(SEARCH("R29",G154))*29,0)+IFERROR(--ISNUMBER(SEARCH("R30",G154))*30,0)+IFERROR(--ISNUMBER(SEARCH("R31",G154))*31,0)+IFERROR(--ISNUMBER(SEARCH("R32",G154))*32,0)+IFERROR(--ISNUMBER(SEARCH("R33",G154))*33,0)+IFERROR(--ISNUMBER(SEARCH("R34",G154))*34,0)+IFERROR(--ISNUMBER(SEARCH("R35",G154))*35,0)+IFERROR(--ISNUMBER(SEARCH("R36",G154))*36,0)+IFERROR(--ISNUMBER(SEARCH("R37",G154))*37,0)+IFERROR(--ISNUMBER(SEARCH("R38",G154))*38,0)+IFERROR(--ISNUMBER(SEARCH("R39",G154))*39,0)+IFERROR(--ISNUMBER(SEARCH("R40",G154))*40,0)+IFERROR(--ISNUMBER(SEARCH("R41",G154))*41,0)+IFERROR(--ISNUMBER(SEARCH("R42",G154))*42,0)+IFERROR(--ISNUMBER(SEARCH("R43",G154))*43,0)+IFERROR(--ISNUMBER(SEARCH("R44",G154))*44,0)+IFERROR(--ISNUMBER(SEARCH("R45",G154))*45,0)+IFERROR(--ISNUMBER(SEARCH("R46",G154))*46,0)+IFERROR(--ISNUMBER(SEARCH("R47",G154))*47,0)+IFERROR(--ISNUMBER(SEARCH("R48",G154))*48,0)+IFERROR(--ISNUMBER(SEARCH("R49",G154))*49,0)+IFERROR(--ISNUMBER(SEARCH("R50",G154))*50,0)+IFERROR(--ISNUMBER(SEARCH("R51",G154))*51,0)+IFERROR(--ISNUMBER(SEARCH("R52",G154))*52,0)+IFERROR(--ISNUMBER(SEARCH("R53",G154))*53,0)+IFERROR(--ISNUMBER(SEARCH("R54",G154))*54,0)+IFERROR(--ISNUMBER(SEARCH("R55",G154))*55,0)+IFERROR(--ISNUMBER(SEARCH("R56",G154))*56,0)+IFERROR(--ISNUMBER(SEARCH("R57",G154))*57,0)+IFERROR(--ISNUMBER(SEARCH("R58",G154))*58,0)+IFERROR(--ISNUMBER(SEARCH("R59",G154))*59,0)+IFERROR(--ISNUMBER(SEARCH("R60",G154))*60,0)+IFERROR(--ISNUMBER(SEARCH("R61",G154))*61,0)+IFERROR(--ISNUMBER(SEARCH("R62",G154))*62,0)+IFERROR(--ISNUMBER(SEARCH("R63",G154))*63,0)+IFERROR(--ISNUMBER(SEARCH("R64",G154))*64,0)+IFERROR(--ISNUMBER(SEARCH("R65",G154))*65,0)+IFERROR(--ISNUMBER(SEARCH("R66",G154))*66,0)+IFERROR(--ISNUMBER(SEARCH("R67",G154))*67,0)+IFERROR(--ISNUMBER(SEARCH("R68",G154))*68,0)+IFERROR(--ISNUMBER(SEARCH("R69",G154))*69,0)+IFERROR(--ISNUMBER(SEARCH("R70",G154))*70,0)+IFERROR(--ISNUMBER(SEARCH("R71",G154))*71,0)+IFERROR(--ISNUMBER(SEARCH("R72",G154))*72,0)+IFERROR(--ISNUMBER(SEARCH("R73",G154))*73,0)+IFERROR(--ISNUMBER(SEARCH("R74",G154))*74,0)+IFERROR(--ISNUMBER(SEARCH("R75",G154))*75,0)+IFERROR(--ISNUMBER(SEARCH("R76",G154))*76,0)+IFERROR(--ISNUMBER(SEARCH("R77",G154))*77,0)+IFERROR(--ISNUMBER(SEARCH("R78",G154))*78,0)+IFERROR(--ISNUMBER(SEARCH("R79",G154))*79,0)+IFERROR(--ISNUMBER(SEARCH("R80",G154))*80,0)+IFERROR(--ISNUMBER(SEARCH("R81",G154))*81,0)+IFERROR(--ISNUMBER(SEARCH("R82",G154))*82,0)+IFERROR(--ISNUMBER(SEARCH("R83",G154))*83,0)+IFERROR(--ISNUMBER(SEARCH("R84",G154))*84,0)+IFERROR(--ISNUMBER(SEARCH("R85",G154))*85,0)+IFERROR(--ISNUMBER(SEARCH("R86",G154))*86,0)+IFERROR(--ISNUMBER(SEARCH("R87",G154))*87,0)+IFERROR(--ISNUMBER(SEARCH("R88",G154))*88,0)+IFERROR(--ISNUMBER(SEARCH("R89",G154))*89,0)+IFERROR(--ISNUMBER(SEARCH("R90",G154))*90,0)+IFERROR(--ISNUMBER(SEARCH("R91",G154))*91,0)+IFERROR(--ISNUMBER(SEARCH("R92",G154))*92,0)+IFERROR(--ISNUMBER(SEARCH("R93",G154))*93,0)+IFERROR(--ISNUMBER(SEARCH("R94",G154))*94,0)+IFERROR(--ISNUMBER(SEARCH("R95",G154))*95,0)+IFERROR(--ISNUMBER(SEARCH("R96",G154))*96,0)+IFERROR(--ISNUMBER(SEARCH("R97",G154))*97,0)+IFERROR(--ISNUMBER(SEARCH("R98",G154))*98,0)+IFERROR(--ISNUMBER(SEARCH("R99",G154))*99,0)+IFERROR(--ISNUMBER(SEARCH("R100",G154))*100,0)+IFERROR(--ISNUMBER(SEARCH("R101",G154))*101,0)+IFERROR(--ISNUMBER(SEARCH("R102",G154))*102,0)+IFERROR(--ISNUMBER(SEARCH("R103",G154))*103,0)+IFERROR(--ISNUMBER(SEARCH("R104",G154))*104,0)+IFERROR(--ISNUMBER(SEARCH("R105",G154))*105,0)+IFERROR(--ISNUMBER(SEARCH("R106",G154))*106,0)+IFERROR(--ISNUMBER(SEARCH("R107",G154))*107,0)+IFERROR(--ISNUMBER(SEARCH("R108",G154))*108,0)+IFERROR(--ISNUMBER(SEARCH("R109",G154))*109,0)+IFERROR(--ISNUMBER(SEARCH("R110",G154))*110,0)+IFERROR(--ISNUMBER(SEARCH("R111",G154))*111,0)+IFERROR(--ISNUMBER(SEARCH("R112",G154))*112,0)+IFERROR(--ISNUMBER(SEARCH("R113",G154))*113,0)+IFERROR(--ISNUMBER(SEARCH("R114",G154))*114,0)+IFERROR(--ISNUMBER(SEARCH("R115",G154))*115,0)+IFERROR(--ISNUMBER(SEARCH("R116",G154))*116,0)+IFERROR(--ISNUMBER(SEARCH("R117",G154))*117,0)+IFERROR(--ISNUMBER(SEARCH("R118",G154))*118,0)+IFERROR(--ISNUMBER(SEARCH("R119",G154))*119,0)+IFERROR(--ISNUMBER(SEARCH("R120",G154))*120,0)+IFERROR(--ISNUMBER(SEARCH("R121",G154))*121,0)+IFERROR(--ISNUMBER(SEARCH("R122",G154))*122,0)+IFERROR(--ISNUMBER(SEARCH("R123",G154))*123,0)+IFERROR(--ISNUMBER(SEARCH("R124",G154))*124,0)+IFERROR(--ISNUMBER(SEARCH("R125",G154))*125,0)+IFERROR(--ISNUMBER(SEARCH("R126",G154))*126,0)+IFERROR(--ISNUMBER(SEARCH("R127",G154))*127,0)+IFERROR(--ISNUMBER(SEARCH("R128",G154))*128,0)+IFERROR(--ISNUMBER(SEARCH("R129",G154))*129,0)+IFERROR(--ISNUMBER(SEARCH("R130",G154))*130,0)+IFERROR(--ISNUMBER(SEARCH("R131",G154))*131,0)+IFERROR(--ISNUMBER(SEARCH("R132",G154))*132,0)+IFERROR(--ISNUMBER(SEARCH("R133",G154))*133,0)+IFERROR(--ISNUMBER(SEARCH("R134",G154))*134,0)+IFERROR(--ISNUMBER(SEARCH("R135",G154))*135,0)+IFERROR(--ISNUMBER(SEARCH("R136",G154))*136,0)+IFERROR(--ISNUMBER(SEARCH("R137",G154))*137,0)+IFERROR(--ISNUMBER(SEARCH("R138",G154))*138,0)+IFERROR(--ISNUMBER(SEARCH("R139",G154))*139,0)+IFERROR(--ISNUMBER(SEARCH("R140",G154))*140,0)+IFERROR(--ISNUMBER(SEARCH("R141",G154))*141,0))</f>
        <v/>
      </c>
      <c r="V154" s="59">
        <f>IF(A154="","",IF(K154&lt;&gt;"",K154,J154))</f>
        <v/>
      </c>
      <c r="W154" s="59">
        <f>IF(A154="","",IF(AND(V154=29,O154&lt;&gt;"",COUNTIFS($V$6:$V$505,29,$F$6:$F$505,F154,$C$6:$C$505,C154,$O$6:$O$505,"&lt;&gt;")&gt;1),IF(COUNTIFS($V$6:V154,29,$F$6:F154,F154,$C$6:C154,C154,$O$6:O154,"&lt;&gt;")=1,"Esta es la fila que se debe CONSERVAR (aparición 1 de "&amp;COUNTIFS($V$6:$V$505,29,$F$6:$F$505,F154,$C$6:$C$505,C154,$O$6:$O$505,"&lt;&gt;")&amp;" con el mismo tercero y valor, casilla 29). Si hay más filas iguales, bórreles el valor a ELLAS, no a esta.","DUPLICADO — ya existe otra fila con el mismo tercero y valor para casilla 29 (aparición "&amp;COUNTIFS($V$6:V154,29,$F$6:F154,F154,$C$6:C154,C154,$O$6:O154,"&lt;&gt;")&amp;" de "&amp;COUNTIFS($V$6:$V$505,29,$F$6:$F$505,F154,$C$6:$C$505,C154,$O$6:$O$505,"&lt;&gt;")&amp;"). Para resolverlo: seleccione la celda O"&amp;ROW()&amp;" (columna Valor a declarar de ESTA fila) y presione Supr."),""))</f>
        <v/>
      </c>
      <c r="X154" s="463">
        <f>IF(A154="","",F154)</f>
        <v/>
      </c>
      <c r="Y154" s="463">
        <f>IF(A154="","",SUMIF(Entrada_Manual!$I$88:$I$187,A154,Entrada_Manual!$F$88:$F$187))</f>
        <v/>
      </c>
      <c r="Z154" s="463">
        <f>IF(A154="","",X154-Y154)</f>
        <v/>
      </c>
      <c r="AA154">
        <f>IF(A154="","",SUMPRODUCT((Entrada_Manual!$I$88:$I$187=A154)*1))</f>
        <v/>
      </c>
      <c r="AB154">
        <f>IF(A154="","",IF(S154&lt;=1,"",IF(AA154=0,"PENDIENTE — SIN ASIGNAR",IF(Z154=0,"RESUELTO","PARCIAL — DIFERENCIA "&amp;TEXT(Z154,"#,##0")))))</f>
        <v/>
      </c>
    </row>
    <row r="155" ht="14.25" customHeight="1" s="235">
      <c r="A155" s="47">
        <f>IF(Exogena_RAW!E164&lt;&gt;"",ROW()-5,"")</f>
        <v/>
      </c>
      <c r="B155" s="48">
        <f>IF(A155="","",164)</f>
        <v/>
      </c>
      <c r="C155" s="48">
        <f>IF(A155="","",IFERROR(Exogena_RAW!A164,""))</f>
        <v/>
      </c>
      <c r="D155" s="48">
        <f>IF(A155="","",IFERROR(Exogena_RAW!B164,""))</f>
        <v/>
      </c>
      <c r="E155" s="48">
        <f>IF(A155="","",Exogena_RAW!E164)</f>
        <v/>
      </c>
      <c r="F155" s="461">
        <f>IF(A155="","",Exogena_RAW!F164)</f>
        <v/>
      </c>
      <c r="G155" s="48">
        <f>IF(A155="","",IFERROR(Exogena_RAW!G164,""))</f>
        <v/>
      </c>
      <c r="H155" s="48">
        <f>IF(A155="","",IFERROR(Exogena_RAW!H164,""))</f>
        <v/>
      </c>
      <c r="I155" s="48">
        <f>IF(A155="","",IFERROR(IF(S155&gt;1,"VARIAS CASILLAS",IF(S155=1,IF(T155=1,"PROPUESTA DE CASILLA","REVISIÓN: CASILLA NO DIRECTA"),IF(OR(ISNUMBER(SEARCH("TOPE",UPPER(E155))),ISNUMBER(SEARCH("TOPE",UPPER(G155)))),"SOLO CONTROL",IF(ISNUMBER(SEARCH("RETEN",UPPER(E155))),"RETENCIÓN","REVISAR")))),"REVISAR"))</f>
        <v/>
      </c>
      <c r="J155" s="48">
        <f>IF(A155="","",IF(ISNUMBER(SEARCH("ingreso laboral promedio de los últimos seis meses",E155)),"",IFERROR(IF(AND(S155=1,T155=1),U155,""),"")))</f>
        <v/>
      </c>
      <c r="K155" s="216" t="n"/>
      <c r="L155" s="48">
        <f>IF(A155="","",IFERROR(IF(K155&lt;&gt;"","Casilla elegida por usuario",IF(S155&gt;1,"Varias casillas — elegir en K",IF(J155&lt;&gt;"","Sugerencia directa",IF(S155=1,"No trasladar directo — revisar",IF(OR(ISNUMBER(SEARCH("TOPE",UPPER(E155))),ISNUMBER(SEARCH("TOPE",UPPER(G155)))),"Solo control","Revisar manualmente"))))),"Revisar manualmente"))</f>
        <v/>
      </c>
      <c r="M155" s="461">
        <f>IF(A155="","",IF(IF(K155&lt;&gt;"",K155,J155)="",0,IF(COUNTIFS(Reglas!$I$5:$I$118,IF(K155&lt;&gt;"",K155,J155),Reglas!$J$5:$J$118,"Sí")=1,F155,0)))</f>
        <v/>
      </c>
      <c r="N155" s="56" t="n"/>
      <c r="O155" s="462">
        <f>IF(A155="","",IF(M155=0,"",M155))</f>
        <v/>
      </c>
      <c r="P155" s="461">
        <f>IF(A155="","",IF(O155="",0,IF(ISNUMBER(O155),O155,0)))</f>
        <v/>
      </c>
      <c r="Q155" s="48">
        <f>IF(A155="","",IF(Exogena_RAW!$C$4="","BLOQUEADO: FALTA AÑO",IF(Exogena_RAW!$K$10&lt;&gt;Reglas!$B$5,"BLOQUEADO: AÑO",IF(IF(K155&lt;&gt;"",K155,J155)="",IF(S155&gt;1,"REQUIERE ASIGNACIÓN MANUAL (VARIAS CASILLAS)","INFORMATIVO (sin casilla — no se declara)"),IF(COUNTIFS(Reglas!$I$5:$I$118,IF(K155&lt;&gt;"",K155,J155),Reglas!$J$5:$J$118,"Sí")=0,"BLOQUEADO: CASILLA NO DIRECTA",IF(O155="","EXCLUIDO (valor borrado por el usuario)",IF(_xlfn.ISFORMULA(O155),IF(W155&lt;&gt;"","BORRADOR — VALOR SUGERIDO DIAN ⚠ VER ALERTA","BORRADOR — VALOR SUGERIDO DIAN"),IF(W155&lt;&gt;"","ACEPTADO ⚠ VER ALERTA","ACEPTADO"))))))))</f>
        <v/>
      </c>
      <c r="R155" s="218" t="n"/>
      <c r="S155" s="58">
        <f>IF(A155="","",IFERROR(--ISNUMBER(SEARCH("R28",G155)),0)+IFERROR(--ISNUMBER(SEARCH("R29",G155)),0)+IFERROR(--ISNUMBER(SEARCH("R30",G155)),0)+IFERROR(--ISNUMBER(SEARCH("R31",G155)),0)+IFERROR(--ISNUMBER(SEARCH("R32",G155)),0)+IFERROR(--ISNUMBER(SEARCH("R33",G155)),0)+IFERROR(--ISNUMBER(SEARCH("R34",G155)),0)+IFERROR(--ISNUMBER(SEARCH("R35",G155)),0)+IFERROR(--ISNUMBER(SEARCH("R36",G155)),0)+IFERROR(--ISNUMBER(SEARCH("R37",G155)),0)+IFERROR(--ISNUMBER(SEARCH("R38",G155)),0)+IFERROR(--ISNUMBER(SEARCH("R39",G155)),0)+IFERROR(--ISNUMBER(SEARCH("R40",G155)),0)+IFERROR(--ISNUMBER(SEARCH("R41",G155)),0)+IFERROR(--ISNUMBER(SEARCH("R42",G155)),0)+IFERROR(--ISNUMBER(SEARCH("R43",G155)),0)+IFERROR(--ISNUMBER(SEARCH("R44",G155)),0)+IFERROR(--ISNUMBER(SEARCH("R45",G155)),0)+IFERROR(--ISNUMBER(SEARCH("R46",G155)),0)+IFERROR(--ISNUMBER(SEARCH("R47",G155)),0)+IFERROR(--ISNUMBER(SEARCH("R48",G155)),0)+IFERROR(--ISNUMBER(SEARCH("R49",G155)),0)+IFERROR(--ISNUMBER(SEARCH("R50",G155)),0)+IFERROR(--ISNUMBER(SEARCH("R51",G155)),0)+IFERROR(--ISNUMBER(SEARCH("R52",G155)),0)+IFERROR(--ISNUMBER(SEARCH("R53",G155)),0)+IFERROR(--ISNUMBER(SEARCH("R54",G155)),0)+IFERROR(--ISNUMBER(SEARCH("R55",G155)),0)+IFERROR(--ISNUMBER(SEARCH("R56",G155)),0)+IFERROR(--ISNUMBER(SEARCH("R57",G155)),0)+IFERROR(--ISNUMBER(SEARCH("R58",G155)),0)+IFERROR(--ISNUMBER(SEARCH("R59",G155)),0)+IFERROR(--ISNUMBER(SEARCH("R60",G155)),0)+IFERROR(--ISNUMBER(SEARCH("R61",G155)),0)+IFERROR(--ISNUMBER(SEARCH("R62",G155)),0)+IFERROR(--ISNUMBER(SEARCH("R63",G155)),0)+IFERROR(--ISNUMBER(SEARCH("R64",G155)),0)+IFERROR(--ISNUMBER(SEARCH("R65",G155)),0)+IFERROR(--ISNUMBER(SEARCH("R66",G155)),0)+IFERROR(--ISNUMBER(SEARCH("R67",G155)),0)+IFERROR(--ISNUMBER(SEARCH("R68",G155)),0)+IFERROR(--ISNUMBER(SEARCH("R69",G155)),0)+IFERROR(--ISNUMBER(SEARCH("R70",G155)),0)+IFERROR(--ISNUMBER(SEARCH("R71",G155)),0)+IFERROR(--ISNUMBER(SEARCH("R72",G155)),0)+IFERROR(--ISNUMBER(SEARCH("R73",G155)),0)+IFERROR(--ISNUMBER(SEARCH("R74",G155)),0)+IFERROR(--ISNUMBER(SEARCH("R75",G155)),0)+IFERROR(--ISNUMBER(SEARCH("R76",G155)),0)+IFERROR(--ISNUMBER(SEARCH("R77",G155)),0)+IFERROR(--ISNUMBER(SEARCH("R78",G155)),0)+IFERROR(--ISNUMBER(SEARCH("R79",G155)),0)+IFERROR(--ISNUMBER(SEARCH("R80",G155)),0)+IFERROR(--ISNUMBER(SEARCH("R81",G155)),0)+IFERROR(--ISNUMBER(SEARCH("R82",G155)),0)+IFERROR(--ISNUMBER(SEARCH("R83",G155)),0)+IFERROR(--ISNUMBER(SEARCH("R84",G155)),0)+IFERROR(--ISNUMBER(SEARCH("R85",G155)),0)+IFERROR(--ISNUMBER(SEARCH("R86",G155)),0)+IFERROR(--ISNUMBER(SEARCH("R87",G155)),0)+IFERROR(--ISNUMBER(SEARCH("R88",G155)),0)+IFERROR(--ISNUMBER(SEARCH("R89",G155)),0)+IFERROR(--ISNUMBER(SEARCH("R90",G155)),0)+IFERROR(--ISNUMBER(SEARCH("R91",G155)),0)+IFERROR(--ISNUMBER(SEARCH("R92",G155)),0)+IFERROR(--ISNUMBER(SEARCH("R93",G155)),0)+IFERROR(--ISNUMBER(SEARCH("R94",G155)),0)+IFERROR(--ISNUMBER(SEARCH("R95",G155)),0)+IFERROR(--ISNUMBER(SEARCH("R96",G155)),0)+IFERROR(--ISNUMBER(SEARCH("R97",G155)),0)+IFERROR(--ISNUMBER(SEARCH("R98",G155)),0)+IFERROR(--ISNUMBER(SEARCH("R99",G155)),0)+IFERROR(--ISNUMBER(SEARCH("R100",G155)),0)+IFERROR(--ISNUMBER(SEARCH("R101",G155)),0)+IFERROR(--ISNUMBER(SEARCH("R102",G155)),0)+IFERROR(--ISNUMBER(SEARCH("R103",G155)),0)+IFERROR(--ISNUMBER(SEARCH("R104",G155)),0)+IFERROR(--ISNUMBER(SEARCH("R105",G155)),0)+IFERROR(--ISNUMBER(SEARCH("R106",G155)),0)+IFERROR(--ISNUMBER(SEARCH("R107",G155)),0)+IFERROR(--ISNUMBER(SEARCH("R108",G155)),0)+IFERROR(--ISNUMBER(SEARCH("R109",G155)),0)+IFERROR(--ISNUMBER(SEARCH("R110",G155)),0)+IFERROR(--ISNUMBER(SEARCH("R111",G155)),0)+IFERROR(--ISNUMBER(SEARCH("R112",G155)),0)+IFERROR(--ISNUMBER(SEARCH("R113",G155)),0)+IFERROR(--ISNUMBER(SEARCH("R114",G155)),0)+IFERROR(--ISNUMBER(SEARCH("R115",G155)),0)+IFERROR(--ISNUMBER(SEARCH("R116",G155)),0)+IFERROR(--ISNUMBER(SEARCH("R117",G155)),0)+IFERROR(--ISNUMBER(SEARCH("R118",G155)),0)+IFERROR(--ISNUMBER(SEARCH("R119",G155)),0)+IFERROR(--ISNUMBER(SEARCH("R120",G155)),0)+IFERROR(--ISNUMBER(SEARCH("R121",G155)),0)+IFERROR(--ISNUMBER(SEARCH("R122",G155)),0)+IFERROR(--ISNUMBER(SEARCH("R123",G155)),0)+IFERROR(--ISNUMBER(SEARCH("R124",G155)),0)+IFERROR(--ISNUMBER(SEARCH("R125",G155)),0)+IFERROR(--ISNUMBER(SEARCH("R126",G155)),0)+IFERROR(--ISNUMBER(SEARCH("R127",G155)),0)+IFERROR(--ISNUMBER(SEARCH("R128",G155)),0)+IFERROR(--ISNUMBER(SEARCH("R129",G155)),0)+IFERROR(--ISNUMBER(SEARCH("R130",G155)),0)+IFERROR(--ISNUMBER(SEARCH("R131",G155)),0)+IFERROR(--ISNUMBER(SEARCH("R132",G155)),0)+IFERROR(--ISNUMBER(SEARCH("R133",G155)),0)+IFERROR(--ISNUMBER(SEARCH("R134",G155)),0)+IFERROR(--ISNUMBER(SEARCH("R135",G155)),0)+IFERROR(--ISNUMBER(SEARCH("R136",G155)),0)+IFERROR(--ISNUMBER(SEARCH("R137",G155)),0)+IFERROR(--ISNUMBER(SEARCH("R138",G155)),0)+IFERROR(--ISNUMBER(SEARCH("R139",G155)),0)+IFERROR(--ISNUMBER(SEARCH("R140",G155)),0)+IFERROR(--ISNUMBER(SEARCH("R141",G155)),0))</f>
        <v/>
      </c>
      <c r="T155" s="58">
        <f>IF(A155="","",IFERROR(--ISNUMBER(SEARCH("R28",G155)),0)+IFERROR(--ISNUMBER(SEARCH("R29",G155)),0)+IFERROR(--ISNUMBER(SEARCH("R30",G155)),0)+IFERROR(--ISNUMBER(SEARCH("R32",G155)),0)+IFERROR(--ISNUMBER(SEARCH("R33",G155)),0)+IFERROR(--ISNUMBER(SEARCH("R35",G155)),0)+IFERROR(--ISNUMBER(SEARCH("R36",G155)),0)+IFERROR(--ISNUMBER(SEARCH("R38",G155)),0)+IFERROR(--ISNUMBER(SEARCH("R39",G155)),0)+IFERROR(--ISNUMBER(SEARCH("R43",G155)),0)+IFERROR(--ISNUMBER(SEARCH("R44",G155)),0)+IFERROR(--ISNUMBER(SEARCH("R45",G155)),0)+IFERROR(--ISNUMBER(SEARCH("R47",G155)),0)+IFERROR(--ISNUMBER(SEARCH("R48",G155)),0)+IFERROR(--ISNUMBER(SEARCH("R50",G155)),0)+IFERROR(--ISNUMBER(SEARCH("R51",G155)),0)+IFERROR(--ISNUMBER(SEARCH("R56",G155)),0)+IFERROR(--ISNUMBER(SEARCH("R58",G155)),0)+IFERROR(--ISNUMBER(SEARCH("R59",G155)),0)+IFERROR(--ISNUMBER(SEARCH("R60",G155)),0)+IFERROR(--ISNUMBER(SEARCH("R62",G155)),0)+IFERROR(--ISNUMBER(SEARCH("R63",G155)),0)+IFERROR(--ISNUMBER(SEARCH("R64",G155)),0)+IFERROR(--ISNUMBER(SEARCH("R66",G155)),0)+IFERROR(--ISNUMBER(SEARCH("R67",G155)),0)+IFERROR(--ISNUMBER(SEARCH("R72",G155)),0)+IFERROR(--ISNUMBER(SEARCH("R74",G155)),0)+IFERROR(--ISNUMBER(SEARCH("R75",G155)),0)+IFERROR(--ISNUMBER(SEARCH("R76",G155)),0)+IFERROR(--ISNUMBER(SEARCH("R77",G155)),0)+IFERROR(--ISNUMBER(SEARCH("R79",G155)),0)+IFERROR(--ISNUMBER(SEARCH("R80",G155)),0)+IFERROR(--ISNUMBER(SEARCH("R81",G155)),0)+IFERROR(--ISNUMBER(SEARCH("R83",G155)),0)+IFERROR(--ISNUMBER(SEARCH("R84",G155)),0)+IFERROR(--ISNUMBER(SEARCH("R89",G155)),0)+IFERROR(--ISNUMBER(SEARCH("R94",G155)),0)+IFERROR(--ISNUMBER(SEARCH("R95",G155)),0)+IFERROR(--ISNUMBER(SEARCH("R96",G155)),0)+IFERROR(--ISNUMBER(SEARCH("R98",G155)),0)+IFERROR(--ISNUMBER(SEARCH("R99",G155)),0)+IFERROR(--ISNUMBER(SEARCH("R100",G155)),0)+IFERROR(--ISNUMBER(SEARCH("R104",G155)),0)+IFERROR(--ISNUMBER(SEARCH("R105",G155)),0)+IFERROR(--ISNUMBER(SEARCH("R107",G155)),0)+IFERROR(--ISNUMBER(SEARCH("R108",G155)),0)+IFERROR(--ISNUMBER(SEARCH("R109",G155)),0)+IFERROR(--ISNUMBER(SEARCH("R110",G155)),0)+IFERROR(--ISNUMBER(SEARCH("R112",G155)),0)+IFERROR(--ISNUMBER(SEARCH("R113",G155)),0)+IFERROR(--ISNUMBER(SEARCH("R114",G155)),0)+IFERROR(--ISNUMBER(SEARCH("R118",G155)),0)+IFERROR(--ISNUMBER(SEARCH("R119",G155)),0)+IFERROR(--ISNUMBER(SEARCH("R120",G155)),0)+IFERROR(--ISNUMBER(SEARCH("R122",G155)),0)+IFERROR(--ISNUMBER(SEARCH("R123",G155)),0)+IFERROR(--ISNUMBER(SEARCH("R124",G155)),0)+IFERROR(--ISNUMBER(SEARCH("R128",G155)),0)+IFERROR(--ISNUMBER(SEARCH("R130",G155)),0)+IFERROR(--ISNUMBER(SEARCH("R131",G155)),0)+IFERROR(--ISNUMBER(SEARCH("R132",G155)),0)+IFERROR(--ISNUMBER(SEARCH("R135",G155)),0)+IFERROR(--ISNUMBER(SEARCH("R138",G155)),0)+IFERROR(--ISNUMBER(SEARCH("R141",G155)),0))</f>
        <v/>
      </c>
      <c r="U155" s="58">
        <f>IF(A155="","",IFERROR(--ISNUMBER(SEARCH("R28",G155))*28,0)+IFERROR(--ISNUMBER(SEARCH("R29",G155))*29,0)+IFERROR(--ISNUMBER(SEARCH("R30",G155))*30,0)+IFERROR(--ISNUMBER(SEARCH("R31",G155))*31,0)+IFERROR(--ISNUMBER(SEARCH("R32",G155))*32,0)+IFERROR(--ISNUMBER(SEARCH("R33",G155))*33,0)+IFERROR(--ISNUMBER(SEARCH("R34",G155))*34,0)+IFERROR(--ISNUMBER(SEARCH("R35",G155))*35,0)+IFERROR(--ISNUMBER(SEARCH("R36",G155))*36,0)+IFERROR(--ISNUMBER(SEARCH("R37",G155))*37,0)+IFERROR(--ISNUMBER(SEARCH("R38",G155))*38,0)+IFERROR(--ISNUMBER(SEARCH("R39",G155))*39,0)+IFERROR(--ISNUMBER(SEARCH("R40",G155))*40,0)+IFERROR(--ISNUMBER(SEARCH("R41",G155))*41,0)+IFERROR(--ISNUMBER(SEARCH("R42",G155))*42,0)+IFERROR(--ISNUMBER(SEARCH("R43",G155))*43,0)+IFERROR(--ISNUMBER(SEARCH("R44",G155))*44,0)+IFERROR(--ISNUMBER(SEARCH("R45",G155))*45,0)+IFERROR(--ISNUMBER(SEARCH("R46",G155))*46,0)+IFERROR(--ISNUMBER(SEARCH("R47",G155))*47,0)+IFERROR(--ISNUMBER(SEARCH("R48",G155))*48,0)+IFERROR(--ISNUMBER(SEARCH("R49",G155))*49,0)+IFERROR(--ISNUMBER(SEARCH("R50",G155))*50,0)+IFERROR(--ISNUMBER(SEARCH("R51",G155))*51,0)+IFERROR(--ISNUMBER(SEARCH("R52",G155))*52,0)+IFERROR(--ISNUMBER(SEARCH("R53",G155))*53,0)+IFERROR(--ISNUMBER(SEARCH("R54",G155))*54,0)+IFERROR(--ISNUMBER(SEARCH("R55",G155))*55,0)+IFERROR(--ISNUMBER(SEARCH("R56",G155))*56,0)+IFERROR(--ISNUMBER(SEARCH("R57",G155))*57,0)+IFERROR(--ISNUMBER(SEARCH("R58",G155))*58,0)+IFERROR(--ISNUMBER(SEARCH("R59",G155))*59,0)+IFERROR(--ISNUMBER(SEARCH("R60",G155))*60,0)+IFERROR(--ISNUMBER(SEARCH("R61",G155))*61,0)+IFERROR(--ISNUMBER(SEARCH("R62",G155))*62,0)+IFERROR(--ISNUMBER(SEARCH("R63",G155))*63,0)+IFERROR(--ISNUMBER(SEARCH("R64",G155))*64,0)+IFERROR(--ISNUMBER(SEARCH("R65",G155))*65,0)+IFERROR(--ISNUMBER(SEARCH("R66",G155))*66,0)+IFERROR(--ISNUMBER(SEARCH("R67",G155))*67,0)+IFERROR(--ISNUMBER(SEARCH("R68",G155))*68,0)+IFERROR(--ISNUMBER(SEARCH("R69",G155))*69,0)+IFERROR(--ISNUMBER(SEARCH("R70",G155))*70,0)+IFERROR(--ISNUMBER(SEARCH("R71",G155))*71,0)+IFERROR(--ISNUMBER(SEARCH("R72",G155))*72,0)+IFERROR(--ISNUMBER(SEARCH("R73",G155))*73,0)+IFERROR(--ISNUMBER(SEARCH("R74",G155))*74,0)+IFERROR(--ISNUMBER(SEARCH("R75",G155))*75,0)+IFERROR(--ISNUMBER(SEARCH("R76",G155))*76,0)+IFERROR(--ISNUMBER(SEARCH("R77",G155))*77,0)+IFERROR(--ISNUMBER(SEARCH("R78",G155))*78,0)+IFERROR(--ISNUMBER(SEARCH("R79",G155))*79,0)+IFERROR(--ISNUMBER(SEARCH("R80",G155))*80,0)+IFERROR(--ISNUMBER(SEARCH("R81",G155))*81,0)+IFERROR(--ISNUMBER(SEARCH("R82",G155))*82,0)+IFERROR(--ISNUMBER(SEARCH("R83",G155))*83,0)+IFERROR(--ISNUMBER(SEARCH("R84",G155))*84,0)+IFERROR(--ISNUMBER(SEARCH("R85",G155))*85,0)+IFERROR(--ISNUMBER(SEARCH("R86",G155))*86,0)+IFERROR(--ISNUMBER(SEARCH("R87",G155))*87,0)+IFERROR(--ISNUMBER(SEARCH("R88",G155))*88,0)+IFERROR(--ISNUMBER(SEARCH("R89",G155))*89,0)+IFERROR(--ISNUMBER(SEARCH("R90",G155))*90,0)+IFERROR(--ISNUMBER(SEARCH("R91",G155))*91,0)+IFERROR(--ISNUMBER(SEARCH("R92",G155))*92,0)+IFERROR(--ISNUMBER(SEARCH("R93",G155))*93,0)+IFERROR(--ISNUMBER(SEARCH("R94",G155))*94,0)+IFERROR(--ISNUMBER(SEARCH("R95",G155))*95,0)+IFERROR(--ISNUMBER(SEARCH("R96",G155))*96,0)+IFERROR(--ISNUMBER(SEARCH("R97",G155))*97,0)+IFERROR(--ISNUMBER(SEARCH("R98",G155))*98,0)+IFERROR(--ISNUMBER(SEARCH("R99",G155))*99,0)+IFERROR(--ISNUMBER(SEARCH("R100",G155))*100,0)+IFERROR(--ISNUMBER(SEARCH("R101",G155))*101,0)+IFERROR(--ISNUMBER(SEARCH("R102",G155))*102,0)+IFERROR(--ISNUMBER(SEARCH("R103",G155))*103,0)+IFERROR(--ISNUMBER(SEARCH("R104",G155))*104,0)+IFERROR(--ISNUMBER(SEARCH("R105",G155))*105,0)+IFERROR(--ISNUMBER(SEARCH("R106",G155))*106,0)+IFERROR(--ISNUMBER(SEARCH("R107",G155))*107,0)+IFERROR(--ISNUMBER(SEARCH("R108",G155))*108,0)+IFERROR(--ISNUMBER(SEARCH("R109",G155))*109,0)+IFERROR(--ISNUMBER(SEARCH("R110",G155))*110,0)+IFERROR(--ISNUMBER(SEARCH("R111",G155))*111,0)+IFERROR(--ISNUMBER(SEARCH("R112",G155))*112,0)+IFERROR(--ISNUMBER(SEARCH("R113",G155))*113,0)+IFERROR(--ISNUMBER(SEARCH("R114",G155))*114,0)+IFERROR(--ISNUMBER(SEARCH("R115",G155))*115,0)+IFERROR(--ISNUMBER(SEARCH("R116",G155))*116,0)+IFERROR(--ISNUMBER(SEARCH("R117",G155))*117,0)+IFERROR(--ISNUMBER(SEARCH("R118",G155))*118,0)+IFERROR(--ISNUMBER(SEARCH("R119",G155))*119,0)+IFERROR(--ISNUMBER(SEARCH("R120",G155))*120,0)+IFERROR(--ISNUMBER(SEARCH("R121",G155))*121,0)+IFERROR(--ISNUMBER(SEARCH("R122",G155))*122,0)+IFERROR(--ISNUMBER(SEARCH("R123",G155))*123,0)+IFERROR(--ISNUMBER(SEARCH("R124",G155))*124,0)+IFERROR(--ISNUMBER(SEARCH("R125",G155))*125,0)+IFERROR(--ISNUMBER(SEARCH("R126",G155))*126,0)+IFERROR(--ISNUMBER(SEARCH("R127",G155))*127,0)+IFERROR(--ISNUMBER(SEARCH("R128",G155))*128,0)+IFERROR(--ISNUMBER(SEARCH("R129",G155))*129,0)+IFERROR(--ISNUMBER(SEARCH("R130",G155))*130,0)+IFERROR(--ISNUMBER(SEARCH("R131",G155))*131,0)+IFERROR(--ISNUMBER(SEARCH("R132",G155))*132,0)+IFERROR(--ISNUMBER(SEARCH("R133",G155))*133,0)+IFERROR(--ISNUMBER(SEARCH("R134",G155))*134,0)+IFERROR(--ISNUMBER(SEARCH("R135",G155))*135,0)+IFERROR(--ISNUMBER(SEARCH("R136",G155))*136,0)+IFERROR(--ISNUMBER(SEARCH("R137",G155))*137,0)+IFERROR(--ISNUMBER(SEARCH("R138",G155))*138,0)+IFERROR(--ISNUMBER(SEARCH("R139",G155))*139,0)+IFERROR(--ISNUMBER(SEARCH("R140",G155))*140,0)+IFERROR(--ISNUMBER(SEARCH("R141",G155))*141,0))</f>
        <v/>
      </c>
      <c r="V155" s="59">
        <f>IF(A155="","",IF(K155&lt;&gt;"",K155,J155))</f>
        <v/>
      </c>
      <c r="W155" s="59">
        <f>IF(A155="","",IF(AND(V155=29,O155&lt;&gt;"",COUNTIFS($V$6:$V$505,29,$F$6:$F$505,F155,$C$6:$C$505,C155,$O$6:$O$505,"&lt;&gt;")&gt;1),IF(COUNTIFS($V$6:V155,29,$F$6:F155,F155,$C$6:C155,C155,$O$6:O155,"&lt;&gt;")=1,"Esta es la fila que se debe CONSERVAR (aparición 1 de "&amp;COUNTIFS($V$6:$V$505,29,$F$6:$F$505,F155,$C$6:$C$505,C155,$O$6:$O$505,"&lt;&gt;")&amp;" con el mismo tercero y valor, casilla 29). Si hay más filas iguales, bórreles el valor a ELLAS, no a esta.","DUPLICADO — ya existe otra fila con el mismo tercero y valor para casilla 29 (aparición "&amp;COUNTIFS($V$6:V155,29,$F$6:F155,F155,$C$6:C155,C155,$O$6:O155,"&lt;&gt;")&amp;" de "&amp;COUNTIFS($V$6:$V$505,29,$F$6:$F$505,F155,$C$6:$C$505,C155,$O$6:$O$505,"&lt;&gt;")&amp;"). Para resolverlo: seleccione la celda O"&amp;ROW()&amp;" (columna Valor a declarar de ESTA fila) y presione Supr."),""))</f>
        <v/>
      </c>
      <c r="X155" s="463">
        <f>IF(A155="","",F155)</f>
        <v/>
      </c>
      <c r="Y155" s="463">
        <f>IF(A155="","",SUMIF(Entrada_Manual!$I$88:$I$187,A155,Entrada_Manual!$F$88:$F$187))</f>
        <v/>
      </c>
      <c r="Z155" s="463">
        <f>IF(A155="","",X155-Y155)</f>
        <v/>
      </c>
      <c r="AA155">
        <f>IF(A155="","",SUMPRODUCT((Entrada_Manual!$I$88:$I$187=A155)*1))</f>
        <v/>
      </c>
      <c r="AB155">
        <f>IF(A155="","",IF(S155&lt;=1,"",IF(AA155=0,"PENDIENTE — SIN ASIGNAR",IF(Z155=0,"RESUELTO","PARCIAL — DIFERENCIA "&amp;TEXT(Z155,"#,##0")))))</f>
        <v/>
      </c>
    </row>
    <row r="156" ht="14.25" customHeight="1" s="235">
      <c r="A156" s="47">
        <f>IF(Exogena_RAW!E165&lt;&gt;"",ROW()-5,"")</f>
        <v/>
      </c>
      <c r="B156" s="48">
        <f>IF(A156="","",165)</f>
        <v/>
      </c>
      <c r="C156" s="48">
        <f>IF(A156="","",IFERROR(Exogena_RAW!A165,""))</f>
        <v/>
      </c>
      <c r="D156" s="48">
        <f>IF(A156="","",IFERROR(Exogena_RAW!B165,""))</f>
        <v/>
      </c>
      <c r="E156" s="48">
        <f>IF(A156="","",Exogena_RAW!E165)</f>
        <v/>
      </c>
      <c r="F156" s="461">
        <f>IF(A156="","",Exogena_RAW!F165)</f>
        <v/>
      </c>
      <c r="G156" s="48">
        <f>IF(A156="","",IFERROR(Exogena_RAW!G165,""))</f>
        <v/>
      </c>
      <c r="H156" s="48">
        <f>IF(A156="","",IFERROR(Exogena_RAW!H165,""))</f>
        <v/>
      </c>
      <c r="I156" s="48">
        <f>IF(A156="","",IFERROR(IF(S156&gt;1,"VARIAS CASILLAS",IF(S156=1,IF(T156=1,"PROPUESTA DE CASILLA","REVISIÓN: CASILLA NO DIRECTA"),IF(OR(ISNUMBER(SEARCH("TOPE",UPPER(E156))),ISNUMBER(SEARCH("TOPE",UPPER(G156)))),"SOLO CONTROL",IF(ISNUMBER(SEARCH("RETEN",UPPER(E156))),"RETENCIÓN","REVISAR")))),"REVISAR"))</f>
        <v/>
      </c>
      <c r="J156" s="48">
        <f>IF(A156="","",IF(ISNUMBER(SEARCH("ingreso laboral promedio de los últimos seis meses",E156)),"",IFERROR(IF(AND(S156=1,T156=1),U156,""),"")))</f>
        <v/>
      </c>
      <c r="K156" s="216" t="n"/>
      <c r="L156" s="48">
        <f>IF(A156="","",IFERROR(IF(K156&lt;&gt;"","Casilla elegida por usuario",IF(S156&gt;1,"Varias casillas — elegir en K",IF(J156&lt;&gt;"","Sugerencia directa",IF(S156=1,"No trasladar directo — revisar",IF(OR(ISNUMBER(SEARCH("TOPE",UPPER(E156))),ISNUMBER(SEARCH("TOPE",UPPER(G156)))),"Solo control","Revisar manualmente"))))),"Revisar manualmente"))</f>
        <v/>
      </c>
      <c r="M156" s="461">
        <f>IF(A156="","",IF(IF(K156&lt;&gt;"",K156,J156)="",0,IF(COUNTIFS(Reglas!$I$5:$I$118,IF(K156&lt;&gt;"",K156,J156),Reglas!$J$5:$J$118,"Sí")=1,F156,0)))</f>
        <v/>
      </c>
      <c r="N156" s="56" t="n"/>
      <c r="O156" s="462">
        <f>IF(A156="","",IF(M156=0,"",M156))</f>
        <v/>
      </c>
      <c r="P156" s="461">
        <f>IF(A156="","",IF(O156="",0,IF(ISNUMBER(O156),O156,0)))</f>
        <v/>
      </c>
      <c r="Q156" s="48">
        <f>IF(A156="","",IF(Exogena_RAW!$C$4="","BLOQUEADO: FALTA AÑO",IF(Exogena_RAW!$K$10&lt;&gt;Reglas!$B$5,"BLOQUEADO: AÑO",IF(IF(K156&lt;&gt;"",K156,J156)="",IF(S156&gt;1,"REQUIERE ASIGNACIÓN MANUAL (VARIAS CASILLAS)","INFORMATIVO (sin casilla — no se declara)"),IF(COUNTIFS(Reglas!$I$5:$I$118,IF(K156&lt;&gt;"",K156,J156),Reglas!$J$5:$J$118,"Sí")=0,"BLOQUEADO: CASILLA NO DIRECTA",IF(O156="","EXCLUIDO (valor borrado por el usuario)",IF(_xlfn.ISFORMULA(O156),IF(W156&lt;&gt;"","BORRADOR — VALOR SUGERIDO DIAN ⚠ VER ALERTA","BORRADOR — VALOR SUGERIDO DIAN"),IF(W156&lt;&gt;"","ACEPTADO ⚠ VER ALERTA","ACEPTADO"))))))))</f>
        <v/>
      </c>
      <c r="R156" s="218" t="n"/>
      <c r="S156" s="58">
        <f>IF(A156="","",IFERROR(--ISNUMBER(SEARCH("R28",G156)),0)+IFERROR(--ISNUMBER(SEARCH("R29",G156)),0)+IFERROR(--ISNUMBER(SEARCH("R30",G156)),0)+IFERROR(--ISNUMBER(SEARCH("R31",G156)),0)+IFERROR(--ISNUMBER(SEARCH("R32",G156)),0)+IFERROR(--ISNUMBER(SEARCH("R33",G156)),0)+IFERROR(--ISNUMBER(SEARCH("R34",G156)),0)+IFERROR(--ISNUMBER(SEARCH("R35",G156)),0)+IFERROR(--ISNUMBER(SEARCH("R36",G156)),0)+IFERROR(--ISNUMBER(SEARCH("R37",G156)),0)+IFERROR(--ISNUMBER(SEARCH("R38",G156)),0)+IFERROR(--ISNUMBER(SEARCH("R39",G156)),0)+IFERROR(--ISNUMBER(SEARCH("R40",G156)),0)+IFERROR(--ISNUMBER(SEARCH("R41",G156)),0)+IFERROR(--ISNUMBER(SEARCH("R42",G156)),0)+IFERROR(--ISNUMBER(SEARCH("R43",G156)),0)+IFERROR(--ISNUMBER(SEARCH("R44",G156)),0)+IFERROR(--ISNUMBER(SEARCH("R45",G156)),0)+IFERROR(--ISNUMBER(SEARCH("R46",G156)),0)+IFERROR(--ISNUMBER(SEARCH("R47",G156)),0)+IFERROR(--ISNUMBER(SEARCH("R48",G156)),0)+IFERROR(--ISNUMBER(SEARCH("R49",G156)),0)+IFERROR(--ISNUMBER(SEARCH("R50",G156)),0)+IFERROR(--ISNUMBER(SEARCH("R51",G156)),0)+IFERROR(--ISNUMBER(SEARCH("R52",G156)),0)+IFERROR(--ISNUMBER(SEARCH("R53",G156)),0)+IFERROR(--ISNUMBER(SEARCH("R54",G156)),0)+IFERROR(--ISNUMBER(SEARCH("R55",G156)),0)+IFERROR(--ISNUMBER(SEARCH("R56",G156)),0)+IFERROR(--ISNUMBER(SEARCH("R57",G156)),0)+IFERROR(--ISNUMBER(SEARCH("R58",G156)),0)+IFERROR(--ISNUMBER(SEARCH("R59",G156)),0)+IFERROR(--ISNUMBER(SEARCH("R60",G156)),0)+IFERROR(--ISNUMBER(SEARCH("R61",G156)),0)+IFERROR(--ISNUMBER(SEARCH("R62",G156)),0)+IFERROR(--ISNUMBER(SEARCH("R63",G156)),0)+IFERROR(--ISNUMBER(SEARCH("R64",G156)),0)+IFERROR(--ISNUMBER(SEARCH("R65",G156)),0)+IFERROR(--ISNUMBER(SEARCH("R66",G156)),0)+IFERROR(--ISNUMBER(SEARCH("R67",G156)),0)+IFERROR(--ISNUMBER(SEARCH("R68",G156)),0)+IFERROR(--ISNUMBER(SEARCH("R69",G156)),0)+IFERROR(--ISNUMBER(SEARCH("R70",G156)),0)+IFERROR(--ISNUMBER(SEARCH("R71",G156)),0)+IFERROR(--ISNUMBER(SEARCH("R72",G156)),0)+IFERROR(--ISNUMBER(SEARCH("R73",G156)),0)+IFERROR(--ISNUMBER(SEARCH("R74",G156)),0)+IFERROR(--ISNUMBER(SEARCH("R75",G156)),0)+IFERROR(--ISNUMBER(SEARCH("R76",G156)),0)+IFERROR(--ISNUMBER(SEARCH("R77",G156)),0)+IFERROR(--ISNUMBER(SEARCH("R78",G156)),0)+IFERROR(--ISNUMBER(SEARCH("R79",G156)),0)+IFERROR(--ISNUMBER(SEARCH("R80",G156)),0)+IFERROR(--ISNUMBER(SEARCH("R81",G156)),0)+IFERROR(--ISNUMBER(SEARCH("R82",G156)),0)+IFERROR(--ISNUMBER(SEARCH("R83",G156)),0)+IFERROR(--ISNUMBER(SEARCH("R84",G156)),0)+IFERROR(--ISNUMBER(SEARCH("R85",G156)),0)+IFERROR(--ISNUMBER(SEARCH("R86",G156)),0)+IFERROR(--ISNUMBER(SEARCH("R87",G156)),0)+IFERROR(--ISNUMBER(SEARCH("R88",G156)),0)+IFERROR(--ISNUMBER(SEARCH("R89",G156)),0)+IFERROR(--ISNUMBER(SEARCH("R90",G156)),0)+IFERROR(--ISNUMBER(SEARCH("R91",G156)),0)+IFERROR(--ISNUMBER(SEARCH("R92",G156)),0)+IFERROR(--ISNUMBER(SEARCH("R93",G156)),0)+IFERROR(--ISNUMBER(SEARCH("R94",G156)),0)+IFERROR(--ISNUMBER(SEARCH("R95",G156)),0)+IFERROR(--ISNUMBER(SEARCH("R96",G156)),0)+IFERROR(--ISNUMBER(SEARCH("R97",G156)),0)+IFERROR(--ISNUMBER(SEARCH("R98",G156)),0)+IFERROR(--ISNUMBER(SEARCH("R99",G156)),0)+IFERROR(--ISNUMBER(SEARCH("R100",G156)),0)+IFERROR(--ISNUMBER(SEARCH("R101",G156)),0)+IFERROR(--ISNUMBER(SEARCH("R102",G156)),0)+IFERROR(--ISNUMBER(SEARCH("R103",G156)),0)+IFERROR(--ISNUMBER(SEARCH("R104",G156)),0)+IFERROR(--ISNUMBER(SEARCH("R105",G156)),0)+IFERROR(--ISNUMBER(SEARCH("R106",G156)),0)+IFERROR(--ISNUMBER(SEARCH("R107",G156)),0)+IFERROR(--ISNUMBER(SEARCH("R108",G156)),0)+IFERROR(--ISNUMBER(SEARCH("R109",G156)),0)+IFERROR(--ISNUMBER(SEARCH("R110",G156)),0)+IFERROR(--ISNUMBER(SEARCH("R111",G156)),0)+IFERROR(--ISNUMBER(SEARCH("R112",G156)),0)+IFERROR(--ISNUMBER(SEARCH("R113",G156)),0)+IFERROR(--ISNUMBER(SEARCH("R114",G156)),0)+IFERROR(--ISNUMBER(SEARCH("R115",G156)),0)+IFERROR(--ISNUMBER(SEARCH("R116",G156)),0)+IFERROR(--ISNUMBER(SEARCH("R117",G156)),0)+IFERROR(--ISNUMBER(SEARCH("R118",G156)),0)+IFERROR(--ISNUMBER(SEARCH("R119",G156)),0)+IFERROR(--ISNUMBER(SEARCH("R120",G156)),0)+IFERROR(--ISNUMBER(SEARCH("R121",G156)),0)+IFERROR(--ISNUMBER(SEARCH("R122",G156)),0)+IFERROR(--ISNUMBER(SEARCH("R123",G156)),0)+IFERROR(--ISNUMBER(SEARCH("R124",G156)),0)+IFERROR(--ISNUMBER(SEARCH("R125",G156)),0)+IFERROR(--ISNUMBER(SEARCH("R126",G156)),0)+IFERROR(--ISNUMBER(SEARCH("R127",G156)),0)+IFERROR(--ISNUMBER(SEARCH("R128",G156)),0)+IFERROR(--ISNUMBER(SEARCH("R129",G156)),0)+IFERROR(--ISNUMBER(SEARCH("R130",G156)),0)+IFERROR(--ISNUMBER(SEARCH("R131",G156)),0)+IFERROR(--ISNUMBER(SEARCH("R132",G156)),0)+IFERROR(--ISNUMBER(SEARCH("R133",G156)),0)+IFERROR(--ISNUMBER(SEARCH("R134",G156)),0)+IFERROR(--ISNUMBER(SEARCH("R135",G156)),0)+IFERROR(--ISNUMBER(SEARCH("R136",G156)),0)+IFERROR(--ISNUMBER(SEARCH("R137",G156)),0)+IFERROR(--ISNUMBER(SEARCH("R138",G156)),0)+IFERROR(--ISNUMBER(SEARCH("R139",G156)),0)+IFERROR(--ISNUMBER(SEARCH("R140",G156)),0)+IFERROR(--ISNUMBER(SEARCH("R141",G156)),0))</f>
        <v/>
      </c>
      <c r="T156" s="58">
        <f>IF(A156="","",IFERROR(--ISNUMBER(SEARCH("R28",G156)),0)+IFERROR(--ISNUMBER(SEARCH("R29",G156)),0)+IFERROR(--ISNUMBER(SEARCH("R30",G156)),0)+IFERROR(--ISNUMBER(SEARCH("R32",G156)),0)+IFERROR(--ISNUMBER(SEARCH("R33",G156)),0)+IFERROR(--ISNUMBER(SEARCH("R35",G156)),0)+IFERROR(--ISNUMBER(SEARCH("R36",G156)),0)+IFERROR(--ISNUMBER(SEARCH("R38",G156)),0)+IFERROR(--ISNUMBER(SEARCH("R39",G156)),0)+IFERROR(--ISNUMBER(SEARCH("R43",G156)),0)+IFERROR(--ISNUMBER(SEARCH("R44",G156)),0)+IFERROR(--ISNUMBER(SEARCH("R45",G156)),0)+IFERROR(--ISNUMBER(SEARCH("R47",G156)),0)+IFERROR(--ISNUMBER(SEARCH("R48",G156)),0)+IFERROR(--ISNUMBER(SEARCH("R50",G156)),0)+IFERROR(--ISNUMBER(SEARCH("R51",G156)),0)+IFERROR(--ISNUMBER(SEARCH("R56",G156)),0)+IFERROR(--ISNUMBER(SEARCH("R58",G156)),0)+IFERROR(--ISNUMBER(SEARCH("R59",G156)),0)+IFERROR(--ISNUMBER(SEARCH("R60",G156)),0)+IFERROR(--ISNUMBER(SEARCH("R62",G156)),0)+IFERROR(--ISNUMBER(SEARCH("R63",G156)),0)+IFERROR(--ISNUMBER(SEARCH("R64",G156)),0)+IFERROR(--ISNUMBER(SEARCH("R66",G156)),0)+IFERROR(--ISNUMBER(SEARCH("R67",G156)),0)+IFERROR(--ISNUMBER(SEARCH("R72",G156)),0)+IFERROR(--ISNUMBER(SEARCH("R74",G156)),0)+IFERROR(--ISNUMBER(SEARCH("R75",G156)),0)+IFERROR(--ISNUMBER(SEARCH("R76",G156)),0)+IFERROR(--ISNUMBER(SEARCH("R77",G156)),0)+IFERROR(--ISNUMBER(SEARCH("R79",G156)),0)+IFERROR(--ISNUMBER(SEARCH("R80",G156)),0)+IFERROR(--ISNUMBER(SEARCH("R81",G156)),0)+IFERROR(--ISNUMBER(SEARCH("R83",G156)),0)+IFERROR(--ISNUMBER(SEARCH("R84",G156)),0)+IFERROR(--ISNUMBER(SEARCH("R89",G156)),0)+IFERROR(--ISNUMBER(SEARCH("R94",G156)),0)+IFERROR(--ISNUMBER(SEARCH("R95",G156)),0)+IFERROR(--ISNUMBER(SEARCH("R96",G156)),0)+IFERROR(--ISNUMBER(SEARCH("R98",G156)),0)+IFERROR(--ISNUMBER(SEARCH("R99",G156)),0)+IFERROR(--ISNUMBER(SEARCH("R100",G156)),0)+IFERROR(--ISNUMBER(SEARCH("R104",G156)),0)+IFERROR(--ISNUMBER(SEARCH("R105",G156)),0)+IFERROR(--ISNUMBER(SEARCH("R107",G156)),0)+IFERROR(--ISNUMBER(SEARCH("R108",G156)),0)+IFERROR(--ISNUMBER(SEARCH("R109",G156)),0)+IFERROR(--ISNUMBER(SEARCH("R110",G156)),0)+IFERROR(--ISNUMBER(SEARCH("R112",G156)),0)+IFERROR(--ISNUMBER(SEARCH("R113",G156)),0)+IFERROR(--ISNUMBER(SEARCH("R114",G156)),0)+IFERROR(--ISNUMBER(SEARCH("R118",G156)),0)+IFERROR(--ISNUMBER(SEARCH("R119",G156)),0)+IFERROR(--ISNUMBER(SEARCH("R120",G156)),0)+IFERROR(--ISNUMBER(SEARCH("R122",G156)),0)+IFERROR(--ISNUMBER(SEARCH("R123",G156)),0)+IFERROR(--ISNUMBER(SEARCH("R124",G156)),0)+IFERROR(--ISNUMBER(SEARCH("R128",G156)),0)+IFERROR(--ISNUMBER(SEARCH("R130",G156)),0)+IFERROR(--ISNUMBER(SEARCH("R131",G156)),0)+IFERROR(--ISNUMBER(SEARCH("R132",G156)),0)+IFERROR(--ISNUMBER(SEARCH("R135",G156)),0)+IFERROR(--ISNUMBER(SEARCH("R138",G156)),0)+IFERROR(--ISNUMBER(SEARCH("R141",G156)),0))</f>
        <v/>
      </c>
      <c r="U156" s="58">
        <f>IF(A156="","",IFERROR(--ISNUMBER(SEARCH("R28",G156))*28,0)+IFERROR(--ISNUMBER(SEARCH("R29",G156))*29,0)+IFERROR(--ISNUMBER(SEARCH("R30",G156))*30,0)+IFERROR(--ISNUMBER(SEARCH("R31",G156))*31,0)+IFERROR(--ISNUMBER(SEARCH("R32",G156))*32,0)+IFERROR(--ISNUMBER(SEARCH("R33",G156))*33,0)+IFERROR(--ISNUMBER(SEARCH("R34",G156))*34,0)+IFERROR(--ISNUMBER(SEARCH("R35",G156))*35,0)+IFERROR(--ISNUMBER(SEARCH("R36",G156))*36,0)+IFERROR(--ISNUMBER(SEARCH("R37",G156))*37,0)+IFERROR(--ISNUMBER(SEARCH("R38",G156))*38,0)+IFERROR(--ISNUMBER(SEARCH("R39",G156))*39,0)+IFERROR(--ISNUMBER(SEARCH("R40",G156))*40,0)+IFERROR(--ISNUMBER(SEARCH("R41",G156))*41,0)+IFERROR(--ISNUMBER(SEARCH("R42",G156))*42,0)+IFERROR(--ISNUMBER(SEARCH("R43",G156))*43,0)+IFERROR(--ISNUMBER(SEARCH("R44",G156))*44,0)+IFERROR(--ISNUMBER(SEARCH("R45",G156))*45,0)+IFERROR(--ISNUMBER(SEARCH("R46",G156))*46,0)+IFERROR(--ISNUMBER(SEARCH("R47",G156))*47,0)+IFERROR(--ISNUMBER(SEARCH("R48",G156))*48,0)+IFERROR(--ISNUMBER(SEARCH("R49",G156))*49,0)+IFERROR(--ISNUMBER(SEARCH("R50",G156))*50,0)+IFERROR(--ISNUMBER(SEARCH("R51",G156))*51,0)+IFERROR(--ISNUMBER(SEARCH("R52",G156))*52,0)+IFERROR(--ISNUMBER(SEARCH("R53",G156))*53,0)+IFERROR(--ISNUMBER(SEARCH("R54",G156))*54,0)+IFERROR(--ISNUMBER(SEARCH("R55",G156))*55,0)+IFERROR(--ISNUMBER(SEARCH("R56",G156))*56,0)+IFERROR(--ISNUMBER(SEARCH("R57",G156))*57,0)+IFERROR(--ISNUMBER(SEARCH("R58",G156))*58,0)+IFERROR(--ISNUMBER(SEARCH("R59",G156))*59,0)+IFERROR(--ISNUMBER(SEARCH("R60",G156))*60,0)+IFERROR(--ISNUMBER(SEARCH("R61",G156))*61,0)+IFERROR(--ISNUMBER(SEARCH("R62",G156))*62,0)+IFERROR(--ISNUMBER(SEARCH("R63",G156))*63,0)+IFERROR(--ISNUMBER(SEARCH("R64",G156))*64,0)+IFERROR(--ISNUMBER(SEARCH("R65",G156))*65,0)+IFERROR(--ISNUMBER(SEARCH("R66",G156))*66,0)+IFERROR(--ISNUMBER(SEARCH("R67",G156))*67,0)+IFERROR(--ISNUMBER(SEARCH("R68",G156))*68,0)+IFERROR(--ISNUMBER(SEARCH("R69",G156))*69,0)+IFERROR(--ISNUMBER(SEARCH("R70",G156))*70,0)+IFERROR(--ISNUMBER(SEARCH("R71",G156))*71,0)+IFERROR(--ISNUMBER(SEARCH("R72",G156))*72,0)+IFERROR(--ISNUMBER(SEARCH("R73",G156))*73,0)+IFERROR(--ISNUMBER(SEARCH("R74",G156))*74,0)+IFERROR(--ISNUMBER(SEARCH("R75",G156))*75,0)+IFERROR(--ISNUMBER(SEARCH("R76",G156))*76,0)+IFERROR(--ISNUMBER(SEARCH("R77",G156))*77,0)+IFERROR(--ISNUMBER(SEARCH("R78",G156))*78,0)+IFERROR(--ISNUMBER(SEARCH("R79",G156))*79,0)+IFERROR(--ISNUMBER(SEARCH("R80",G156))*80,0)+IFERROR(--ISNUMBER(SEARCH("R81",G156))*81,0)+IFERROR(--ISNUMBER(SEARCH("R82",G156))*82,0)+IFERROR(--ISNUMBER(SEARCH("R83",G156))*83,0)+IFERROR(--ISNUMBER(SEARCH("R84",G156))*84,0)+IFERROR(--ISNUMBER(SEARCH("R85",G156))*85,0)+IFERROR(--ISNUMBER(SEARCH("R86",G156))*86,0)+IFERROR(--ISNUMBER(SEARCH("R87",G156))*87,0)+IFERROR(--ISNUMBER(SEARCH("R88",G156))*88,0)+IFERROR(--ISNUMBER(SEARCH("R89",G156))*89,0)+IFERROR(--ISNUMBER(SEARCH("R90",G156))*90,0)+IFERROR(--ISNUMBER(SEARCH("R91",G156))*91,0)+IFERROR(--ISNUMBER(SEARCH("R92",G156))*92,0)+IFERROR(--ISNUMBER(SEARCH("R93",G156))*93,0)+IFERROR(--ISNUMBER(SEARCH("R94",G156))*94,0)+IFERROR(--ISNUMBER(SEARCH("R95",G156))*95,0)+IFERROR(--ISNUMBER(SEARCH("R96",G156))*96,0)+IFERROR(--ISNUMBER(SEARCH("R97",G156))*97,0)+IFERROR(--ISNUMBER(SEARCH("R98",G156))*98,0)+IFERROR(--ISNUMBER(SEARCH("R99",G156))*99,0)+IFERROR(--ISNUMBER(SEARCH("R100",G156))*100,0)+IFERROR(--ISNUMBER(SEARCH("R101",G156))*101,0)+IFERROR(--ISNUMBER(SEARCH("R102",G156))*102,0)+IFERROR(--ISNUMBER(SEARCH("R103",G156))*103,0)+IFERROR(--ISNUMBER(SEARCH("R104",G156))*104,0)+IFERROR(--ISNUMBER(SEARCH("R105",G156))*105,0)+IFERROR(--ISNUMBER(SEARCH("R106",G156))*106,0)+IFERROR(--ISNUMBER(SEARCH("R107",G156))*107,0)+IFERROR(--ISNUMBER(SEARCH("R108",G156))*108,0)+IFERROR(--ISNUMBER(SEARCH("R109",G156))*109,0)+IFERROR(--ISNUMBER(SEARCH("R110",G156))*110,0)+IFERROR(--ISNUMBER(SEARCH("R111",G156))*111,0)+IFERROR(--ISNUMBER(SEARCH("R112",G156))*112,0)+IFERROR(--ISNUMBER(SEARCH("R113",G156))*113,0)+IFERROR(--ISNUMBER(SEARCH("R114",G156))*114,0)+IFERROR(--ISNUMBER(SEARCH("R115",G156))*115,0)+IFERROR(--ISNUMBER(SEARCH("R116",G156))*116,0)+IFERROR(--ISNUMBER(SEARCH("R117",G156))*117,0)+IFERROR(--ISNUMBER(SEARCH("R118",G156))*118,0)+IFERROR(--ISNUMBER(SEARCH("R119",G156))*119,0)+IFERROR(--ISNUMBER(SEARCH("R120",G156))*120,0)+IFERROR(--ISNUMBER(SEARCH("R121",G156))*121,0)+IFERROR(--ISNUMBER(SEARCH("R122",G156))*122,0)+IFERROR(--ISNUMBER(SEARCH("R123",G156))*123,0)+IFERROR(--ISNUMBER(SEARCH("R124",G156))*124,0)+IFERROR(--ISNUMBER(SEARCH("R125",G156))*125,0)+IFERROR(--ISNUMBER(SEARCH("R126",G156))*126,0)+IFERROR(--ISNUMBER(SEARCH("R127",G156))*127,0)+IFERROR(--ISNUMBER(SEARCH("R128",G156))*128,0)+IFERROR(--ISNUMBER(SEARCH("R129",G156))*129,0)+IFERROR(--ISNUMBER(SEARCH("R130",G156))*130,0)+IFERROR(--ISNUMBER(SEARCH("R131",G156))*131,0)+IFERROR(--ISNUMBER(SEARCH("R132",G156))*132,0)+IFERROR(--ISNUMBER(SEARCH("R133",G156))*133,0)+IFERROR(--ISNUMBER(SEARCH("R134",G156))*134,0)+IFERROR(--ISNUMBER(SEARCH("R135",G156))*135,0)+IFERROR(--ISNUMBER(SEARCH("R136",G156))*136,0)+IFERROR(--ISNUMBER(SEARCH("R137",G156))*137,0)+IFERROR(--ISNUMBER(SEARCH("R138",G156))*138,0)+IFERROR(--ISNUMBER(SEARCH("R139",G156))*139,0)+IFERROR(--ISNUMBER(SEARCH("R140",G156))*140,0)+IFERROR(--ISNUMBER(SEARCH("R141",G156))*141,0))</f>
        <v/>
      </c>
      <c r="V156" s="59">
        <f>IF(A156="","",IF(K156&lt;&gt;"",K156,J156))</f>
        <v/>
      </c>
      <c r="W156" s="59">
        <f>IF(A156="","",IF(AND(V156=29,O156&lt;&gt;"",COUNTIFS($V$6:$V$505,29,$F$6:$F$505,F156,$C$6:$C$505,C156,$O$6:$O$505,"&lt;&gt;")&gt;1),IF(COUNTIFS($V$6:V156,29,$F$6:F156,F156,$C$6:C156,C156,$O$6:O156,"&lt;&gt;")=1,"Esta es la fila que se debe CONSERVAR (aparición 1 de "&amp;COUNTIFS($V$6:$V$505,29,$F$6:$F$505,F156,$C$6:$C$505,C156,$O$6:$O$505,"&lt;&gt;")&amp;" con el mismo tercero y valor, casilla 29). Si hay más filas iguales, bórreles el valor a ELLAS, no a esta.","DUPLICADO — ya existe otra fila con el mismo tercero y valor para casilla 29 (aparición "&amp;COUNTIFS($V$6:V156,29,$F$6:F156,F156,$C$6:C156,C156,$O$6:O156,"&lt;&gt;")&amp;" de "&amp;COUNTIFS($V$6:$V$505,29,$F$6:$F$505,F156,$C$6:$C$505,C156,$O$6:$O$505,"&lt;&gt;")&amp;"). Para resolverlo: seleccione la celda O"&amp;ROW()&amp;" (columna Valor a declarar de ESTA fila) y presione Supr."),""))</f>
        <v/>
      </c>
      <c r="X156" s="463">
        <f>IF(A156="","",F156)</f>
        <v/>
      </c>
      <c r="Y156" s="463">
        <f>IF(A156="","",SUMIF(Entrada_Manual!$I$88:$I$187,A156,Entrada_Manual!$F$88:$F$187))</f>
        <v/>
      </c>
      <c r="Z156" s="463">
        <f>IF(A156="","",X156-Y156)</f>
        <v/>
      </c>
      <c r="AA156">
        <f>IF(A156="","",SUMPRODUCT((Entrada_Manual!$I$88:$I$187=A156)*1))</f>
        <v/>
      </c>
      <c r="AB156">
        <f>IF(A156="","",IF(S156&lt;=1,"",IF(AA156=0,"PENDIENTE — SIN ASIGNAR",IF(Z156=0,"RESUELTO","PARCIAL — DIFERENCIA "&amp;TEXT(Z156,"#,##0")))))</f>
        <v/>
      </c>
    </row>
    <row r="157" ht="14.25" customHeight="1" s="235">
      <c r="A157" s="47">
        <f>IF(Exogena_RAW!E166&lt;&gt;"",ROW()-5,"")</f>
        <v/>
      </c>
      <c r="B157" s="48">
        <f>IF(A157="","",166)</f>
        <v/>
      </c>
      <c r="C157" s="48">
        <f>IF(A157="","",IFERROR(Exogena_RAW!A166,""))</f>
        <v/>
      </c>
      <c r="D157" s="48">
        <f>IF(A157="","",IFERROR(Exogena_RAW!B166,""))</f>
        <v/>
      </c>
      <c r="E157" s="48">
        <f>IF(A157="","",Exogena_RAW!E166)</f>
        <v/>
      </c>
      <c r="F157" s="461">
        <f>IF(A157="","",Exogena_RAW!F166)</f>
        <v/>
      </c>
      <c r="G157" s="48">
        <f>IF(A157="","",IFERROR(Exogena_RAW!G166,""))</f>
        <v/>
      </c>
      <c r="H157" s="48">
        <f>IF(A157="","",IFERROR(Exogena_RAW!H166,""))</f>
        <v/>
      </c>
      <c r="I157" s="48">
        <f>IF(A157="","",IFERROR(IF(S157&gt;1,"VARIAS CASILLAS",IF(S157=1,IF(T157=1,"PROPUESTA DE CASILLA","REVISIÓN: CASILLA NO DIRECTA"),IF(OR(ISNUMBER(SEARCH("TOPE",UPPER(E157))),ISNUMBER(SEARCH("TOPE",UPPER(G157)))),"SOLO CONTROL",IF(ISNUMBER(SEARCH("RETEN",UPPER(E157))),"RETENCIÓN","REVISAR")))),"REVISAR"))</f>
        <v/>
      </c>
      <c r="J157" s="48">
        <f>IF(A157="","",IF(ISNUMBER(SEARCH("ingreso laboral promedio de los últimos seis meses",E157)),"",IFERROR(IF(AND(S157=1,T157=1),U157,""),"")))</f>
        <v/>
      </c>
      <c r="K157" s="216" t="n"/>
      <c r="L157" s="48">
        <f>IF(A157="","",IFERROR(IF(K157&lt;&gt;"","Casilla elegida por usuario",IF(S157&gt;1,"Varias casillas — elegir en K",IF(J157&lt;&gt;"","Sugerencia directa",IF(S157=1,"No trasladar directo — revisar",IF(OR(ISNUMBER(SEARCH("TOPE",UPPER(E157))),ISNUMBER(SEARCH("TOPE",UPPER(G157)))),"Solo control","Revisar manualmente"))))),"Revisar manualmente"))</f>
        <v/>
      </c>
      <c r="M157" s="461">
        <f>IF(A157="","",IF(IF(K157&lt;&gt;"",K157,J157)="",0,IF(COUNTIFS(Reglas!$I$5:$I$118,IF(K157&lt;&gt;"",K157,J157),Reglas!$J$5:$J$118,"Sí")=1,F157,0)))</f>
        <v/>
      </c>
      <c r="N157" s="56" t="n"/>
      <c r="O157" s="462">
        <f>IF(A157="","",IF(M157=0,"",M157))</f>
        <v/>
      </c>
      <c r="P157" s="461">
        <f>IF(A157="","",IF(O157="",0,IF(ISNUMBER(O157),O157,0)))</f>
        <v/>
      </c>
      <c r="Q157" s="48">
        <f>IF(A157="","",IF(Exogena_RAW!$C$4="","BLOQUEADO: FALTA AÑO",IF(Exogena_RAW!$K$10&lt;&gt;Reglas!$B$5,"BLOQUEADO: AÑO",IF(IF(K157&lt;&gt;"",K157,J157)="",IF(S157&gt;1,"REQUIERE ASIGNACIÓN MANUAL (VARIAS CASILLAS)","INFORMATIVO (sin casilla — no se declara)"),IF(COUNTIFS(Reglas!$I$5:$I$118,IF(K157&lt;&gt;"",K157,J157),Reglas!$J$5:$J$118,"Sí")=0,"BLOQUEADO: CASILLA NO DIRECTA",IF(O157="","EXCLUIDO (valor borrado por el usuario)",IF(_xlfn.ISFORMULA(O157),IF(W157&lt;&gt;"","BORRADOR — VALOR SUGERIDO DIAN ⚠ VER ALERTA","BORRADOR — VALOR SUGERIDO DIAN"),IF(W157&lt;&gt;"","ACEPTADO ⚠ VER ALERTA","ACEPTADO"))))))))</f>
        <v/>
      </c>
      <c r="R157" s="218" t="n"/>
      <c r="S157" s="58">
        <f>IF(A157="","",IFERROR(--ISNUMBER(SEARCH("R28",G157)),0)+IFERROR(--ISNUMBER(SEARCH("R29",G157)),0)+IFERROR(--ISNUMBER(SEARCH("R30",G157)),0)+IFERROR(--ISNUMBER(SEARCH("R31",G157)),0)+IFERROR(--ISNUMBER(SEARCH("R32",G157)),0)+IFERROR(--ISNUMBER(SEARCH("R33",G157)),0)+IFERROR(--ISNUMBER(SEARCH("R34",G157)),0)+IFERROR(--ISNUMBER(SEARCH("R35",G157)),0)+IFERROR(--ISNUMBER(SEARCH("R36",G157)),0)+IFERROR(--ISNUMBER(SEARCH("R37",G157)),0)+IFERROR(--ISNUMBER(SEARCH("R38",G157)),0)+IFERROR(--ISNUMBER(SEARCH("R39",G157)),0)+IFERROR(--ISNUMBER(SEARCH("R40",G157)),0)+IFERROR(--ISNUMBER(SEARCH("R41",G157)),0)+IFERROR(--ISNUMBER(SEARCH("R42",G157)),0)+IFERROR(--ISNUMBER(SEARCH("R43",G157)),0)+IFERROR(--ISNUMBER(SEARCH("R44",G157)),0)+IFERROR(--ISNUMBER(SEARCH("R45",G157)),0)+IFERROR(--ISNUMBER(SEARCH("R46",G157)),0)+IFERROR(--ISNUMBER(SEARCH("R47",G157)),0)+IFERROR(--ISNUMBER(SEARCH("R48",G157)),0)+IFERROR(--ISNUMBER(SEARCH("R49",G157)),0)+IFERROR(--ISNUMBER(SEARCH("R50",G157)),0)+IFERROR(--ISNUMBER(SEARCH("R51",G157)),0)+IFERROR(--ISNUMBER(SEARCH("R52",G157)),0)+IFERROR(--ISNUMBER(SEARCH("R53",G157)),0)+IFERROR(--ISNUMBER(SEARCH("R54",G157)),0)+IFERROR(--ISNUMBER(SEARCH("R55",G157)),0)+IFERROR(--ISNUMBER(SEARCH("R56",G157)),0)+IFERROR(--ISNUMBER(SEARCH("R57",G157)),0)+IFERROR(--ISNUMBER(SEARCH("R58",G157)),0)+IFERROR(--ISNUMBER(SEARCH("R59",G157)),0)+IFERROR(--ISNUMBER(SEARCH("R60",G157)),0)+IFERROR(--ISNUMBER(SEARCH("R61",G157)),0)+IFERROR(--ISNUMBER(SEARCH("R62",G157)),0)+IFERROR(--ISNUMBER(SEARCH("R63",G157)),0)+IFERROR(--ISNUMBER(SEARCH("R64",G157)),0)+IFERROR(--ISNUMBER(SEARCH("R65",G157)),0)+IFERROR(--ISNUMBER(SEARCH("R66",G157)),0)+IFERROR(--ISNUMBER(SEARCH("R67",G157)),0)+IFERROR(--ISNUMBER(SEARCH("R68",G157)),0)+IFERROR(--ISNUMBER(SEARCH("R69",G157)),0)+IFERROR(--ISNUMBER(SEARCH("R70",G157)),0)+IFERROR(--ISNUMBER(SEARCH("R71",G157)),0)+IFERROR(--ISNUMBER(SEARCH("R72",G157)),0)+IFERROR(--ISNUMBER(SEARCH("R73",G157)),0)+IFERROR(--ISNUMBER(SEARCH("R74",G157)),0)+IFERROR(--ISNUMBER(SEARCH("R75",G157)),0)+IFERROR(--ISNUMBER(SEARCH("R76",G157)),0)+IFERROR(--ISNUMBER(SEARCH("R77",G157)),0)+IFERROR(--ISNUMBER(SEARCH("R78",G157)),0)+IFERROR(--ISNUMBER(SEARCH("R79",G157)),0)+IFERROR(--ISNUMBER(SEARCH("R80",G157)),0)+IFERROR(--ISNUMBER(SEARCH("R81",G157)),0)+IFERROR(--ISNUMBER(SEARCH("R82",G157)),0)+IFERROR(--ISNUMBER(SEARCH("R83",G157)),0)+IFERROR(--ISNUMBER(SEARCH("R84",G157)),0)+IFERROR(--ISNUMBER(SEARCH("R85",G157)),0)+IFERROR(--ISNUMBER(SEARCH("R86",G157)),0)+IFERROR(--ISNUMBER(SEARCH("R87",G157)),0)+IFERROR(--ISNUMBER(SEARCH("R88",G157)),0)+IFERROR(--ISNUMBER(SEARCH("R89",G157)),0)+IFERROR(--ISNUMBER(SEARCH("R90",G157)),0)+IFERROR(--ISNUMBER(SEARCH("R91",G157)),0)+IFERROR(--ISNUMBER(SEARCH("R92",G157)),0)+IFERROR(--ISNUMBER(SEARCH("R93",G157)),0)+IFERROR(--ISNUMBER(SEARCH("R94",G157)),0)+IFERROR(--ISNUMBER(SEARCH("R95",G157)),0)+IFERROR(--ISNUMBER(SEARCH("R96",G157)),0)+IFERROR(--ISNUMBER(SEARCH("R97",G157)),0)+IFERROR(--ISNUMBER(SEARCH("R98",G157)),0)+IFERROR(--ISNUMBER(SEARCH("R99",G157)),0)+IFERROR(--ISNUMBER(SEARCH("R100",G157)),0)+IFERROR(--ISNUMBER(SEARCH("R101",G157)),0)+IFERROR(--ISNUMBER(SEARCH("R102",G157)),0)+IFERROR(--ISNUMBER(SEARCH("R103",G157)),0)+IFERROR(--ISNUMBER(SEARCH("R104",G157)),0)+IFERROR(--ISNUMBER(SEARCH("R105",G157)),0)+IFERROR(--ISNUMBER(SEARCH("R106",G157)),0)+IFERROR(--ISNUMBER(SEARCH("R107",G157)),0)+IFERROR(--ISNUMBER(SEARCH("R108",G157)),0)+IFERROR(--ISNUMBER(SEARCH("R109",G157)),0)+IFERROR(--ISNUMBER(SEARCH("R110",G157)),0)+IFERROR(--ISNUMBER(SEARCH("R111",G157)),0)+IFERROR(--ISNUMBER(SEARCH("R112",G157)),0)+IFERROR(--ISNUMBER(SEARCH("R113",G157)),0)+IFERROR(--ISNUMBER(SEARCH("R114",G157)),0)+IFERROR(--ISNUMBER(SEARCH("R115",G157)),0)+IFERROR(--ISNUMBER(SEARCH("R116",G157)),0)+IFERROR(--ISNUMBER(SEARCH("R117",G157)),0)+IFERROR(--ISNUMBER(SEARCH("R118",G157)),0)+IFERROR(--ISNUMBER(SEARCH("R119",G157)),0)+IFERROR(--ISNUMBER(SEARCH("R120",G157)),0)+IFERROR(--ISNUMBER(SEARCH("R121",G157)),0)+IFERROR(--ISNUMBER(SEARCH("R122",G157)),0)+IFERROR(--ISNUMBER(SEARCH("R123",G157)),0)+IFERROR(--ISNUMBER(SEARCH("R124",G157)),0)+IFERROR(--ISNUMBER(SEARCH("R125",G157)),0)+IFERROR(--ISNUMBER(SEARCH("R126",G157)),0)+IFERROR(--ISNUMBER(SEARCH("R127",G157)),0)+IFERROR(--ISNUMBER(SEARCH("R128",G157)),0)+IFERROR(--ISNUMBER(SEARCH("R129",G157)),0)+IFERROR(--ISNUMBER(SEARCH("R130",G157)),0)+IFERROR(--ISNUMBER(SEARCH("R131",G157)),0)+IFERROR(--ISNUMBER(SEARCH("R132",G157)),0)+IFERROR(--ISNUMBER(SEARCH("R133",G157)),0)+IFERROR(--ISNUMBER(SEARCH("R134",G157)),0)+IFERROR(--ISNUMBER(SEARCH("R135",G157)),0)+IFERROR(--ISNUMBER(SEARCH("R136",G157)),0)+IFERROR(--ISNUMBER(SEARCH("R137",G157)),0)+IFERROR(--ISNUMBER(SEARCH("R138",G157)),0)+IFERROR(--ISNUMBER(SEARCH("R139",G157)),0)+IFERROR(--ISNUMBER(SEARCH("R140",G157)),0)+IFERROR(--ISNUMBER(SEARCH("R141",G157)),0))</f>
        <v/>
      </c>
      <c r="T157" s="58">
        <f>IF(A157="","",IFERROR(--ISNUMBER(SEARCH("R28",G157)),0)+IFERROR(--ISNUMBER(SEARCH("R29",G157)),0)+IFERROR(--ISNUMBER(SEARCH("R30",G157)),0)+IFERROR(--ISNUMBER(SEARCH("R32",G157)),0)+IFERROR(--ISNUMBER(SEARCH("R33",G157)),0)+IFERROR(--ISNUMBER(SEARCH("R35",G157)),0)+IFERROR(--ISNUMBER(SEARCH("R36",G157)),0)+IFERROR(--ISNUMBER(SEARCH("R38",G157)),0)+IFERROR(--ISNUMBER(SEARCH("R39",G157)),0)+IFERROR(--ISNUMBER(SEARCH("R43",G157)),0)+IFERROR(--ISNUMBER(SEARCH("R44",G157)),0)+IFERROR(--ISNUMBER(SEARCH("R45",G157)),0)+IFERROR(--ISNUMBER(SEARCH("R47",G157)),0)+IFERROR(--ISNUMBER(SEARCH("R48",G157)),0)+IFERROR(--ISNUMBER(SEARCH("R50",G157)),0)+IFERROR(--ISNUMBER(SEARCH("R51",G157)),0)+IFERROR(--ISNUMBER(SEARCH("R56",G157)),0)+IFERROR(--ISNUMBER(SEARCH("R58",G157)),0)+IFERROR(--ISNUMBER(SEARCH("R59",G157)),0)+IFERROR(--ISNUMBER(SEARCH("R60",G157)),0)+IFERROR(--ISNUMBER(SEARCH("R62",G157)),0)+IFERROR(--ISNUMBER(SEARCH("R63",G157)),0)+IFERROR(--ISNUMBER(SEARCH("R64",G157)),0)+IFERROR(--ISNUMBER(SEARCH("R66",G157)),0)+IFERROR(--ISNUMBER(SEARCH("R67",G157)),0)+IFERROR(--ISNUMBER(SEARCH("R72",G157)),0)+IFERROR(--ISNUMBER(SEARCH("R74",G157)),0)+IFERROR(--ISNUMBER(SEARCH("R75",G157)),0)+IFERROR(--ISNUMBER(SEARCH("R76",G157)),0)+IFERROR(--ISNUMBER(SEARCH("R77",G157)),0)+IFERROR(--ISNUMBER(SEARCH("R79",G157)),0)+IFERROR(--ISNUMBER(SEARCH("R80",G157)),0)+IFERROR(--ISNUMBER(SEARCH("R81",G157)),0)+IFERROR(--ISNUMBER(SEARCH("R83",G157)),0)+IFERROR(--ISNUMBER(SEARCH("R84",G157)),0)+IFERROR(--ISNUMBER(SEARCH("R89",G157)),0)+IFERROR(--ISNUMBER(SEARCH("R94",G157)),0)+IFERROR(--ISNUMBER(SEARCH("R95",G157)),0)+IFERROR(--ISNUMBER(SEARCH("R96",G157)),0)+IFERROR(--ISNUMBER(SEARCH("R98",G157)),0)+IFERROR(--ISNUMBER(SEARCH("R99",G157)),0)+IFERROR(--ISNUMBER(SEARCH("R100",G157)),0)+IFERROR(--ISNUMBER(SEARCH("R104",G157)),0)+IFERROR(--ISNUMBER(SEARCH("R105",G157)),0)+IFERROR(--ISNUMBER(SEARCH("R107",G157)),0)+IFERROR(--ISNUMBER(SEARCH("R108",G157)),0)+IFERROR(--ISNUMBER(SEARCH("R109",G157)),0)+IFERROR(--ISNUMBER(SEARCH("R110",G157)),0)+IFERROR(--ISNUMBER(SEARCH("R112",G157)),0)+IFERROR(--ISNUMBER(SEARCH("R113",G157)),0)+IFERROR(--ISNUMBER(SEARCH("R114",G157)),0)+IFERROR(--ISNUMBER(SEARCH("R118",G157)),0)+IFERROR(--ISNUMBER(SEARCH("R119",G157)),0)+IFERROR(--ISNUMBER(SEARCH("R120",G157)),0)+IFERROR(--ISNUMBER(SEARCH("R122",G157)),0)+IFERROR(--ISNUMBER(SEARCH("R123",G157)),0)+IFERROR(--ISNUMBER(SEARCH("R124",G157)),0)+IFERROR(--ISNUMBER(SEARCH("R128",G157)),0)+IFERROR(--ISNUMBER(SEARCH("R130",G157)),0)+IFERROR(--ISNUMBER(SEARCH("R131",G157)),0)+IFERROR(--ISNUMBER(SEARCH("R132",G157)),0)+IFERROR(--ISNUMBER(SEARCH("R135",G157)),0)+IFERROR(--ISNUMBER(SEARCH("R138",G157)),0)+IFERROR(--ISNUMBER(SEARCH("R141",G157)),0))</f>
        <v/>
      </c>
      <c r="U157" s="58">
        <f>IF(A157="","",IFERROR(--ISNUMBER(SEARCH("R28",G157))*28,0)+IFERROR(--ISNUMBER(SEARCH("R29",G157))*29,0)+IFERROR(--ISNUMBER(SEARCH("R30",G157))*30,0)+IFERROR(--ISNUMBER(SEARCH("R31",G157))*31,0)+IFERROR(--ISNUMBER(SEARCH("R32",G157))*32,0)+IFERROR(--ISNUMBER(SEARCH("R33",G157))*33,0)+IFERROR(--ISNUMBER(SEARCH("R34",G157))*34,0)+IFERROR(--ISNUMBER(SEARCH("R35",G157))*35,0)+IFERROR(--ISNUMBER(SEARCH("R36",G157))*36,0)+IFERROR(--ISNUMBER(SEARCH("R37",G157))*37,0)+IFERROR(--ISNUMBER(SEARCH("R38",G157))*38,0)+IFERROR(--ISNUMBER(SEARCH("R39",G157))*39,0)+IFERROR(--ISNUMBER(SEARCH("R40",G157))*40,0)+IFERROR(--ISNUMBER(SEARCH("R41",G157))*41,0)+IFERROR(--ISNUMBER(SEARCH("R42",G157))*42,0)+IFERROR(--ISNUMBER(SEARCH("R43",G157))*43,0)+IFERROR(--ISNUMBER(SEARCH("R44",G157))*44,0)+IFERROR(--ISNUMBER(SEARCH("R45",G157))*45,0)+IFERROR(--ISNUMBER(SEARCH("R46",G157))*46,0)+IFERROR(--ISNUMBER(SEARCH("R47",G157))*47,0)+IFERROR(--ISNUMBER(SEARCH("R48",G157))*48,0)+IFERROR(--ISNUMBER(SEARCH("R49",G157))*49,0)+IFERROR(--ISNUMBER(SEARCH("R50",G157))*50,0)+IFERROR(--ISNUMBER(SEARCH("R51",G157))*51,0)+IFERROR(--ISNUMBER(SEARCH("R52",G157))*52,0)+IFERROR(--ISNUMBER(SEARCH("R53",G157))*53,0)+IFERROR(--ISNUMBER(SEARCH("R54",G157))*54,0)+IFERROR(--ISNUMBER(SEARCH("R55",G157))*55,0)+IFERROR(--ISNUMBER(SEARCH("R56",G157))*56,0)+IFERROR(--ISNUMBER(SEARCH("R57",G157))*57,0)+IFERROR(--ISNUMBER(SEARCH("R58",G157))*58,0)+IFERROR(--ISNUMBER(SEARCH("R59",G157))*59,0)+IFERROR(--ISNUMBER(SEARCH("R60",G157))*60,0)+IFERROR(--ISNUMBER(SEARCH("R61",G157))*61,0)+IFERROR(--ISNUMBER(SEARCH("R62",G157))*62,0)+IFERROR(--ISNUMBER(SEARCH("R63",G157))*63,0)+IFERROR(--ISNUMBER(SEARCH("R64",G157))*64,0)+IFERROR(--ISNUMBER(SEARCH("R65",G157))*65,0)+IFERROR(--ISNUMBER(SEARCH("R66",G157))*66,0)+IFERROR(--ISNUMBER(SEARCH("R67",G157))*67,0)+IFERROR(--ISNUMBER(SEARCH("R68",G157))*68,0)+IFERROR(--ISNUMBER(SEARCH("R69",G157))*69,0)+IFERROR(--ISNUMBER(SEARCH("R70",G157))*70,0)+IFERROR(--ISNUMBER(SEARCH("R71",G157))*71,0)+IFERROR(--ISNUMBER(SEARCH("R72",G157))*72,0)+IFERROR(--ISNUMBER(SEARCH("R73",G157))*73,0)+IFERROR(--ISNUMBER(SEARCH("R74",G157))*74,0)+IFERROR(--ISNUMBER(SEARCH("R75",G157))*75,0)+IFERROR(--ISNUMBER(SEARCH("R76",G157))*76,0)+IFERROR(--ISNUMBER(SEARCH("R77",G157))*77,0)+IFERROR(--ISNUMBER(SEARCH("R78",G157))*78,0)+IFERROR(--ISNUMBER(SEARCH("R79",G157))*79,0)+IFERROR(--ISNUMBER(SEARCH("R80",G157))*80,0)+IFERROR(--ISNUMBER(SEARCH("R81",G157))*81,0)+IFERROR(--ISNUMBER(SEARCH("R82",G157))*82,0)+IFERROR(--ISNUMBER(SEARCH("R83",G157))*83,0)+IFERROR(--ISNUMBER(SEARCH("R84",G157))*84,0)+IFERROR(--ISNUMBER(SEARCH("R85",G157))*85,0)+IFERROR(--ISNUMBER(SEARCH("R86",G157))*86,0)+IFERROR(--ISNUMBER(SEARCH("R87",G157))*87,0)+IFERROR(--ISNUMBER(SEARCH("R88",G157))*88,0)+IFERROR(--ISNUMBER(SEARCH("R89",G157))*89,0)+IFERROR(--ISNUMBER(SEARCH("R90",G157))*90,0)+IFERROR(--ISNUMBER(SEARCH("R91",G157))*91,0)+IFERROR(--ISNUMBER(SEARCH("R92",G157))*92,0)+IFERROR(--ISNUMBER(SEARCH("R93",G157))*93,0)+IFERROR(--ISNUMBER(SEARCH("R94",G157))*94,0)+IFERROR(--ISNUMBER(SEARCH("R95",G157))*95,0)+IFERROR(--ISNUMBER(SEARCH("R96",G157))*96,0)+IFERROR(--ISNUMBER(SEARCH("R97",G157))*97,0)+IFERROR(--ISNUMBER(SEARCH("R98",G157))*98,0)+IFERROR(--ISNUMBER(SEARCH("R99",G157))*99,0)+IFERROR(--ISNUMBER(SEARCH("R100",G157))*100,0)+IFERROR(--ISNUMBER(SEARCH("R101",G157))*101,0)+IFERROR(--ISNUMBER(SEARCH("R102",G157))*102,0)+IFERROR(--ISNUMBER(SEARCH("R103",G157))*103,0)+IFERROR(--ISNUMBER(SEARCH("R104",G157))*104,0)+IFERROR(--ISNUMBER(SEARCH("R105",G157))*105,0)+IFERROR(--ISNUMBER(SEARCH("R106",G157))*106,0)+IFERROR(--ISNUMBER(SEARCH("R107",G157))*107,0)+IFERROR(--ISNUMBER(SEARCH("R108",G157))*108,0)+IFERROR(--ISNUMBER(SEARCH("R109",G157))*109,0)+IFERROR(--ISNUMBER(SEARCH("R110",G157))*110,0)+IFERROR(--ISNUMBER(SEARCH("R111",G157))*111,0)+IFERROR(--ISNUMBER(SEARCH("R112",G157))*112,0)+IFERROR(--ISNUMBER(SEARCH("R113",G157))*113,0)+IFERROR(--ISNUMBER(SEARCH("R114",G157))*114,0)+IFERROR(--ISNUMBER(SEARCH("R115",G157))*115,0)+IFERROR(--ISNUMBER(SEARCH("R116",G157))*116,0)+IFERROR(--ISNUMBER(SEARCH("R117",G157))*117,0)+IFERROR(--ISNUMBER(SEARCH("R118",G157))*118,0)+IFERROR(--ISNUMBER(SEARCH("R119",G157))*119,0)+IFERROR(--ISNUMBER(SEARCH("R120",G157))*120,0)+IFERROR(--ISNUMBER(SEARCH("R121",G157))*121,0)+IFERROR(--ISNUMBER(SEARCH("R122",G157))*122,0)+IFERROR(--ISNUMBER(SEARCH("R123",G157))*123,0)+IFERROR(--ISNUMBER(SEARCH("R124",G157))*124,0)+IFERROR(--ISNUMBER(SEARCH("R125",G157))*125,0)+IFERROR(--ISNUMBER(SEARCH("R126",G157))*126,0)+IFERROR(--ISNUMBER(SEARCH("R127",G157))*127,0)+IFERROR(--ISNUMBER(SEARCH("R128",G157))*128,0)+IFERROR(--ISNUMBER(SEARCH("R129",G157))*129,0)+IFERROR(--ISNUMBER(SEARCH("R130",G157))*130,0)+IFERROR(--ISNUMBER(SEARCH("R131",G157))*131,0)+IFERROR(--ISNUMBER(SEARCH("R132",G157))*132,0)+IFERROR(--ISNUMBER(SEARCH("R133",G157))*133,0)+IFERROR(--ISNUMBER(SEARCH("R134",G157))*134,0)+IFERROR(--ISNUMBER(SEARCH("R135",G157))*135,0)+IFERROR(--ISNUMBER(SEARCH("R136",G157))*136,0)+IFERROR(--ISNUMBER(SEARCH("R137",G157))*137,0)+IFERROR(--ISNUMBER(SEARCH("R138",G157))*138,0)+IFERROR(--ISNUMBER(SEARCH("R139",G157))*139,0)+IFERROR(--ISNUMBER(SEARCH("R140",G157))*140,0)+IFERROR(--ISNUMBER(SEARCH("R141",G157))*141,0))</f>
        <v/>
      </c>
      <c r="V157" s="59">
        <f>IF(A157="","",IF(K157&lt;&gt;"",K157,J157))</f>
        <v/>
      </c>
      <c r="W157" s="59">
        <f>IF(A157="","",IF(AND(V157=29,O157&lt;&gt;"",COUNTIFS($V$6:$V$505,29,$F$6:$F$505,F157,$C$6:$C$505,C157,$O$6:$O$505,"&lt;&gt;")&gt;1),IF(COUNTIFS($V$6:V157,29,$F$6:F157,F157,$C$6:C157,C157,$O$6:O157,"&lt;&gt;")=1,"Esta es la fila que se debe CONSERVAR (aparición 1 de "&amp;COUNTIFS($V$6:$V$505,29,$F$6:$F$505,F157,$C$6:$C$505,C157,$O$6:$O$505,"&lt;&gt;")&amp;" con el mismo tercero y valor, casilla 29). Si hay más filas iguales, bórreles el valor a ELLAS, no a esta.","DUPLICADO — ya existe otra fila con el mismo tercero y valor para casilla 29 (aparición "&amp;COUNTIFS($V$6:V157,29,$F$6:F157,F157,$C$6:C157,C157,$O$6:O157,"&lt;&gt;")&amp;" de "&amp;COUNTIFS($V$6:$V$505,29,$F$6:$F$505,F157,$C$6:$C$505,C157,$O$6:$O$505,"&lt;&gt;")&amp;"). Para resolverlo: seleccione la celda O"&amp;ROW()&amp;" (columna Valor a declarar de ESTA fila) y presione Supr."),""))</f>
        <v/>
      </c>
      <c r="X157" s="463">
        <f>IF(A157="","",F157)</f>
        <v/>
      </c>
      <c r="Y157" s="463">
        <f>IF(A157="","",SUMIF(Entrada_Manual!$I$88:$I$187,A157,Entrada_Manual!$F$88:$F$187))</f>
        <v/>
      </c>
      <c r="Z157" s="463">
        <f>IF(A157="","",X157-Y157)</f>
        <v/>
      </c>
      <c r="AA157">
        <f>IF(A157="","",SUMPRODUCT((Entrada_Manual!$I$88:$I$187=A157)*1))</f>
        <v/>
      </c>
      <c r="AB157">
        <f>IF(A157="","",IF(S157&lt;=1,"",IF(AA157=0,"PENDIENTE — SIN ASIGNAR",IF(Z157=0,"RESUELTO","PARCIAL — DIFERENCIA "&amp;TEXT(Z157,"#,##0")))))</f>
        <v/>
      </c>
    </row>
    <row r="158" ht="14.25" customHeight="1" s="235">
      <c r="A158" s="47">
        <f>IF(Exogena_RAW!E167&lt;&gt;"",ROW()-5,"")</f>
        <v/>
      </c>
      <c r="B158" s="48">
        <f>IF(A158="","",167)</f>
        <v/>
      </c>
      <c r="C158" s="48">
        <f>IF(A158="","",IFERROR(Exogena_RAW!A167,""))</f>
        <v/>
      </c>
      <c r="D158" s="48">
        <f>IF(A158="","",IFERROR(Exogena_RAW!B167,""))</f>
        <v/>
      </c>
      <c r="E158" s="48">
        <f>IF(A158="","",Exogena_RAW!E167)</f>
        <v/>
      </c>
      <c r="F158" s="461">
        <f>IF(A158="","",Exogena_RAW!F167)</f>
        <v/>
      </c>
      <c r="G158" s="48">
        <f>IF(A158="","",IFERROR(Exogena_RAW!G167,""))</f>
        <v/>
      </c>
      <c r="H158" s="48">
        <f>IF(A158="","",IFERROR(Exogena_RAW!H167,""))</f>
        <v/>
      </c>
      <c r="I158" s="48">
        <f>IF(A158="","",IFERROR(IF(S158&gt;1,"VARIAS CASILLAS",IF(S158=1,IF(T158=1,"PROPUESTA DE CASILLA","REVISIÓN: CASILLA NO DIRECTA"),IF(OR(ISNUMBER(SEARCH("TOPE",UPPER(E158))),ISNUMBER(SEARCH("TOPE",UPPER(G158)))),"SOLO CONTROL",IF(ISNUMBER(SEARCH("RETEN",UPPER(E158))),"RETENCIÓN","REVISAR")))),"REVISAR"))</f>
        <v/>
      </c>
      <c r="J158" s="48">
        <f>IF(A158="","",IF(ISNUMBER(SEARCH("ingreso laboral promedio de los últimos seis meses",E158)),"",IFERROR(IF(AND(S158=1,T158=1),U158,""),"")))</f>
        <v/>
      </c>
      <c r="K158" s="216" t="n"/>
      <c r="L158" s="48">
        <f>IF(A158="","",IFERROR(IF(K158&lt;&gt;"","Casilla elegida por usuario",IF(S158&gt;1,"Varias casillas — elegir en K",IF(J158&lt;&gt;"","Sugerencia directa",IF(S158=1,"No trasladar directo — revisar",IF(OR(ISNUMBER(SEARCH("TOPE",UPPER(E158))),ISNUMBER(SEARCH("TOPE",UPPER(G158)))),"Solo control","Revisar manualmente"))))),"Revisar manualmente"))</f>
        <v/>
      </c>
      <c r="M158" s="461">
        <f>IF(A158="","",IF(IF(K158&lt;&gt;"",K158,J158)="",0,IF(COUNTIFS(Reglas!$I$5:$I$118,IF(K158&lt;&gt;"",K158,J158),Reglas!$J$5:$J$118,"Sí")=1,F158,0)))</f>
        <v/>
      </c>
      <c r="N158" s="56" t="n"/>
      <c r="O158" s="462">
        <f>IF(A158="","",IF(M158=0,"",M158))</f>
        <v/>
      </c>
      <c r="P158" s="461">
        <f>IF(A158="","",IF(O158="",0,IF(ISNUMBER(O158),O158,0)))</f>
        <v/>
      </c>
      <c r="Q158" s="48">
        <f>IF(A158="","",IF(Exogena_RAW!$C$4="","BLOQUEADO: FALTA AÑO",IF(Exogena_RAW!$K$10&lt;&gt;Reglas!$B$5,"BLOQUEADO: AÑO",IF(IF(K158&lt;&gt;"",K158,J158)="",IF(S158&gt;1,"REQUIERE ASIGNACIÓN MANUAL (VARIAS CASILLAS)","INFORMATIVO (sin casilla — no se declara)"),IF(COUNTIFS(Reglas!$I$5:$I$118,IF(K158&lt;&gt;"",K158,J158),Reglas!$J$5:$J$118,"Sí")=0,"BLOQUEADO: CASILLA NO DIRECTA",IF(O158="","EXCLUIDO (valor borrado por el usuario)",IF(_xlfn.ISFORMULA(O158),IF(W158&lt;&gt;"","BORRADOR — VALOR SUGERIDO DIAN ⚠ VER ALERTA","BORRADOR — VALOR SUGERIDO DIAN"),IF(W158&lt;&gt;"","ACEPTADO ⚠ VER ALERTA","ACEPTADO"))))))))</f>
        <v/>
      </c>
      <c r="R158" s="218" t="n"/>
      <c r="S158" s="58">
        <f>IF(A158="","",IFERROR(--ISNUMBER(SEARCH("R28",G158)),0)+IFERROR(--ISNUMBER(SEARCH("R29",G158)),0)+IFERROR(--ISNUMBER(SEARCH("R30",G158)),0)+IFERROR(--ISNUMBER(SEARCH("R31",G158)),0)+IFERROR(--ISNUMBER(SEARCH("R32",G158)),0)+IFERROR(--ISNUMBER(SEARCH("R33",G158)),0)+IFERROR(--ISNUMBER(SEARCH("R34",G158)),0)+IFERROR(--ISNUMBER(SEARCH("R35",G158)),0)+IFERROR(--ISNUMBER(SEARCH("R36",G158)),0)+IFERROR(--ISNUMBER(SEARCH("R37",G158)),0)+IFERROR(--ISNUMBER(SEARCH("R38",G158)),0)+IFERROR(--ISNUMBER(SEARCH("R39",G158)),0)+IFERROR(--ISNUMBER(SEARCH("R40",G158)),0)+IFERROR(--ISNUMBER(SEARCH("R41",G158)),0)+IFERROR(--ISNUMBER(SEARCH("R42",G158)),0)+IFERROR(--ISNUMBER(SEARCH("R43",G158)),0)+IFERROR(--ISNUMBER(SEARCH("R44",G158)),0)+IFERROR(--ISNUMBER(SEARCH("R45",G158)),0)+IFERROR(--ISNUMBER(SEARCH("R46",G158)),0)+IFERROR(--ISNUMBER(SEARCH("R47",G158)),0)+IFERROR(--ISNUMBER(SEARCH("R48",G158)),0)+IFERROR(--ISNUMBER(SEARCH("R49",G158)),0)+IFERROR(--ISNUMBER(SEARCH("R50",G158)),0)+IFERROR(--ISNUMBER(SEARCH("R51",G158)),0)+IFERROR(--ISNUMBER(SEARCH("R52",G158)),0)+IFERROR(--ISNUMBER(SEARCH("R53",G158)),0)+IFERROR(--ISNUMBER(SEARCH("R54",G158)),0)+IFERROR(--ISNUMBER(SEARCH("R55",G158)),0)+IFERROR(--ISNUMBER(SEARCH("R56",G158)),0)+IFERROR(--ISNUMBER(SEARCH("R57",G158)),0)+IFERROR(--ISNUMBER(SEARCH("R58",G158)),0)+IFERROR(--ISNUMBER(SEARCH("R59",G158)),0)+IFERROR(--ISNUMBER(SEARCH("R60",G158)),0)+IFERROR(--ISNUMBER(SEARCH("R61",G158)),0)+IFERROR(--ISNUMBER(SEARCH("R62",G158)),0)+IFERROR(--ISNUMBER(SEARCH("R63",G158)),0)+IFERROR(--ISNUMBER(SEARCH("R64",G158)),0)+IFERROR(--ISNUMBER(SEARCH("R65",G158)),0)+IFERROR(--ISNUMBER(SEARCH("R66",G158)),0)+IFERROR(--ISNUMBER(SEARCH("R67",G158)),0)+IFERROR(--ISNUMBER(SEARCH("R68",G158)),0)+IFERROR(--ISNUMBER(SEARCH("R69",G158)),0)+IFERROR(--ISNUMBER(SEARCH("R70",G158)),0)+IFERROR(--ISNUMBER(SEARCH("R71",G158)),0)+IFERROR(--ISNUMBER(SEARCH("R72",G158)),0)+IFERROR(--ISNUMBER(SEARCH("R73",G158)),0)+IFERROR(--ISNUMBER(SEARCH("R74",G158)),0)+IFERROR(--ISNUMBER(SEARCH("R75",G158)),0)+IFERROR(--ISNUMBER(SEARCH("R76",G158)),0)+IFERROR(--ISNUMBER(SEARCH("R77",G158)),0)+IFERROR(--ISNUMBER(SEARCH("R78",G158)),0)+IFERROR(--ISNUMBER(SEARCH("R79",G158)),0)+IFERROR(--ISNUMBER(SEARCH("R80",G158)),0)+IFERROR(--ISNUMBER(SEARCH("R81",G158)),0)+IFERROR(--ISNUMBER(SEARCH("R82",G158)),0)+IFERROR(--ISNUMBER(SEARCH("R83",G158)),0)+IFERROR(--ISNUMBER(SEARCH("R84",G158)),0)+IFERROR(--ISNUMBER(SEARCH("R85",G158)),0)+IFERROR(--ISNUMBER(SEARCH("R86",G158)),0)+IFERROR(--ISNUMBER(SEARCH("R87",G158)),0)+IFERROR(--ISNUMBER(SEARCH("R88",G158)),0)+IFERROR(--ISNUMBER(SEARCH("R89",G158)),0)+IFERROR(--ISNUMBER(SEARCH("R90",G158)),0)+IFERROR(--ISNUMBER(SEARCH("R91",G158)),0)+IFERROR(--ISNUMBER(SEARCH("R92",G158)),0)+IFERROR(--ISNUMBER(SEARCH("R93",G158)),0)+IFERROR(--ISNUMBER(SEARCH("R94",G158)),0)+IFERROR(--ISNUMBER(SEARCH("R95",G158)),0)+IFERROR(--ISNUMBER(SEARCH("R96",G158)),0)+IFERROR(--ISNUMBER(SEARCH("R97",G158)),0)+IFERROR(--ISNUMBER(SEARCH("R98",G158)),0)+IFERROR(--ISNUMBER(SEARCH("R99",G158)),0)+IFERROR(--ISNUMBER(SEARCH("R100",G158)),0)+IFERROR(--ISNUMBER(SEARCH("R101",G158)),0)+IFERROR(--ISNUMBER(SEARCH("R102",G158)),0)+IFERROR(--ISNUMBER(SEARCH("R103",G158)),0)+IFERROR(--ISNUMBER(SEARCH("R104",G158)),0)+IFERROR(--ISNUMBER(SEARCH("R105",G158)),0)+IFERROR(--ISNUMBER(SEARCH("R106",G158)),0)+IFERROR(--ISNUMBER(SEARCH("R107",G158)),0)+IFERROR(--ISNUMBER(SEARCH("R108",G158)),0)+IFERROR(--ISNUMBER(SEARCH("R109",G158)),0)+IFERROR(--ISNUMBER(SEARCH("R110",G158)),0)+IFERROR(--ISNUMBER(SEARCH("R111",G158)),0)+IFERROR(--ISNUMBER(SEARCH("R112",G158)),0)+IFERROR(--ISNUMBER(SEARCH("R113",G158)),0)+IFERROR(--ISNUMBER(SEARCH("R114",G158)),0)+IFERROR(--ISNUMBER(SEARCH("R115",G158)),0)+IFERROR(--ISNUMBER(SEARCH("R116",G158)),0)+IFERROR(--ISNUMBER(SEARCH("R117",G158)),0)+IFERROR(--ISNUMBER(SEARCH("R118",G158)),0)+IFERROR(--ISNUMBER(SEARCH("R119",G158)),0)+IFERROR(--ISNUMBER(SEARCH("R120",G158)),0)+IFERROR(--ISNUMBER(SEARCH("R121",G158)),0)+IFERROR(--ISNUMBER(SEARCH("R122",G158)),0)+IFERROR(--ISNUMBER(SEARCH("R123",G158)),0)+IFERROR(--ISNUMBER(SEARCH("R124",G158)),0)+IFERROR(--ISNUMBER(SEARCH("R125",G158)),0)+IFERROR(--ISNUMBER(SEARCH("R126",G158)),0)+IFERROR(--ISNUMBER(SEARCH("R127",G158)),0)+IFERROR(--ISNUMBER(SEARCH("R128",G158)),0)+IFERROR(--ISNUMBER(SEARCH("R129",G158)),0)+IFERROR(--ISNUMBER(SEARCH("R130",G158)),0)+IFERROR(--ISNUMBER(SEARCH("R131",G158)),0)+IFERROR(--ISNUMBER(SEARCH("R132",G158)),0)+IFERROR(--ISNUMBER(SEARCH("R133",G158)),0)+IFERROR(--ISNUMBER(SEARCH("R134",G158)),0)+IFERROR(--ISNUMBER(SEARCH("R135",G158)),0)+IFERROR(--ISNUMBER(SEARCH("R136",G158)),0)+IFERROR(--ISNUMBER(SEARCH("R137",G158)),0)+IFERROR(--ISNUMBER(SEARCH("R138",G158)),0)+IFERROR(--ISNUMBER(SEARCH("R139",G158)),0)+IFERROR(--ISNUMBER(SEARCH("R140",G158)),0)+IFERROR(--ISNUMBER(SEARCH("R141",G158)),0))</f>
        <v/>
      </c>
      <c r="T158" s="58">
        <f>IF(A158="","",IFERROR(--ISNUMBER(SEARCH("R28",G158)),0)+IFERROR(--ISNUMBER(SEARCH("R29",G158)),0)+IFERROR(--ISNUMBER(SEARCH("R30",G158)),0)+IFERROR(--ISNUMBER(SEARCH("R32",G158)),0)+IFERROR(--ISNUMBER(SEARCH("R33",G158)),0)+IFERROR(--ISNUMBER(SEARCH("R35",G158)),0)+IFERROR(--ISNUMBER(SEARCH("R36",G158)),0)+IFERROR(--ISNUMBER(SEARCH("R38",G158)),0)+IFERROR(--ISNUMBER(SEARCH("R39",G158)),0)+IFERROR(--ISNUMBER(SEARCH("R43",G158)),0)+IFERROR(--ISNUMBER(SEARCH("R44",G158)),0)+IFERROR(--ISNUMBER(SEARCH("R45",G158)),0)+IFERROR(--ISNUMBER(SEARCH("R47",G158)),0)+IFERROR(--ISNUMBER(SEARCH("R48",G158)),0)+IFERROR(--ISNUMBER(SEARCH("R50",G158)),0)+IFERROR(--ISNUMBER(SEARCH("R51",G158)),0)+IFERROR(--ISNUMBER(SEARCH("R56",G158)),0)+IFERROR(--ISNUMBER(SEARCH("R58",G158)),0)+IFERROR(--ISNUMBER(SEARCH("R59",G158)),0)+IFERROR(--ISNUMBER(SEARCH("R60",G158)),0)+IFERROR(--ISNUMBER(SEARCH("R62",G158)),0)+IFERROR(--ISNUMBER(SEARCH("R63",G158)),0)+IFERROR(--ISNUMBER(SEARCH("R64",G158)),0)+IFERROR(--ISNUMBER(SEARCH("R66",G158)),0)+IFERROR(--ISNUMBER(SEARCH("R67",G158)),0)+IFERROR(--ISNUMBER(SEARCH("R72",G158)),0)+IFERROR(--ISNUMBER(SEARCH("R74",G158)),0)+IFERROR(--ISNUMBER(SEARCH("R75",G158)),0)+IFERROR(--ISNUMBER(SEARCH("R76",G158)),0)+IFERROR(--ISNUMBER(SEARCH("R77",G158)),0)+IFERROR(--ISNUMBER(SEARCH("R79",G158)),0)+IFERROR(--ISNUMBER(SEARCH("R80",G158)),0)+IFERROR(--ISNUMBER(SEARCH("R81",G158)),0)+IFERROR(--ISNUMBER(SEARCH("R83",G158)),0)+IFERROR(--ISNUMBER(SEARCH("R84",G158)),0)+IFERROR(--ISNUMBER(SEARCH("R89",G158)),0)+IFERROR(--ISNUMBER(SEARCH("R94",G158)),0)+IFERROR(--ISNUMBER(SEARCH("R95",G158)),0)+IFERROR(--ISNUMBER(SEARCH("R96",G158)),0)+IFERROR(--ISNUMBER(SEARCH("R98",G158)),0)+IFERROR(--ISNUMBER(SEARCH("R99",G158)),0)+IFERROR(--ISNUMBER(SEARCH("R100",G158)),0)+IFERROR(--ISNUMBER(SEARCH("R104",G158)),0)+IFERROR(--ISNUMBER(SEARCH("R105",G158)),0)+IFERROR(--ISNUMBER(SEARCH("R107",G158)),0)+IFERROR(--ISNUMBER(SEARCH("R108",G158)),0)+IFERROR(--ISNUMBER(SEARCH("R109",G158)),0)+IFERROR(--ISNUMBER(SEARCH("R110",G158)),0)+IFERROR(--ISNUMBER(SEARCH("R112",G158)),0)+IFERROR(--ISNUMBER(SEARCH("R113",G158)),0)+IFERROR(--ISNUMBER(SEARCH("R114",G158)),0)+IFERROR(--ISNUMBER(SEARCH("R118",G158)),0)+IFERROR(--ISNUMBER(SEARCH("R119",G158)),0)+IFERROR(--ISNUMBER(SEARCH("R120",G158)),0)+IFERROR(--ISNUMBER(SEARCH("R122",G158)),0)+IFERROR(--ISNUMBER(SEARCH("R123",G158)),0)+IFERROR(--ISNUMBER(SEARCH("R124",G158)),0)+IFERROR(--ISNUMBER(SEARCH("R128",G158)),0)+IFERROR(--ISNUMBER(SEARCH("R130",G158)),0)+IFERROR(--ISNUMBER(SEARCH("R131",G158)),0)+IFERROR(--ISNUMBER(SEARCH("R132",G158)),0)+IFERROR(--ISNUMBER(SEARCH("R135",G158)),0)+IFERROR(--ISNUMBER(SEARCH("R138",G158)),0)+IFERROR(--ISNUMBER(SEARCH("R141",G158)),0))</f>
        <v/>
      </c>
      <c r="U158" s="58">
        <f>IF(A158="","",IFERROR(--ISNUMBER(SEARCH("R28",G158))*28,0)+IFERROR(--ISNUMBER(SEARCH("R29",G158))*29,0)+IFERROR(--ISNUMBER(SEARCH("R30",G158))*30,0)+IFERROR(--ISNUMBER(SEARCH("R31",G158))*31,0)+IFERROR(--ISNUMBER(SEARCH("R32",G158))*32,0)+IFERROR(--ISNUMBER(SEARCH("R33",G158))*33,0)+IFERROR(--ISNUMBER(SEARCH("R34",G158))*34,0)+IFERROR(--ISNUMBER(SEARCH("R35",G158))*35,0)+IFERROR(--ISNUMBER(SEARCH("R36",G158))*36,0)+IFERROR(--ISNUMBER(SEARCH("R37",G158))*37,0)+IFERROR(--ISNUMBER(SEARCH("R38",G158))*38,0)+IFERROR(--ISNUMBER(SEARCH("R39",G158))*39,0)+IFERROR(--ISNUMBER(SEARCH("R40",G158))*40,0)+IFERROR(--ISNUMBER(SEARCH("R41",G158))*41,0)+IFERROR(--ISNUMBER(SEARCH("R42",G158))*42,0)+IFERROR(--ISNUMBER(SEARCH("R43",G158))*43,0)+IFERROR(--ISNUMBER(SEARCH("R44",G158))*44,0)+IFERROR(--ISNUMBER(SEARCH("R45",G158))*45,0)+IFERROR(--ISNUMBER(SEARCH("R46",G158))*46,0)+IFERROR(--ISNUMBER(SEARCH("R47",G158))*47,0)+IFERROR(--ISNUMBER(SEARCH("R48",G158))*48,0)+IFERROR(--ISNUMBER(SEARCH("R49",G158))*49,0)+IFERROR(--ISNUMBER(SEARCH("R50",G158))*50,0)+IFERROR(--ISNUMBER(SEARCH("R51",G158))*51,0)+IFERROR(--ISNUMBER(SEARCH("R52",G158))*52,0)+IFERROR(--ISNUMBER(SEARCH("R53",G158))*53,0)+IFERROR(--ISNUMBER(SEARCH("R54",G158))*54,0)+IFERROR(--ISNUMBER(SEARCH("R55",G158))*55,0)+IFERROR(--ISNUMBER(SEARCH("R56",G158))*56,0)+IFERROR(--ISNUMBER(SEARCH("R57",G158))*57,0)+IFERROR(--ISNUMBER(SEARCH("R58",G158))*58,0)+IFERROR(--ISNUMBER(SEARCH("R59",G158))*59,0)+IFERROR(--ISNUMBER(SEARCH("R60",G158))*60,0)+IFERROR(--ISNUMBER(SEARCH("R61",G158))*61,0)+IFERROR(--ISNUMBER(SEARCH("R62",G158))*62,0)+IFERROR(--ISNUMBER(SEARCH("R63",G158))*63,0)+IFERROR(--ISNUMBER(SEARCH("R64",G158))*64,0)+IFERROR(--ISNUMBER(SEARCH("R65",G158))*65,0)+IFERROR(--ISNUMBER(SEARCH("R66",G158))*66,0)+IFERROR(--ISNUMBER(SEARCH("R67",G158))*67,0)+IFERROR(--ISNUMBER(SEARCH("R68",G158))*68,0)+IFERROR(--ISNUMBER(SEARCH("R69",G158))*69,0)+IFERROR(--ISNUMBER(SEARCH("R70",G158))*70,0)+IFERROR(--ISNUMBER(SEARCH("R71",G158))*71,0)+IFERROR(--ISNUMBER(SEARCH("R72",G158))*72,0)+IFERROR(--ISNUMBER(SEARCH("R73",G158))*73,0)+IFERROR(--ISNUMBER(SEARCH("R74",G158))*74,0)+IFERROR(--ISNUMBER(SEARCH("R75",G158))*75,0)+IFERROR(--ISNUMBER(SEARCH("R76",G158))*76,0)+IFERROR(--ISNUMBER(SEARCH("R77",G158))*77,0)+IFERROR(--ISNUMBER(SEARCH("R78",G158))*78,0)+IFERROR(--ISNUMBER(SEARCH("R79",G158))*79,0)+IFERROR(--ISNUMBER(SEARCH("R80",G158))*80,0)+IFERROR(--ISNUMBER(SEARCH("R81",G158))*81,0)+IFERROR(--ISNUMBER(SEARCH("R82",G158))*82,0)+IFERROR(--ISNUMBER(SEARCH("R83",G158))*83,0)+IFERROR(--ISNUMBER(SEARCH("R84",G158))*84,0)+IFERROR(--ISNUMBER(SEARCH("R85",G158))*85,0)+IFERROR(--ISNUMBER(SEARCH("R86",G158))*86,0)+IFERROR(--ISNUMBER(SEARCH("R87",G158))*87,0)+IFERROR(--ISNUMBER(SEARCH("R88",G158))*88,0)+IFERROR(--ISNUMBER(SEARCH("R89",G158))*89,0)+IFERROR(--ISNUMBER(SEARCH("R90",G158))*90,0)+IFERROR(--ISNUMBER(SEARCH("R91",G158))*91,0)+IFERROR(--ISNUMBER(SEARCH("R92",G158))*92,0)+IFERROR(--ISNUMBER(SEARCH("R93",G158))*93,0)+IFERROR(--ISNUMBER(SEARCH("R94",G158))*94,0)+IFERROR(--ISNUMBER(SEARCH("R95",G158))*95,0)+IFERROR(--ISNUMBER(SEARCH("R96",G158))*96,0)+IFERROR(--ISNUMBER(SEARCH("R97",G158))*97,0)+IFERROR(--ISNUMBER(SEARCH("R98",G158))*98,0)+IFERROR(--ISNUMBER(SEARCH("R99",G158))*99,0)+IFERROR(--ISNUMBER(SEARCH("R100",G158))*100,0)+IFERROR(--ISNUMBER(SEARCH("R101",G158))*101,0)+IFERROR(--ISNUMBER(SEARCH("R102",G158))*102,0)+IFERROR(--ISNUMBER(SEARCH("R103",G158))*103,0)+IFERROR(--ISNUMBER(SEARCH("R104",G158))*104,0)+IFERROR(--ISNUMBER(SEARCH("R105",G158))*105,0)+IFERROR(--ISNUMBER(SEARCH("R106",G158))*106,0)+IFERROR(--ISNUMBER(SEARCH("R107",G158))*107,0)+IFERROR(--ISNUMBER(SEARCH("R108",G158))*108,0)+IFERROR(--ISNUMBER(SEARCH("R109",G158))*109,0)+IFERROR(--ISNUMBER(SEARCH("R110",G158))*110,0)+IFERROR(--ISNUMBER(SEARCH("R111",G158))*111,0)+IFERROR(--ISNUMBER(SEARCH("R112",G158))*112,0)+IFERROR(--ISNUMBER(SEARCH("R113",G158))*113,0)+IFERROR(--ISNUMBER(SEARCH("R114",G158))*114,0)+IFERROR(--ISNUMBER(SEARCH("R115",G158))*115,0)+IFERROR(--ISNUMBER(SEARCH("R116",G158))*116,0)+IFERROR(--ISNUMBER(SEARCH("R117",G158))*117,0)+IFERROR(--ISNUMBER(SEARCH("R118",G158))*118,0)+IFERROR(--ISNUMBER(SEARCH("R119",G158))*119,0)+IFERROR(--ISNUMBER(SEARCH("R120",G158))*120,0)+IFERROR(--ISNUMBER(SEARCH("R121",G158))*121,0)+IFERROR(--ISNUMBER(SEARCH("R122",G158))*122,0)+IFERROR(--ISNUMBER(SEARCH("R123",G158))*123,0)+IFERROR(--ISNUMBER(SEARCH("R124",G158))*124,0)+IFERROR(--ISNUMBER(SEARCH("R125",G158))*125,0)+IFERROR(--ISNUMBER(SEARCH("R126",G158))*126,0)+IFERROR(--ISNUMBER(SEARCH("R127",G158))*127,0)+IFERROR(--ISNUMBER(SEARCH("R128",G158))*128,0)+IFERROR(--ISNUMBER(SEARCH("R129",G158))*129,0)+IFERROR(--ISNUMBER(SEARCH("R130",G158))*130,0)+IFERROR(--ISNUMBER(SEARCH("R131",G158))*131,0)+IFERROR(--ISNUMBER(SEARCH("R132",G158))*132,0)+IFERROR(--ISNUMBER(SEARCH("R133",G158))*133,0)+IFERROR(--ISNUMBER(SEARCH("R134",G158))*134,0)+IFERROR(--ISNUMBER(SEARCH("R135",G158))*135,0)+IFERROR(--ISNUMBER(SEARCH("R136",G158))*136,0)+IFERROR(--ISNUMBER(SEARCH("R137",G158))*137,0)+IFERROR(--ISNUMBER(SEARCH("R138",G158))*138,0)+IFERROR(--ISNUMBER(SEARCH("R139",G158))*139,0)+IFERROR(--ISNUMBER(SEARCH("R140",G158))*140,0)+IFERROR(--ISNUMBER(SEARCH("R141",G158))*141,0))</f>
        <v/>
      </c>
      <c r="V158" s="59">
        <f>IF(A158="","",IF(K158&lt;&gt;"",K158,J158))</f>
        <v/>
      </c>
      <c r="W158" s="59">
        <f>IF(A158="","",IF(AND(V158=29,O158&lt;&gt;"",COUNTIFS($V$6:$V$505,29,$F$6:$F$505,F158,$C$6:$C$505,C158,$O$6:$O$505,"&lt;&gt;")&gt;1),IF(COUNTIFS($V$6:V158,29,$F$6:F158,F158,$C$6:C158,C158,$O$6:O158,"&lt;&gt;")=1,"Esta es la fila que se debe CONSERVAR (aparición 1 de "&amp;COUNTIFS($V$6:$V$505,29,$F$6:$F$505,F158,$C$6:$C$505,C158,$O$6:$O$505,"&lt;&gt;")&amp;" con el mismo tercero y valor, casilla 29). Si hay más filas iguales, bórreles el valor a ELLAS, no a esta.","DUPLICADO — ya existe otra fila con el mismo tercero y valor para casilla 29 (aparición "&amp;COUNTIFS($V$6:V158,29,$F$6:F158,F158,$C$6:C158,C158,$O$6:O158,"&lt;&gt;")&amp;" de "&amp;COUNTIFS($V$6:$V$505,29,$F$6:$F$505,F158,$C$6:$C$505,C158,$O$6:$O$505,"&lt;&gt;")&amp;"). Para resolverlo: seleccione la celda O"&amp;ROW()&amp;" (columna Valor a declarar de ESTA fila) y presione Supr."),""))</f>
        <v/>
      </c>
      <c r="X158" s="463">
        <f>IF(A158="","",F158)</f>
        <v/>
      </c>
      <c r="Y158" s="463">
        <f>IF(A158="","",SUMIF(Entrada_Manual!$I$88:$I$187,A158,Entrada_Manual!$F$88:$F$187))</f>
        <v/>
      </c>
      <c r="Z158" s="463">
        <f>IF(A158="","",X158-Y158)</f>
        <v/>
      </c>
      <c r="AA158">
        <f>IF(A158="","",SUMPRODUCT((Entrada_Manual!$I$88:$I$187=A158)*1))</f>
        <v/>
      </c>
      <c r="AB158">
        <f>IF(A158="","",IF(S158&lt;=1,"",IF(AA158=0,"PENDIENTE — SIN ASIGNAR",IF(Z158=0,"RESUELTO","PARCIAL — DIFERENCIA "&amp;TEXT(Z158,"#,##0")))))</f>
        <v/>
      </c>
    </row>
    <row r="159" ht="14.25" customHeight="1" s="235">
      <c r="A159" s="47">
        <f>IF(Exogena_RAW!E168&lt;&gt;"",ROW()-5,"")</f>
        <v/>
      </c>
      <c r="B159" s="48">
        <f>IF(A159="","",168)</f>
        <v/>
      </c>
      <c r="C159" s="48">
        <f>IF(A159="","",IFERROR(Exogena_RAW!A168,""))</f>
        <v/>
      </c>
      <c r="D159" s="48">
        <f>IF(A159="","",IFERROR(Exogena_RAW!B168,""))</f>
        <v/>
      </c>
      <c r="E159" s="48">
        <f>IF(A159="","",Exogena_RAW!E168)</f>
        <v/>
      </c>
      <c r="F159" s="461">
        <f>IF(A159="","",Exogena_RAW!F168)</f>
        <v/>
      </c>
      <c r="G159" s="48">
        <f>IF(A159="","",IFERROR(Exogena_RAW!G168,""))</f>
        <v/>
      </c>
      <c r="H159" s="48">
        <f>IF(A159="","",IFERROR(Exogena_RAW!H168,""))</f>
        <v/>
      </c>
      <c r="I159" s="48">
        <f>IF(A159="","",IFERROR(IF(S159&gt;1,"VARIAS CASILLAS",IF(S159=1,IF(T159=1,"PROPUESTA DE CASILLA","REVISIÓN: CASILLA NO DIRECTA"),IF(OR(ISNUMBER(SEARCH("TOPE",UPPER(E159))),ISNUMBER(SEARCH("TOPE",UPPER(G159)))),"SOLO CONTROL",IF(ISNUMBER(SEARCH("RETEN",UPPER(E159))),"RETENCIÓN","REVISAR")))),"REVISAR"))</f>
        <v/>
      </c>
      <c r="J159" s="48">
        <f>IF(A159="","",IF(ISNUMBER(SEARCH("ingreso laboral promedio de los últimos seis meses",E159)),"",IFERROR(IF(AND(S159=1,T159=1),U159,""),"")))</f>
        <v/>
      </c>
      <c r="K159" s="216" t="n"/>
      <c r="L159" s="48">
        <f>IF(A159="","",IFERROR(IF(K159&lt;&gt;"","Casilla elegida por usuario",IF(S159&gt;1,"Varias casillas — elegir en K",IF(J159&lt;&gt;"","Sugerencia directa",IF(S159=1,"No trasladar directo — revisar",IF(OR(ISNUMBER(SEARCH("TOPE",UPPER(E159))),ISNUMBER(SEARCH("TOPE",UPPER(G159)))),"Solo control","Revisar manualmente"))))),"Revisar manualmente"))</f>
        <v/>
      </c>
      <c r="M159" s="461">
        <f>IF(A159="","",IF(IF(K159&lt;&gt;"",K159,J159)="",0,IF(COUNTIFS(Reglas!$I$5:$I$118,IF(K159&lt;&gt;"",K159,J159),Reglas!$J$5:$J$118,"Sí")=1,F159,0)))</f>
        <v/>
      </c>
      <c r="N159" s="56" t="n"/>
      <c r="O159" s="462">
        <f>IF(A159="","",IF(M159=0,"",M159))</f>
        <v/>
      </c>
      <c r="P159" s="461">
        <f>IF(A159="","",IF(O159="",0,IF(ISNUMBER(O159),O159,0)))</f>
        <v/>
      </c>
      <c r="Q159" s="48">
        <f>IF(A159="","",IF(Exogena_RAW!$C$4="","BLOQUEADO: FALTA AÑO",IF(Exogena_RAW!$K$10&lt;&gt;Reglas!$B$5,"BLOQUEADO: AÑO",IF(IF(K159&lt;&gt;"",K159,J159)="",IF(S159&gt;1,"REQUIERE ASIGNACIÓN MANUAL (VARIAS CASILLAS)","INFORMATIVO (sin casilla — no se declara)"),IF(COUNTIFS(Reglas!$I$5:$I$118,IF(K159&lt;&gt;"",K159,J159),Reglas!$J$5:$J$118,"Sí")=0,"BLOQUEADO: CASILLA NO DIRECTA",IF(O159="","EXCLUIDO (valor borrado por el usuario)",IF(_xlfn.ISFORMULA(O159),IF(W159&lt;&gt;"","BORRADOR — VALOR SUGERIDO DIAN ⚠ VER ALERTA","BORRADOR — VALOR SUGERIDO DIAN"),IF(W159&lt;&gt;"","ACEPTADO ⚠ VER ALERTA","ACEPTADO"))))))))</f>
        <v/>
      </c>
      <c r="R159" s="218" t="n"/>
      <c r="S159" s="58">
        <f>IF(A159="","",IFERROR(--ISNUMBER(SEARCH("R28",G159)),0)+IFERROR(--ISNUMBER(SEARCH("R29",G159)),0)+IFERROR(--ISNUMBER(SEARCH("R30",G159)),0)+IFERROR(--ISNUMBER(SEARCH("R31",G159)),0)+IFERROR(--ISNUMBER(SEARCH("R32",G159)),0)+IFERROR(--ISNUMBER(SEARCH("R33",G159)),0)+IFERROR(--ISNUMBER(SEARCH("R34",G159)),0)+IFERROR(--ISNUMBER(SEARCH("R35",G159)),0)+IFERROR(--ISNUMBER(SEARCH("R36",G159)),0)+IFERROR(--ISNUMBER(SEARCH("R37",G159)),0)+IFERROR(--ISNUMBER(SEARCH("R38",G159)),0)+IFERROR(--ISNUMBER(SEARCH("R39",G159)),0)+IFERROR(--ISNUMBER(SEARCH("R40",G159)),0)+IFERROR(--ISNUMBER(SEARCH("R41",G159)),0)+IFERROR(--ISNUMBER(SEARCH("R42",G159)),0)+IFERROR(--ISNUMBER(SEARCH("R43",G159)),0)+IFERROR(--ISNUMBER(SEARCH("R44",G159)),0)+IFERROR(--ISNUMBER(SEARCH("R45",G159)),0)+IFERROR(--ISNUMBER(SEARCH("R46",G159)),0)+IFERROR(--ISNUMBER(SEARCH("R47",G159)),0)+IFERROR(--ISNUMBER(SEARCH("R48",G159)),0)+IFERROR(--ISNUMBER(SEARCH("R49",G159)),0)+IFERROR(--ISNUMBER(SEARCH("R50",G159)),0)+IFERROR(--ISNUMBER(SEARCH("R51",G159)),0)+IFERROR(--ISNUMBER(SEARCH("R52",G159)),0)+IFERROR(--ISNUMBER(SEARCH("R53",G159)),0)+IFERROR(--ISNUMBER(SEARCH("R54",G159)),0)+IFERROR(--ISNUMBER(SEARCH("R55",G159)),0)+IFERROR(--ISNUMBER(SEARCH("R56",G159)),0)+IFERROR(--ISNUMBER(SEARCH("R57",G159)),0)+IFERROR(--ISNUMBER(SEARCH("R58",G159)),0)+IFERROR(--ISNUMBER(SEARCH("R59",G159)),0)+IFERROR(--ISNUMBER(SEARCH("R60",G159)),0)+IFERROR(--ISNUMBER(SEARCH("R61",G159)),0)+IFERROR(--ISNUMBER(SEARCH("R62",G159)),0)+IFERROR(--ISNUMBER(SEARCH("R63",G159)),0)+IFERROR(--ISNUMBER(SEARCH("R64",G159)),0)+IFERROR(--ISNUMBER(SEARCH("R65",G159)),0)+IFERROR(--ISNUMBER(SEARCH("R66",G159)),0)+IFERROR(--ISNUMBER(SEARCH("R67",G159)),0)+IFERROR(--ISNUMBER(SEARCH("R68",G159)),0)+IFERROR(--ISNUMBER(SEARCH("R69",G159)),0)+IFERROR(--ISNUMBER(SEARCH("R70",G159)),0)+IFERROR(--ISNUMBER(SEARCH("R71",G159)),0)+IFERROR(--ISNUMBER(SEARCH("R72",G159)),0)+IFERROR(--ISNUMBER(SEARCH("R73",G159)),0)+IFERROR(--ISNUMBER(SEARCH("R74",G159)),0)+IFERROR(--ISNUMBER(SEARCH("R75",G159)),0)+IFERROR(--ISNUMBER(SEARCH("R76",G159)),0)+IFERROR(--ISNUMBER(SEARCH("R77",G159)),0)+IFERROR(--ISNUMBER(SEARCH("R78",G159)),0)+IFERROR(--ISNUMBER(SEARCH("R79",G159)),0)+IFERROR(--ISNUMBER(SEARCH("R80",G159)),0)+IFERROR(--ISNUMBER(SEARCH("R81",G159)),0)+IFERROR(--ISNUMBER(SEARCH("R82",G159)),0)+IFERROR(--ISNUMBER(SEARCH("R83",G159)),0)+IFERROR(--ISNUMBER(SEARCH("R84",G159)),0)+IFERROR(--ISNUMBER(SEARCH("R85",G159)),0)+IFERROR(--ISNUMBER(SEARCH("R86",G159)),0)+IFERROR(--ISNUMBER(SEARCH("R87",G159)),0)+IFERROR(--ISNUMBER(SEARCH("R88",G159)),0)+IFERROR(--ISNUMBER(SEARCH("R89",G159)),0)+IFERROR(--ISNUMBER(SEARCH("R90",G159)),0)+IFERROR(--ISNUMBER(SEARCH("R91",G159)),0)+IFERROR(--ISNUMBER(SEARCH("R92",G159)),0)+IFERROR(--ISNUMBER(SEARCH("R93",G159)),0)+IFERROR(--ISNUMBER(SEARCH("R94",G159)),0)+IFERROR(--ISNUMBER(SEARCH("R95",G159)),0)+IFERROR(--ISNUMBER(SEARCH("R96",G159)),0)+IFERROR(--ISNUMBER(SEARCH("R97",G159)),0)+IFERROR(--ISNUMBER(SEARCH("R98",G159)),0)+IFERROR(--ISNUMBER(SEARCH("R99",G159)),0)+IFERROR(--ISNUMBER(SEARCH("R100",G159)),0)+IFERROR(--ISNUMBER(SEARCH("R101",G159)),0)+IFERROR(--ISNUMBER(SEARCH("R102",G159)),0)+IFERROR(--ISNUMBER(SEARCH("R103",G159)),0)+IFERROR(--ISNUMBER(SEARCH("R104",G159)),0)+IFERROR(--ISNUMBER(SEARCH("R105",G159)),0)+IFERROR(--ISNUMBER(SEARCH("R106",G159)),0)+IFERROR(--ISNUMBER(SEARCH("R107",G159)),0)+IFERROR(--ISNUMBER(SEARCH("R108",G159)),0)+IFERROR(--ISNUMBER(SEARCH("R109",G159)),0)+IFERROR(--ISNUMBER(SEARCH("R110",G159)),0)+IFERROR(--ISNUMBER(SEARCH("R111",G159)),0)+IFERROR(--ISNUMBER(SEARCH("R112",G159)),0)+IFERROR(--ISNUMBER(SEARCH("R113",G159)),0)+IFERROR(--ISNUMBER(SEARCH("R114",G159)),0)+IFERROR(--ISNUMBER(SEARCH("R115",G159)),0)+IFERROR(--ISNUMBER(SEARCH("R116",G159)),0)+IFERROR(--ISNUMBER(SEARCH("R117",G159)),0)+IFERROR(--ISNUMBER(SEARCH("R118",G159)),0)+IFERROR(--ISNUMBER(SEARCH("R119",G159)),0)+IFERROR(--ISNUMBER(SEARCH("R120",G159)),0)+IFERROR(--ISNUMBER(SEARCH("R121",G159)),0)+IFERROR(--ISNUMBER(SEARCH("R122",G159)),0)+IFERROR(--ISNUMBER(SEARCH("R123",G159)),0)+IFERROR(--ISNUMBER(SEARCH("R124",G159)),0)+IFERROR(--ISNUMBER(SEARCH("R125",G159)),0)+IFERROR(--ISNUMBER(SEARCH("R126",G159)),0)+IFERROR(--ISNUMBER(SEARCH("R127",G159)),0)+IFERROR(--ISNUMBER(SEARCH("R128",G159)),0)+IFERROR(--ISNUMBER(SEARCH("R129",G159)),0)+IFERROR(--ISNUMBER(SEARCH("R130",G159)),0)+IFERROR(--ISNUMBER(SEARCH("R131",G159)),0)+IFERROR(--ISNUMBER(SEARCH("R132",G159)),0)+IFERROR(--ISNUMBER(SEARCH("R133",G159)),0)+IFERROR(--ISNUMBER(SEARCH("R134",G159)),0)+IFERROR(--ISNUMBER(SEARCH("R135",G159)),0)+IFERROR(--ISNUMBER(SEARCH("R136",G159)),0)+IFERROR(--ISNUMBER(SEARCH("R137",G159)),0)+IFERROR(--ISNUMBER(SEARCH("R138",G159)),0)+IFERROR(--ISNUMBER(SEARCH("R139",G159)),0)+IFERROR(--ISNUMBER(SEARCH("R140",G159)),0)+IFERROR(--ISNUMBER(SEARCH("R141",G159)),0))</f>
        <v/>
      </c>
      <c r="T159" s="58">
        <f>IF(A159="","",IFERROR(--ISNUMBER(SEARCH("R28",G159)),0)+IFERROR(--ISNUMBER(SEARCH("R29",G159)),0)+IFERROR(--ISNUMBER(SEARCH("R30",G159)),0)+IFERROR(--ISNUMBER(SEARCH("R32",G159)),0)+IFERROR(--ISNUMBER(SEARCH("R33",G159)),0)+IFERROR(--ISNUMBER(SEARCH("R35",G159)),0)+IFERROR(--ISNUMBER(SEARCH("R36",G159)),0)+IFERROR(--ISNUMBER(SEARCH("R38",G159)),0)+IFERROR(--ISNUMBER(SEARCH("R39",G159)),0)+IFERROR(--ISNUMBER(SEARCH("R43",G159)),0)+IFERROR(--ISNUMBER(SEARCH("R44",G159)),0)+IFERROR(--ISNUMBER(SEARCH("R45",G159)),0)+IFERROR(--ISNUMBER(SEARCH("R47",G159)),0)+IFERROR(--ISNUMBER(SEARCH("R48",G159)),0)+IFERROR(--ISNUMBER(SEARCH("R50",G159)),0)+IFERROR(--ISNUMBER(SEARCH("R51",G159)),0)+IFERROR(--ISNUMBER(SEARCH("R56",G159)),0)+IFERROR(--ISNUMBER(SEARCH("R58",G159)),0)+IFERROR(--ISNUMBER(SEARCH("R59",G159)),0)+IFERROR(--ISNUMBER(SEARCH("R60",G159)),0)+IFERROR(--ISNUMBER(SEARCH("R62",G159)),0)+IFERROR(--ISNUMBER(SEARCH("R63",G159)),0)+IFERROR(--ISNUMBER(SEARCH("R64",G159)),0)+IFERROR(--ISNUMBER(SEARCH("R66",G159)),0)+IFERROR(--ISNUMBER(SEARCH("R67",G159)),0)+IFERROR(--ISNUMBER(SEARCH("R72",G159)),0)+IFERROR(--ISNUMBER(SEARCH("R74",G159)),0)+IFERROR(--ISNUMBER(SEARCH("R75",G159)),0)+IFERROR(--ISNUMBER(SEARCH("R76",G159)),0)+IFERROR(--ISNUMBER(SEARCH("R77",G159)),0)+IFERROR(--ISNUMBER(SEARCH("R79",G159)),0)+IFERROR(--ISNUMBER(SEARCH("R80",G159)),0)+IFERROR(--ISNUMBER(SEARCH("R81",G159)),0)+IFERROR(--ISNUMBER(SEARCH("R83",G159)),0)+IFERROR(--ISNUMBER(SEARCH("R84",G159)),0)+IFERROR(--ISNUMBER(SEARCH("R89",G159)),0)+IFERROR(--ISNUMBER(SEARCH("R94",G159)),0)+IFERROR(--ISNUMBER(SEARCH("R95",G159)),0)+IFERROR(--ISNUMBER(SEARCH("R96",G159)),0)+IFERROR(--ISNUMBER(SEARCH("R98",G159)),0)+IFERROR(--ISNUMBER(SEARCH("R99",G159)),0)+IFERROR(--ISNUMBER(SEARCH("R100",G159)),0)+IFERROR(--ISNUMBER(SEARCH("R104",G159)),0)+IFERROR(--ISNUMBER(SEARCH("R105",G159)),0)+IFERROR(--ISNUMBER(SEARCH("R107",G159)),0)+IFERROR(--ISNUMBER(SEARCH("R108",G159)),0)+IFERROR(--ISNUMBER(SEARCH("R109",G159)),0)+IFERROR(--ISNUMBER(SEARCH("R110",G159)),0)+IFERROR(--ISNUMBER(SEARCH("R112",G159)),0)+IFERROR(--ISNUMBER(SEARCH("R113",G159)),0)+IFERROR(--ISNUMBER(SEARCH("R114",G159)),0)+IFERROR(--ISNUMBER(SEARCH("R118",G159)),0)+IFERROR(--ISNUMBER(SEARCH("R119",G159)),0)+IFERROR(--ISNUMBER(SEARCH("R120",G159)),0)+IFERROR(--ISNUMBER(SEARCH("R122",G159)),0)+IFERROR(--ISNUMBER(SEARCH("R123",G159)),0)+IFERROR(--ISNUMBER(SEARCH("R124",G159)),0)+IFERROR(--ISNUMBER(SEARCH("R128",G159)),0)+IFERROR(--ISNUMBER(SEARCH("R130",G159)),0)+IFERROR(--ISNUMBER(SEARCH("R131",G159)),0)+IFERROR(--ISNUMBER(SEARCH("R132",G159)),0)+IFERROR(--ISNUMBER(SEARCH("R135",G159)),0)+IFERROR(--ISNUMBER(SEARCH("R138",G159)),0)+IFERROR(--ISNUMBER(SEARCH("R141",G159)),0))</f>
        <v/>
      </c>
      <c r="U159" s="58">
        <f>IF(A159="","",IFERROR(--ISNUMBER(SEARCH("R28",G159))*28,0)+IFERROR(--ISNUMBER(SEARCH("R29",G159))*29,0)+IFERROR(--ISNUMBER(SEARCH("R30",G159))*30,0)+IFERROR(--ISNUMBER(SEARCH("R31",G159))*31,0)+IFERROR(--ISNUMBER(SEARCH("R32",G159))*32,0)+IFERROR(--ISNUMBER(SEARCH("R33",G159))*33,0)+IFERROR(--ISNUMBER(SEARCH("R34",G159))*34,0)+IFERROR(--ISNUMBER(SEARCH("R35",G159))*35,0)+IFERROR(--ISNUMBER(SEARCH("R36",G159))*36,0)+IFERROR(--ISNUMBER(SEARCH("R37",G159))*37,0)+IFERROR(--ISNUMBER(SEARCH("R38",G159))*38,0)+IFERROR(--ISNUMBER(SEARCH("R39",G159))*39,0)+IFERROR(--ISNUMBER(SEARCH("R40",G159))*40,0)+IFERROR(--ISNUMBER(SEARCH("R41",G159))*41,0)+IFERROR(--ISNUMBER(SEARCH("R42",G159))*42,0)+IFERROR(--ISNUMBER(SEARCH("R43",G159))*43,0)+IFERROR(--ISNUMBER(SEARCH("R44",G159))*44,0)+IFERROR(--ISNUMBER(SEARCH("R45",G159))*45,0)+IFERROR(--ISNUMBER(SEARCH("R46",G159))*46,0)+IFERROR(--ISNUMBER(SEARCH("R47",G159))*47,0)+IFERROR(--ISNUMBER(SEARCH("R48",G159))*48,0)+IFERROR(--ISNUMBER(SEARCH("R49",G159))*49,0)+IFERROR(--ISNUMBER(SEARCH("R50",G159))*50,0)+IFERROR(--ISNUMBER(SEARCH("R51",G159))*51,0)+IFERROR(--ISNUMBER(SEARCH("R52",G159))*52,0)+IFERROR(--ISNUMBER(SEARCH("R53",G159))*53,0)+IFERROR(--ISNUMBER(SEARCH("R54",G159))*54,0)+IFERROR(--ISNUMBER(SEARCH("R55",G159))*55,0)+IFERROR(--ISNUMBER(SEARCH("R56",G159))*56,0)+IFERROR(--ISNUMBER(SEARCH("R57",G159))*57,0)+IFERROR(--ISNUMBER(SEARCH("R58",G159))*58,0)+IFERROR(--ISNUMBER(SEARCH("R59",G159))*59,0)+IFERROR(--ISNUMBER(SEARCH("R60",G159))*60,0)+IFERROR(--ISNUMBER(SEARCH("R61",G159))*61,0)+IFERROR(--ISNUMBER(SEARCH("R62",G159))*62,0)+IFERROR(--ISNUMBER(SEARCH("R63",G159))*63,0)+IFERROR(--ISNUMBER(SEARCH("R64",G159))*64,0)+IFERROR(--ISNUMBER(SEARCH("R65",G159))*65,0)+IFERROR(--ISNUMBER(SEARCH("R66",G159))*66,0)+IFERROR(--ISNUMBER(SEARCH("R67",G159))*67,0)+IFERROR(--ISNUMBER(SEARCH("R68",G159))*68,0)+IFERROR(--ISNUMBER(SEARCH("R69",G159))*69,0)+IFERROR(--ISNUMBER(SEARCH("R70",G159))*70,0)+IFERROR(--ISNUMBER(SEARCH("R71",G159))*71,0)+IFERROR(--ISNUMBER(SEARCH("R72",G159))*72,0)+IFERROR(--ISNUMBER(SEARCH("R73",G159))*73,0)+IFERROR(--ISNUMBER(SEARCH("R74",G159))*74,0)+IFERROR(--ISNUMBER(SEARCH("R75",G159))*75,0)+IFERROR(--ISNUMBER(SEARCH("R76",G159))*76,0)+IFERROR(--ISNUMBER(SEARCH("R77",G159))*77,0)+IFERROR(--ISNUMBER(SEARCH("R78",G159))*78,0)+IFERROR(--ISNUMBER(SEARCH("R79",G159))*79,0)+IFERROR(--ISNUMBER(SEARCH("R80",G159))*80,0)+IFERROR(--ISNUMBER(SEARCH("R81",G159))*81,0)+IFERROR(--ISNUMBER(SEARCH("R82",G159))*82,0)+IFERROR(--ISNUMBER(SEARCH("R83",G159))*83,0)+IFERROR(--ISNUMBER(SEARCH("R84",G159))*84,0)+IFERROR(--ISNUMBER(SEARCH("R85",G159))*85,0)+IFERROR(--ISNUMBER(SEARCH("R86",G159))*86,0)+IFERROR(--ISNUMBER(SEARCH("R87",G159))*87,0)+IFERROR(--ISNUMBER(SEARCH("R88",G159))*88,0)+IFERROR(--ISNUMBER(SEARCH("R89",G159))*89,0)+IFERROR(--ISNUMBER(SEARCH("R90",G159))*90,0)+IFERROR(--ISNUMBER(SEARCH("R91",G159))*91,0)+IFERROR(--ISNUMBER(SEARCH("R92",G159))*92,0)+IFERROR(--ISNUMBER(SEARCH("R93",G159))*93,0)+IFERROR(--ISNUMBER(SEARCH("R94",G159))*94,0)+IFERROR(--ISNUMBER(SEARCH("R95",G159))*95,0)+IFERROR(--ISNUMBER(SEARCH("R96",G159))*96,0)+IFERROR(--ISNUMBER(SEARCH("R97",G159))*97,0)+IFERROR(--ISNUMBER(SEARCH("R98",G159))*98,0)+IFERROR(--ISNUMBER(SEARCH("R99",G159))*99,0)+IFERROR(--ISNUMBER(SEARCH("R100",G159))*100,0)+IFERROR(--ISNUMBER(SEARCH("R101",G159))*101,0)+IFERROR(--ISNUMBER(SEARCH("R102",G159))*102,0)+IFERROR(--ISNUMBER(SEARCH("R103",G159))*103,0)+IFERROR(--ISNUMBER(SEARCH("R104",G159))*104,0)+IFERROR(--ISNUMBER(SEARCH("R105",G159))*105,0)+IFERROR(--ISNUMBER(SEARCH("R106",G159))*106,0)+IFERROR(--ISNUMBER(SEARCH("R107",G159))*107,0)+IFERROR(--ISNUMBER(SEARCH("R108",G159))*108,0)+IFERROR(--ISNUMBER(SEARCH("R109",G159))*109,0)+IFERROR(--ISNUMBER(SEARCH("R110",G159))*110,0)+IFERROR(--ISNUMBER(SEARCH("R111",G159))*111,0)+IFERROR(--ISNUMBER(SEARCH("R112",G159))*112,0)+IFERROR(--ISNUMBER(SEARCH("R113",G159))*113,0)+IFERROR(--ISNUMBER(SEARCH("R114",G159))*114,0)+IFERROR(--ISNUMBER(SEARCH("R115",G159))*115,0)+IFERROR(--ISNUMBER(SEARCH("R116",G159))*116,0)+IFERROR(--ISNUMBER(SEARCH("R117",G159))*117,0)+IFERROR(--ISNUMBER(SEARCH("R118",G159))*118,0)+IFERROR(--ISNUMBER(SEARCH("R119",G159))*119,0)+IFERROR(--ISNUMBER(SEARCH("R120",G159))*120,0)+IFERROR(--ISNUMBER(SEARCH("R121",G159))*121,0)+IFERROR(--ISNUMBER(SEARCH("R122",G159))*122,0)+IFERROR(--ISNUMBER(SEARCH("R123",G159))*123,0)+IFERROR(--ISNUMBER(SEARCH("R124",G159))*124,0)+IFERROR(--ISNUMBER(SEARCH("R125",G159))*125,0)+IFERROR(--ISNUMBER(SEARCH("R126",G159))*126,0)+IFERROR(--ISNUMBER(SEARCH("R127",G159))*127,0)+IFERROR(--ISNUMBER(SEARCH("R128",G159))*128,0)+IFERROR(--ISNUMBER(SEARCH("R129",G159))*129,0)+IFERROR(--ISNUMBER(SEARCH("R130",G159))*130,0)+IFERROR(--ISNUMBER(SEARCH("R131",G159))*131,0)+IFERROR(--ISNUMBER(SEARCH("R132",G159))*132,0)+IFERROR(--ISNUMBER(SEARCH("R133",G159))*133,0)+IFERROR(--ISNUMBER(SEARCH("R134",G159))*134,0)+IFERROR(--ISNUMBER(SEARCH("R135",G159))*135,0)+IFERROR(--ISNUMBER(SEARCH("R136",G159))*136,0)+IFERROR(--ISNUMBER(SEARCH("R137",G159))*137,0)+IFERROR(--ISNUMBER(SEARCH("R138",G159))*138,0)+IFERROR(--ISNUMBER(SEARCH("R139",G159))*139,0)+IFERROR(--ISNUMBER(SEARCH("R140",G159))*140,0)+IFERROR(--ISNUMBER(SEARCH("R141",G159))*141,0))</f>
        <v/>
      </c>
      <c r="V159" s="59">
        <f>IF(A159="","",IF(K159&lt;&gt;"",K159,J159))</f>
        <v/>
      </c>
      <c r="W159" s="59">
        <f>IF(A159="","",IF(AND(V159=29,O159&lt;&gt;"",COUNTIFS($V$6:$V$505,29,$F$6:$F$505,F159,$C$6:$C$505,C159,$O$6:$O$505,"&lt;&gt;")&gt;1),IF(COUNTIFS($V$6:V159,29,$F$6:F159,F159,$C$6:C159,C159,$O$6:O159,"&lt;&gt;")=1,"Esta es la fila que se debe CONSERVAR (aparición 1 de "&amp;COUNTIFS($V$6:$V$505,29,$F$6:$F$505,F159,$C$6:$C$505,C159,$O$6:$O$505,"&lt;&gt;")&amp;" con el mismo tercero y valor, casilla 29). Si hay más filas iguales, bórreles el valor a ELLAS, no a esta.","DUPLICADO — ya existe otra fila con el mismo tercero y valor para casilla 29 (aparición "&amp;COUNTIFS($V$6:V159,29,$F$6:F159,F159,$C$6:C159,C159,$O$6:O159,"&lt;&gt;")&amp;" de "&amp;COUNTIFS($V$6:$V$505,29,$F$6:$F$505,F159,$C$6:$C$505,C159,$O$6:$O$505,"&lt;&gt;")&amp;"). Para resolverlo: seleccione la celda O"&amp;ROW()&amp;" (columna Valor a declarar de ESTA fila) y presione Supr."),""))</f>
        <v/>
      </c>
      <c r="X159" s="463">
        <f>IF(A159="","",F159)</f>
        <v/>
      </c>
      <c r="Y159" s="463">
        <f>IF(A159="","",SUMIF(Entrada_Manual!$I$88:$I$187,A159,Entrada_Manual!$F$88:$F$187))</f>
        <v/>
      </c>
      <c r="Z159" s="463">
        <f>IF(A159="","",X159-Y159)</f>
        <v/>
      </c>
      <c r="AA159">
        <f>IF(A159="","",SUMPRODUCT((Entrada_Manual!$I$88:$I$187=A159)*1))</f>
        <v/>
      </c>
      <c r="AB159">
        <f>IF(A159="","",IF(S159&lt;=1,"",IF(AA159=0,"PENDIENTE — SIN ASIGNAR",IF(Z159=0,"RESUELTO","PARCIAL — DIFERENCIA "&amp;TEXT(Z159,"#,##0")))))</f>
        <v/>
      </c>
    </row>
    <row r="160" ht="14.25" customHeight="1" s="235">
      <c r="A160" s="47">
        <f>IF(Exogena_RAW!E169&lt;&gt;"",ROW()-5,"")</f>
        <v/>
      </c>
      <c r="B160" s="48">
        <f>IF(A160="","",169)</f>
        <v/>
      </c>
      <c r="C160" s="48">
        <f>IF(A160="","",IFERROR(Exogena_RAW!A169,""))</f>
        <v/>
      </c>
      <c r="D160" s="48">
        <f>IF(A160="","",IFERROR(Exogena_RAW!B169,""))</f>
        <v/>
      </c>
      <c r="E160" s="48">
        <f>IF(A160="","",Exogena_RAW!E169)</f>
        <v/>
      </c>
      <c r="F160" s="461">
        <f>IF(A160="","",Exogena_RAW!F169)</f>
        <v/>
      </c>
      <c r="G160" s="48">
        <f>IF(A160="","",IFERROR(Exogena_RAW!G169,""))</f>
        <v/>
      </c>
      <c r="H160" s="48">
        <f>IF(A160="","",IFERROR(Exogena_RAW!H169,""))</f>
        <v/>
      </c>
      <c r="I160" s="48">
        <f>IF(A160="","",IFERROR(IF(S160&gt;1,"VARIAS CASILLAS",IF(S160=1,IF(T160=1,"PROPUESTA DE CASILLA","REVISIÓN: CASILLA NO DIRECTA"),IF(OR(ISNUMBER(SEARCH("TOPE",UPPER(E160))),ISNUMBER(SEARCH("TOPE",UPPER(G160)))),"SOLO CONTROL",IF(ISNUMBER(SEARCH("RETEN",UPPER(E160))),"RETENCIÓN","REVISAR")))),"REVISAR"))</f>
        <v/>
      </c>
      <c r="J160" s="48">
        <f>IF(A160="","",IF(ISNUMBER(SEARCH("ingreso laboral promedio de los últimos seis meses",E160)),"",IFERROR(IF(AND(S160=1,T160=1),U160,""),"")))</f>
        <v/>
      </c>
      <c r="K160" s="216" t="n"/>
      <c r="L160" s="48">
        <f>IF(A160="","",IFERROR(IF(K160&lt;&gt;"","Casilla elegida por usuario",IF(S160&gt;1,"Varias casillas — elegir en K",IF(J160&lt;&gt;"","Sugerencia directa",IF(S160=1,"No trasladar directo — revisar",IF(OR(ISNUMBER(SEARCH("TOPE",UPPER(E160))),ISNUMBER(SEARCH("TOPE",UPPER(G160)))),"Solo control","Revisar manualmente"))))),"Revisar manualmente"))</f>
        <v/>
      </c>
      <c r="M160" s="461">
        <f>IF(A160="","",IF(IF(K160&lt;&gt;"",K160,J160)="",0,IF(COUNTIFS(Reglas!$I$5:$I$118,IF(K160&lt;&gt;"",K160,J160),Reglas!$J$5:$J$118,"Sí")=1,F160,0)))</f>
        <v/>
      </c>
      <c r="N160" s="56" t="n"/>
      <c r="O160" s="462">
        <f>IF(A160="","",IF(M160=0,"",M160))</f>
        <v/>
      </c>
      <c r="P160" s="461">
        <f>IF(A160="","",IF(O160="",0,IF(ISNUMBER(O160),O160,0)))</f>
        <v/>
      </c>
      <c r="Q160" s="48">
        <f>IF(A160="","",IF(Exogena_RAW!$C$4="","BLOQUEADO: FALTA AÑO",IF(Exogena_RAW!$K$10&lt;&gt;Reglas!$B$5,"BLOQUEADO: AÑO",IF(IF(K160&lt;&gt;"",K160,J160)="",IF(S160&gt;1,"REQUIERE ASIGNACIÓN MANUAL (VARIAS CASILLAS)","INFORMATIVO (sin casilla — no se declara)"),IF(COUNTIFS(Reglas!$I$5:$I$118,IF(K160&lt;&gt;"",K160,J160),Reglas!$J$5:$J$118,"Sí")=0,"BLOQUEADO: CASILLA NO DIRECTA",IF(O160="","EXCLUIDO (valor borrado por el usuario)",IF(_xlfn.ISFORMULA(O160),IF(W160&lt;&gt;"","BORRADOR — VALOR SUGERIDO DIAN ⚠ VER ALERTA","BORRADOR — VALOR SUGERIDO DIAN"),IF(W160&lt;&gt;"","ACEPTADO ⚠ VER ALERTA","ACEPTADO"))))))))</f>
        <v/>
      </c>
      <c r="R160" s="218" t="n"/>
      <c r="S160" s="58">
        <f>IF(A160="","",IFERROR(--ISNUMBER(SEARCH("R28",G160)),0)+IFERROR(--ISNUMBER(SEARCH("R29",G160)),0)+IFERROR(--ISNUMBER(SEARCH("R30",G160)),0)+IFERROR(--ISNUMBER(SEARCH("R31",G160)),0)+IFERROR(--ISNUMBER(SEARCH("R32",G160)),0)+IFERROR(--ISNUMBER(SEARCH("R33",G160)),0)+IFERROR(--ISNUMBER(SEARCH("R34",G160)),0)+IFERROR(--ISNUMBER(SEARCH("R35",G160)),0)+IFERROR(--ISNUMBER(SEARCH("R36",G160)),0)+IFERROR(--ISNUMBER(SEARCH("R37",G160)),0)+IFERROR(--ISNUMBER(SEARCH("R38",G160)),0)+IFERROR(--ISNUMBER(SEARCH("R39",G160)),0)+IFERROR(--ISNUMBER(SEARCH("R40",G160)),0)+IFERROR(--ISNUMBER(SEARCH("R41",G160)),0)+IFERROR(--ISNUMBER(SEARCH("R42",G160)),0)+IFERROR(--ISNUMBER(SEARCH("R43",G160)),0)+IFERROR(--ISNUMBER(SEARCH("R44",G160)),0)+IFERROR(--ISNUMBER(SEARCH("R45",G160)),0)+IFERROR(--ISNUMBER(SEARCH("R46",G160)),0)+IFERROR(--ISNUMBER(SEARCH("R47",G160)),0)+IFERROR(--ISNUMBER(SEARCH("R48",G160)),0)+IFERROR(--ISNUMBER(SEARCH("R49",G160)),0)+IFERROR(--ISNUMBER(SEARCH("R50",G160)),0)+IFERROR(--ISNUMBER(SEARCH("R51",G160)),0)+IFERROR(--ISNUMBER(SEARCH("R52",G160)),0)+IFERROR(--ISNUMBER(SEARCH("R53",G160)),0)+IFERROR(--ISNUMBER(SEARCH("R54",G160)),0)+IFERROR(--ISNUMBER(SEARCH("R55",G160)),0)+IFERROR(--ISNUMBER(SEARCH("R56",G160)),0)+IFERROR(--ISNUMBER(SEARCH("R57",G160)),0)+IFERROR(--ISNUMBER(SEARCH("R58",G160)),0)+IFERROR(--ISNUMBER(SEARCH("R59",G160)),0)+IFERROR(--ISNUMBER(SEARCH("R60",G160)),0)+IFERROR(--ISNUMBER(SEARCH("R61",G160)),0)+IFERROR(--ISNUMBER(SEARCH("R62",G160)),0)+IFERROR(--ISNUMBER(SEARCH("R63",G160)),0)+IFERROR(--ISNUMBER(SEARCH("R64",G160)),0)+IFERROR(--ISNUMBER(SEARCH("R65",G160)),0)+IFERROR(--ISNUMBER(SEARCH("R66",G160)),0)+IFERROR(--ISNUMBER(SEARCH("R67",G160)),0)+IFERROR(--ISNUMBER(SEARCH("R68",G160)),0)+IFERROR(--ISNUMBER(SEARCH("R69",G160)),0)+IFERROR(--ISNUMBER(SEARCH("R70",G160)),0)+IFERROR(--ISNUMBER(SEARCH("R71",G160)),0)+IFERROR(--ISNUMBER(SEARCH("R72",G160)),0)+IFERROR(--ISNUMBER(SEARCH("R73",G160)),0)+IFERROR(--ISNUMBER(SEARCH("R74",G160)),0)+IFERROR(--ISNUMBER(SEARCH("R75",G160)),0)+IFERROR(--ISNUMBER(SEARCH("R76",G160)),0)+IFERROR(--ISNUMBER(SEARCH("R77",G160)),0)+IFERROR(--ISNUMBER(SEARCH("R78",G160)),0)+IFERROR(--ISNUMBER(SEARCH("R79",G160)),0)+IFERROR(--ISNUMBER(SEARCH("R80",G160)),0)+IFERROR(--ISNUMBER(SEARCH("R81",G160)),0)+IFERROR(--ISNUMBER(SEARCH("R82",G160)),0)+IFERROR(--ISNUMBER(SEARCH("R83",G160)),0)+IFERROR(--ISNUMBER(SEARCH("R84",G160)),0)+IFERROR(--ISNUMBER(SEARCH("R85",G160)),0)+IFERROR(--ISNUMBER(SEARCH("R86",G160)),0)+IFERROR(--ISNUMBER(SEARCH("R87",G160)),0)+IFERROR(--ISNUMBER(SEARCH("R88",G160)),0)+IFERROR(--ISNUMBER(SEARCH("R89",G160)),0)+IFERROR(--ISNUMBER(SEARCH("R90",G160)),0)+IFERROR(--ISNUMBER(SEARCH("R91",G160)),0)+IFERROR(--ISNUMBER(SEARCH("R92",G160)),0)+IFERROR(--ISNUMBER(SEARCH("R93",G160)),0)+IFERROR(--ISNUMBER(SEARCH("R94",G160)),0)+IFERROR(--ISNUMBER(SEARCH("R95",G160)),0)+IFERROR(--ISNUMBER(SEARCH("R96",G160)),0)+IFERROR(--ISNUMBER(SEARCH("R97",G160)),0)+IFERROR(--ISNUMBER(SEARCH("R98",G160)),0)+IFERROR(--ISNUMBER(SEARCH("R99",G160)),0)+IFERROR(--ISNUMBER(SEARCH("R100",G160)),0)+IFERROR(--ISNUMBER(SEARCH("R101",G160)),0)+IFERROR(--ISNUMBER(SEARCH("R102",G160)),0)+IFERROR(--ISNUMBER(SEARCH("R103",G160)),0)+IFERROR(--ISNUMBER(SEARCH("R104",G160)),0)+IFERROR(--ISNUMBER(SEARCH("R105",G160)),0)+IFERROR(--ISNUMBER(SEARCH("R106",G160)),0)+IFERROR(--ISNUMBER(SEARCH("R107",G160)),0)+IFERROR(--ISNUMBER(SEARCH("R108",G160)),0)+IFERROR(--ISNUMBER(SEARCH("R109",G160)),0)+IFERROR(--ISNUMBER(SEARCH("R110",G160)),0)+IFERROR(--ISNUMBER(SEARCH("R111",G160)),0)+IFERROR(--ISNUMBER(SEARCH("R112",G160)),0)+IFERROR(--ISNUMBER(SEARCH("R113",G160)),0)+IFERROR(--ISNUMBER(SEARCH("R114",G160)),0)+IFERROR(--ISNUMBER(SEARCH("R115",G160)),0)+IFERROR(--ISNUMBER(SEARCH("R116",G160)),0)+IFERROR(--ISNUMBER(SEARCH("R117",G160)),0)+IFERROR(--ISNUMBER(SEARCH("R118",G160)),0)+IFERROR(--ISNUMBER(SEARCH("R119",G160)),0)+IFERROR(--ISNUMBER(SEARCH("R120",G160)),0)+IFERROR(--ISNUMBER(SEARCH("R121",G160)),0)+IFERROR(--ISNUMBER(SEARCH("R122",G160)),0)+IFERROR(--ISNUMBER(SEARCH("R123",G160)),0)+IFERROR(--ISNUMBER(SEARCH("R124",G160)),0)+IFERROR(--ISNUMBER(SEARCH("R125",G160)),0)+IFERROR(--ISNUMBER(SEARCH("R126",G160)),0)+IFERROR(--ISNUMBER(SEARCH("R127",G160)),0)+IFERROR(--ISNUMBER(SEARCH("R128",G160)),0)+IFERROR(--ISNUMBER(SEARCH("R129",G160)),0)+IFERROR(--ISNUMBER(SEARCH("R130",G160)),0)+IFERROR(--ISNUMBER(SEARCH("R131",G160)),0)+IFERROR(--ISNUMBER(SEARCH("R132",G160)),0)+IFERROR(--ISNUMBER(SEARCH("R133",G160)),0)+IFERROR(--ISNUMBER(SEARCH("R134",G160)),0)+IFERROR(--ISNUMBER(SEARCH("R135",G160)),0)+IFERROR(--ISNUMBER(SEARCH("R136",G160)),0)+IFERROR(--ISNUMBER(SEARCH("R137",G160)),0)+IFERROR(--ISNUMBER(SEARCH("R138",G160)),0)+IFERROR(--ISNUMBER(SEARCH("R139",G160)),0)+IFERROR(--ISNUMBER(SEARCH("R140",G160)),0)+IFERROR(--ISNUMBER(SEARCH("R141",G160)),0))</f>
        <v/>
      </c>
      <c r="T160" s="58">
        <f>IF(A160="","",IFERROR(--ISNUMBER(SEARCH("R28",G160)),0)+IFERROR(--ISNUMBER(SEARCH("R29",G160)),0)+IFERROR(--ISNUMBER(SEARCH("R30",G160)),0)+IFERROR(--ISNUMBER(SEARCH("R32",G160)),0)+IFERROR(--ISNUMBER(SEARCH("R33",G160)),0)+IFERROR(--ISNUMBER(SEARCH("R35",G160)),0)+IFERROR(--ISNUMBER(SEARCH("R36",G160)),0)+IFERROR(--ISNUMBER(SEARCH("R38",G160)),0)+IFERROR(--ISNUMBER(SEARCH("R39",G160)),0)+IFERROR(--ISNUMBER(SEARCH("R43",G160)),0)+IFERROR(--ISNUMBER(SEARCH("R44",G160)),0)+IFERROR(--ISNUMBER(SEARCH("R45",G160)),0)+IFERROR(--ISNUMBER(SEARCH("R47",G160)),0)+IFERROR(--ISNUMBER(SEARCH("R48",G160)),0)+IFERROR(--ISNUMBER(SEARCH("R50",G160)),0)+IFERROR(--ISNUMBER(SEARCH("R51",G160)),0)+IFERROR(--ISNUMBER(SEARCH("R56",G160)),0)+IFERROR(--ISNUMBER(SEARCH("R58",G160)),0)+IFERROR(--ISNUMBER(SEARCH("R59",G160)),0)+IFERROR(--ISNUMBER(SEARCH("R60",G160)),0)+IFERROR(--ISNUMBER(SEARCH("R62",G160)),0)+IFERROR(--ISNUMBER(SEARCH("R63",G160)),0)+IFERROR(--ISNUMBER(SEARCH("R64",G160)),0)+IFERROR(--ISNUMBER(SEARCH("R66",G160)),0)+IFERROR(--ISNUMBER(SEARCH("R67",G160)),0)+IFERROR(--ISNUMBER(SEARCH("R72",G160)),0)+IFERROR(--ISNUMBER(SEARCH("R74",G160)),0)+IFERROR(--ISNUMBER(SEARCH("R75",G160)),0)+IFERROR(--ISNUMBER(SEARCH("R76",G160)),0)+IFERROR(--ISNUMBER(SEARCH("R77",G160)),0)+IFERROR(--ISNUMBER(SEARCH("R79",G160)),0)+IFERROR(--ISNUMBER(SEARCH("R80",G160)),0)+IFERROR(--ISNUMBER(SEARCH("R81",G160)),0)+IFERROR(--ISNUMBER(SEARCH("R83",G160)),0)+IFERROR(--ISNUMBER(SEARCH("R84",G160)),0)+IFERROR(--ISNUMBER(SEARCH("R89",G160)),0)+IFERROR(--ISNUMBER(SEARCH("R94",G160)),0)+IFERROR(--ISNUMBER(SEARCH("R95",G160)),0)+IFERROR(--ISNUMBER(SEARCH("R96",G160)),0)+IFERROR(--ISNUMBER(SEARCH("R98",G160)),0)+IFERROR(--ISNUMBER(SEARCH("R99",G160)),0)+IFERROR(--ISNUMBER(SEARCH("R100",G160)),0)+IFERROR(--ISNUMBER(SEARCH("R104",G160)),0)+IFERROR(--ISNUMBER(SEARCH("R105",G160)),0)+IFERROR(--ISNUMBER(SEARCH("R107",G160)),0)+IFERROR(--ISNUMBER(SEARCH("R108",G160)),0)+IFERROR(--ISNUMBER(SEARCH("R109",G160)),0)+IFERROR(--ISNUMBER(SEARCH("R110",G160)),0)+IFERROR(--ISNUMBER(SEARCH("R112",G160)),0)+IFERROR(--ISNUMBER(SEARCH("R113",G160)),0)+IFERROR(--ISNUMBER(SEARCH("R114",G160)),0)+IFERROR(--ISNUMBER(SEARCH("R118",G160)),0)+IFERROR(--ISNUMBER(SEARCH("R119",G160)),0)+IFERROR(--ISNUMBER(SEARCH("R120",G160)),0)+IFERROR(--ISNUMBER(SEARCH("R122",G160)),0)+IFERROR(--ISNUMBER(SEARCH("R123",G160)),0)+IFERROR(--ISNUMBER(SEARCH("R124",G160)),0)+IFERROR(--ISNUMBER(SEARCH("R128",G160)),0)+IFERROR(--ISNUMBER(SEARCH("R130",G160)),0)+IFERROR(--ISNUMBER(SEARCH("R131",G160)),0)+IFERROR(--ISNUMBER(SEARCH("R132",G160)),0)+IFERROR(--ISNUMBER(SEARCH("R135",G160)),0)+IFERROR(--ISNUMBER(SEARCH("R138",G160)),0)+IFERROR(--ISNUMBER(SEARCH("R141",G160)),0))</f>
        <v/>
      </c>
      <c r="U160" s="58">
        <f>IF(A160="","",IFERROR(--ISNUMBER(SEARCH("R28",G160))*28,0)+IFERROR(--ISNUMBER(SEARCH("R29",G160))*29,0)+IFERROR(--ISNUMBER(SEARCH("R30",G160))*30,0)+IFERROR(--ISNUMBER(SEARCH("R31",G160))*31,0)+IFERROR(--ISNUMBER(SEARCH("R32",G160))*32,0)+IFERROR(--ISNUMBER(SEARCH("R33",G160))*33,0)+IFERROR(--ISNUMBER(SEARCH("R34",G160))*34,0)+IFERROR(--ISNUMBER(SEARCH("R35",G160))*35,0)+IFERROR(--ISNUMBER(SEARCH("R36",G160))*36,0)+IFERROR(--ISNUMBER(SEARCH("R37",G160))*37,0)+IFERROR(--ISNUMBER(SEARCH("R38",G160))*38,0)+IFERROR(--ISNUMBER(SEARCH("R39",G160))*39,0)+IFERROR(--ISNUMBER(SEARCH("R40",G160))*40,0)+IFERROR(--ISNUMBER(SEARCH("R41",G160))*41,0)+IFERROR(--ISNUMBER(SEARCH("R42",G160))*42,0)+IFERROR(--ISNUMBER(SEARCH("R43",G160))*43,0)+IFERROR(--ISNUMBER(SEARCH("R44",G160))*44,0)+IFERROR(--ISNUMBER(SEARCH("R45",G160))*45,0)+IFERROR(--ISNUMBER(SEARCH("R46",G160))*46,0)+IFERROR(--ISNUMBER(SEARCH("R47",G160))*47,0)+IFERROR(--ISNUMBER(SEARCH("R48",G160))*48,0)+IFERROR(--ISNUMBER(SEARCH("R49",G160))*49,0)+IFERROR(--ISNUMBER(SEARCH("R50",G160))*50,0)+IFERROR(--ISNUMBER(SEARCH("R51",G160))*51,0)+IFERROR(--ISNUMBER(SEARCH("R52",G160))*52,0)+IFERROR(--ISNUMBER(SEARCH("R53",G160))*53,0)+IFERROR(--ISNUMBER(SEARCH("R54",G160))*54,0)+IFERROR(--ISNUMBER(SEARCH("R55",G160))*55,0)+IFERROR(--ISNUMBER(SEARCH("R56",G160))*56,0)+IFERROR(--ISNUMBER(SEARCH("R57",G160))*57,0)+IFERROR(--ISNUMBER(SEARCH("R58",G160))*58,0)+IFERROR(--ISNUMBER(SEARCH("R59",G160))*59,0)+IFERROR(--ISNUMBER(SEARCH("R60",G160))*60,0)+IFERROR(--ISNUMBER(SEARCH("R61",G160))*61,0)+IFERROR(--ISNUMBER(SEARCH("R62",G160))*62,0)+IFERROR(--ISNUMBER(SEARCH("R63",G160))*63,0)+IFERROR(--ISNUMBER(SEARCH("R64",G160))*64,0)+IFERROR(--ISNUMBER(SEARCH("R65",G160))*65,0)+IFERROR(--ISNUMBER(SEARCH("R66",G160))*66,0)+IFERROR(--ISNUMBER(SEARCH("R67",G160))*67,0)+IFERROR(--ISNUMBER(SEARCH("R68",G160))*68,0)+IFERROR(--ISNUMBER(SEARCH("R69",G160))*69,0)+IFERROR(--ISNUMBER(SEARCH("R70",G160))*70,0)+IFERROR(--ISNUMBER(SEARCH("R71",G160))*71,0)+IFERROR(--ISNUMBER(SEARCH("R72",G160))*72,0)+IFERROR(--ISNUMBER(SEARCH("R73",G160))*73,0)+IFERROR(--ISNUMBER(SEARCH("R74",G160))*74,0)+IFERROR(--ISNUMBER(SEARCH("R75",G160))*75,0)+IFERROR(--ISNUMBER(SEARCH("R76",G160))*76,0)+IFERROR(--ISNUMBER(SEARCH("R77",G160))*77,0)+IFERROR(--ISNUMBER(SEARCH("R78",G160))*78,0)+IFERROR(--ISNUMBER(SEARCH("R79",G160))*79,0)+IFERROR(--ISNUMBER(SEARCH("R80",G160))*80,0)+IFERROR(--ISNUMBER(SEARCH("R81",G160))*81,0)+IFERROR(--ISNUMBER(SEARCH("R82",G160))*82,0)+IFERROR(--ISNUMBER(SEARCH("R83",G160))*83,0)+IFERROR(--ISNUMBER(SEARCH("R84",G160))*84,0)+IFERROR(--ISNUMBER(SEARCH("R85",G160))*85,0)+IFERROR(--ISNUMBER(SEARCH("R86",G160))*86,0)+IFERROR(--ISNUMBER(SEARCH("R87",G160))*87,0)+IFERROR(--ISNUMBER(SEARCH("R88",G160))*88,0)+IFERROR(--ISNUMBER(SEARCH("R89",G160))*89,0)+IFERROR(--ISNUMBER(SEARCH("R90",G160))*90,0)+IFERROR(--ISNUMBER(SEARCH("R91",G160))*91,0)+IFERROR(--ISNUMBER(SEARCH("R92",G160))*92,0)+IFERROR(--ISNUMBER(SEARCH("R93",G160))*93,0)+IFERROR(--ISNUMBER(SEARCH("R94",G160))*94,0)+IFERROR(--ISNUMBER(SEARCH("R95",G160))*95,0)+IFERROR(--ISNUMBER(SEARCH("R96",G160))*96,0)+IFERROR(--ISNUMBER(SEARCH("R97",G160))*97,0)+IFERROR(--ISNUMBER(SEARCH("R98",G160))*98,0)+IFERROR(--ISNUMBER(SEARCH("R99",G160))*99,0)+IFERROR(--ISNUMBER(SEARCH("R100",G160))*100,0)+IFERROR(--ISNUMBER(SEARCH("R101",G160))*101,0)+IFERROR(--ISNUMBER(SEARCH("R102",G160))*102,0)+IFERROR(--ISNUMBER(SEARCH("R103",G160))*103,0)+IFERROR(--ISNUMBER(SEARCH("R104",G160))*104,0)+IFERROR(--ISNUMBER(SEARCH("R105",G160))*105,0)+IFERROR(--ISNUMBER(SEARCH("R106",G160))*106,0)+IFERROR(--ISNUMBER(SEARCH("R107",G160))*107,0)+IFERROR(--ISNUMBER(SEARCH("R108",G160))*108,0)+IFERROR(--ISNUMBER(SEARCH("R109",G160))*109,0)+IFERROR(--ISNUMBER(SEARCH("R110",G160))*110,0)+IFERROR(--ISNUMBER(SEARCH("R111",G160))*111,0)+IFERROR(--ISNUMBER(SEARCH("R112",G160))*112,0)+IFERROR(--ISNUMBER(SEARCH("R113",G160))*113,0)+IFERROR(--ISNUMBER(SEARCH("R114",G160))*114,0)+IFERROR(--ISNUMBER(SEARCH("R115",G160))*115,0)+IFERROR(--ISNUMBER(SEARCH("R116",G160))*116,0)+IFERROR(--ISNUMBER(SEARCH("R117",G160))*117,0)+IFERROR(--ISNUMBER(SEARCH("R118",G160))*118,0)+IFERROR(--ISNUMBER(SEARCH("R119",G160))*119,0)+IFERROR(--ISNUMBER(SEARCH("R120",G160))*120,0)+IFERROR(--ISNUMBER(SEARCH("R121",G160))*121,0)+IFERROR(--ISNUMBER(SEARCH("R122",G160))*122,0)+IFERROR(--ISNUMBER(SEARCH("R123",G160))*123,0)+IFERROR(--ISNUMBER(SEARCH("R124",G160))*124,0)+IFERROR(--ISNUMBER(SEARCH("R125",G160))*125,0)+IFERROR(--ISNUMBER(SEARCH("R126",G160))*126,0)+IFERROR(--ISNUMBER(SEARCH("R127",G160))*127,0)+IFERROR(--ISNUMBER(SEARCH("R128",G160))*128,0)+IFERROR(--ISNUMBER(SEARCH("R129",G160))*129,0)+IFERROR(--ISNUMBER(SEARCH("R130",G160))*130,0)+IFERROR(--ISNUMBER(SEARCH("R131",G160))*131,0)+IFERROR(--ISNUMBER(SEARCH("R132",G160))*132,0)+IFERROR(--ISNUMBER(SEARCH("R133",G160))*133,0)+IFERROR(--ISNUMBER(SEARCH("R134",G160))*134,0)+IFERROR(--ISNUMBER(SEARCH("R135",G160))*135,0)+IFERROR(--ISNUMBER(SEARCH("R136",G160))*136,0)+IFERROR(--ISNUMBER(SEARCH("R137",G160))*137,0)+IFERROR(--ISNUMBER(SEARCH("R138",G160))*138,0)+IFERROR(--ISNUMBER(SEARCH("R139",G160))*139,0)+IFERROR(--ISNUMBER(SEARCH("R140",G160))*140,0)+IFERROR(--ISNUMBER(SEARCH("R141",G160))*141,0))</f>
        <v/>
      </c>
      <c r="V160" s="59">
        <f>IF(A160="","",IF(K160&lt;&gt;"",K160,J160))</f>
        <v/>
      </c>
      <c r="W160" s="59">
        <f>IF(A160="","",IF(AND(V160=29,O160&lt;&gt;"",COUNTIFS($V$6:$V$505,29,$F$6:$F$505,F160,$C$6:$C$505,C160,$O$6:$O$505,"&lt;&gt;")&gt;1),IF(COUNTIFS($V$6:V160,29,$F$6:F160,F160,$C$6:C160,C160,$O$6:O160,"&lt;&gt;")=1,"Esta es la fila que se debe CONSERVAR (aparición 1 de "&amp;COUNTIFS($V$6:$V$505,29,$F$6:$F$505,F160,$C$6:$C$505,C160,$O$6:$O$505,"&lt;&gt;")&amp;" con el mismo tercero y valor, casilla 29). Si hay más filas iguales, bórreles el valor a ELLAS, no a esta.","DUPLICADO — ya existe otra fila con el mismo tercero y valor para casilla 29 (aparición "&amp;COUNTIFS($V$6:V160,29,$F$6:F160,F160,$C$6:C160,C160,$O$6:O160,"&lt;&gt;")&amp;" de "&amp;COUNTIFS($V$6:$V$505,29,$F$6:$F$505,F160,$C$6:$C$505,C160,$O$6:$O$505,"&lt;&gt;")&amp;"). Para resolverlo: seleccione la celda O"&amp;ROW()&amp;" (columna Valor a declarar de ESTA fila) y presione Supr."),""))</f>
        <v/>
      </c>
      <c r="X160" s="463">
        <f>IF(A160="","",F160)</f>
        <v/>
      </c>
      <c r="Y160" s="463">
        <f>IF(A160="","",SUMIF(Entrada_Manual!$I$88:$I$187,A160,Entrada_Manual!$F$88:$F$187))</f>
        <v/>
      </c>
      <c r="Z160" s="463">
        <f>IF(A160="","",X160-Y160)</f>
        <v/>
      </c>
      <c r="AA160">
        <f>IF(A160="","",SUMPRODUCT((Entrada_Manual!$I$88:$I$187=A160)*1))</f>
        <v/>
      </c>
      <c r="AB160">
        <f>IF(A160="","",IF(S160&lt;=1,"",IF(AA160=0,"PENDIENTE — SIN ASIGNAR",IF(Z160=0,"RESUELTO","PARCIAL — DIFERENCIA "&amp;TEXT(Z160,"#,##0")))))</f>
        <v/>
      </c>
    </row>
    <row r="161" ht="14.25" customHeight="1" s="235">
      <c r="A161" s="47">
        <f>IF(Exogena_RAW!E170&lt;&gt;"",ROW()-5,"")</f>
        <v/>
      </c>
      <c r="B161" s="48">
        <f>IF(A161="","",170)</f>
        <v/>
      </c>
      <c r="C161" s="48">
        <f>IF(A161="","",IFERROR(Exogena_RAW!A170,""))</f>
        <v/>
      </c>
      <c r="D161" s="48">
        <f>IF(A161="","",IFERROR(Exogena_RAW!B170,""))</f>
        <v/>
      </c>
      <c r="E161" s="48">
        <f>IF(A161="","",Exogena_RAW!E170)</f>
        <v/>
      </c>
      <c r="F161" s="461">
        <f>IF(A161="","",Exogena_RAW!F170)</f>
        <v/>
      </c>
      <c r="G161" s="48">
        <f>IF(A161="","",IFERROR(Exogena_RAW!G170,""))</f>
        <v/>
      </c>
      <c r="H161" s="48">
        <f>IF(A161="","",IFERROR(Exogena_RAW!H170,""))</f>
        <v/>
      </c>
      <c r="I161" s="48">
        <f>IF(A161="","",IFERROR(IF(S161&gt;1,"VARIAS CASILLAS",IF(S161=1,IF(T161=1,"PROPUESTA DE CASILLA","REVISIÓN: CASILLA NO DIRECTA"),IF(OR(ISNUMBER(SEARCH("TOPE",UPPER(E161))),ISNUMBER(SEARCH("TOPE",UPPER(G161)))),"SOLO CONTROL",IF(ISNUMBER(SEARCH("RETEN",UPPER(E161))),"RETENCIÓN","REVISAR")))),"REVISAR"))</f>
        <v/>
      </c>
      <c r="J161" s="48">
        <f>IF(A161="","",IF(ISNUMBER(SEARCH("ingreso laboral promedio de los últimos seis meses",E161)),"",IFERROR(IF(AND(S161=1,T161=1),U161,""),"")))</f>
        <v/>
      </c>
      <c r="K161" s="216" t="n"/>
      <c r="L161" s="48">
        <f>IF(A161="","",IFERROR(IF(K161&lt;&gt;"","Casilla elegida por usuario",IF(S161&gt;1,"Varias casillas — elegir en K",IF(J161&lt;&gt;"","Sugerencia directa",IF(S161=1,"No trasladar directo — revisar",IF(OR(ISNUMBER(SEARCH("TOPE",UPPER(E161))),ISNUMBER(SEARCH("TOPE",UPPER(G161)))),"Solo control","Revisar manualmente"))))),"Revisar manualmente"))</f>
        <v/>
      </c>
      <c r="M161" s="461">
        <f>IF(A161="","",IF(IF(K161&lt;&gt;"",K161,J161)="",0,IF(COUNTIFS(Reglas!$I$5:$I$118,IF(K161&lt;&gt;"",K161,J161),Reglas!$J$5:$J$118,"Sí")=1,F161,0)))</f>
        <v/>
      </c>
      <c r="N161" s="56" t="n"/>
      <c r="O161" s="462">
        <f>IF(A161="","",IF(M161=0,"",M161))</f>
        <v/>
      </c>
      <c r="P161" s="461">
        <f>IF(A161="","",IF(O161="",0,IF(ISNUMBER(O161),O161,0)))</f>
        <v/>
      </c>
      <c r="Q161" s="48">
        <f>IF(A161="","",IF(Exogena_RAW!$C$4="","BLOQUEADO: FALTA AÑO",IF(Exogena_RAW!$K$10&lt;&gt;Reglas!$B$5,"BLOQUEADO: AÑO",IF(IF(K161&lt;&gt;"",K161,J161)="",IF(S161&gt;1,"REQUIERE ASIGNACIÓN MANUAL (VARIAS CASILLAS)","INFORMATIVO (sin casilla — no se declara)"),IF(COUNTIFS(Reglas!$I$5:$I$118,IF(K161&lt;&gt;"",K161,J161),Reglas!$J$5:$J$118,"Sí")=0,"BLOQUEADO: CASILLA NO DIRECTA",IF(O161="","EXCLUIDO (valor borrado por el usuario)",IF(_xlfn.ISFORMULA(O161),IF(W161&lt;&gt;"","BORRADOR — VALOR SUGERIDO DIAN ⚠ VER ALERTA","BORRADOR — VALOR SUGERIDO DIAN"),IF(W161&lt;&gt;"","ACEPTADO ⚠ VER ALERTA","ACEPTADO"))))))))</f>
        <v/>
      </c>
      <c r="R161" s="218" t="n"/>
      <c r="S161" s="58">
        <f>IF(A161="","",IFERROR(--ISNUMBER(SEARCH("R28",G161)),0)+IFERROR(--ISNUMBER(SEARCH("R29",G161)),0)+IFERROR(--ISNUMBER(SEARCH("R30",G161)),0)+IFERROR(--ISNUMBER(SEARCH("R31",G161)),0)+IFERROR(--ISNUMBER(SEARCH("R32",G161)),0)+IFERROR(--ISNUMBER(SEARCH("R33",G161)),0)+IFERROR(--ISNUMBER(SEARCH("R34",G161)),0)+IFERROR(--ISNUMBER(SEARCH("R35",G161)),0)+IFERROR(--ISNUMBER(SEARCH("R36",G161)),0)+IFERROR(--ISNUMBER(SEARCH("R37",G161)),0)+IFERROR(--ISNUMBER(SEARCH("R38",G161)),0)+IFERROR(--ISNUMBER(SEARCH("R39",G161)),0)+IFERROR(--ISNUMBER(SEARCH("R40",G161)),0)+IFERROR(--ISNUMBER(SEARCH("R41",G161)),0)+IFERROR(--ISNUMBER(SEARCH("R42",G161)),0)+IFERROR(--ISNUMBER(SEARCH("R43",G161)),0)+IFERROR(--ISNUMBER(SEARCH("R44",G161)),0)+IFERROR(--ISNUMBER(SEARCH("R45",G161)),0)+IFERROR(--ISNUMBER(SEARCH("R46",G161)),0)+IFERROR(--ISNUMBER(SEARCH("R47",G161)),0)+IFERROR(--ISNUMBER(SEARCH("R48",G161)),0)+IFERROR(--ISNUMBER(SEARCH("R49",G161)),0)+IFERROR(--ISNUMBER(SEARCH("R50",G161)),0)+IFERROR(--ISNUMBER(SEARCH("R51",G161)),0)+IFERROR(--ISNUMBER(SEARCH("R52",G161)),0)+IFERROR(--ISNUMBER(SEARCH("R53",G161)),0)+IFERROR(--ISNUMBER(SEARCH("R54",G161)),0)+IFERROR(--ISNUMBER(SEARCH("R55",G161)),0)+IFERROR(--ISNUMBER(SEARCH("R56",G161)),0)+IFERROR(--ISNUMBER(SEARCH("R57",G161)),0)+IFERROR(--ISNUMBER(SEARCH("R58",G161)),0)+IFERROR(--ISNUMBER(SEARCH("R59",G161)),0)+IFERROR(--ISNUMBER(SEARCH("R60",G161)),0)+IFERROR(--ISNUMBER(SEARCH("R61",G161)),0)+IFERROR(--ISNUMBER(SEARCH("R62",G161)),0)+IFERROR(--ISNUMBER(SEARCH("R63",G161)),0)+IFERROR(--ISNUMBER(SEARCH("R64",G161)),0)+IFERROR(--ISNUMBER(SEARCH("R65",G161)),0)+IFERROR(--ISNUMBER(SEARCH("R66",G161)),0)+IFERROR(--ISNUMBER(SEARCH("R67",G161)),0)+IFERROR(--ISNUMBER(SEARCH("R68",G161)),0)+IFERROR(--ISNUMBER(SEARCH("R69",G161)),0)+IFERROR(--ISNUMBER(SEARCH("R70",G161)),0)+IFERROR(--ISNUMBER(SEARCH("R71",G161)),0)+IFERROR(--ISNUMBER(SEARCH("R72",G161)),0)+IFERROR(--ISNUMBER(SEARCH("R73",G161)),0)+IFERROR(--ISNUMBER(SEARCH("R74",G161)),0)+IFERROR(--ISNUMBER(SEARCH("R75",G161)),0)+IFERROR(--ISNUMBER(SEARCH("R76",G161)),0)+IFERROR(--ISNUMBER(SEARCH("R77",G161)),0)+IFERROR(--ISNUMBER(SEARCH("R78",G161)),0)+IFERROR(--ISNUMBER(SEARCH("R79",G161)),0)+IFERROR(--ISNUMBER(SEARCH("R80",G161)),0)+IFERROR(--ISNUMBER(SEARCH("R81",G161)),0)+IFERROR(--ISNUMBER(SEARCH("R82",G161)),0)+IFERROR(--ISNUMBER(SEARCH("R83",G161)),0)+IFERROR(--ISNUMBER(SEARCH("R84",G161)),0)+IFERROR(--ISNUMBER(SEARCH("R85",G161)),0)+IFERROR(--ISNUMBER(SEARCH("R86",G161)),0)+IFERROR(--ISNUMBER(SEARCH("R87",G161)),0)+IFERROR(--ISNUMBER(SEARCH("R88",G161)),0)+IFERROR(--ISNUMBER(SEARCH("R89",G161)),0)+IFERROR(--ISNUMBER(SEARCH("R90",G161)),0)+IFERROR(--ISNUMBER(SEARCH("R91",G161)),0)+IFERROR(--ISNUMBER(SEARCH("R92",G161)),0)+IFERROR(--ISNUMBER(SEARCH("R93",G161)),0)+IFERROR(--ISNUMBER(SEARCH("R94",G161)),0)+IFERROR(--ISNUMBER(SEARCH("R95",G161)),0)+IFERROR(--ISNUMBER(SEARCH("R96",G161)),0)+IFERROR(--ISNUMBER(SEARCH("R97",G161)),0)+IFERROR(--ISNUMBER(SEARCH("R98",G161)),0)+IFERROR(--ISNUMBER(SEARCH("R99",G161)),0)+IFERROR(--ISNUMBER(SEARCH("R100",G161)),0)+IFERROR(--ISNUMBER(SEARCH("R101",G161)),0)+IFERROR(--ISNUMBER(SEARCH("R102",G161)),0)+IFERROR(--ISNUMBER(SEARCH("R103",G161)),0)+IFERROR(--ISNUMBER(SEARCH("R104",G161)),0)+IFERROR(--ISNUMBER(SEARCH("R105",G161)),0)+IFERROR(--ISNUMBER(SEARCH("R106",G161)),0)+IFERROR(--ISNUMBER(SEARCH("R107",G161)),0)+IFERROR(--ISNUMBER(SEARCH("R108",G161)),0)+IFERROR(--ISNUMBER(SEARCH("R109",G161)),0)+IFERROR(--ISNUMBER(SEARCH("R110",G161)),0)+IFERROR(--ISNUMBER(SEARCH("R111",G161)),0)+IFERROR(--ISNUMBER(SEARCH("R112",G161)),0)+IFERROR(--ISNUMBER(SEARCH("R113",G161)),0)+IFERROR(--ISNUMBER(SEARCH("R114",G161)),0)+IFERROR(--ISNUMBER(SEARCH("R115",G161)),0)+IFERROR(--ISNUMBER(SEARCH("R116",G161)),0)+IFERROR(--ISNUMBER(SEARCH("R117",G161)),0)+IFERROR(--ISNUMBER(SEARCH("R118",G161)),0)+IFERROR(--ISNUMBER(SEARCH("R119",G161)),0)+IFERROR(--ISNUMBER(SEARCH("R120",G161)),0)+IFERROR(--ISNUMBER(SEARCH("R121",G161)),0)+IFERROR(--ISNUMBER(SEARCH("R122",G161)),0)+IFERROR(--ISNUMBER(SEARCH("R123",G161)),0)+IFERROR(--ISNUMBER(SEARCH("R124",G161)),0)+IFERROR(--ISNUMBER(SEARCH("R125",G161)),0)+IFERROR(--ISNUMBER(SEARCH("R126",G161)),0)+IFERROR(--ISNUMBER(SEARCH("R127",G161)),0)+IFERROR(--ISNUMBER(SEARCH("R128",G161)),0)+IFERROR(--ISNUMBER(SEARCH("R129",G161)),0)+IFERROR(--ISNUMBER(SEARCH("R130",G161)),0)+IFERROR(--ISNUMBER(SEARCH("R131",G161)),0)+IFERROR(--ISNUMBER(SEARCH("R132",G161)),0)+IFERROR(--ISNUMBER(SEARCH("R133",G161)),0)+IFERROR(--ISNUMBER(SEARCH("R134",G161)),0)+IFERROR(--ISNUMBER(SEARCH("R135",G161)),0)+IFERROR(--ISNUMBER(SEARCH("R136",G161)),0)+IFERROR(--ISNUMBER(SEARCH("R137",G161)),0)+IFERROR(--ISNUMBER(SEARCH("R138",G161)),0)+IFERROR(--ISNUMBER(SEARCH("R139",G161)),0)+IFERROR(--ISNUMBER(SEARCH("R140",G161)),0)+IFERROR(--ISNUMBER(SEARCH("R141",G161)),0))</f>
        <v/>
      </c>
      <c r="T161" s="58">
        <f>IF(A161="","",IFERROR(--ISNUMBER(SEARCH("R28",G161)),0)+IFERROR(--ISNUMBER(SEARCH("R29",G161)),0)+IFERROR(--ISNUMBER(SEARCH("R30",G161)),0)+IFERROR(--ISNUMBER(SEARCH("R32",G161)),0)+IFERROR(--ISNUMBER(SEARCH("R33",G161)),0)+IFERROR(--ISNUMBER(SEARCH("R35",G161)),0)+IFERROR(--ISNUMBER(SEARCH("R36",G161)),0)+IFERROR(--ISNUMBER(SEARCH("R38",G161)),0)+IFERROR(--ISNUMBER(SEARCH("R39",G161)),0)+IFERROR(--ISNUMBER(SEARCH("R43",G161)),0)+IFERROR(--ISNUMBER(SEARCH("R44",G161)),0)+IFERROR(--ISNUMBER(SEARCH("R45",G161)),0)+IFERROR(--ISNUMBER(SEARCH("R47",G161)),0)+IFERROR(--ISNUMBER(SEARCH("R48",G161)),0)+IFERROR(--ISNUMBER(SEARCH("R50",G161)),0)+IFERROR(--ISNUMBER(SEARCH("R51",G161)),0)+IFERROR(--ISNUMBER(SEARCH("R56",G161)),0)+IFERROR(--ISNUMBER(SEARCH("R58",G161)),0)+IFERROR(--ISNUMBER(SEARCH("R59",G161)),0)+IFERROR(--ISNUMBER(SEARCH("R60",G161)),0)+IFERROR(--ISNUMBER(SEARCH("R62",G161)),0)+IFERROR(--ISNUMBER(SEARCH("R63",G161)),0)+IFERROR(--ISNUMBER(SEARCH("R64",G161)),0)+IFERROR(--ISNUMBER(SEARCH("R66",G161)),0)+IFERROR(--ISNUMBER(SEARCH("R67",G161)),0)+IFERROR(--ISNUMBER(SEARCH("R72",G161)),0)+IFERROR(--ISNUMBER(SEARCH("R74",G161)),0)+IFERROR(--ISNUMBER(SEARCH("R75",G161)),0)+IFERROR(--ISNUMBER(SEARCH("R76",G161)),0)+IFERROR(--ISNUMBER(SEARCH("R77",G161)),0)+IFERROR(--ISNUMBER(SEARCH("R79",G161)),0)+IFERROR(--ISNUMBER(SEARCH("R80",G161)),0)+IFERROR(--ISNUMBER(SEARCH("R81",G161)),0)+IFERROR(--ISNUMBER(SEARCH("R83",G161)),0)+IFERROR(--ISNUMBER(SEARCH("R84",G161)),0)+IFERROR(--ISNUMBER(SEARCH("R89",G161)),0)+IFERROR(--ISNUMBER(SEARCH("R94",G161)),0)+IFERROR(--ISNUMBER(SEARCH("R95",G161)),0)+IFERROR(--ISNUMBER(SEARCH("R96",G161)),0)+IFERROR(--ISNUMBER(SEARCH("R98",G161)),0)+IFERROR(--ISNUMBER(SEARCH("R99",G161)),0)+IFERROR(--ISNUMBER(SEARCH("R100",G161)),0)+IFERROR(--ISNUMBER(SEARCH("R104",G161)),0)+IFERROR(--ISNUMBER(SEARCH("R105",G161)),0)+IFERROR(--ISNUMBER(SEARCH("R107",G161)),0)+IFERROR(--ISNUMBER(SEARCH("R108",G161)),0)+IFERROR(--ISNUMBER(SEARCH("R109",G161)),0)+IFERROR(--ISNUMBER(SEARCH("R110",G161)),0)+IFERROR(--ISNUMBER(SEARCH("R112",G161)),0)+IFERROR(--ISNUMBER(SEARCH("R113",G161)),0)+IFERROR(--ISNUMBER(SEARCH("R114",G161)),0)+IFERROR(--ISNUMBER(SEARCH("R118",G161)),0)+IFERROR(--ISNUMBER(SEARCH("R119",G161)),0)+IFERROR(--ISNUMBER(SEARCH("R120",G161)),0)+IFERROR(--ISNUMBER(SEARCH("R122",G161)),0)+IFERROR(--ISNUMBER(SEARCH("R123",G161)),0)+IFERROR(--ISNUMBER(SEARCH("R124",G161)),0)+IFERROR(--ISNUMBER(SEARCH("R128",G161)),0)+IFERROR(--ISNUMBER(SEARCH("R130",G161)),0)+IFERROR(--ISNUMBER(SEARCH("R131",G161)),0)+IFERROR(--ISNUMBER(SEARCH("R132",G161)),0)+IFERROR(--ISNUMBER(SEARCH("R135",G161)),0)+IFERROR(--ISNUMBER(SEARCH("R138",G161)),0)+IFERROR(--ISNUMBER(SEARCH("R141",G161)),0))</f>
        <v/>
      </c>
      <c r="U161" s="58">
        <f>IF(A161="","",IFERROR(--ISNUMBER(SEARCH("R28",G161))*28,0)+IFERROR(--ISNUMBER(SEARCH("R29",G161))*29,0)+IFERROR(--ISNUMBER(SEARCH("R30",G161))*30,0)+IFERROR(--ISNUMBER(SEARCH("R31",G161))*31,0)+IFERROR(--ISNUMBER(SEARCH("R32",G161))*32,0)+IFERROR(--ISNUMBER(SEARCH("R33",G161))*33,0)+IFERROR(--ISNUMBER(SEARCH("R34",G161))*34,0)+IFERROR(--ISNUMBER(SEARCH("R35",G161))*35,0)+IFERROR(--ISNUMBER(SEARCH("R36",G161))*36,0)+IFERROR(--ISNUMBER(SEARCH("R37",G161))*37,0)+IFERROR(--ISNUMBER(SEARCH("R38",G161))*38,0)+IFERROR(--ISNUMBER(SEARCH("R39",G161))*39,0)+IFERROR(--ISNUMBER(SEARCH("R40",G161))*40,0)+IFERROR(--ISNUMBER(SEARCH("R41",G161))*41,0)+IFERROR(--ISNUMBER(SEARCH("R42",G161))*42,0)+IFERROR(--ISNUMBER(SEARCH("R43",G161))*43,0)+IFERROR(--ISNUMBER(SEARCH("R44",G161))*44,0)+IFERROR(--ISNUMBER(SEARCH("R45",G161))*45,0)+IFERROR(--ISNUMBER(SEARCH("R46",G161))*46,0)+IFERROR(--ISNUMBER(SEARCH("R47",G161))*47,0)+IFERROR(--ISNUMBER(SEARCH("R48",G161))*48,0)+IFERROR(--ISNUMBER(SEARCH("R49",G161))*49,0)+IFERROR(--ISNUMBER(SEARCH("R50",G161))*50,0)+IFERROR(--ISNUMBER(SEARCH("R51",G161))*51,0)+IFERROR(--ISNUMBER(SEARCH("R52",G161))*52,0)+IFERROR(--ISNUMBER(SEARCH("R53",G161))*53,0)+IFERROR(--ISNUMBER(SEARCH("R54",G161))*54,0)+IFERROR(--ISNUMBER(SEARCH("R55",G161))*55,0)+IFERROR(--ISNUMBER(SEARCH("R56",G161))*56,0)+IFERROR(--ISNUMBER(SEARCH("R57",G161))*57,0)+IFERROR(--ISNUMBER(SEARCH("R58",G161))*58,0)+IFERROR(--ISNUMBER(SEARCH("R59",G161))*59,0)+IFERROR(--ISNUMBER(SEARCH("R60",G161))*60,0)+IFERROR(--ISNUMBER(SEARCH("R61",G161))*61,0)+IFERROR(--ISNUMBER(SEARCH("R62",G161))*62,0)+IFERROR(--ISNUMBER(SEARCH("R63",G161))*63,0)+IFERROR(--ISNUMBER(SEARCH("R64",G161))*64,0)+IFERROR(--ISNUMBER(SEARCH("R65",G161))*65,0)+IFERROR(--ISNUMBER(SEARCH("R66",G161))*66,0)+IFERROR(--ISNUMBER(SEARCH("R67",G161))*67,0)+IFERROR(--ISNUMBER(SEARCH("R68",G161))*68,0)+IFERROR(--ISNUMBER(SEARCH("R69",G161))*69,0)+IFERROR(--ISNUMBER(SEARCH("R70",G161))*70,0)+IFERROR(--ISNUMBER(SEARCH("R71",G161))*71,0)+IFERROR(--ISNUMBER(SEARCH("R72",G161))*72,0)+IFERROR(--ISNUMBER(SEARCH("R73",G161))*73,0)+IFERROR(--ISNUMBER(SEARCH("R74",G161))*74,0)+IFERROR(--ISNUMBER(SEARCH("R75",G161))*75,0)+IFERROR(--ISNUMBER(SEARCH("R76",G161))*76,0)+IFERROR(--ISNUMBER(SEARCH("R77",G161))*77,0)+IFERROR(--ISNUMBER(SEARCH("R78",G161))*78,0)+IFERROR(--ISNUMBER(SEARCH("R79",G161))*79,0)+IFERROR(--ISNUMBER(SEARCH("R80",G161))*80,0)+IFERROR(--ISNUMBER(SEARCH("R81",G161))*81,0)+IFERROR(--ISNUMBER(SEARCH("R82",G161))*82,0)+IFERROR(--ISNUMBER(SEARCH("R83",G161))*83,0)+IFERROR(--ISNUMBER(SEARCH("R84",G161))*84,0)+IFERROR(--ISNUMBER(SEARCH("R85",G161))*85,0)+IFERROR(--ISNUMBER(SEARCH("R86",G161))*86,0)+IFERROR(--ISNUMBER(SEARCH("R87",G161))*87,0)+IFERROR(--ISNUMBER(SEARCH("R88",G161))*88,0)+IFERROR(--ISNUMBER(SEARCH("R89",G161))*89,0)+IFERROR(--ISNUMBER(SEARCH("R90",G161))*90,0)+IFERROR(--ISNUMBER(SEARCH("R91",G161))*91,0)+IFERROR(--ISNUMBER(SEARCH("R92",G161))*92,0)+IFERROR(--ISNUMBER(SEARCH("R93",G161))*93,0)+IFERROR(--ISNUMBER(SEARCH("R94",G161))*94,0)+IFERROR(--ISNUMBER(SEARCH("R95",G161))*95,0)+IFERROR(--ISNUMBER(SEARCH("R96",G161))*96,0)+IFERROR(--ISNUMBER(SEARCH("R97",G161))*97,0)+IFERROR(--ISNUMBER(SEARCH("R98",G161))*98,0)+IFERROR(--ISNUMBER(SEARCH("R99",G161))*99,0)+IFERROR(--ISNUMBER(SEARCH("R100",G161))*100,0)+IFERROR(--ISNUMBER(SEARCH("R101",G161))*101,0)+IFERROR(--ISNUMBER(SEARCH("R102",G161))*102,0)+IFERROR(--ISNUMBER(SEARCH("R103",G161))*103,0)+IFERROR(--ISNUMBER(SEARCH("R104",G161))*104,0)+IFERROR(--ISNUMBER(SEARCH("R105",G161))*105,0)+IFERROR(--ISNUMBER(SEARCH("R106",G161))*106,0)+IFERROR(--ISNUMBER(SEARCH("R107",G161))*107,0)+IFERROR(--ISNUMBER(SEARCH("R108",G161))*108,0)+IFERROR(--ISNUMBER(SEARCH("R109",G161))*109,0)+IFERROR(--ISNUMBER(SEARCH("R110",G161))*110,0)+IFERROR(--ISNUMBER(SEARCH("R111",G161))*111,0)+IFERROR(--ISNUMBER(SEARCH("R112",G161))*112,0)+IFERROR(--ISNUMBER(SEARCH("R113",G161))*113,0)+IFERROR(--ISNUMBER(SEARCH("R114",G161))*114,0)+IFERROR(--ISNUMBER(SEARCH("R115",G161))*115,0)+IFERROR(--ISNUMBER(SEARCH("R116",G161))*116,0)+IFERROR(--ISNUMBER(SEARCH("R117",G161))*117,0)+IFERROR(--ISNUMBER(SEARCH("R118",G161))*118,0)+IFERROR(--ISNUMBER(SEARCH("R119",G161))*119,0)+IFERROR(--ISNUMBER(SEARCH("R120",G161))*120,0)+IFERROR(--ISNUMBER(SEARCH("R121",G161))*121,0)+IFERROR(--ISNUMBER(SEARCH("R122",G161))*122,0)+IFERROR(--ISNUMBER(SEARCH("R123",G161))*123,0)+IFERROR(--ISNUMBER(SEARCH("R124",G161))*124,0)+IFERROR(--ISNUMBER(SEARCH("R125",G161))*125,0)+IFERROR(--ISNUMBER(SEARCH("R126",G161))*126,0)+IFERROR(--ISNUMBER(SEARCH("R127",G161))*127,0)+IFERROR(--ISNUMBER(SEARCH("R128",G161))*128,0)+IFERROR(--ISNUMBER(SEARCH("R129",G161))*129,0)+IFERROR(--ISNUMBER(SEARCH("R130",G161))*130,0)+IFERROR(--ISNUMBER(SEARCH("R131",G161))*131,0)+IFERROR(--ISNUMBER(SEARCH("R132",G161))*132,0)+IFERROR(--ISNUMBER(SEARCH("R133",G161))*133,0)+IFERROR(--ISNUMBER(SEARCH("R134",G161))*134,0)+IFERROR(--ISNUMBER(SEARCH("R135",G161))*135,0)+IFERROR(--ISNUMBER(SEARCH("R136",G161))*136,0)+IFERROR(--ISNUMBER(SEARCH("R137",G161))*137,0)+IFERROR(--ISNUMBER(SEARCH("R138",G161))*138,0)+IFERROR(--ISNUMBER(SEARCH("R139",G161))*139,0)+IFERROR(--ISNUMBER(SEARCH("R140",G161))*140,0)+IFERROR(--ISNUMBER(SEARCH("R141",G161))*141,0))</f>
        <v/>
      </c>
      <c r="V161" s="59">
        <f>IF(A161="","",IF(K161&lt;&gt;"",K161,J161))</f>
        <v/>
      </c>
      <c r="W161" s="59">
        <f>IF(A161="","",IF(AND(V161=29,O161&lt;&gt;"",COUNTIFS($V$6:$V$505,29,$F$6:$F$505,F161,$C$6:$C$505,C161,$O$6:$O$505,"&lt;&gt;")&gt;1),IF(COUNTIFS($V$6:V161,29,$F$6:F161,F161,$C$6:C161,C161,$O$6:O161,"&lt;&gt;")=1,"Esta es la fila que se debe CONSERVAR (aparición 1 de "&amp;COUNTIFS($V$6:$V$505,29,$F$6:$F$505,F161,$C$6:$C$505,C161,$O$6:$O$505,"&lt;&gt;")&amp;" con el mismo tercero y valor, casilla 29). Si hay más filas iguales, bórreles el valor a ELLAS, no a esta.","DUPLICADO — ya existe otra fila con el mismo tercero y valor para casilla 29 (aparición "&amp;COUNTIFS($V$6:V161,29,$F$6:F161,F161,$C$6:C161,C161,$O$6:O161,"&lt;&gt;")&amp;" de "&amp;COUNTIFS($V$6:$V$505,29,$F$6:$F$505,F161,$C$6:$C$505,C161,$O$6:$O$505,"&lt;&gt;")&amp;"). Para resolverlo: seleccione la celda O"&amp;ROW()&amp;" (columna Valor a declarar de ESTA fila) y presione Supr."),""))</f>
        <v/>
      </c>
      <c r="X161" s="463">
        <f>IF(A161="","",F161)</f>
        <v/>
      </c>
      <c r="Y161" s="463">
        <f>IF(A161="","",SUMIF(Entrada_Manual!$I$88:$I$187,A161,Entrada_Manual!$F$88:$F$187))</f>
        <v/>
      </c>
      <c r="Z161" s="463">
        <f>IF(A161="","",X161-Y161)</f>
        <v/>
      </c>
      <c r="AA161">
        <f>IF(A161="","",SUMPRODUCT((Entrada_Manual!$I$88:$I$187=A161)*1))</f>
        <v/>
      </c>
      <c r="AB161">
        <f>IF(A161="","",IF(S161&lt;=1,"",IF(AA161=0,"PENDIENTE — SIN ASIGNAR",IF(Z161=0,"RESUELTO","PARCIAL — DIFERENCIA "&amp;TEXT(Z161,"#,##0")))))</f>
        <v/>
      </c>
    </row>
    <row r="162" ht="14.25" customHeight="1" s="235">
      <c r="A162" s="47">
        <f>IF(Exogena_RAW!E171&lt;&gt;"",ROW()-5,"")</f>
        <v/>
      </c>
      <c r="B162" s="48">
        <f>IF(A162="","",171)</f>
        <v/>
      </c>
      <c r="C162" s="48">
        <f>IF(A162="","",IFERROR(Exogena_RAW!A171,""))</f>
        <v/>
      </c>
      <c r="D162" s="48">
        <f>IF(A162="","",IFERROR(Exogena_RAW!B171,""))</f>
        <v/>
      </c>
      <c r="E162" s="48">
        <f>IF(A162="","",Exogena_RAW!E171)</f>
        <v/>
      </c>
      <c r="F162" s="461">
        <f>IF(A162="","",Exogena_RAW!F171)</f>
        <v/>
      </c>
      <c r="G162" s="48">
        <f>IF(A162="","",IFERROR(Exogena_RAW!G171,""))</f>
        <v/>
      </c>
      <c r="H162" s="48">
        <f>IF(A162="","",IFERROR(Exogena_RAW!H171,""))</f>
        <v/>
      </c>
      <c r="I162" s="48">
        <f>IF(A162="","",IFERROR(IF(S162&gt;1,"VARIAS CASILLAS",IF(S162=1,IF(T162=1,"PROPUESTA DE CASILLA","REVISIÓN: CASILLA NO DIRECTA"),IF(OR(ISNUMBER(SEARCH("TOPE",UPPER(E162))),ISNUMBER(SEARCH("TOPE",UPPER(G162)))),"SOLO CONTROL",IF(ISNUMBER(SEARCH("RETEN",UPPER(E162))),"RETENCIÓN","REVISAR")))),"REVISAR"))</f>
        <v/>
      </c>
      <c r="J162" s="48">
        <f>IF(A162="","",IF(ISNUMBER(SEARCH("ingreso laboral promedio de los últimos seis meses",E162)),"",IFERROR(IF(AND(S162=1,T162=1),U162,""),"")))</f>
        <v/>
      </c>
      <c r="K162" s="216" t="n"/>
      <c r="L162" s="48">
        <f>IF(A162="","",IFERROR(IF(K162&lt;&gt;"","Casilla elegida por usuario",IF(S162&gt;1,"Varias casillas — elegir en K",IF(J162&lt;&gt;"","Sugerencia directa",IF(S162=1,"No trasladar directo — revisar",IF(OR(ISNUMBER(SEARCH("TOPE",UPPER(E162))),ISNUMBER(SEARCH("TOPE",UPPER(G162)))),"Solo control","Revisar manualmente"))))),"Revisar manualmente"))</f>
        <v/>
      </c>
      <c r="M162" s="461">
        <f>IF(A162="","",IF(IF(K162&lt;&gt;"",K162,J162)="",0,IF(COUNTIFS(Reglas!$I$5:$I$118,IF(K162&lt;&gt;"",K162,J162),Reglas!$J$5:$J$118,"Sí")=1,F162,0)))</f>
        <v/>
      </c>
      <c r="N162" s="56" t="n"/>
      <c r="O162" s="462">
        <f>IF(A162="","",IF(M162=0,"",M162))</f>
        <v/>
      </c>
      <c r="P162" s="461">
        <f>IF(A162="","",IF(O162="",0,IF(ISNUMBER(O162),O162,0)))</f>
        <v/>
      </c>
      <c r="Q162" s="48">
        <f>IF(A162="","",IF(Exogena_RAW!$C$4="","BLOQUEADO: FALTA AÑO",IF(Exogena_RAW!$K$10&lt;&gt;Reglas!$B$5,"BLOQUEADO: AÑO",IF(IF(K162&lt;&gt;"",K162,J162)="",IF(S162&gt;1,"REQUIERE ASIGNACIÓN MANUAL (VARIAS CASILLAS)","INFORMATIVO (sin casilla — no se declara)"),IF(COUNTIFS(Reglas!$I$5:$I$118,IF(K162&lt;&gt;"",K162,J162),Reglas!$J$5:$J$118,"Sí")=0,"BLOQUEADO: CASILLA NO DIRECTA",IF(O162="","EXCLUIDO (valor borrado por el usuario)",IF(_xlfn.ISFORMULA(O162),IF(W162&lt;&gt;"","BORRADOR — VALOR SUGERIDO DIAN ⚠ VER ALERTA","BORRADOR — VALOR SUGERIDO DIAN"),IF(W162&lt;&gt;"","ACEPTADO ⚠ VER ALERTA","ACEPTADO"))))))))</f>
        <v/>
      </c>
      <c r="R162" s="218" t="n"/>
      <c r="S162" s="58">
        <f>IF(A162="","",IFERROR(--ISNUMBER(SEARCH("R28",G162)),0)+IFERROR(--ISNUMBER(SEARCH("R29",G162)),0)+IFERROR(--ISNUMBER(SEARCH("R30",G162)),0)+IFERROR(--ISNUMBER(SEARCH("R31",G162)),0)+IFERROR(--ISNUMBER(SEARCH("R32",G162)),0)+IFERROR(--ISNUMBER(SEARCH("R33",G162)),0)+IFERROR(--ISNUMBER(SEARCH("R34",G162)),0)+IFERROR(--ISNUMBER(SEARCH("R35",G162)),0)+IFERROR(--ISNUMBER(SEARCH("R36",G162)),0)+IFERROR(--ISNUMBER(SEARCH("R37",G162)),0)+IFERROR(--ISNUMBER(SEARCH("R38",G162)),0)+IFERROR(--ISNUMBER(SEARCH("R39",G162)),0)+IFERROR(--ISNUMBER(SEARCH("R40",G162)),0)+IFERROR(--ISNUMBER(SEARCH("R41",G162)),0)+IFERROR(--ISNUMBER(SEARCH("R42",G162)),0)+IFERROR(--ISNUMBER(SEARCH("R43",G162)),0)+IFERROR(--ISNUMBER(SEARCH("R44",G162)),0)+IFERROR(--ISNUMBER(SEARCH("R45",G162)),0)+IFERROR(--ISNUMBER(SEARCH("R46",G162)),0)+IFERROR(--ISNUMBER(SEARCH("R47",G162)),0)+IFERROR(--ISNUMBER(SEARCH("R48",G162)),0)+IFERROR(--ISNUMBER(SEARCH("R49",G162)),0)+IFERROR(--ISNUMBER(SEARCH("R50",G162)),0)+IFERROR(--ISNUMBER(SEARCH("R51",G162)),0)+IFERROR(--ISNUMBER(SEARCH("R52",G162)),0)+IFERROR(--ISNUMBER(SEARCH("R53",G162)),0)+IFERROR(--ISNUMBER(SEARCH("R54",G162)),0)+IFERROR(--ISNUMBER(SEARCH("R55",G162)),0)+IFERROR(--ISNUMBER(SEARCH("R56",G162)),0)+IFERROR(--ISNUMBER(SEARCH("R57",G162)),0)+IFERROR(--ISNUMBER(SEARCH("R58",G162)),0)+IFERROR(--ISNUMBER(SEARCH("R59",G162)),0)+IFERROR(--ISNUMBER(SEARCH("R60",G162)),0)+IFERROR(--ISNUMBER(SEARCH("R61",G162)),0)+IFERROR(--ISNUMBER(SEARCH("R62",G162)),0)+IFERROR(--ISNUMBER(SEARCH("R63",G162)),0)+IFERROR(--ISNUMBER(SEARCH("R64",G162)),0)+IFERROR(--ISNUMBER(SEARCH("R65",G162)),0)+IFERROR(--ISNUMBER(SEARCH("R66",G162)),0)+IFERROR(--ISNUMBER(SEARCH("R67",G162)),0)+IFERROR(--ISNUMBER(SEARCH("R68",G162)),0)+IFERROR(--ISNUMBER(SEARCH("R69",G162)),0)+IFERROR(--ISNUMBER(SEARCH("R70",G162)),0)+IFERROR(--ISNUMBER(SEARCH("R71",G162)),0)+IFERROR(--ISNUMBER(SEARCH("R72",G162)),0)+IFERROR(--ISNUMBER(SEARCH("R73",G162)),0)+IFERROR(--ISNUMBER(SEARCH("R74",G162)),0)+IFERROR(--ISNUMBER(SEARCH("R75",G162)),0)+IFERROR(--ISNUMBER(SEARCH("R76",G162)),0)+IFERROR(--ISNUMBER(SEARCH("R77",G162)),0)+IFERROR(--ISNUMBER(SEARCH("R78",G162)),0)+IFERROR(--ISNUMBER(SEARCH("R79",G162)),0)+IFERROR(--ISNUMBER(SEARCH("R80",G162)),0)+IFERROR(--ISNUMBER(SEARCH("R81",G162)),0)+IFERROR(--ISNUMBER(SEARCH("R82",G162)),0)+IFERROR(--ISNUMBER(SEARCH("R83",G162)),0)+IFERROR(--ISNUMBER(SEARCH("R84",G162)),0)+IFERROR(--ISNUMBER(SEARCH("R85",G162)),0)+IFERROR(--ISNUMBER(SEARCH("R86",G162)),0)+IFERROR(--ISNUMBER(SEARCH("R87",G162)),0)+IFERROR(--ISNUMBER(SEARCH("R88",G162)),0)+IFERROR(--ISNUMBER(SEARCH("R89",G162)),0)+IFERROR(--ISNUMBER(SEARCH("R90",G162)),0)+IFERROR(--ISNUMBER(SEARCH("R91",G162)),0)+IFERROR(--ISNUMBER(SEARCH("R92",G162)),0)+IFERROR(--ISNUMBER(SEARCH("R93",G162)),0)+IFERROR(--ISNUMBER(SEARCH("R94",G162)),0)+IFERROR(--ISNUMBER(SEARCH("R95",G162)),0)+IFERROR(--ISNUMBER(SEARCH("R96",G162)),0)+IFERROR(--ISNUMBER(SEARCH("R97",G162)),0)+IFERROR(--ISNUMBER(SEARCH("R98",G162)),0)+IFERROR(--ISNUMBER(SEARCH("R99",G162)),0)+IFERROR(--ISNUMBER(SEARCH("R100",G162)),0)+IFERROR(--ISNUMBER(SEARCH("R101",G162)),0)+IFERROR(--ISNUMBER(SEARCH("R102",G162)),0)+IFERROR(--ISNUMBER(SEARCH("R103",G162)),0)+IFERROR(--ISNUMBER(SEARCH("R104",G162)),0)+IFERROR(--ISNUMBER(SEARCH("R105",G162)),0)+IFERROR(--ISNUMBER(SEARCH("R106",G162)),0)+IFERROR(--ISNUMBER(SEARCH("R107",G162)),0)+IFERROR(--ISNUMBER(SEARCH("R108",G162)),0)+IFERROR(--ISNUMBER(SEARCH("R109",G162)),0)+IFERROR(--ISNUMBER(SEARCH("R110",G162)),0)+IFERROR(--ISNUMBER(SEARCH("R111",G162)),0)+IFERROR(--ISNUMBER(SEARCH("R112",G162)),0)+IFERROR(--ISNUMBER(SEARCH("R113",G162)),0)+IFERROR(--ISNUMBER(SEARCH("R114",G162)),0)+IFERROR(--ISNUMBER(SEARCH("R115",G162)),0)+IFERROR(--ISNUMBER(SEARCH("R116",G162)),0)+IFERROR(--ISNUMBER(SEARCH("R117",G162)),0)+IFERROR(--ISNUMBER(SEARCH("R118",G162)),0)+IFERROR(--ISNUMBER(SEARCH("R119",G162)),0)+IFERROR(--ISNUMBER(SEARCH("R120",G162)),0)+IFERROR(--ISNUMBER(SEARCH("R121",G162)),0)+IFERROR(--ISNUMBER(SEARCH("R122",G162)),0)+IFERROR(--ISNUMBER(SEARCH("R123",G162)),0)+IFERROR(--ISNUMBER(SEARCH("R124",G162)),0)+IFERROR(--ISNUMBER(SEARCH("R125",G162)),0)+IFERROR(--ISNUMBER(SEARCH("R126",G162)),0)+IFERROR(--ISNUMBER(SEARCH("R127",G162)),0)+IFERROR(--ISNUMBER(SEARCH("R128",G162)),0)+IFERROR(--ISNUMBER(SEARCH("R129",G162)),0)+IFERROR(--ISNUMBER(SEARCH("R130",G162)),0)+IFERROR(--ISNUMBER(SEARCH("R131",G162)),0)+IFERROR(--ISNUMBER(SEARCH("R132",G162)),0)+IFERROR(--ISNUMBER(SEARCH("R133",G162)),0)+IFERROR(--ISNUMBER(SEARCH("R134",G162)),0)+IFERROR(--ISNUMBER(SEARCH("R135",G162)),0)+IFERROR(--ISNUMBER(SEARCH("R136",G162)),0)+IFERROR(--ISNUMBER(SEARCH("R137",G162)),0)+IFERROR(--ISNUMBER(SEARCH("R138",G162)),0)+IFERROR(--ISNUMBER(SEARCH("R139",G162)),0)+IFERROR(--ISNUMBER(SEARCH("R140",G162)),0)+IFERROR(--ISNUMBER(SEARCH("R141",G162)),0))</f>
        <v/>
      </c>
      <c r="T162" s="58">
        <f>IF(A162="","",IFERROR(--ISNUMBER(SEARCH("R28",G162)),0)+IFERROR(--ISNUMBER(SEARCH("R29",G162)),0)+IFERROR(--ISNUMBER(SEARCH("R30",G162)),0)+IFERROR(--ISNUMBER(SEARCH("R32",G162)),0)+IFERROR(--ISNUMBER(SEARCH("R33",G162)),0)+IFERROR(--ISNUMBER(SEARCH("R35",G162)),0)+IFERROR(--ISNUMBER(SEARCH("R36",G162)),0)+IFERROR(--ISNUMBER(SEARCH("R38",G162)),0)+IFERROR(--ISNUMBER(SEARCH("R39",G162)),0)+IFERROR(--ISNUMBER(SEARCH("R43",G162)),0)+IFERROR(--ISNUMBER(SEARCH("R44",G162)),0)+IFERROR(--ISNUMBER(SEARCH("R45",G162)),0)+IFERROR(--ISNUMBER(SEARCH("R47",G162)),0)+IFERROR(--ISNUMBER(SEARCH("R48",G162)),0)+IFERROR(--ISNUMBER(SEARCH("R50",G162)),0)+IFERROR(--ISNUMBER(SEARCH("R51",G162)),0)+IFERROR(--ISNUMBER(SEARCH("R56",G162)),0)+IFERROR(--ISNUMBER(SEARCH("R58",G162)),0)+IFERROR(--ISNUMBER(SEARCH("R59",G162)),0)+IFERROR(--ISNUMBER(SEARCH("R60",G162)),0)+IFERROR(--ISNUMBER(SEARCH("R62",G162)),0)+IFERROR(--ISNUMBER(SEARCH("R63",G162)),0)+IFERROR(--ISNUMBER(SEARCH("R64",G162)),0)+IFERROR(--ISNUMBER(SEARCH("R66",G162)),0)+IFERROR(--ISNUMBER(SEARCH("R67",G162)),0)+IFERROR(--ISNUMBER(SEARCH("R72",G162)),0)+IFERROR(--ISNUMBER(SEARCH("R74",G162)),0)+IFERROR(--ISNUMBER(SEARCH("R75",G162)),0)+IFERROR(--ISNUMBER(SEARCH("R76",G162)),0)+IFERROR(--ISNUMBER(SEARCH("R77",G162)),0)+IFERROR(--ISNUMBER(SEARCH("R79",G162)),0)+IFERROR(--ISNUMBER(SEARCH("R80",G162)),0)+IFERROR(--ISNUMBER(SEARCH("R81",G162)),0)+IFERROR(--ISNUMBER(SEARCH("R83",G162)),0)+IFERROR(--ISNUMBER(SEARCH("R84",G162)),0)+IFERROR(--ISNUMBER(SEARCH("R89",G162)),0)+IFERROR(--ISNUMBER(SEARCH("R94",G162)),0)+IFERROR(--ISNUMBER(SEARCH("R95",G162)),0)+IFERROR(--ISNUMBER(SEARCH("R96",G162)),0)+IFERROR(--ISNUMBER(SEARCH("R98",G162)),0)+IFERROR(--ISNUMBER(SEARCH("R99",G162)),0)+IFERROR(--ISNUMBER(SEARCH("R100",G162)),0)+IFERROR(--ISNUMBER(SEARCH("R104",G162)),0)+IFERROR(--ISNUMBER(SEARCH("R105",G162)),0)+IFERROR(--ISNUMBER(SEARCH("R107",G162)),0)+IFERROR(--ISNUMBER(SEARCH("R108",G162)),0)+IFERROR(--ISNUMBER(SEARCH("R109",G162)),0)+IFERROR(--ISNUMBER(SEARCH("R110",G162)),0)+IFERROR(--ISNUMBER(SEARCH("R112",G162)),0)+IFERROR(--ISNUMBER(SEARCH("R113",G162)),0)+IFERROR(--ISNUMBER(SEARCH("R114",G162)),0)+IFERROR(--ISNUMBER(SEARCH("R118",G162)),0)+IFERROR(--ISNUMBER(SEARCH("R119",G162)),0)+IFERROR(--ISNUMBER(SEARCH("R120",G162)),0)+IFERROR(--ISNUMBER(SEARCH("R122",G162)),0)+IFERROR(--ISNUMBER(SEARCH("R123",G162)),0)+IFERROR(--ISNUMBER(SEARCH("R124",G162)),0)+IFERROR(--ISNUMBER(SEARCH("R128",G162)),0)+IFERROR(--ISNUMBER(SEARCH("R130",G162)),0)+IFERROR(--ISNUMBER(SEARCH("R131",G162)),0)+IFERROR(--ISNUMBER(SEARCH("R132",G162)),0)+IFERROR(--ISNUMBER(SEARCH("R135",G162)),0)+IFERROR(--ISNUMBER(SEARCH("R138",G162)),0)+IFERROR(--ISNUMBER(SEARCH("R141",G162)),0))</f>
        <v/>
      </c>
      <c r="U162" s="58">
        <f>IF(A162="","",IFERROR(--ISNUMBER(SEARCH("R28",G162))*28,0)+IFERROR(--ISNUMBER(SEARCH("R29",G162))*29,0)+IFERROR(--ISNUMBER(SEARCH("R30",G162))*30,0)+IFERROR(--ISNUMBER(SEARCH("R31",G162))*31,0)+IFERROR(--ISNUMBER(SEARCH("R32",G162))*32,0)+IFERROR(--ISNUMBER(SEARCH("R33",G162))*33,0)+IFERROR(--ISNUMBER(SEARCH("R34",G162))*34,0)+IFERROR(--ISNUMBER(SEARCH("R35",G162))*35,0)+IFERROR(--ISNUMBER(SEARCH("R36",G162))*36,0)+IFERROR(--ISNUMBER(SEARCH("R37",G162))*37,0)+IFERROR(--ISNUMBER(SEARCH("R38",G162))*38,0)+IFERROR(--ISNUMBER(SEARCH("R39",G162))*39,0)+IFERROR(--ISNUMBER(SEARCH("R40",G162))*40,0)+IFERROR(--ISNUMBER(SEARCH("R41",G162))*41,0)+IFERROR(--ISNUMBER(SEARCH("R42",G162))*42,0)+IFERROR(--ISNUMBER(SEARCH("R43",G162))*43,0)+IFERROR(--ISNUMBER(SEARCH("R44",G162))*44,0)+IFERROR(--ISNUMBER(SEARCH("R45",G162))*45,0)+IFERROR(--ISNUMBER(SEARCH("R46",G162))*46,0)+IFERROR(--ISNUMBER(SEARCH("R47",G162))*47,0)+IFERROR(--ISNUMBER(SEARCH("R48",G162))*48,0)+IFERROR(--ISNUMBER(SEARCH("R49",G162))*49,0)+IFERROR(--ISNUMBER(SEARCH("R50",G162))*50,0)+IFERROR(--ISNUMBER(SEARCH("R51",G162))*51,0)+IFERROR(--ISNUMBER(SEARCH("R52",G162))*52,0)+IFERROR(--ISNUMBER(SEARCH("R53",G162))*53,0)+IFERROR(--ISNUMBER(SEARCH("R54",G162))*54,0)+IFERROR(--ISNUMBER(SEARCH("R55",G162))*55,0)+IFERROR(--ISNUMBER(SEARCH("R56",G162))*56,0)+IFERROR(--ISNUMBER(SEARCH("R57",G162))*57,0)+IFERROR(--ISNUMBER(SEARCH("R58",G162))*58,0)+IFERROR(--ISNUMBER(SEARCH("R59",G162))*59,0)+IFERROR(--ISNUMBER(SEARCH("R60",G162))*60,0)+IFERROR(--ISNUMBER(SEARCH("R61",G162))*61,0)+IFERROR(--ISNUMBER(SEARCH("R62",G162))*62,0)+IFERROR(--ISNUMBER(SEARCH("R63",G162))*63,0)+IFERROR(--ISNUMBER(SEARCH("R64",G162))*64,0)+IFERROR(--ISNUMBER(SEARCH("R65",G162))*65,0)+IFERROR(--ISNUMBER(SEARCH("R66",G162))*66,0)+IFERROR(--ISNUMBER(SEARCH("R67",G162))*67,0)+IFERROR(--ISNUMBER(SEARCH("R68",G162))*68,0)+IFERROR(--ISNUMBER(SEARCH("R69",G162))*69,0)+IFERROR(--ISNUMBER(SEARCH("R70",G162))*70,0)+IFERROR(--ISNUMBER(SEARCH("R71",G162))*71,0)+IFERROR(--ISNUMBER(SEARCH("R72",G162))*72,0)+IFERROR(--ISNUMBER(SEARCH("R73",G162))*73,0)+IFERROR(--ISNUMBER(SEARCH("R74",G162))*74,0)+IFERROR(--ISNUMBER(SEARCH("R75",G162))*75,0)+IFERROR(--ISNUMBER(SEARCH("R76",G162))*76,0)+IFERROR(--ISNUMBER(SEARCH("R77",G162))*77,0)+IFERROR(--ISNUMBER(SEARCH("R78",G162))*78,0)+IFERROR(--ISNUMBER(SEARCH("R79",G162))*79,0)+IFERROR(--ISNUMBER(SEARCH("R80",G162))*80,0)+IFERROR(--ISNUMBER(SEARCH("R81",G162))*81,0)+IFERROR(--ISNUMBER(SEARCH("R82",G162))*82,0)+IFERROR(--ISNUMBER(SEARCH("R83",G162))*83,0)+IFERROR(--ISNUMBER(SEARCH("R84",G162))*84,0)+IFERROR(--ISNUMBER(SEARCH("R85",G162))*85,0)+IFERROR(--ISNUMBER(SEARCH("R86",G162))*86,0)+IFERROR(--ISNUMBER(SEARCH("R87",G162))*87,0)+IFERROR(--ISNUMBER(SEARCH("R88",G162))*88,0)+IFERROR(--ISNUMBER(SEARCH("R89",G162))*89,0)+IFERROR(--ISNUMBER(SEARCH("R90",G162))*90,0)+IFERROR(--ISNUMBER(SEARCH("R91",G162))*91,0)+IFERROR(--ISNUMBER(SEARCH("R92",G162))*92,0)+IFERROR(--ISNUMBER(SEARCH("R93",G162))*93,0)+IFERROR(--ISNUMBER(SEARCH("R94",G162))*94,0)+IFERROR(--ISNUMBER(SEARCH("R95",G162))*95,0)+IFERROR(--ISNUMBER(SEARCH("R96",G162))*96,0)+IFERROR(--ISNUMBER(SEARCH("R97",G162))*97,0)+IFERROR(--ISNUMBER(SEARCH("R98",G162))*98,0)+IFERROR(--ISNUMBER(SEARCH("R99",G162))*99,0)+IFERROR(--ISNUMBER(SEARCH("R100",G162))*100,0)+IFERROR(--ISNUMBER(SEARCH("R101",G162))*101,0)+IFERROR(--ISNUMBER(SEARCH("R102",G162))*102,0)+IFERROR(--ISNUMBER(SEARCH("R103",G162))*103,0)+IFERROR(--ISNUMBER(SEARCH("R104",G162))*104,0)+IFERROR(--ISNUMBER(SEARCH("R105",G162))*105,0)+IFERROR(--ISNUMBER(SEARCH("R106",G162))*106,0)+IFERROR(--ISNUMBER(SEARCH("R107",G162))*107,0)+IFERROR(--ISNUMBER(SEARCH("R108",G162))*108,0)+IFERROR(--ISNUMBER(SEARCH("R109",G162))*109,0)+IFERROR(--ISNUMBER(SEARCH("R110",G162))*110,0)+IFERROR(--ISNUMBER(SEARCH("R111",G162))*111,0)+IFERROR(--ISNUMBER(SEARCH("R112",G162))*112,0)+IFERROR(--ISNUMBER(SEARCH("R113",G162))*113,0)+IFERROR(--ISNUMBER(SEARCH("R114",G162))*114,0)+IFERROR(--ISNUMBER(SEARCH("R115",G162))*115,0)+IFERROR(--ISNUMBER(SEARCH("R116",G162))*116,0)+IFERROR(--ISNUMBER(SEARCH("R117",G162))*117,0)+IFERROR(--ISNUMBER(SEARCH("R118",G162))*118,0)+IFERROR(--ISNUMBER(SEARCH("R119",G162))*119,0)+IFERROR(--ISNUMBER(SEARCH("R120",G162))*120,0)+IFERROR(--ISNUMBER(SEARCH("R121",G162))*121,0)+IFERROR(--ISNUMBER(SEARCH("R122",G162))*122,0)+IFERROR(--ISNUMBER(SEARCH("R123",G162))*123,0)+IFERROR(--ISNUMBER(SEARCH("R124",G162))*124,0)+IFERROR(--ISNUMBER(SEARCH("R125",G162))*125,0)+IFERROR(--ISNUMBER(SEARCH("R126",G162))*126,0)+IFERROR(--ISNUMBER(SEARCH("R127",G162))*127,0)+IFERROR(--ISNUMBER(SEARCH("R128",G162))*128,0)+IFERROR(--ISNUMBER(SEARCH("R129",G162))*129,0)+IFERROR(--ISNUMBER(SEARCH("R130",G162))*130,0)+IFERROR(--ISNUMBER(SEARCH("R131",G162))*131,0)+IFERROR(--ISNUMBER(SEARCH("R132",G162))*132,0)+IFERROR(--ISNUMBER(SEARCH("R133",G162))*133,0)+IFERROR(--ISNUMBER(SEARCH("R134",G162))*134,0)+IFERROR(--ISNUMBER(SEARCH("R135",G162))*135,0)+IFERROR(--ISNUMBER(SEARCH("R136",G162))*136,0)+IFERROR(--ISNUMBER(SEARCH("R137",G162))*137,0)+IFERROR(--ISNUMBER(SEARCH("R138",G162))*138,0)+IFERROR(--ISNUMBER(SEARCH("R139",G162))*139,0)+IFERROR(--ISNUMBER(SEARCH("R140",G162))*140,0)+IFERROR(--ISNUMBER(SEARCH("R141",G162))*141,0))</f>
        <v/>
      </c>
      <c r="V162" s="59">
        <f>IF(A162="","",IF(K162&lt;&gt;"",K162,J162))</f>
        <v/>
      </c>
      <c r="W162" s="59">
        <f>IF(A162="","",IF(AND(V162=29,O162&lt;&gt;"",COUNTIFS($V$6:$V$505,29,$F$6:$F$505,F162,$C$6:$C$505,C162,$O$6:$O$505,"&lt;&gt;")&gt;1),IF(COUNTIFS($V$6:V162,29,$F$6:F162,F162,$C$6:C162,C162,$O$6:O162,"&lt;&gt;")=1,"Esta es la fila que se debe CONSERVAR (aparición 1 de "&amp;COUNTIFS($V$6:$V$505,29,$F$6:$F$505,F162,$C$6:$C$505,C162,$O$6:$O$505,"&lt;&gt;")&amp;" con el mismo tercero y valor, casilla 29). Si hay más filas iguales, bórreles el valor a ELLAS, no a esta.","DUPLICADO — ya existe otra fila con el mismo tercero y valor para casilla 29 (aparición "&amp;COUNTIFS($V$6:V162,29,$F$6:F162,F162,$C$6:C162,C162,$O$6:O162,"&lt;&gt;")&amp;" de "&amp;COUNTIFS($V$6:$V$505,29,$F$6:$F$505,F162,$C$6:$C$505,C162,$O$6:$O$505,"&lt;&gt;")&amp;"). Para resolverlo: seleccione la celda O"&amp;ROW()&amp;" (columna Valor a declarar de ESTA fila) y presione Supr."),""))</f>
        <v/>
      </c>
      <c r="X162" s="463">
        <f>IF(A162="","",F162)</f>
        <v/>
      </c>
      <c r="Y162" s="463">
        <f>IF(A162="","",SUMIF(Entrada_Manual!$I$88:$I$187,A162,Entrada_Manual!$F$88:$F$187))</f>
        <v/>
      </c>
      <c r="Z162" s="463">
        <f>IF(A162="","",X162-Y162)</f>
        <v/>
      </c>
      <c r="AA162">
        <f>IF(A162="","",SUMPRODUCT((Entrada_Manual!$I$88:$I$187=A162)*1))</f>
        <v/>
      </c>
      <c r="AB162">
        <f>IF(A162="","",IF(S162&lt;=1,"",IF(AA162=0,"PENDIENTE — SIN ASIGNAR",IF(Z162=0,"RESUELTO","PARCIAL — DIFERENCIA "&amp;TEXT(Z162,"#,##0")))))</f>
        <v/>
      </c>
    </row>
    <row r="163" ht="14.25" customHeight="1" s="235">
      <c r="A163" s="47">
        <f>IF(Exogena_RAW!E172&lt;&gt;"",ROW()-5,"")</f>
        <v/>
      </c>
      <c r="B163" s="48">
        <f>IF(A163="","",172)</f>
        <v/>
      </c>
      <c r="C163" s="48">
        <f>IF(A163="","",IFERROR(Exogena_RAW!A172,""))</f>
        <v/>
      </c>
      <c r="D163" s="48">
        <f>IF(A163="","",IFERROR(Exogena_RAW!B172,""))</f>
        <v/>
      </c>
      <c r="E163" s="48">
        <f>IF(A163="","",Exogena_RAW!E172)</f>
        <v/>
      </c>
      <c r="F163" s="461">
        <f>IF(A163="","",Exogena_RAW!F172)</f>
        <v/>
      </c>
      <c r="G163" s="48">
        <f>IF(A163="","",IFERROR(Exogena_RAW!G172,""))</f>
        <v/>
      </c>
      <c r="H163" s="48">
        <f>IF(A163="","",IFERROR(Exogena_RAW!H172,""))</f>
        <v/>
      </c>
      <c r="I163" s="48">
        <f>IF(A163="","",IFERROR(IF(S163&gt;1,"VARIAS CASILLAS",IF(S163=1,IF(T163=1,"PROPUESTA DE CASILLA","REVISIÓN: CASILLA NO DIRECTA"),IF(OR(ISNUMBER(SEARCH("TOPE",UPPER(E163))),ISNUMBER(SEARCH("TOPE",UPPER(G163)))),"SOLO CONTROL",IF(ISNUMBER(SEARCH("RETEN",UPPER(E163))),"RETENCIÓN","REVISAR")))),"REVISAR"))</f>
        <v/>
      </c>
      <c r="J163" s="48">
        <f>IF(A163="","",IF(ISNUMBER(SEARCH("ingreso laboral promedio de los últimos seis meses",E163)),"",IFERROR(IF(AND(S163=1,T163=1),U163,""),"")))</f>
        <v/>
      </c>
      <c r="K163" s="216" t="n"/>
      <c r="L163" s="48">
        <f>IF(A163="","",IFERROR(IF(K163&lt;&gt;"","Casilla elegida por usuario",IF(S163&gt;1,"Varias casillas — elegir en K",IF(J163&lt;&gt;"","Sugerencia directa",IF(S163=1,"No trasladar directo — revisar",IF(OR(ISNUMBER(SEARCH("TOPE",UPPER(E163))),ISNUMBER(SEARCH("TOPE",UPPER(G163)))),"Solo control","Revisar manualmente"))))),"Revisar manualmente"))</f>
        <v/>
      </c>
      <c r="M163" s="461">
        <f>IF(A163="","",IF(IF(K163&lt;&gt;"",K163,J163)="",0,IF(COUNTIFS(Reglas!$I$5:$I$118,IF(K163&lt;&gt;"",K163,J163),Reglas!$J$5:$J$118,"Sí")=1,F163,0)))</f>
        <v/>
      </c>
      <c r="N163" s="56" t="n"/>
      <c r="O163" s="462">
        <f>IF(A163="","",IF(M163=0,"",M163))</f>
        <v/>
      </c>
      <c r="P163" s="461">
        <f>IF(A163="","",IF(O163="",0,IF(ISNUMBER(O163),O163,0)))</f>
        <v/>
      </c>
      <c r="Q163" s="48">
        <f>IF(A163="","",IF(Exogena_RAW!$C$4="","BLOQUEADO: FALTA AÑO",IF(Exogena_RAW!$K$10&lt;&gt;Reglas!$B$5,"BLOQUEADO: AÑO",IF(IF(K163&lt;&gt;"",K163,J163)="",IF(S163&gt;1,"REQUIERE ASIGNACIÓN MANUAL (VARIAS CASILLAS)","INFORMATIVO (sin casilla — no se declara)"),IF(COUNTIFS(Reglas!$I$5:$I$118,IF(K163&lt;&gt;"",K163,J163),Reglas!$J$5:$J$118,"Sí")=0,"BLOQUEADO: CASILLA NO DIRECTA",IF(O163="","EXCLUIDO (valor borrado por el usuario)",IF(_xlfn.ISFORMULA(O163),IF(W163&lt;&gt;"","BORRADOR — VALOR SUGERIDO DIAN ⚠ VER ALERTA","BORRADOR — VALOR SUGERIDO DIAN"),IF(W163&lt;&gt;"","ACEPTADO ⚠ VER ALERTA","ACEPTADO"))))))))</f>
        <v/>
      </c>
      <c r="R163" s="218" t="n"/>
      <c r="S163" s="58">
        <f>IF(A163="","",IFERROR(--ISNUMBER(SEARCH("R28",G163)),0)+IFERROR(--ISNUMBER(SEARCH("R29",G163)),0)+IFERROR(--ISNUMBER(SEARCH("R30",G163)),0)+IFERROR(--ISNUMBER(SEARCH("R31",G163)),0)+IFERROR(--ISNUMBER(SEARCH("R32",G163)),0)+IFERROR(--ISNUMBER(SEARCH("R33",G163)),0)+IFERROR(--ISNUMBER(SEARCH("R34",G163)),0)+IFERROR(--ISNUMBER(SEARCH("R35",G163)),0)+IFERROR(--ISNUMBER(SEARCH("R36",G163)),0)+IFERROR(--ISNUMBER(SEARCH("R37",G163)),0)+IFERROR(--ISNUMBER(SEARCH("R38",G163)),0)+IFERROR(--ISNUMBER(SEARCH("R39",G163)),0)+IFERROR(--ISNUMBER(SEARCH("R40",G163)),0)+IFERROR(--ISNUMBER(SEARCH("R41",G163)),0)+IFERROR(--ISNUMBER(SEARCH("R42",G163)),0)+IFERROR(--ISNUMBER(SEARCH("R43",G163)),0)+IFERROR(--ISNUMBER(SEARCH("R44",G163)),0)+IFERROR(--ISNUMBER(SEARCH("R45",G163)),0)+IFERROR(--ISNUMBER(SEARCH("R46",G163)),0)+IFERROR(--ISNUMBER(SEARCH("R47",G163)),0)+IFERROR(--ISNUMBER(SEARCH("R48",G163)),0)+IFERROR(--ISNUMBER(SEARCH("R49",G163)),0)+IFERROR(--ISNUMBER(SEARCH("R50",G163)),0)+IFERROR(--ISNUMBER(SEARCH("R51",G163)),0)+IFERROR(--ISNUMBER(SEARCH("R52",G163)),0)+IFERROR(--ISNUMBER(SEARCH("R53",G163)),0)+IFERROR(--ISNUMBER(SEARCH("R54",G163)),0)+IFERROR(--ISNUMBER(SEARCH("R55",G163)),0)+IFERROR(--ISNUMBER(SEARCH("R56",G163)),0)+IFERROR(--ISNUMBER(SEARCH("R57",G163)),0)+IFERROR(--ISNUMBER(SEARCH("R58",G163)),0)+IFERROR(--ISNUMBER(SEARCH("R59",G163)),0)+IFERROR(--ISNUMBER(SEARCH("R60",G163)),0)+IFERROR(--ISNUMBER(SEARCH("R61",G163)),0)+IFERROR(--ISNUMBER(SEARCH("R62",G163)),0)+IFERROR(--ISNUMBER(SEARCH("R63",G163)),0)+IFERROR(--ISNUMBER(SEARCH("R64",G163)),0)+IFERROR(--ISNUMBER(SEARCH("R65",G163)),0)+IFERROR(--ISNUMBER(SEARCH("R66",G163)),0)+IFERROR(--ISNUMBER(SEARCH("R67",G163)),0)+IFERROR(--ISNUMBER(SEARCH("R68",G163)),0)+IFERROR(--ISNUMBER(SEARCH("R69",G163)),0)+IFERROR(--ISNUMBER(SEARCH("R70",G163)),0)+IFERROR(--ISNUMBER(SEARCH("R71",G163)),0)+IFERROR(--ISNUMBER(SEARCH("R72",G163)),0)+IFERROR(--ISNUMBER(SEARCH("R73",G163)),0)+IFERROR(--ISNUMBER(SEARCH("R74",G163)),0)+IFERROR(--ISNUMBER(SEARCH("R75",G163)),0)+IFERROR(--ISNUMBER(SEARCH("R76",G163)),0)+IFERROR(--ISNUMBER(SEARCH("R77",G163)),0)+IFERROR(--ISNUMBER(SEARCH("R78",G163)),0)+IFERROR(--ISNUMBER(SEARCH("R79",G163)),0)+IFERROR(--ISNUMBER(SEARCH("R80",G163)),0)+IFERROR(--ISNUMBER(SEARCH("R81",G163)),0)+IFERROR(--ISNUMBER(SEARCH("R82",G163)),0)+IFERROR(--ISNUMBER(SEARCH("R83",G163)),0)+IFERROR(--ISNUMBER(SEARCH("R84",G163)),0)+IFERROR(--ISNUMBER(SEARCH("R85",G163)),0)+IFERROR(--ISNUMBER(SEARCH("R86",G163)),0)+IFERROR(--ISNUMBER(SEARCH("R87",G163)),0)+IFERROR(--ISNUMBER(SEARCH("R88",G163)),0)+IFERROR(--ISNUMBER(SEARCH("R89",G163)),0)+IFERROR(--ISNUMBER(SEARCH("R90",G163)),0)+IFERROR(--ISNUMBER(SEARCH("R91",G163)),0)+IFERROR(--ISNUMBER(SEARCH("R92",G163)),0)+IFERROR(--ISNUMBER(SEARCH("R93",G163)),0)+IFERROR(--ISNUMBER(SEARCH("R94",G163)),0)+IFERROR(--ISNUMBER(SEARCH("R95",G163)),0)+IFERROR(--ISNUMBER(SEARCH("R96",G163)),0)+IFERROR(--ISNUMBER(SEARCH("R97",G163)),0)+IFERROR(--ISNUMBER(SEARCH("R98",G163)),0)+IFERROR(--ISNUMBER(SEARCH("R99",G163)),0)+IFERROR(--ISNUMBER(SEARCH("R100",G163)),0)+IFERROR(--ISNUMBER(SEARCH("R101",G163)),0)+IFERROR(--ISNUMBER(SEARCH("R102",G163)),0)+IFERROR(--ISNUMBER(SEARCH("R103",G163)),0)+IFERROR(--ISNUMBER(SEARCH("R104",G163)),0)+IFERROR(--ISNUMBER(SEARCH("R105",G163)),0)+IFERROR(--ISNUMBER(SEARCH("R106",G163)),0)+IFERROR(--ISNUMBER(SEARCH("R107",G163)),0)+IFERROR(--ISNUMBER(SEARCH("R108",G163)),0)+IFERROR(--ISNUMBER(SEARCH("R109",G163)),0)+IFERROR(--ISNUMBER(SEARCH("R110",G163)),0)+IFERROR(--ISNUMBER(SEARCH("R111",G163)),0)+IFERROR(--ISNUMBER(SEARCH("R112",G163)),0)+IFERROR(--ISNUMBER(SEARCH("R113",G163)),0)+IFERROR(--ISNUMBER(SEARCH("R114",G163)),0)+IFERROR(--ISNUMBER(SEARCH("R115",G163)),0)+IFERROR(--ISNUMBER(SEARCH("R116",G163)),0)+IFERROR(--ISNUMBER(SEARCH("R117",G163)),0)+IFERROR(--ISNUMBER(SEARCH("R118",G163)),0)+IFERROR(--ISNUMBER(SEARCH("R119",G163)),0)+IFERROR(--ISNUMBER(SEARCH("R120",G163)),0)+IFERROR(--ISNUMBER(SEARCH("R121",G163)),0)+IFERROR(--ISNUMBER(SEARCH("R122",G163)),0)+IFERROR(--ISNUMBER(SEARCH("R123",G163)),0)+IFERROR(--ISNUMBER(SEARCH("R124",G163)),0)+IFERROR(--ISNUMBER(SEARCH("R125",G163)),0)+IFERROR(--ISNUMBER(SEARCH("R126",G163)),0)+IFERROR(--ISNUMBER(SEARCH("R127",G163)),0)+IFERROR(--ISNUMBER(SEARCH("R128",G163)),0)+IFERROR(--ISNUMBER(SEARCH("R129",G163)),0)+IFERROR(--ISNUMBER(SEARCH("R130",G163)),0)+IFERROR(--ISNUMBER(SEARCH("R131",G163)),0)+IFERROR(--ISNUMBER(SEARCH("R132",G163)),0)+IFERROR(--ISNUMBER(SEARCH("R133",G163)),0)+IFERROR(--ISNUMBER(SEARCH("R134",G163)),0)+IFERROR(--ISNUMBER(SEARCH("R135",G163)),0)+IFERROR(--ISNUMBER(SEARCH("R136",G163)),0)+IFERROR(--ISNUMBER(SEARCH("R137",G163)),0)+IFERROR(--ISNUMBER(SEARCH("R138",G163)),0)+IFERROR(--ISNUMBER(SEARCH("R139",G163)),0)+IFERROR(--ISNUMBER(SEARCH("R140",G163)),0)+IFERROR(--ISNUMBER(SEARCH("R141",G163)),0))</f>
        <v/>
      </c>
      <c r="T163" s="58">
        <f>IF(A163="","",IFERROR(--ISNUMBER(SEARCH("R28",G163)),0)+IFERROR(--ISNUMBER(SEARCH("R29",G163)),0)+IFERROR(--ISNUMBER(SEARCH("R30",G163)),0)+IFERROR(--ISNUMBER(SEARCH("R32",G163)),0)+IFERROR(--ISNUMBER(SEARCH("R33",G163)),0)+IFERROR(--ISNUMBER(SEARCH("R35",G163)),0)+IFERROR(--ISNUMBER(SEARCH("R36",G163)),0)+IFERROR(--ISNUMBER(SEARCH("R38",G163)),0)+IFERROR(--ISNUMBER(SEARCH("R39",G163)),0)+IFERROR(--ISNUMBER(SEARCH("R43",G163)),0)+IFERROR(--ISNUMBER(SEARCH("R44",G163)),0)+IFERROR(--ISNUMBER(SEARCH("R45",G163)),0)+IFERROR(--ISNUMBER(SEARCH("R47",G163)),0)+IFERROR(--ISNUMBER(SEARCH("R48",G163)),0)+IFERROR(--ISNUMBER(SEARCH("R50",G163)),0)+IFERROR(--ISNUMBER(SEARCH("R51",G163)),0)+IFERROR(--ISNUMBER(SEARCH("R56",G163)),0)+IFERROR(--ISNUMBER(SEARCH("R58",G163)),0)+IFERROR(--ISNUMBER(SEARCH("R59",G163)),0)+IFERROR(--ISNUMBER(SEARCH("R60",G163)),0)+IFERROR(--ISNUMBER(SEARCH("R62",G163)),0)+IFERROR(--ISNUMBER(SEARCH("R63",G163)),0)+IFERROR(--ISNUMBER(SEARCH("R64",G163)),0)+IFERROR(--ISNUMBER(SEARCH("R66",G163)),0)+IFERROR(--ISNUMBER(SEARCH("R67",G163)),0)+IFERROR(--ISNUMBER(SEARCH("R72",G163)),0)+IFERROR(--ISNUMBER(SEARCH("R74",G163)),0)+IFERROR(--ISNUMBER(SEARCH("R75",G163)),0)+IFERROR(--ISNUMBER(SEARCH("R76",G163)),0)+IFERROR(--ISNUMBER(SEARCH("R77",G163)),0)+IFERROR(--ISNUMBER(SEARCH("R79",G163)),0)+IFERROR(--ISNUMBER(SEARCH("R80",G163)),0)+IFERROR(--ISNUMBER(SEARCH("R81",G163)),0)+IFERROR(--ISNUMBER(SEARCH("R83",G163)),0)+IFERROR(--ISNUMBER(SEARCH("R84",G163)),0)+IFERROR(--ISNUMBER(SEARCH("R89",G163)),0)+IFERROR(--ISNUMBER(SEARCH("R94",G163)),0)+IFERROR(--ISNUMBER(SEARCH("R95",G163)),0)+IFERROR(--ISNUMBER(SEARCH("R96",G163)),0)+IFERROR(--ISNUMBER(SEARCH("R98",G163)),0)+IFERROR(--ISNUMBER(SEARCH("R99",G163)),0)+IFERROR(--ISNUMBER(SEARCH("R100",G163)),0)+IFERROR(--ISNUMBER(SEARCH("R104",G163)),0)+IFERROR(--ISNUMBER(SEARCH("R105",G163)),0)+IFERROR(--ISNUMBER(SEARCH("R107",G163)),0)+IFERROR(--ISNUMBER(SEARCH("R108",G163)),0)+IFERROR(--ISNUMBER(SEARCH("R109",G163)),0)+IFERROR(--ISNUMBER(SEARCH("R110",G163)),0)+IFERROR(--ISNUMBER(SEARCH("R112",G163)),0)+IFERROR(--ISNUMBER(SEARCH("R113",G163)),0)+IFERROR(--ISNUMBER(SEARCH("R114",G163)),0)+IFERROR(--ISNUMBER(SEARCH("R118",G163)),0)+IFERROR(--ISNUMBER(SEARCH("R119",G163)),0)+IFERROR(--ISNUMBER(SEARCH("R120",G163)),0)+IFERROR(--ISNUMBER(SEARCH("R122",G163)),0)+IFERROR(--ISNUMBER(SEARCH("R123",G163)),0)+IFERROR(--ISNUMBER(SEARCH("R124",G163)),0)+IFERROR(--ISNUMBER(SEARCH("R128",G163)),0)+IFERROR(--ISNUMBER(SEARCH("R130",G163)),0)+IFERROR(--ISNUMBER(SEARCH("R131",G163)),0)+IFERROR(--ISNUMBER(SEARCH("R132",G163)),0)+IFERROR(--ISNUMBER(SEARCH("R135",G163)),0)+IFERROR(--ISNUMBER(SEARCH("R138",G163)),0)+IFERROR(--ISNUMBER(SEARCH("R141",G163)),0))</f>
        <v/>
      </c>
      <c r="U163" s="58">
        <f>IF(A163="","",IFERROR(--ISNUMBER(SEARCH("R28",G163))*28,0)+IFERROR(--ISNUMBER(SEARCH("R29",G163))*29,0)+IFERROR(--ISNUMBER(SEARCH("R30",G163))*30,0)+IFERROR(--ISNUMBER(SEARCH("R31",G163))*31,0)+IFERROR(--ISNUMBER(SEARCH("R32",G163))*32,0)+IFERROR(--ISNUMBER(SEARCH("R33",G163))*33,0)+IFERROR(--ISNUMBER(SEARCH("R34",G163))*34,0)+IFERROR(--ISNUMBER(SEARCH("R35",G163))*35,0)+IFERROR(--ISNUMBER(SEARCH("R36",G163))*36,0)+IFERROR(--ISNUMBER(SEARCH("R37",G163))*37,0)+IFERROR(--ISNUMBER(SEARCH("R38",G163))*38,0)+IFERROR(--ISNUMBER(SEARCH("R39",G163))*39,0)+IFERROR(--ISNUMBER(SEARCH("R40",G163))*40,0)+IFERROR(--ISNUMBER(SEARCH("R41",G163))*41,0)+IFERROR(--ISNUMBER(SEARCH("R42",G163))*42,0)+IFERROR(--ISNUMBER(SEARCH("R43",G163))*43,0)+IFERROR(--ISNUMBER(SEARCH("R44",G163))*44,0)+IFERROR(--ISNUMBER(SEARCH("R45",G163))*45,0)+IFERROR(--ISNUMBER(SEARCH("R46",G163))*46,0)+IFERROR(--ISNUMBER(SEARCH("R47",G163))*47,0)+IFERROR(--ISNUMBER(SEARCH("R48",G163))*48,0)+IFERROR(--ISNUMBER(SEARCH("R49",G163))*49,0)+IFERROR(--ISNUMBER(SEARCH("R50",G163))*50,0)+IFERROR(--ISNUMBER(SEARCH("R51",G163))*51,0)+IFERROR(--ISNUMBER(SEARCH("R52",G163))*52,0)+IFERROR(--ISNUMBER(SEARCH("R53",G163))*53,0)+IFERROR(--ISNUMBER(SEARCH("R54",G163))*54,0)+IFERROR(--ISNUMBER(SEARCH("R55",G163))*55,0)+IFERROR(--ISNUMBER(SEARCH("R56",G163))*56,0)+IFERROR(--ISNUMBER(SEARCH("R57",G163))*57,0)+IFERROR(--ISNUMBER(SEARCH("R58",G163))*58,0)+IFERROR(--ISNUMBER(SEARCH("R59",G163))*59,0)+IFERROR(--ISNUMBER(SEARCH("R60",G163))*60,0)+IFERROR(--ISNUMBER(SEARCH("R61",G163))*61,0)+IFERROR(--ISNUMBER(SEARCH("R62",G163))*62,0)+IFERROR(--ISNUMBER(SEARCH("R63",G163))*63,0)+IFERROR(--ISNUMBER(SEARCH("R64",G163))*64,0)+IFERROR(--ISNUMBER(SEARCH("R65",G163))*65,0)+IFERROR(--ISNUMBER(SEARCH("R66",G163))*66,0)+IFERROR(--ISNUMBER(SEARCH("R67",G163))*67,0)+IFERROR(--ISNUMBER(SEARCH("R68",G163))*68,0)+IFERROR(--ISNUMBER(SEARCH("R69",G163))*69,0)+IFERROR(--ISNUMBER(SEARCH("R70",G163))*70,0)+IFERROR(--ISNUMBER(SEARCH("R71",G163))*71,0)+IFERROR(--ISNUMBER(SEARCH("R72",G163))*72,0)+IFERROR(--ISNUMBER(SEARCH("R73",G163))*73,0)+IFERROR(--ISNUMBER(SEARCH("R74",G163))*74,0)+IFERROR(--ISNUMBER(SEARCH("R75",G163))*75,0)+IFERROR(--ISNUMBER(SEARCH("R76",G163))*76,0)+IFERROR(--ISNUMBER(SEARCH("R77",G163))*77,0)+IFERROR(--ISNUMBER(SEARCH("R78",G163))*78,0)+IFERROR(--ISNUMBER(SEARCH("R79",G163))*79,0)+IFERROR(--ISNUMBER(SEARCH("R80",G163))*80,0)+IFERROR(--ISNUMBER(SEARCH("R81",G163))*81,0)+IFERROR(--ISNUMBER(SEARCH("R82",G163))*82,0)+IFERROR(--ISNUMBER(SEARCH("R83",G163))*83,0)+IFERROR(--ISNUMBER(SEARCH("R84",G163))*84,0)+IFERROR(--ISNUMBER(SEARCH("R85",G163))*85,0)+IFERROR(--ISNUMBER(SEARCH("R86",G163))*86,0)+IFERROR(--ISNUMBER(SEARCH("R87",G163))*87,0)+IFERROR(--ISNUMBER(SEARCH("R88",G163))*88,0)+IFERROR(--ISNUMBER(SEARCH("R89",G163))*89,0)+IFERROR(--ISNUMBER(SEARCH("R90",G163))*90,0)+IFERROR(--ISNUMBER(SEARCH("R91",G163))*91,0)+IFERROR(--ISNUMBER(SEARCH("R92",G163))*92,0)+IFERROR(--ISNUMBER(SEARCH("R93",G163))*93,0)+IFERROR(--ISNUMBER(SEARCH("R94",G163))*94,0)+IFERROR(--ISNUMBER(SEARCH("R95",G163))*95,0)+IFERROR(--ISNUMBER(SEARCH("R96",G163))*96,0)+IFERROR(--ISNUMBER(SEARCH("R97",G163))*97,0)+IFERROR(--ISNUMBER(SEARCH("R98",G163))*98,0)+IFERROR(--ISNUMBER(SEARCH("R99",G163))*99,0)+IFERROR(--ISNUMBER(SEARCH("R100",G163))*100,0)+IFERROR(--ISNUMBER(SEARCH("R101",G163))*101,0)+IFERROR(--ISNUMBER(SEARCH("R102",G163))*102,0)+IFERROR(--ISNUMBER(SEARCH("R103",G163))*103,0)+IFERROR(--ISNUMBER(SEARCH("R104",G163))*104,0)+IFERROR(--ISNUMBER(SEARCH("R105",G163))*105,0)+IFERROR(--ISNUMBER(SEARCH("R106",G163))*106,0)+IFERROR(--ISNUMBER(SEARCH("R107",G163))*107,0)+IFERROR(--ISNUMBER(SEARCH("R108",G163))*108,0)+IFERROR(--ISNUMBER(SEARCH("R109",G163))*109,0)+IFERROR(--ISNUMBER(SEARCH("R110",G163))*110,0)+IFERROR(--ISNUMBER(SEARCH("R111",G163))*111,0)+IFERROR(--ISNUMBER(SEARCH("R112",G163))*112,0)+IFERROR(--ISNUMBER(SEARCH("R113",G163))*113,0)+IFERROR(--ISNUMBER(SEARCH("R114",G163))*114,0)+IFERROR(--ISNUMBER(SEARCH("R115",G163))*115,0)+IFERROR(--ISNUMBER(SEARCH("R116",G163))*116,0)+IFERROR(--ISNUMBER(SEARCH("R117",G163))*117,0)+IFERROR(--ISNUMBER(SEARCH("R118",G163))*118,0)+IFERROR(--ISNUMBER(SEARCH("R119",G163))*119,0)+IFERROR(--ISNUMBER(SEARCH("R120",G163))*120,0)+IFERROR(--ISNUMBER(SEARCH("R121",G163))*121,0)+IFERROR(--ISNUMBER(SEARCH("R122",G163))*122,0)+IFERROR(--ISNUMBER(SEARCH("R123",G163))*123,0)+IFERROR(--ISNUMBER(SEARCH("R124",G163))*124,0)+IFERROR(--ISNUMBER(SEARCH("R125",G163))*125,0)+IFERROR(--ISNUMBER(SEARCH("R126",G163))*126,0)+IFERROR(--ISNUMBER(SEARCH("R127",G163))*127,0)+IFERROR(--ISNUMBER(SEARCH("R128",G163))*128,0)+IFERROR(--ISNUMBER(SEARCH("R129",G163))*129,0)+IFERROR(--ISNUMBER(SEARCH("R130",G163))*130,0)+IFERROR(--ISNUMBER(SEARCH("R131",G163))*131,0)+IFERROR(--ISNUMBER(SEARCH("R132",G163))*132,0)+IFERROR(--ISNUMBER(SEARCH("R133",G163))*133,0)+IFERROR(--ISNUMBER(SEARCH("R134",G163))*134,0)+IFERROR(--ISNUMBER(SEARCH("R135",G163))*135,0)+IFERROR(--ISNUMBER(SEARCH("R136",G163))*136,0)+IFERROR(--ISNUMBER(SEARCH("R137",G163))*137,0)+IFERROR(--ISNUMBER(SEARCH("R138",G163))*138,0)+IFERROR(--ISNUMBER(SEARCH("R139",G163))*139,0)+IFERROR(--ISNUMBER(SEARCH("R140",G163))*140,0)+IFERROR(--ISNUMBER(SEARCH("R141",G163))*141,0))</f>
        <v/>
      </c>
      <c r="V163" s="59">
        <f>IF(A163="","",IF(K163&lt;&gt;"",K163,J163))</f>
        <v/>
      </c>
      <c r="W163" s="59">
        <f>IF(A163="","",IF(AND(V163=29,O163&lt;&gt;"",COUNTIFS($V$6:$V$505,29,$F$6:$F$505,F163,$C$6:$C$505,C163,$O$6:$O$505,"&lt;&gt;")&gt;1),IF(COUNTIFS($V$6:V163,29,$F$6:F163,F163,$C$6:C163,C163,$O$6:O163,"&lt;&gt;")=1,"Esta es la fila que se debe CONSERVAR (aparición 1 de "&amp;COUNTIFS($V$6:$V$505,29,$F$6:$F$505,F163,$C$6:$C$505,C163,$O$6:$O$505,"&lt;&gt;")&amp;" con el mismo tercero y valor, casilla 29). Si hay más filas iguales, bórreles el valor a ELLAS, no a esta.","DUPLICADO — ya existe otra fila con el mismo tercero y valor para casilla 29 (aparición "&amp;COUNTIFS($V$6:V163,29,$F$6:F163,F163,$C$6:C163,C163,$O$6:O163,"&lt;&gt;")&amp;" de "&amp;COUNTIFS($V$6:$V$505,29,$F$6:$F$505,F163,$C$6:$C$505,C163,$O$6:$O$505,"&lt;&gt;")&amp;"). Para resolverlo: seleccione la celda O"&amp;ROW()&amp;" (columna Valor a declarar de ESTA fila) y presione Supr."),""))</f>
        <v/>
      </c>
      <c r="X163" s="463">
        <f>IF(A163="","",F163)</f>
        <v/>
      </c>
      <c r="Y163" s="463">
        <f>IF(A163="","",SUMIF(Entrada_Manual!$I$88:$I$187,A163,Entrada_Manual!$F$88:$F$187))</f>
        <v/>
      </c>
      <c r="Z163" s="463">
        <f>IF(A163="","",X163-Y163)</f>
        <v/>
      </c>
      <c r="AA163">
        <f>IF(A163="","",SUMPRODUCT((Entrada_Manual!$I$88:$I$187=A163)*1))</f>
        <v/>
      </c>
      <c r="AB163">
        <f>IF(A163="","",IF(S163&lt;=1,"",IF(AA163=0,"PENDIENTE — SIN ASIGNAR",IF(Z163=0,"RESUELTO","PARCIAL — DIFERENCIA "&amp;TEXT(Z163,"#,##0")))))</f>
        <v/>
      </c>
    </row>
    <row r="164" ht="14.25" customHeight="1" s="235">
      <c r="A164" s="47">
        <f>IF(Exogena_RAW!E173&lt;&gt;"",ROW()-5,"")</f>
        <v/>
      </c>
      <c r="B164" s="48">
        <f>IF(A164="","",173)</f>
        <v/>
      </c>
      <c r="C164" s="48">
        <f>IF(A164="","",IFERROR(Exogena_RAW!A173,""))</f>
        <v/>
      </c>
      <c r="D164" s="48">
        <f>IF(A164="","",IFERROR(Exogena_RAW!B173,""))</f>
        <v/>
      </c>
      <c r="E164" s="48">
        <f>IF(A164="","",Exogena_RAW!E173)</f>
        <v/>
      </c>
      <c r="F164" s="461">
        <f>IF(A164="","",Exogena_RAW!F173)</f>
        <v/>
      </c>
      <c r="G164" s="48">
        <f>IF(A164="","",IFERROR(Exogena_RAW!G173,""))</f>
        <v/>
      </c>
      <c r="H164" s="48">
        <f>IF(A164="","",IFERROR(Exogena_RAW!H173,""))</f>
        <v/>
      </c>
      <c r="I164" s="48">
        <f>IF(A164="","",IFERROR(IF(S164&gt;1,"VARIAS CASILLAS",IF(S164=1,IF(T164=1,"PROPUESTA DE CASILLA","REVISIÓN: CASILLA NO DIRECTA"),IF(OR(ISNUMBER(SEARCH("TOPE",UPPER(E164))),ISNUMBER(SEARCH("TOPE",UPPER(G164)))),"SOLO CONTROL",IF(ISNUMBER(SEARCH("RETEN",UPPER(E164))),"RETENCIÓN","REVISAR")))),"REVISAR"))</f>
        <v/>
      </c>
      <c r="J164" s="48">
        <f>IF(A164="","",IF(ISNUMBER(SEARCH("ingreso laboral promedio de los últimos seis meses",E164)),"",IFERROR(IF(AND(S164=1,T164=1),U164,""),"")))</f>
        <v/>
      </c>
      <c r="K164" s="216" t="n"/>
      <c r="L164" s="48">
        <f>IF(A164="","",IFERROR(IF(K164&lt;&gt;"","Casilla elegida por usuario",IF(S164&gt;1,"Varias casillas — elegir en K",IF(J164&lt;&gt;"","Sugerencia directa",IF(S164=1,"No trasladar directo — revisar",IF(OR(ISNUMBER(SEARCH("TOPE",UPPER(E164))),ISNUMBER(SEARCH("TOPE",UPPER(G164)))),"Solo control","Revisar manualmente"))))),"Revisar manualmente"))</f>
        <v/>
      </c>
      <c r="M164" s="461">
        <f>IF(A164="","",IF(IF(K164&lt;&gt;"",K164,J164)="",0,IF(COUNTIFS(Reglas!$I$5:$I$118,IF(K164&lt;&gt;"",K164,J164),Reglas!$J$5:$J$118,"Sí")=1,F164,0)))</f>
        <v/>
      </c>
      <c r="N164" s="56" t="n"/>
      <c r="O164" s="462">
        <f>IF(A164="","",IF(M164=0,"",M164))</f>
        <v/>
      </c>
      <c r="P164" s="461">
        <f>IF(A164="","",IF(O164="",0,IF(ISNUMBER(O164),O164,0)))</f>
        <v/>
      </c>
      <c r="Q164" s="48">
        <f>IF(A164="","",IF(Exogena_RAW!$C$4="","BLOQUEADO: FALTA AÑO",IF(Exogena_RAW!$K$10&lt;&gt;Reglas!$B$5,"BLOQUEADO: AÑO",IF(IF(K164&lt;&gt;"",K164,J164)="",IF(S164&gt;1,"REQUIERE ASIGNACIÓN MANUAL (VARIAS CASILLAS)","INFORMATIVO (sin casilla — no se declara)"),IF(COUNTIFS(Reglas!$I$5:$I$118,IF(K164&lt;&gt;"",K164,J164),Reglas!$J$5:$J$118,"Sí")=0,"BLOQUEADO: CASILLA NO DIRECTA",IF(O164="","EXCLUIDO (valor borrado por el usuario)",IF(_xlfn.ISFORMULA(O164),IF(W164&lt;&gt;"","BORRADOR — VALOR SUGERIDO DIAN ⚠ VER ALERTA","BORRADOR — VALOR SUGERIDO DIAN"),IF(W164&lt;&gt;"","ACEPTADO ⚠ VER ALERTA","ACEPTADO"))))))))</f>
        <v/>
      </c>
      <c r="R164" s="218" t="n"/>
      <c r="S164" s="58">
        <f>IF(A164="","",IFERROR(--ISNUMBER(SEARCH("R28",G164)),0)+IFERROR(--ISNUMBER(SEARCH("R29",G164)),0)+IFERROR(--ISNUMBER(SEARCH("R30",G164)),0)+IFERROR(--ISNUMBER(SEARCH("R31",G164)),0)+IFERROR(--ISNUMBER(SEARCH("R32",G164)),0)+IFERROR(--ISNUMBER(SEARCH("R33",G164)),0)+IFERROR(--ISNUMBER(SEARCH("R34",G164)),0)+IFERROR(--ISNUMBER(SEARCH("R35",G164)),0)+IFERROR(--ISNUMBER(SEARCH("R36",G164)),0)+IFERROR(--ISNUMBER(SEARCH("R37",G164)),0)+IFERROR(--ISNUMBER(SEARCH("R38",G164)),0)+IFERROR(--ISNUMBER(SEARCH("R39",G164)),0)+IFERROR(--ISNUMBER(SEARCH("R40",G164)),0)+IFERROR(--ISNUMBER(SEARCH("R41",G164)),0)+IFERROR(--ISNUMBER(SEARCH("R42",G164)),0)+IFERROR(--ISNUMBER(SEARCH("R43",G164)),0)+IFERROR(--ISNUMBER(SEARCH("R44",G164)),0)+IFERROR(--ISNUMBER(SEARCH("R45",G164)),0)+IFERROR(--ISNUMBER(SEARCH("R46",G164)),0)+IFERROR(--ISNUMBER(SEARCH("R47",G164)),0)+IFERROR(--ISNUMBER(SEARCH("R48",G164)),0)+IFERROR(--ISNUMBER(SEARCH("R49",G164)),0)+IFERROR(--ISNUMBER(SEARCH("R50",G164)),0)+IFERROR(--ISNUMBER(SEARCH("R51",G164)),0)+IFERROR(--ISNUMBER(SEARCH("R52",G164)),0)+IFERROR(--ISNUMBER(SEARCH("R53",G164)),0)+IFERROR(--ISNUMBER(SEARCH("R54",G164)),0)+IFERROR(--ISNUMBER(SEARCH("R55",G164)),0)+IFERROR(--ISNUMBER(SEARCH("R56",G164)),0)+IFERROR(--ISNUMBER(SEARCH("R57",G164)),0)+IFERROR(--ISNUMBER(SEARCH("R58",G164)),0)+IFERROR(--ISNUMBER(SEARCH("R59",G164)),0)+IFERROR(--ISNUMBER(SEARCH("R60",G164)),0)+IFERROR(--ISNUMBER(SEARCH("R61",G164)),0)+IFERROR(--ISNUMBER(SEARCH("R62",G164)),0)+IFERROR(--ISNUMBER(SEARCH("R63",G164)),0)+IFERROR(--ISNUMBER(SEARCH("R64",G164)),0)+IFERROR(--ISNUMBER(SEARCH("R65",G164)),0)+IFERROR(--ISNUMBER(SEARCH("R66",G164)),0)+IFERROR(--ISNUMBER(SEARCH("R67",G164)),0)+IFERROR(--ISNUMBER(SEARCH("R68",G164)),0)+IFERROR(--ISNUMBER(SEARCH("R69",G164)),0)+IFERROR(--ISNUMBER(SEARCH("R70",G164)),0)+IFERROR(--ISNUMBER(SEARCH("R71",G164)),0)+IFERROR(--ISNUMBER(SEARCH("R72",G164)),0)+IFERROR(--ISNUMBER(SEARCH("R73",G164)),0)+IFERROR(--ISNUMBER(SEARCH("R74",G164)),0)+IFERROR(--ISNUMBER(SEARCH("R75",G164)),0)+IFERROR(--ISNUMBER(SEARCH("R76",G164)),0)+IFERROR(--ISNUMBER(SEARCH("R77",G164)),0)+IFERROR(--ISNUMBER(SEARCH("R78",G164)),0)+IFERROR(--ISNUMBER(SEARCH("R79",G164)),0)+IFERROR(--ISNUMBER(SEARCH("R80",G164)),0)+IFERROR(--ISNUMBER(SEARCH("R81",G164)),0)+IFERROR(--ISNUMBER(SEARCH("R82",G164)),0)+IFERROR(--ISNUMBER(SEARCH("R83",G164)),0)+IFERROR(--ISNUMBER(SEARCH("R84",G164)),0)+IFERROR(--ISNUMBER(SEARCH("R85",G164)),0)+IFERROR(--ISNUMBER(SEARCH("R86",G164)),0)+IFERROR(--ISNUMBER(SEARCH("R87",G164)),0)+IFERROR(--ISNUMBER(SEARCH("R88",G164)),0)+IFERROR(--ISNUMBER(SEARCH("R89",G164)),0)+IFERROR(--ISNUMBER(SEARCH("R90",G164)),0)+IFERROR(--ISNUMBER(SEARCH("R91",G164)),0)+IFERROR(--ISNUMBER(SEARCH("R92",G164)),0)+IFERROR(--ISNUMBER(SEARCH("R93",G164)),0)+IFERROR(--ISNUMBER(SEARCH("R94",G164)),0)+IFERROR(--ISNUMBER(SEARCH("R95",G164)),0)+IFERROR(--ISNUMBER(SEARCH("R96",G164)),0)+IFERROR(--ISNUMBER(SEARCH("R97",G164)),0)+IFERROR(--ISNUMBER(SEARCH("R98",G164)),0)+IFERROR(--ISNUMBER(SEARCH("R99",G164)),0)+IFERROR(--ISNUMBER(SEARCH("R100",G164)),0)+IFERROR(--ISNUMBER(SEARCH("R101",G164)),0)+IFERROR(--ISNUMBER(SEARCH("R102",G164)),0)+IFERROR(--ISNUMBER(SEARCH("R103",G164)),0)+IFERROR(--ISNUMBER(SEARCH("R104",G164)),0)+IFERROR(--ISNUMBER(SEARCH("R105",G164)),0)+IFERROR(--ISNUMBER(SEARCH("R106",G164)),0)+IFERROR(--ISNUMBER(SEARCH("R107",G164)),0)+IFERROR(--ISNUMBER(SEARCH("R108",G164)),0)+IFERROR(--ISNUMBER(SEARCH("R109",G164)),0)+IFERROR(--ISNUMBER(SEARCH("R110",G164)),0)+IFERROR(--ISNUMBER(SEARCH("R111",G164)),0)+IFERROR(--ISNUMBER(SEARCH("R112",G164)),0)+IFERROR(--ISNUMBER(SEARCH("R113",G164)),0)+IFERROR(--ISNUMBER(SEARCH("R114",G164)),0)+IFERROR(--ISNUMBER(SEARCH("R115",G164)),0)+IFERROR(--ISNUMBER(SEARCH("R116",G164)),0)+IFERROR(--ISNUMBER(SEARCH("R117",G164)),0)+IFERROR(--ISNUMBER(SEARCH("R118",G164)),0)+IFERROR(--ISNUMBER(SEARCH("R119",G164)),0)+IFERROR(--ISNUMBER(SEARCH("R120",G164)),0)+IFERROR(--ISNUMBER(SEARCH("R121",G164)),0)+IFERROR(--ISNUMBER(SEARCH("R122",G164)),0)+IFERROR(--ISNUMBER(SEARCH("R123",G164)),0)+IFERROR(--ISNUMBER(SEARCH("R124",G164)),0)+IFERROR(--ISNUMBER(SEARCH("R125",G164)),0)+IFERROR(--ISNUMBER(SEARCH("R126",G164)),0)+IFERROR(--ISNUMBER(SEARCH("R127",G164)),0)+IFERROR(--ISNUMBER(SEARCH("R128",G164)),0)+IFERROR(--ISNUMBER(SEARCH("R129",G164)),0)+IFERROR(--ISNUMBER(SEARCH("R130",G164)),0)+IFERROR(--ISNUMBER(SEARCH("R131",G164)),0)+IFERROR(--ISNUMBER(SEARCH("R132",G164)),0)+IFERROR(--ISNUMBER(SEARCH("R133",G164)),0)+IFERROR(--ISNUMBER(SEARCH("R134",G164)),0)+IFERROR(--ISNUMBER(SEARCH("R135",G164)),0)+IFERROR(--ISNUMBER(SEARCH("R136",G164)),0)+IFERROR(--ISNUMBER(SEARCH("R137",G164)),0)+IFERROR(--ISNUMBER(SEARCH("R138",G164)),0)+IFERROR(--ISNUMBER(SEARCH("R139",G164)),0)+IFERROR(--ISNUMBER(SEARCH("R140",G164)),0)+IFERROR(--ISNUMBER(SEARCH("R141",G164)),0))</f>
        <v/>
      </c>
      <c r="T164" s="58">
        <f>IF(A164="","",IFERROR(--ISNUMBER(SEARCH("R28",G164)),0)+IFERROR(--ISNUMBER(SEARCH("R29",G164)),0)+IFERROR(--ISNUMBER(SEARCH("R30",G164)),0)+IFERROR(--ISNUMBER(SEARCH("R32",G164)),0)+IFERROR(--ISNUMBER(SEARCH("R33",G164)),0)+IFERROR(--ISNUMBER(SEARCH("R35",G164)),0)+IFERROR(--ISNUMBER(SEARCH("R36",G164)),0)+IFERROR(--ISNUMBER(SEARCH("R38",G164)),0)+IFERROR(--ISNUMBER(SEARCH("R39",G164)),0)+IFERROR(--ISNUMBER(SEARCH("R43",G164)),0)+IFERROR(--ISNUMBER(SEARCH("R44",G164)),0)+IFERROR(--ISNUMBER(SEARCH("R45",G164)),0)+IFERROR(--ISNUMBER(SEARCH("R47",G164)),0)+IFERROR(--ISNUMBER(SEARCH("R48",G164)),0)+IFERROR(--ISNUMBER(SEARCH("R50",G164)),0)+IFERROR(--ISNUMBER(SEARCH("R51",G164)),0)+IFERROR(--ISNUMBER(SEARCH("R56",G164)),0)+IFERROR(--ISNUMBER(SEARCH("R58",G164)),0)+IFERROR(--ISNUMBER(SEARCH("R59",G164)),0)+IFERROR(--ISNUMBER(SEARCH("R60",G164)),0)+IFERROR(--ISNUMBER(SEARCH("R62",G164)),0)+IFERROR(--ISNUMBER(SEARCH("R63",G164)),0)+IFERROR(--ISNUMBER(SEARCH("R64",G164)),0)+IFERROR(--ISNUMBER(SEARCH("R66",G164)),0)+IFERROR(--ISNUMBER(SEARCH("R67",G164)),0)+IFERROR(--ISNUMBER(SEARCH("R72",G164)),0)+IFERROR(--ISNUMBER(SEARCH("R74",G164)),0)+IFERROR(--ISNUMBER(SEARCH("R75",G164)),0)+IFERROR(--ISNUMBER(SEARCH("R76",G164)),0)+IFERROR(--ISNUMBER(SEARCH("R77",G164)),0)+IFERROR(--ISNUMBER(SEARCH("R79",G164)),0)+IFERROR(--ISNUMBER(SEARCH("R80",G164)),0)+IFERROR(--ISNUMBER(SEARCH("R81",G164)),0)+IFERROR(--ISNUMBER(SEARCH("R83",G164)),0)+IFERROR(--ISNUMBER(SEARCH("R84",G164)),0)+IFERROR(--ISNUMBER(SEARCH("R89",G164)),0)+IFERROR(--ISNUMBER(SEARCH("R94",G164)),0)+IFERROR(--ISNUMBER(SEARCH("R95",G164)),0)+IFERROR(--ISNUMBER(SEARCH("R96",G164)),0)+IFERROR(--ISNUMBER(SEARCH("R98",G164)),0)+IFERROR(--ISNUMBER(SEARCH("R99",G164)),0)+IFERROR(--ISNUMBER(SEARCH("R100",G164)),0)+IFERROR(--ISNUMBER(SEARCH("R104",G164)),0)+IFERROR(--ISNUMBER(SEARCH("R105",G164)),0)+IFERROR(--ISNUMBER(SEARCH("R107",G164)),0)+IFERROR(--ISNUMBER(SEARCH("R108",G164)),0)+IFERROR(--ISNUMBER(SEARCH("R109",G164)),0)+IFERROR(--ISNUMBER(SEARCH("R110",G164)),0)+IFERROR(--ISNUMBER(SEARCH("R112",G164)),0)+IFERROR(--ISNUMBER(SEARCH("R113",G164)),0)+IFERROR(--ISNUMBER(SEARCH("R114",G164)),0)+IFERROR(--ISNUMBER(SEARCH("R118",G164)),0)+IFERROR(--ISNUMBER(SEARCH("R119",G164)),0)+IFERROR(--ISNUMBER(SEARCH("R120",G164)),0)+IFERROR(--ISNUMBER(SEARCH("R122",G164)),0)+IFERROR(--ISNUMBER(SEARCH("R123",G164)),0)+IFERROR(--ISNUMBER(SEARCH("R124",G164)),0)+IFERROR(--ISNUMBER(SEARCH("R128",G164)),0)+IFERROR(--ISNUMBER(SEARCH("R130",G164)),0)+IFERROR(--ISNUMBER(SEARCH("R131",G164)),0)+IFERROR(--ISNUMBER(SEARCH("R132",G164)),0)+IFERROR(--ISNUMBER(SEARCH("R135",G164)),0)+IFERROR(--ISNUMBER(SEARCH("R138",G164)),0)+IFERROR(--ISNUMBER(SEARCH("R141",G164)),0))</f>
        <v/>
      </c>
      <c r="U164" s="58">
        <f>IF(A164="","",IFERROR(--ISNUMBER(SEARCH("R28",G164))*28,0)+IFERROR(--ISNUMBER(SEARCH("R29",G164))*29,0)+IFERROR(--ISNUMBER(SEARCH("R30",G164))*30,0)+IFERROR(--ISNUMBER(SEARCH("R31",G164))*31,0)+IFERROR(--ISNUMBER(SEARCH("R32",G164))*32,0)+IFERROR(--ISNUMBER(SEARCH("R33",G164))*33,0)+IFERROR(--ISNUMBER(SEARCH("R34",G164))*34,0)+IFERROR(--ISNUMBER(SEARCH("R35",G164))*35,0)+IFERROR(--ISNUMBER(SEARCH("R36",G164))*36,0)+IFERROR(--ISNUMBER(SEARCH("R37",G164))*37,0)+IFERROR(--ISNUMBER(SEARCH("R38",G164))*38,0)+IFERROR(--ISNUMBER(SEARCH("R39",G164))*39,0)+IFERROR(--ISNUMBER(SEARCH("R40",G164))*40,0)+IFERROR(--ISNUMBER(SEARCH("R41",G164))*41,0)+IFERROR(--ISNUMBER(SEARCH("R42",G164))*42,0)+IFERROR(--ISNUMBER(SEARCH("R43",G164))*43,0)+IFERROR(--ISNUMBER(SEARCH("R44",G164))*44,0)+IFERROR(--ISNUMBER(SEARCH("R45",G164))*45,0)+IFERROR(--ISNUMBER(SEARCH("R46",G164))*46,0)+IFERROR(--ISNUMBER(SEARCH("R47",G164))*47,0)+IFERROR(--ISNUMBER(SEARCH("R48",G164))*48,0)+IFERROR(--ISNUMBER(SEARCH("R49",G164))*49,0)+IFERROR(--ISNUMBER(SEARCH("R50",G164))*50,0)+IFERROR(--ISNUMBER(SEARCH("R51",G164))*51,0)+IFERROR(--ISNUMBER(SEARCH("R52",G164))*52,0)+IFERROR(--ISNUMBER(SEARCH("R53",G164))*53,0)+IFERROR(--ISNUMBER(SEARCH("R54",G164))*54,0)+IFERROR(--ISNUMBER(SEARCH("R55",G164))*55,0)+IFERROR(--ISNUMBER(SEARCH("R56",G164))*56,0)+IFERROR(--ISNUMBER(SEARCH("R57",G164))*57,0)+IFERROR(--ISNUMBER(SEARCH("R58",G164))*58,0)+IFERROR(--ISNUMBER(SEARCH("R59",G164))*59,0)+IFERROR(--ISNUMBER(SEARCH("R60",G164))*60,0)+IFERROR(--ISNUMBER(SEARCH("R61",G164))*61,0)+IFERROR(--ISNUMBER(SEARCH("R62",G164))*62,0)+IFERROR(--ISNUMBER(SEARCH("R63",G164))*63,0)+IFERROR(--ISNUMBER(SEARCH("R64",G164))*64,0)+IFERROR(--ISNUMBER(SEARCH("R65",G164))*65,0)+IFERROR(--ISNUMBER(SEARCH("R66",G164))*66,0)+IFERROR(--ISNUMBER(SEARCH("R67",G164))*67,0)+IFERROR(--ISNUMBER(SEARCH("R68",G164))*68,0)+IFERROR(--ISNUMBER(SEARCH("R69",G164))*69,0)+IFERROR(--ISNUMBER(SEARCH("R70",G164))*70,0)+IFERROR(--ISNUMBER(SEARCH("R71",G164))*71,0)+IFERROR(--ISNUMBER(SEARCH("R72",G164))*72,0)+IFERROR(--ISNUMBER(SEARCH("R73",G164))*73,0)+IFERROR(--ISNUMBER(SEARCH("R74",G164))*74,0)+IFERROR(--ISNUMBER(SEARCH("R75",G164))*75,0)+IFERROR(--ISNUMBER(SEARCH("R76",G164))*76,0)+IFERROR(--ISNUMBER(SEARCH("R77",G164))*77,0)+IFERROR(--ISNUMBER(SEARCH("R78",G164))*78,0)+IFERROR(--ISNUMBER(SEARCH("R79",G164))*79,0)+IFERROR(--ISNUMBER(SEARCH("R80",G164))*80,0)+IFERROR(--ISNUMBER(SEARCH("R81",G164))*81,0)+IFERROR(--ISNUMBER(SEARCH("R82",G164))*82,0)+IFERROR(--ISNUMBER(SEARCH("R83",G164))*83,0)+IFERROR(--ISNUMBER(SEARCH("R84",G164))*84,0)+IFERROR(--ISNUMBER(SEARCH("R85",G164))*85,0)+IFERROR(--ISNUMBER(SEARCH("R86",G164))*86,0)+IFERROR(--ISNUMBER(SEARCH("R87",G164))*87,0)+IFERROR(--ISNUMBER(SEARCH("R88",G164))*88,0)+IFERROR(--ISNUMBER(SEARCH("R89",G164))*89,0)+IFERROR(--ISNUMBER(SEARCH("R90",G164))*90,0)+IFERROR(--ISNUMBER(SEARCH("R91",G164))*91,0)+IFERROR(--ISNUMBER(SEARCH("R92",G164))*92,0)+IFERROR(--ISNUMBER(SEARCH("R93",G164))*93,0)+IFERROR(--ISNUMBER(SEARCH("R94",G164))*94,0)+IFERROR(--ISNUMBER(SEARCH("R95",G164))*95,0)+IFERROR(--ISNUMBER(SEARCH("R96",G164))*96,0)+IFERROR(--ISNUMBER(SEARCH("R97",G164))*97,0)+IFERROR(--ISNUMBER(SEARCH("R98",G164))*98,0)+IFERROR(--ISNUMBER(SEARCH("R99",G164))*99,0)+IFERROR(--ISNUMBER(SEARCH("R100",G164))*100,0)+IFERROR(--ISNUMBER(SEARCH("R101",G164))*101,0)+IFERROR(--ISNUMBER(SEARCH("R102",G164))*102,0)+IFERROR(--ISNUMBER(SEARCH("R103",G164))*103,0)+IFERROR(--ISNUMBER(SEARCH("R104",G164))*104,0)+IFERROR(--ISNUMBER(SEARCH("R105",G164))*105,0)+IFERROR(--ISNUMBER(SEARCH("R106",G164))*106,0)+IFERROR(--ISNUMBER(SEARCH("R107",G164))*107,0)+IFERROR(--ISNUMBER(SEARCH("R108",G164))*108,0)+IFERROR(--ISNUMBER(SEARCH("R109",G164))*109,0)+IFERROR(--ISNUMBER(SEARCH("R110",G164))*110,0)+IFERROR(--ISNUMBER(SEARCH("R111",G164))*111,0)+IFERROR(--ISNUMBER(SEARCH("R112",G164))*112,0)+IFERROR(--ISNUMBER(SEARCH("R113",G164))*113,0)+IFERROR(--ISNUMBER(SEARCH("R114",G164))*114,0)+IFERROR(--ISNUMBER(SEARCH("R115",G164))*115,0)+IFERROR(--ISNUMBER(SEARCH("R116",G164))*116,0)+IFERROR(--ISNUMBER(SEARCH("R117",G164))*117,0)+IFERROR(--ISNUMBER(SEARCH("R118",G164))*118,0)+IFERROR(--ISNUMBER(SEARCH("R119",G164))*119,0)+IFERROR(--ISNUMBER(SEARCH("R120",G164))*120,0)+IFERROR(--ISNUMBER(SEARCH("R121",G164))*121,0)+IFERROR(--ISNUMBER(SEARCH("R122",G164))*122,0)+IFERROR(--ISNUMBER(SEARCH("R123",G164))*123,0)+IFERROR(--ISNUMBER(SEARCH("R124",G164))*124,0)+IFERROR(--ISNUMBER(SEARCH("R125",G164))*125,0)+IFERROR(--ISNUMBER(SEARCH("R126",G164))*126,0)+IFERROR(--ISNUMBER(SEARCH("R127",G164))*127,0)+IFERROR(--ISNUMBER(SEARCH("R128",G164))*128,0)+IFERROR(--ISNUMBER(SEARCH("R129",G164))*129,0)+IFERROR(--ISNUMBER(SEARCH("R130",G164))*130,0)+IFERROR(--ISNUMBER(SEARCH("R131",G164))*131,0)+IFERROR(--ISNUMBER(SEARCH("R132",G164))*132,0)+IFERROR(--ISNUMBER(SEARCH("R133",G164))*133,0)+IFERROR(--ISNUMBER(SEARCH("R134",G164))*134,0)+IFERROR(--ISNUMBER(SEARCH("R135",G164))*135,0)+IFERROR(--ISNUMBER(SEARCH("R136",G164))*136,0)+IFERROR(--ISNUMBER(SEARCH("R137",G164))*137,0)+IFERROR(--ISNUMBER(SEARCH("R138",G164))*138,0)+IFERROR(--ISNUMBER(SEARCH("R139",G164))*139,0)+IFERROR(--ISNUMBER(SEARCH("R140",G164))*140,0)+IFERROR(--ISNUMBER(SEARCH("R141",G164))*141,0))</f>
        <v/>
      </c>
      <c r="V164" s="59">
        <f>IF(A164="","",IF(K164&lt;&gt;"",K164,J164))</f>
        <v/>
      </c>
      <c r="W164" s="59">
        <f>IF(A164="","",IF(AND(V164=29,O164&lt;&gt;"",COUNTIFS($V$6:$V$505,29,$F$6:$F$505,F164,$C$6:$C$505,C164,$O$6:$O$505,"&lt;&gt;")&gt;1),IF(COUNTIFS($V$6:V164,29,$F$6:F164,F164,$C$6:C164,C164,$O$6:O164,"&lt;&gt;")=1,"Esta es la fila que se debe CONSERVAR (aparición 1 de "&amp;COUNTIFS($V$6:$V$505,29,$F$6:$F$505,F164,$C$6:$C$505,C164,$O$6:$O$505,"&lt;&gt;")&amp;" con el mismo tercero y valor, casilla 29). Si hay más filas iguales, bórreles el valor a ELLAS, no a esta.","DUPLICADO — ya existe otra fila con el mismo tercero y valor para casilla 29 (aparición "&amp;COUNTIFS($V$6:V164,29,$F$6:F164,F164,$C$6:C164,C164,$O$6:O164,"&lt;&gt;")&amp;" de "&amp;COUNTIFS($V$6:$V$505,29,$F$6:$F$505,F164,$C$6:$C$505,C164,$O$6:$O$505,"&lt;&gt;")&amp;"). Para resolverlo: seleccione la celda O"&amp;ROW()&amp;" (columna Valor a declarar de ESTA fila) y presione Supr."),""))</f>
        <v/>
      </c>
      <c r="X164" s="463">
        <f>IF(A164="","",F164)</f>
        <v/>
      </c>
      <c r="Y164" s="463">
        <f>IF(A164="","",SUMIF(Entrada_Manual!$I$88:$I$187,A164,Entrada_Manual!$F$88:$F$187))</f>
        <v/>
      </c>
      <c r="Z164" s="463">
        <f>IF(A164="","",X164-Y164)</f>
        <v/>
      </c>
      <c r="AA164">
        <f>IF(A164="","",SUMPRODUCT((Entrada_Manual!$I$88:$I$187=A164)*1))</f>
        <v/>
      </c>
      <c r="AB164">
        <f>IF(A164="","",IF(S164&lt;=1,"",IF(AA164=0,"PENDIENTE — SIN ASIGNAR",IF(Z164=0,"RESUELTO","PARCIAL — DIFERENCIA "&amp;TEXT(Z164,"#,##0")))))</f>
        <v/>
      </c>
    </row>
    <row r="165" ht="14.25" customHeight="1" s="235">
      <c r="A165" s="47">
        <f>IF(Exogena_RAW!E174&lt;&gt;"",ROW()-5,"")</f>
        <v/>
      </c>
      <c r="B165" s="48">
        <f>IF(A165="","",174)</f>
        <v/>
      </c>
      <c r="C165" s="48">
        <f>IF(A165="","",IFERROR(Exogena_RAW!A174,""))</f>
        <v/>
      </c>
      <c r="D165" s="48">
        <f>IF(A165="","",IFERROR(Exogena_RAW!B174,""))</f>
        <v/>
      </c>
      <c r="E165" s="48">
        <f>IF(A165="","",Exogena_RAW!E174)</f>
        <v/>
      </c>
      <c r="F165" s="461">
        <f>IF(A165="","",Exogena_RAW!F174)</f>
        <v/>
      </c>
      <c r="G165" s="48">
        <f>IF(A165="","",IFERROR(Exogena_RAW!G174,""))</f>
        <v/>
      </c>
      <c r="H165" s="48">
        <f>IF(A165="","",IFERROR(Exogena_RAW!H174,""))</f>
        <v/>
      </c>
      <c r="I165" s="48">
        <f>IF(A165="","",IFERROR(IF(S165&gt;1,"VARIAS CASILLAS",IF(S165=1,IF(T165=1,"PROPUESTA DE CASILLA","REVISIÓN: CASILLA NO DIRECTA"),IF(OR(ISNUMBER(SEARCH("TOPE",UPPER(E165))),ISNUMBER(SEARCH("TOPE",UPPER(G165)))),"SOLO CONTROL",IF(ISNUMBER(SEARCH("RETEN",UPPER(E165))),"RETENCIÓN","REVISAR")))),"REVISAR"))</f>
        <v/>
      </c>
      <c r="J165" s="48">
        <f>IF(A165="","",IF(ISNUMBER(SEARCH("ingreso laboral promedio de los últimos seis meses",E165)),"",IFERROR(IF(AND(S165=1,T165=1),U165,""),"")))</f>
        <v/>
      </c>
      <c r="K165" s="216" t="n"/>
      <c r="L165" s="48">
        <f>IF(A165="","",IFERROR(IF(K165&lt;&gt;"","Casilla elegida por usuario",IF(S165&gt;1,"Varias casillas — elegir en K",IF(J165&lt;&gt;"","Sugerencia directa",IF(S165=1,"No trasladar directo — revisar",IF(OR(ISNUMBER(SEARCH("TOPE",UPPER(E165))),ISNUMBER(SEARCH("TOPE",UPPER(G165)))),"Solo control","Revisar manualmente"))))),"Revisar manualmente"))</f>
        <v/>
      </c>
      <c r="M165" s="461">
        <f>IF(A165="","",IF(IF(K165&lt;&gt;"",K165,J165)="",0,IF(COUNTIFS(Reglas!$I$5:$I$118,IF(K165&lt;&gt;"",K165,J165),Reglas!$J$5:$J$118,"Sí")=1,F165,0)))</f>
        <v/>
      </c>
      <c r="N165" s="56" t="n"/>
      <c r="O165" s="462">
        <f>IF(A165="","",IF(M165=0,"",M165))</f>
        <v/>
      </c>
      <c r="P165" s="461">
        <f>IF(A165="","",IF(O165="",0,IF(ISNUMBER(O165),O165,0)))</f>
        <v/>
      </c>
      <c r="Q165" s="48">
        <f>IF(A165="","",IF(Exogena_RAW!$C$4="","BLOQUEADO: FALTA AÑO",IF(Exogena_RAW!$K$10&lt;&gt;Reglas!$B$5,"BLOQUEADO: AÑO",IF(IF(K165&lt;&gt;"",K165,J165)="",IF(S165&gt;1,"REQUIERE ASIGNACIÓN MANUAL (VARIAS CASILLAS)","INFORMATIVO (sin casilla — no se declara)"),IF(COUNTIFS(Reglas!$I$5:$I$118,IF(K165&lt;&gt;"",K165,J165),Reglas!$J$5:$J$118,"Sí")=0,"BLOQUEADO: CASILLA NO DIRECTA",IF(O165="","EXCLUIDO (valor borrado por el usuario)",IF(_xlfn.ISFORMULA(O165),IF(W165&lt;&gt;"","BORRADOR — VALOR SUGERIDO DIAN ⚠ VER ALERTA","BORRADOR — VALOR SUGERIDO DIAN"),IF(W165&lt;&gt;"","ACEPTADO ⚠ VER ALERTA","ACEPTADO"))))))))</f>
        <v/>
      </c>
      <c r="R165" s="218" t="n"/>
      <c r="S165" s="58">
        <f>IF(A165="","",IFERROR(--ISNUMBER(SEARCH("R28",G165)),0)+IFERROR(--ISNUMBER(SEARCH("R29",G165)),0)+IFERROR(--ISNUMBER(SEARCH("R30",G165)),0)+IFERROR(--ISNUMBER(SEARCH("R31",G165)),0)+IFERROR(--ISNUMBER(SEARCH("R32",G165)),0)+IFERROR(--ISNUMBER(SEARCH("R33",G165)),0)+IFERROR(--ISNUMBER(SEARCH("R34",G165)),0)+IFERROR(--ISNUMBER(SEARCH("R35",G165)),0)+IFERROR(--ISNUMBER(SEARCH("R36",G165)),0)+IFERROR(--ISNUMBER(SEARCH("R37",G165)),0)+IFERROR(--ISNUMBER(SEARCH("R38",G165)),0)+IFERROR(--ISNUMBER(SEARCH("R39",G165)),0)+IFERROR(--ISNUMBER(SEARCH("R40",G165)),0)+IFERROR(--ISNUMBER(SEARCH("R41",G165)),0)+IFERROR(--ISNUMBER(SEARCH("R42",G165)),0)+IFERROR(--ISNUMBER(SEARCH("R43",G165)),0)+IFERROR(--ISNUMBER(SEARCH("R44",G165)),0)+IFERROR(--ISNUMBER(SEARCH("R45",G165)),0)+IFERROR(--ISNUMBER(SEARCH("R46",G165)),0)+IFERROR(--ISNUMBER(SEARCH("R47",G165)),0)+IFERROR(--ISNUMBER(SEARCH("R48",G165)),0)+IFERROR(--ISNUMBER(SEARCH("R49",G165)),0)+IFERROR(--ISNUMBER(SEARCH("R50",G165)),0)+IFERROR(--ISNUMBER(SEARCH("R51",G165)),0)+IFERROR(--ISNUMBER(SEARCH("R52",G165)),0)+IFERROR(--ISNUMBER(SEARCH("R53",G165)),0)+IFERROR(--ISNUMBER(SEARCH("R54",G165)),0)+IFERROR(--ISNUMBER(SEARCH("R55",G165)),0)+IFERROR(--ISNUMBER(SEARCH("R56",G165)),0)+IFERROR(--ISNUMBER(SEARCH("R57",G165)),0)+IFERROR(--ISNUMBER(SEARCH("R58",G165)),0)+IFERROR(--ISNUMBER(SEARCH("R59",G165)),0)+IFERROR(--ISNUMBER(SEARCH("R60",G165)),0)+IFERROR(--ISNUMBER(SEARCH("R61",G165)),0)+IFERROR(--ISNUMBER(SEARCH("R62",G165)),0)+IFERROR(--ISNUMBER(SEARCH("R63",G165)),0)+IFERROR(--ISNUMBER(SEARCH("R64",G165)),0)+IFERROR(--ISNUMBER(SEARCH("R65",G165)),0)+IFERROR(--ISNUMBER(SEARCH("R66",G165)),0)+IFERROR(--ISNUMBER(SEARCH("R67",G165)),0)+IFERROR(--ISNUMBER(SEARCH("R68",G165)),0)+IFERROR(--ISNUMBER(SEARCH("R69",G165)),0)+IFERROR(--ISNUMBER(SEARCH("R70",G165)),0)+IFERROR(--ISNUMBER(SEARCH("R71",G165)),0)+IFERROR(--ISNUMBER(SEARCH("R72",G165)),0)+IFERROR(--ISNUMBER(SEARCH("R73",G165)),0)+IFERROR(--ISNUMBER(SEARCH("R74",G165)),0)+IFERROR(--ISNUMBER(SEARCH("R75",G165)),0)+IFERROR(--ISNUMBER(SEARCH("R76",G165)),0)+IFERROR(--ISNUMBER(SEARCH("R77",G165)),0)+IFERROR(--ISNUMBER(SEARCH("R78",G165)),0)+IFERROR(--ISNUMBER(SEARCH("R79",G165)),0)+IFERROR(--ISNUMBER(SEARCH("R80",G165)),0)+IFERROR(--ISNUMBER(SEARCH("R81",G165)),0)+IFERROR(--ISNUMBER(SEARCH("R82",G165)),0)+IFERROR(--ISNUMBER(SEARCH("R83",G165)),0)+IFERROR(--ISNUMBER(SEARCH("R84",G165)),0)+IFERROR(--ISNUMBER(SEARCH("R85",G165)),0)+IFERROR(--ISNUMBER(SEARCH("R86",G165)),0)+IFERROR(--ISNUMBER(SEARCH("R87",G165)),0)+IFERROR(--ISNUMBER(SEARCH("R88",G165)),0)+IFERROR(--ISNUMBER(SEARCH("R89",G165)),0)+IFERROR(--ISNUMBER(SEARCH("R90",G165)),0)+IFERROR(--ISNUMBER(SEARCH("R91",G165)),0)+IFERROR(--ISNUMBER(SEARCH("R92",G165)),0)+IFERROR(--ISNUMBER(SEARCH("R93",G165)),0)+IFERROR(--ISNUMBER(SEARCH("R94",G165)),0)+IFERROR(--ISNUMBER(SEARCH("R95",G165)),0)+IFERROR(--ISNUMBER(SEARCH("R96",G165)),0)+IFERROR(--ISNUMBER(SEARCH("R97",G165)),0)+IFERROR(--ISNUMBER(SEARCH("R98",G165)),0)+IFERROR(--ISNUMBER(SEARCH("R99",G165)),0)+IFERROR(--ISNUMBER(SEARCH("R100",G165)),0)+IFERROR(--ISNUMBER(SEARCH("R101",G165)),0)+IFERROR(--ISNUMBER(SEARCH("R102",G165)),0)+IFERROR(--ISNUMBER(SEARCH("R103",G165)),0)+IFERROR(--ISNUMBER(SEARCH("R104",G165)),0)+IFERROR(--ISNUMBER(SEARCH("R105",G165)),0)+IFERROR(--ISNUMBER(SEARCH("R106",G165)),0)+IFERROR(--ISNUMBER(SEARCH("R107",G165)),0)+IFERROR(--ISNUMBER(SEARCH("R108",G165)),0)+IFERROR(--ISNUMBER(SEARCH("R109",G165)),0)+IFERROR(--ISNUMBER(SEARCH("R110",G165)),0)+IFERROR(--ISNUMBER(SEARCH("R111",G165)),0)+IFERROR(--ISNUMBER(SEARCH("R112",G165)),0)+IFERROR(--ISNUMBER(SEARCH("R113",G165)),0)+IFERROR(--ISNUMBER(SEARCH("R114",G165)),0)+IFERROR(--ISNUMBER(SEARCH("R115",G165)),0)+IFERROR(--ISNUMBER(SEARCH("R116",G165)),0)+IFERROR(--ISNUMBER(SEARCH("R117",G165)),0)+IFERROR(--ISNUMBER(SEARCH("R118",G165)),0)+IFERROR(--ISNUMBER(SEARCH("R119",G165)),0)+IFERROR(--ISNUMBER(SEARCH("R120",G165)),0)+IFERROR(--ISNUMBER(SEARCH("R121",G165)),0)+IFERROR(--ISNUMBER(SEARCH("R122",G165)),0)+IFERROR(--ISNUMBER(SEARCH("R123",G165)),0)+IFERROR(--ISNUMBER(SEARCH("R124",G165)),0)+IFERROR(--ISNUMBER(SEARCH("R125",G165)),0)+IFERROR(--ISNUMBER(SEARCH("R126",G165)),0)+IFERROR(--ISNUMBER(SEARCH("R127",G165)),0)+IFERROR(--ISNUMBER(SEARCH("R128",G165)),0)+IFERROR(--ISNUMBER(SEARCH("R129",G165)),0)+IFERROR(--ISNUMBER(SEARCH("R130",G165)),0)+IFERROR(--ISNUMBER(SEARCH("R131",G165)),0)+IFERROR(--ISNUMBER(SEARCH("R132",G165)),0)+IFERROR(--ISNUMBER(SEARCH("R133",G165)),0)+IFERROR(--ISNUMBER(SEARCH("R134",G165)),0)+IFERROR(--ISNUMBER(SEARCH("R135",G165)),0)+IFERROR(--ISNUMBER(SEARCH("R136",G165)),0)+IFERROR(--ISNUMBER(SEARCH("R137",G165)),0)+IFERROR(--ISNUMBER(SEARCH("R138",G165)),0)+IFERROR(--ISNUMBER(SEARCH("R139",G165)),0)+IFERROR(--ISNUMBER(SEARCH("R140",G165)),0)+IFERROR(--ISNUMBER(SEARCH("R141",G165)),0))</f>
        <v/>
      </c>
      <c r="T165" s="58">
        <f>IF(A165="","",IFERROR(--ISNUMBER(SEARCH("R28",G165)),0)+IFERROR(--ISNUMBER(SEARCH("R29",G165)),0)+IFERROR(--ISNUMBER(SEARCH("R30",G165)),0)+IFERROR(--ISNUMBER(SEARCH("R32",G165)),0)+IFERROR(--ISNUMBER(SEARCH("R33",G165)),0)+IFERROR(--ISNUMBER(SEARCH("R35",G165)),0)+IFERROR(--ISNUMBER(SEARCH("R36",G165)),0)+IFERROR(--ISNUMBER(SEARCH("R38",G165)),0)+IFERROR(--ISNUMBER(SEARCH("R39",G165)),0)+IFERROR(--ISNUMBER(SEARCH("R43",G165)),0)+IFERROR(--ISNUMBER(SEARCH("R44",G165)),0)+IFERROR(--ISNUMBER(SEARCH("R45",G165)),0)+IFERROR(--ISNUMBER(SEARCH("R47",G165)),0)+IFERROR(--ISNUMBER(SEARCH("R48",G165)),0)+IFERROR(--ISNUMBER(SEARCH("R50",G165)),0)+IFERROR(--ISNUMBER(SEARCH("R51",G165)),0)+IFERROR(--ISNUMBER(SEARCH("R56",G165)),0)+IFERROR(--ISNUMBER(SEARCH("R58",G165)),0)+IFERROR(--ISNUMBER(SEARCH("R59",G165)),0)+IFERROR(--ISNUMBER(SEARCH("R60",G165)),0)+IFERROR(--ISNUMBER(SEARCH("R62",G165)),0)+IFERROR(--ISNUMBER(SEARCH("R63",G165)),0)+IFERROR(--ISNUMBER(SEARCH("R64",G165)),0)+IFERROR(--ISNUMBER(SEARCH("R66",G165)),0)+IFERROR(--ISNUMBER(SEARCH("R67",G165)),0)+IFERROR(--ISNUMBER(SEARCH("R72",G165)),0)+IFERROR(--ISNUMBER(SEARCH("R74",G165)),0)+IFERROR(--ISNUMBER(SEARCH("R75",G165)),0)+IFERROR(--ISNUMBER(SEARCH("R76",G165)),0)+IFERROR(--ISNUMBER(SEARCH("R77",G165)),0)+IFERROR(--ISNUMBER(SEARCH("R79",G165)),0)+IFERROR(--ISNUMBER(SEARCH("R80",G165)),0)+IFERROR(--ISNUMBER(SEARCH("R81",G165)),0)+IFERROR(--ISNUMBER(SEARCH("R83",G165)),0)+IFERROR(--ISNUMBER(SEARCH("R84",G165)),0)+IFERROR(--ISNUMBER(SEARCH("R89",G165)),0)+IFERROR(--ISNUMBER(SEARCH("R94",G165)),0)+IFERROR(--ISNUMBER(SEARCH("R95",G165)),0)+IFERROR(--ISNUMBER(SEARCH("R96",G165)),0)+IFERROR(--ISNUMBER(SEARCH("R98",G165)),0)+IFERROR(--ISNUMBER(SEARCH("R99",G165)),0)+IFERROR(--ISNUMBER(SEARCH("R100",G165)),0)+IFERROR(--ISNUMBER(SEARCH("R104",G165)),0)+IFERROR(--ISNUMBER(SEARCH("R105",G165)),0)+IFERROR(--ISNUMBER(SEARCH("R107",G165)),0)+IFERROR(--ISNUMBER(SEARCH("R108",G165)),0)+IFERROR(--ISNUMBER(SEARCH("R109",G165)),0)+IFERROR(--ISNUMBER(SEARCH("R110",G165)),0)+IFERROR(--ISNUMBER(SEARCH("R112",G165)),0)+IFERROR(--ISNUMBER(SEARCH("R113",G165)),0)+IFERROR(--ISNUMBER(SEARCH("R114",G165)),0)+IFERROR(--ISNUMBER(SEARCH("R118",G165)),0)+IFERROR(--ISNUMBER(SEARCH("R119",G165)),0)+IFERROR(--ISNUMBER(SEARCH("R120",G165)),0)+IFERROR(--ISNUMBER(SEARCH("R122",G165)),0)+IFERROR(--ISNUMBER(SEARCH("R123",G165)),0)+IFERROR(--ISNUMBER(SEARCH("R124",G165)),0)+IFERROR(--ISNUMBER(SEARCH("R128",G165)),0)+IFERROR(--ISNUMBER(SEARCH("R130",G165)),0)+IFERROR(--ISNUMBER(SEARCH("R131",G165)),0)+IFERROR(--ISNUMBER(SEARCH("R132",G165)),0)+IFERROR(--ISNUMBER(SEARCH("R135",G165)),0)+IFERROR(--ISNUMBER(SEARCH("R138",G165)),0)+IFERROR(--ISNUMBER(SEARCH("R141",G165)),0))</f>
        <v/>
      </c>
      <c r="U165" s="58">
        <f>IF(A165="","",IFERROR(--ISNUMBER(SEARCH("R28",G165))*28,0)+IFERROR(--ISNUMBER(SEARCH("R29",G165))*29,0)+IFERROR(--ISNUMBER(SEARCH("R30",G165))*30,0)+IFERROR(--ISNUMBER(SEARCH("R31",G165))*31,0)+IFERROR(--ISNUMBER(SEARCH("R32",G165))*32,0)+IFERROR(--ISNUMBER(SEARCH("R33",G165))*33,0)+IFERROR(--ISNUMBER(SEARCH("R34",G165))*34,0)+IFERROR(--ISNUMBER(SEARCH("R35",G165))*35,0)+IFERROR(--ISNUMBER(SEARCH("R36",G165))*36,0)+IFERROR(--ISNUMBER(SEARCH("R37",G165))*37,0)+IFERROR(--ISNUMBER(SEARCH("R38",G165))*38,0)+IFERROR(--ISNUMBER(SEARCH("R39",G165))*39,0)+IFERROR(--ISNUMBER(SEARCH("R40",G165))*40,0)+IFERROR(--ISNUMBER(SEARCH("R41",G165))*41,0)+IFERROR(--ISNUMBER(SEARCH("R42",G165))*42,0)+IFERROR(--ISNUMBER(SEARCH("R43",G165))*43,0)+IFERROR(--ISNUMBER(SEARCH("R44",G165))*44,0)+IFERROR(--ISNUMBER(SEARCH("R45",G165))*45,0)+IFERROR(--ISNUMBER(SEARCH("R46",G165))*46,0)+IFERROR(--ISNUMBER(SEARCH("R47",G165))*47,0)+IFERROR(--ISNUMBER(SEARCH("R48",G165))*48,0)+IFERROR(--ISNUMBER(SEARCH("R49",G165))*49,0)+IFERROR(--ISNUMBER(SEARCH("R50",G165))*50,0)+IFERROR(--ISNUMBER(SEARCH("R51",G165))*51,0)+IFERROR(--ISNUMBER(SEARCH("R52",G165))*52,0)+IFERROR(--ISNUMBER(SEARCH("R53",G165))*53,0)+IFERROR(--ISNUMBER(SEARCH("R54",G165))*54,0)+IFERROR(--ISNUMBER(SEARCH("R55",G165))*55,0)+IFERROR(--ISNUMBER(SEARCH("R56",G165))*56,0)+IFERROR(--ISNUMBER(SEARCH("R57",G165))*57,0)+IFERROR(--ISNUMBER(SEARCH("R58",G165))*58,0)+IFERROR(--ISNUMBER(SEARCH("R59",G165))*59,0)+IFERROR(--ISNUMBER(SEARCH("R60",G165))*60,0)+IFERROR(--ISNUMBER(SEARCH("R61",G165))*61,0)+IFERROR(--ISNUMBER(SEARCH("R62",G165))*62,0)+IFERROR(--ISNUMBER(SEARCH("R63",G165))*63,0)+IFERROR(--ISNUMBER(SEARCH("R64",G165))*64,0)+IFERROR(--ISNUMBER(SEARCH("R65",G165))*65,0)+IFERROR(--ISNUMBER(SEARCH("R66",G165))*66,0)+IFERROR(--ISNUMBER(SEARCH("R67",G165))*67,0)+IFERROR(--ISNUMBER(SEARCH("R68",G165))*68,0)+IFERROR(--ISNUMBER(SEARCH("R69",G165))*69,0)+IFERROR(--ISNUMBER(SEARCH("R70",G165))*70,0)+IFERROR(--ISNUMBER(SEARCH("R71",G165))*71,0)+IFERROR(--ISNUMBER(SEARCH("R72",G165))*72,0)+IFERROR(--ISNUMBER(SEARCH("R73",G165))*73,0)+IFERROR(--ISNUMBER(SEARCH("R74",G165))*74,0)+IFERROR(--ISNUMBER(SEARCH("R75",G165))*75,0)+IFERROR(--ISNUMBER(SEARCH("R76",G165))*76,0)+IFERROR(--ISNUMBER(SEARCH("R77",G165))*77,0)+IFERROR(--ISNUMBER(SEARCH("R78",G165))*78,0)+IFERROR(--ISNUMBER(SEARCH("R79",G165))*79,0)+IFERROR(--ISNUMBER(SEARCH("R80",G165))*80,0)+IFERROR(--ISNUMBER(SEARCH("R81",G165))*81,0)+IFERROR(--ISNUMBER(SEARCH("R82",G165))*82,0)+IFERROR(--ISNUMBER(SEARCH("R83",G165))*83,0)+IFERROR(--ISNUMBER(SEARCH("R84",G165))*84,0)+IFERROR(--ISNUMBER(SEARCH("R85",G165))*85,0)+IFERROR(--ISNUMBER(SEARCH("R86",G165))*86,0)+IFERROR(--ISNUMBER(SEARCH("R87",G165))*87,0)+IFERROR(--ISNUMBER(SEARCH("R88",G165))*88,0)+IFERROR(--ISNUMBER(SEARCH("R89",G165))*89,0)+IFERROR(--ISNUMBER(SEARCH("R90",G165))*90,0)+IFERROR(--ISNUMBER(SEARCH("R91",G165))*91,0)+IFERROR(--ISNUMBER(SEARCH("R92",G165))*92,0)+IFERROR(--ISNUMBER(SEARCH("R93",G165))*93,0)+IFERROR(--ISNUMBER(SEARCH("R94",G165))*94,0)+IFERROR(--ISNUMBER(SEARCH("R95",G165))*95,0)+IFERROR(--ISNUMBER(SEARCH("R96",G165))*96,0)+IFERROR(--ISNUMBER(SEARCH("R97",G165))*97,0)+IFERROR(--ISNUMBER(SEARCH("R98",G165))*98,0)+IFERROR(--ISNUMBER(SEARCH("R99",G165))*99,0)+IFERROR(--ISNUMBER(SEARCH("R100",G165))*100,0)+IFERROR(--ISNUMBER(SEARCH("R101",G165))*101,0)+IFERROR(--ISNUMBER(SEARCH("R102",G165))*102,0)+IFERROR(--ISNUMBER(SEARCH("R103",G165))*103,0)+IFERROR(--ISNUMBER(SEARCH("R104",G165))*104,0)+IFERROR(--ISNUMBER(SEARCH("R105",G165))*105,0)+IFERROR(--ISNUMBER(SEARCH("R106",G165))*106,0)+IFERROR(--ISNUMBER(SEARCH("R107",G165))*107,0)+IFERROR(--ISNUMBER(SEARCH("R108",G165))*108,0)+IFERROR(--ISNUMBER(SEARCH("R109",G165))*109,0)+IFERROR(--ISNUMBER(SEARCH("R110",G165))*110,0)+IFERROR(--ISNUMBER(SEARCH("R111",G165))*111,0)+IFERROR(--ISNUMBER(SEARCH("R112",G165))*112,0)+IFERROR(--ISNUMBER(SEARCH("R113",G165))*113,0)+IFERROR(--ISNUMBER(SEARCH("R114",G165))*114,0)+IFERROR(--ISNUMBER(SEARCH("R115",G165))*115,0)+IFERROR(--ISNUMBER(SEARCH("R116",G165))*116,0)+IFERROR(--ISNUMBER(SEARCH("R117",G165))*117,0)+IFERROR(--ISNUMBER(SEARCH("R118",G165))*118,0)+IFERROR(--ISNUMBER(SEARCH("R119",G165))*119,0)+IFERROR(--ISNUMBER(SEARCH("R120",G165))*120,0)+IFERROR(--ISNUMBER(SEARCH("R121",G165))*121,0)+IFERROR(--ISNUMBER(SEARCH("R122",G165))*122,0)+IFERROR(--ISNUMBER(SEARCH("R123",G165))*123,0)+IFERROR(--ISNUMBER(SEARCH("R124",G165))*124,0)+IFERROR(--ISNUMBER(SEARCH("R125",G165))*125,0)+IFERROR(--ISNUMBER(SEARCH("R126",G165))*126,0)+IFERROR(--ISNUMBER(SEARCH("R127",G165))*127,0)+IFERROR(--ISNUMBER(SEARCH("R128",G165))*128,0)+IFERROR(--ISNUMBER(SEARCH("R129",G165))*129,0)+IFERROR(--ISNUMBER(SEARCH("R130",G165))*130,0)+IFERROR(--ISNUMBER(SEARCH("R131",G165))*131,0)+IFERROR(--ISNUMBER(SEARCH("R132",G165))*132,0)+IFERROR(--ISNUMBER(SEARCH("R133",G165))*133,0)+IFERROR(--ISNUMBER(SEARCH("R134",G165))*134,0)+IFERROR(--ISNUMBER(SEARCH("R135",G165))*135,0)+IFERROR(--ISNUMBER(SEARCH("R136",G165))*136,0)+IFERROR(--ISNUMBER(SEARCH("R137",G165))*137,0)+IFERROR(--ISNUMBER(SEARCH("R138",G165))*138,0)+IFERROR(--ISNUMBER(SEARCH("R139",G165))*139,0)+IFERROR(--ISNUMBER(SEARCH("R140",G165))*140,0)+IFERROR(--ISNUMBER(SEARCH("R141",G165))*141,0))</f>
        <v/>
      </c>
      <c r="V165" s="59">
        <f>IF(A165="","",IF(K165&lt;&gt;"",K165,J165))</f>
        <v/>
      </c>
      <c r="W165" s="59">
        <f>IF(A165="","",IF(AND(V165=29,O165&lt;&gt;"",COUNTIFS($V$6:$V$505,29,$F$6:$F$505,F165,$C$6:$C$505,C165,$O$6:$O$505,"&lt;&gt;")&gt;1),IF(COUNTIFS($V$6:V165,29,$F$6:F165,F165,$C$6:C165,C165,$O$6:O165,"&lt;&gt;")=1,"Esta es la fila que se debe CONSERVAR (aparición 1 de "&amp;COUNTIFS($V$6:$V$505,29,$F$6:$F$505,F165,$C$6:$C$505,C165,$O$6:$O$505,"&lt;&gt;")&amp;" con el mismo tercero y valor, casilla 29). Si hay más filas iguales, bórreles el valor a ELLAS, no a esta.","DUPLICADO — ya existe otra fila con el mismo tercero y valor para casilla 29 (aparición "&amp;COUNTIFS($V$6:V165,29,$F$6:F165,F165,$C$6:C165,C165,$O$6:O165,"&lt;&gt;")&amp;" de "&amp;COUNTIFS($V$6:$V$505,29,$F$6:$F$505,F165,$C$6:$C$505,C165,$O$6:$O$505,"&lt;&gt;")&amp;"). Para resolverlo: seleccione la celda O"&amp;ROW()&amp;" (columna Valor a declarar de ESTA fila) y presione Supr."),""))</f>
        <v/>
      </c>
      <c r="X165" s="463">
        <f>IF(A165="","",F165)</f>
        <v/>
      </c>
      <c r="Y165" s="463">
        <f>IF(A165="","",SUMIF(Entrada_Manual!$I$88:$I$187,A165,Entrada_Manual!$F$88:$F$187))</f>
        <v/>
      </c>
      <c r="Z165" s="463">
        <f>IF(A165="","",X165-Y165)</f>
        <v/>
      </c>
      <c r="AA165">
        <f>IF(A165="","",SUMPRODUCT((Entrada_Manual!$I$88:$I$187=A165)*1))</f>
        <v/>
      </c>
      <c r="AB165">
        <f>IF(A165="","",IF(S165&lt;=1,"",IF(AA165=0,"PENDIENTE — SIN ASIGNAR",IF(Z165=0,"RESUELTO","PARCIAL — DIFERENCIA "&amp;TEXT(Z165,"#,##0")))))</f>
        <v/>
      </c>
    </row>
    <row r="166" ht="14.25" customHeight="1" s="235">
      <c r="A166" s="47">
        <f>IF(Exogena_RAW!E175&lt;&gt;"",ROW()-5,"")</f>
        <v/>
      </c>
      <c r="B166" s="48">
        <f>IF(A166="","",175)</f>
        <v/>
      </c>
      <c r="C166" s="48">
        <f>IF(A166="","",IFERROR(Exogena_RAW!A175,""))</f>
        <v/>
      </c>
      <c r="D166" s="48">
        <f>IF(A166="","",IFERROR(Exogena_RAW!B175,""))</f>
        <v/>
      </c>
      <c r="E166" s="48">
        <f>IF(A166="","",Exogena_RAW!E175)</f>
        <v/>
      </c>
      <c r="F166" s="461">
        <f>IF(A166="","",Exogena_RAW!F175)</f>
        <v/>
      </c>
      <c r="G166" s="48">
        <f>IF(A166="","",IFERROR(Exogena_RAW!G175,""))</f>
        <v/>
      </c>
      <c r="H166" s="48">
        <f>IF(A166="","",IFERROR(Exogena_RAW!H175,""))</f>
        <v/>
      </c>
      <c r="I166" s="48">
        <f>IF(A166="","",IFERROR(IF(S166&gt;1,"VARIAS CASILLAS",IF(S166=1,IF(T166=1,"PROPUESTA DE CASILLA","REVISIÓN: CASILLA NO DIRECTA"),IF(OR(ISNUMBER(SEARCH("TOPE",UPPER(E166))),ISNUMBER(SEARCH("TOPE",UPPER(G166)))),"SOLO CONTROL",IF(ISNUMBER(SEARCH("RETEN",UPPER(E166))),"RETENCIÓN","REVISAR")))),"REVISAR"))</f>
        <v/>
      </c>
      <c r="J166" s="48">
        <f>IF(A166="","",IF(ISNUMBER(SEARCH("ingreso laboral promedio de los últimos seis meses",E166)),"",IFERROR(IF(AND(S166=1,T166=1),U166,""),"")))</f>
        <v/>
      </c>
      <c r="K166" s="216" t="n"/>
      <c r="L166" s="48">
        <f>IF(A166="","",IFERROR(IF(K166&lt;&gt;"","Casilla elegida por usuario",IF(S166&gt;1,"Varias casillas — elegir en K",IF(J166&lt;&gt;"","Sugerencia directa",IF(S166=1,"No trasladar directo — revisar",IF(OR(ISNUMBER(SEARCH("TOPE",UPPER(E166))),ISNUMBER(SEARCH("TOPE",UPPER(G166)))),"Solo control","Revisar manualmente"))))),"Revisar manualmente"))</f>
        <v/>
      </c>
      <c r="M166" s="461">
        <f>IF(A166="","",IF(IF(K166&lt;&gt;"",K166,J166)="",0,IF(COUNTIFS(Reglas!$I$5:$I$118,IF(K166&lt;&gt;"",K166,J166),Reglas!$J$5:$J$118,"Sí")=1,F166,0)))</f>
        <v/>
      </c>
      <c r="N166" s="56" t="n"/>
      <c r="O166" s="462">
        <f>IF(A166="","",IF(M166=0,"",M166))</f>
        <v/>
      </c>
      <c r="P166" s="461">
        <f>IF(A166="","",IF(O166="",0,IF(ISNUMBER(O166),O166,0)))</f>
        <v/>
      </c>
      <c r="Q166" s="48">
        <f>IF(A166="","",IF(Exogena_RAW!$C$4="","BLOQUEADO: FALTA AÑO",IF(Exogena_RAW!$K$10&lt;&gt;Reglas!$B$5,"BLOQUEADO: AÑO",IF(IF(K166&lt;&gt;"",K166,J166)="",IF(S166&gt;1,"REQUIERE ASIGNACIÓN MANUAL (VARIAS CASILLAS)","INFORMATIVO (sin casilla — no se declara)"),IF(COUNTIFS(Reglas!$I$5:$I$118,IF(K166&lt;&gt;"",K166,J166),Reglas!$J$5:$J$118,"Sí")=0,"BLOQUEADO: CASILLA NO DIRECTA",IF(O166="","EXCLUIDO (valor borrado por el usuario)",IF(_xlfn.ISFORMULA(O166),IF(W166&lt;&gt;"","BORRADOR — VALOR SUGERIDO DIAN ⚠ VER ALERTA","BORRADOR — VALOR SUGERIDO DIAN"),IF(W166&lt;&gt;"","ACEPTADO ⚠ VER ALERTA","ACEPTADO"))))))))</f>
        <v/>
      </c>
      <c r="R166" s="218" t="n"/>
      <c r="S166" s="58">
        <f>IF(A166="","",IFERROR(--ISNUMBER(SEARCH("R28",G166)),0)+IFERROR(--ISNUMBER(SEARCH("R29",G166)),0)+IFERROR(--ISNUMBER(SEARCH("R30",G166)),0)+IFERROR(--ISNUMBER(SEARCH("R31",G166)),0)+IFERROR(--ISNUMBER(SEARCH("R32",G166)),0)+IFERROR(--ISNUMBER(SEARCH("R33",G166)),0)+IFERROR(--ISNUMBER(SEARCH("R34",G166)),0)+IFERROR(--ISNUMBER(SEARCH("R35",G166)),0)+IFERROR(--ISNUMBER(SEARCH("R36",G166)),0)+IFERROR(--ISNUMBER(SEARCH("R37",G166)),0)+IFERROR(--ISNUMBER(SEARCH("R38",G166)),0)+IFERROR(--ISNUMBER(SEARCH("R39",G166)),0)+IFERROR(--ISNUMBER(SEARCH("R40",G166)),0)+IFERROR(--ISNUMBER(SEARCH("R41",G166)),0)+IFERROR(--ISNUMBER(SEARCH("R42",G166)),0)+IFERROR(--ISNUMBER(SEARCH("R43",G166)),0)+IFERROR(--ISNUMBER(SEARCH("R44",G166)),0)+IFERROR(--ISNUMBER(SEARCH("R45",G166)),0)+IFERROR(--ISNUMBER(SEARCH("R46",G166)),0)+IFERROR(--ISNUMBER(SEARCH("R47",G166)),0)+IFERROR(--ISNUMBER(SEARCH("R48",G166)),0)+IFERROR(--ISNUMBER(SEARCH("R49",G166)),0)+IFERROR(--ISNUMBER(SEARCH("R50",G166)),0)+IFERROR(--ISNUMBER(SEARCH("R51",G166)),0)+IFERROR(--ISNUMBER(SEARCH("R52",G166)),0)+IFERROR(--ISNUMBER(SEARCH("R53",G166)),0)+IFERROR(--ISNUMBER(SEARCH("R54",G166)),0)+IFERROR(--ISNUMBER(SEARCH("R55",G166)),0)+IFERROR(--ISNUMBER(SEARCH("R56",G166)),0)+IFERROR(--ISNUMBER(SEARCH("R57",G166)),0)+IFERROR(--ISNUMBER(SEARCH("R58",G166)),0)+IFERROR(--ISNUMBER(SEARCH("R59",G166)),0)+IFERROR(--ISNUMBER(SEARCH("R60",G166)),0)+IFERROR(--ISNUMBER(SEARCH("R61",G166)),0)+IFERROR(--ISNUMBER(SEARCH("R62",G166)),0)+IFERROR(--ISNUMBER(SEARCH("R63",G166)),0)+IFERROR(--ISNUMBER(SEARCH("R64",G166)),0)+IFERROR(--ISNUMBER(SEARCH("R65",G166)),0)+IFERROR(--ISNUMBER(SEARCH("R66",G166)),0)+IFERROR(--ISNUMBER(SEARCH("R67",G166)),0)+IFERROR(--ISNUMBER(SEARCH("R68",G166)),0)+IFERROR(--ISNUMBER(SEARCH("R69",G166)),0)+IFERROR(--ISNUMBER(SEARCH("R70",G166)),0)+IFERROR(--ISNUMBER(SEARCH("R71",G166)),0)+IFERROR(--ISNUMBER(SEARCH("R72",G166)),0)+IFERROR(--ISNUMBER(SEARCH("R73",G166)),0)+IFERROR(--ISNUMBER(SEARCH("R74",G166)),0)+IFERROR(--ISNUMBER(SEARCH("R75",G166)),0)+IFERROR(--ISNUMBER(SEARCH("R76",G166)),0)+IFERROR(--ISNUMBER(SEARCH("R77",G166)),0)+IFERROR(--ISNUMBER(SEARCH("R78",G166)),0)+IFERROR(--ISNUMBER(SEARCH("R79",G166)),0)+IFERROR(--ISNUMBER(SEARCH("R80",G166)),0)+IFERROR(--ISNUMBER(SEARCH("R81",G166)),0)+IFERROR(--ISNUMBER(SEARCH("R82",G166)),0)+IFERROR(--ISNUMBER(SEARCH("R83",G166)),0)+IFERROR(--ISNUMBER(SEARCH("R84",G166)),0)+IFERROR(--ISNUMBER(SEARCH("R85",G166)),0)+IFERROR(--ISNUMBER(SEARCH("R86",G166)),0)+IFERROR(--ISNUMBER(SEARCH("R87",G166)),0)+IFERROR(--ISNUMBER(SEARCH("R88",G166)),0)+IFERROR(--ISNUMBER(SEARCH("R89",G166)),0)+IFERROR(--ISNUMBER(SEARCH("R90",G166)),0)+IFERROR(--ISNUMBER(SEARCH("R91",G166)),0)+IFERROR(--ISNUMBER(SEARCH("R92",G166)),0)+IFERROR(--ISNUMBER(SEARCH("R93",G166)),0)+IFERROR(--ISNUMBER(SEARCH("R94",G166)),0)+IFERROR(--ISNUMBER(SEARCH("R95",G166)),0)+IFERROR(--ISNUMBER(SEARCH("R96",G166)),0)+IFERROR(--ISNUMBER(SEARCH("R97",G166)),0)+IFERROR(--ISNUMBER(SEARCH("R98",G166)),0)+IFERROR(--ISNUMBER(SEARCH("R99",G166)),0)+IFERROR(--ISNUMBER(SEARCH("R100",G166)),0)+IFERROR(--ISNUMBER(SEARCH("R101",G166)),0)+IFERROR(--ISNUMBER(SEARCH("R102",G166)),0)+IFERROR(--ISNUMBER(SEARCH("R103",G166)),0)+IFERROR(--ISNUMBER(SEARCH("R104",G166)),0)+IFERROR(--ISNUMBER(SEARCH("R105",G166)),0)+IFERROR(--ISNUMBER(SEARCH("R106",G166)),0)+IFERROR(--ISNUMBER(SEARCH("R107",G166)),0)+IFERROR(--ISNUMBER(SEARCH("R108",G166)),0)+IFERROR(--ISNUMBER(SEARCH("R109",G166)),0)+IFERROR(--ISNUMBER(SEARCH("R110",G166)),0)+IFERROR(--ISNUMBER(SEARCH("R111",G166)),0)+IFERROR(--ISNUMBER(SEARCH("R112",G166)),0)+IFERROR(--ISNUMBER(SEARCH("R113",G166)),0)+IFERROR(--ISNUMBER(SEARCH("R114",G166)),0)+IFERROR(--ISNUMBER(SEARCH("R115",G166)),0)+IFERROR(--ISNUMBER(SEARCH("R116",G166)),0)+IFERROR(--ISNUMBER(SEARCH("R117",G166)),0)+IFERROR(--ISNUMBER(SEARCH("R118",G166)),0)+IFERROR(--ISNUMBER(SEARCH("R119",G166)),0)+IFERROR(--ISNUMBER(SEARCH("R120",G166)),0)+IFERROR(--ISNUMBER(SEARCH("R121",G166)),0)+IFERROR(--ISNUMBER(SEARCH("R122",G166)),0)+IFERROR(--ISNUMBER(SEARCH("R123",G166)),0)+IFERROR(--ISNUMBER(SEARCH("R124",G166)),0)+IFERROR(--ISNUMBER(SEARCH("R125",G166)),0)+IFERROR(--ISNUMBER(SEARCH("R126",G166)),0)+IFERROR(--ISNUMBER(SEARCH("R127",G166)),0)+IFERROR(--ISNUMBER(SEARCH("R128",G166)),0)+IFERROR(--ISNUMBER(SEARCH("R129",G166)),0)+IFERROR(--ISNUMBER(SEARCH("R130",G166)),0)+IFERROR(--ISNUMBER(SEARCH("R131",G166)),0)+IFERROR(--ISNUMBER(SEARCH("R132",G166)),0)+IFERROR(--ISNUMBER(SEARCH("R133",G166)),0)+IFERROR(--ISNUMBER(SEARCH("R134",G166)),0)+IFERROR(--ISNUMBER(SEARCH("R135",G166)),0)+IFERROR(--ISNUMBER(SEARCH("R136",G166)),0)+IFERROR(--ISNUMBER(SEARCH("R137",G166)),0)+IFERROR(--ISNUMBER(SEARCH("R138",G166)),0)+IFERROR(--ISNUMBER(SEARCH("R139",G166)),0)+IFERROR(--ISNUMBER(SEARCH("R140",G166)),0)+IFERROR(--ISNUMBER(SEARCH("R141",G166)),0))</f>
        <v/>
      </c>
      <c r="T166" s="58">
        <f>IF(A166="","",IFERROR(--ISNUMBER(SEARCH("R28",G166)),0)+IFERROR(--ISNUMBER(SEARCH("R29",G166)),0)+IFERROR(--ISNUMBER(SEARCH("R30",G166)),0)+IFERROR(--ISNUMBER(SEARCH("R32",G166)),0)+IFERROR(--ISNUMBER(SEARCH("R33",G166)),0)+IFERROR(--ISNUMBER(SEARCH("R35",G166)),0)+IFERROR(--ISNUMBER(SEARCH("R36",G166)),0)+IFERROR(--ISNUMBER(SEARCH("R38",G166)),0)+IFERROR(--ISNUMBER(SEARCH("R39",G166)),0)+IFERROR(--ISNUMBER(SEARCH("R43",G166)),0)+IFERROR(--ISNUMBER(SEARCH("R44",G166)),0)+IFERROR(--ISNUMBER(SEARCH("R45",G166)),0)+IFERROR(--ISNUMBER(SEARCH("R47",G166)),0)+IFERROR(--ISNUMBER(SEARCH("R48",G166)),0)+IFERROR(--ISNUMBER(SEARCH("R50",G166)),0)+IFERROR(--ISNUMBER(SEARCH("R51",G166)),0)+IFERROR(--ISNUMBER(SEARCH("R56",G166)),0)+IFERROR(--ISNUMBER(SEARCH("R58",G166)),0)+IFERROR(--ISNUMBER(SEARCH("R59",G166)),0)+IFERROR(--ISNUMBER(SEARCH("R60",G166)),0)+IFERROR(--ISNUMBER(SEARCH("R62",G166)),0)+IFERROR(--ISNUMBER(SEARCH("R63",G166)),0)+IFERROR(--ISNUMBER(SEARCH("R64",G166)),0)+IFERROR(--ISNUMBER(SEARCH("R66",G166)),0)+IFERROR(--ISNUMBER(SEARCH("R67",G166)),0)+IFERROR(--ISNUMBER(SEARCH("R72",G166)),0)+IFERROR(--ISNUMBER(SEARCH("R74",G166)),0)+IFERROR(--ISNUMBER(SEARCH("R75",G166)),0)+IFERROR(--ISNUMBER(SEARCH("R76",G166)),0)+IFERROR(--ISNUMBER(SEARCH("R77",G166)),0)+IFERROR(--ISNUMBER(SEARCH("R79",G166)),0)+IFERROR(--ISNUMBER(SEARCH("R80",G166)),0)+IFERROR(--ISNUMBER(SEARCH("R81",G166)),0)+IFERROR(--ISNUMBER(SEARCH("R83",G166)),0)+IFERROR(--ISNUMBER(SEARCH("R84",G166)),0)+IFERROR(--ISNUMBER(SEARCH("R89",G166)),0)+IFERROR(--ISNUMBER(SEARCH("R94",G166)),0)+IFERROR(--ISNUMBER(SEARCH("R95",G166)),0)+IFERROR(--ISNUMBER(SEARCH("R96",G166)),0)+IFERROR(--ISNUMBER(SEARCH("R98",G166)),0)+IFERROR(--ISNUMBER(SEARCH("R99",G166)),0)+IFERROR(--ISNUMBER(SEARCH("R100",G166)),0)+IFERROR(--ISNUMBER(SEARCH("R104",G166)),0)+IFERROR(--ISNUMBER(SEARCH("R105",G166)),0)+IFERROR(--ISNUMBER(SEARCH("R107",G166)),0)+IFERROR(--ISNUMBER(SEARCH("R108",G166)),0)+IFERROR(--ISNUMBER(SEARCH("R109",G166)),0)+IFERROR(--ISNUMBER(SEARCH("R110",G166)),0)+IFERROR(--ISNUMBER(SEARCH("R112",G166)),0)+IFERROR(--ISNUMBER(SEARCH("R113",G166)),0)+IFERROR(--ISNUMBER(SEARCH("R114",G166)),0)+IFERROR(--ISNUMBER(SEARCH("R118",G166)),0)+IFERROR(--ISNUMBER(SEARCH("R119",G166)),0)+IFERROR(--ISNUMBER(SEARCH("R120",G166)),0)+IFERROR(--ISNUMBER(SEARCH("R122",G166)),0)+IFERROR(--ISNUMBER(SEARCH("R123",G166)),0)+IFERROR(--ISNUMBER(SEARCH("R124",G166)),0)+IFERROR(--ISNUMBER(SEARCH("R128",G166)),0)+IFERROR(--ISNUMBER(SEARCH("R130",G166)),0)+IFERROR(--ISNUMBER(SEARCH("R131",G166)),0)+IFERROR(--ISNUMBER(SEARCH("R132",G166)),0)+IFERROR(--ISNUMBER(SEARCH("R135",G166)),0)+IFERROR(--ISNUMBER(SEARCH("R138",G166)),0)+IFERROR(--ISNUMBER(SEARCH("R141",G166)),0))</f>
        <v/>
      </c>
      <c r="U166" s="58">
        <f>IF(A166="","",IFERROR(--ISNUMBER(SEARCH("R28",G166))*28,0)+IFERROR(--ISNUMBER(SEARCH("R29",G166))*29,0)+IFERROR(--ISNUMBER(SEARCH("R30",G166))*30,0)+IFERROR(--ISNUMBER(SEARCH("R31",G166))*31,0)+IFERROR(--ISNUMBER(SEARCH("R32",G166))*32,0)+IFERROR(--ISNUMBER(SEARCH("R33",G166))*33,0)+IFERROR(--ISNUMBER(SEARCH("R34",G166))*34,0)+IFERROR(--ISNUMBER(SEARCH("R35",G166))*35,0)+IFERROR(--ISNUMBER(SEARCH("R36",G166))*36,0)+IFERROR(--ISNUMBER(SEARCH("R37",G166))*37,0)+IFERROR(--ISNUMBER(SEARCH("R38",G166))*38,0)+IFERROR(--ISNUMBER(SEARCH("R39",G166))*39,0)+IFERROR(--ISNUMBER(SEARCH("R40",G166))*40,0)+IFERROR(--ISNUMBER(SEARCH("R41",G166))*41,0)+IFERROR(--ISNUMBER(SEARCH("R42",G166))*42,0)+IFERROR(--ISNUMBER(SEARCH("R43",G166))*43,0)+IFERROR(--ISNUMBER(SEARCH("R44",G166))*44,0)+IFERROR(--ISNUMBER(SEARCH("R45",G166))*45,0)+IFERROR(--ISNUMBER(SEARCH("R46",G166))*46,0)+IFERROR(--ISNUMBER(SEARCH("R47",G166))*47,0)+IFERROR(--ISNUMBER(SEARCH("R48",G166))*48,0)+IFERROR(--ISNUMBER(SEARCH("R49",G166))*49,0)+IFERROR(--ISNUMBER(SEARCH("R50",G166))*50,0)+IFERROR(--ISNUMBER(SEARCH("R51",G166))*51,0)+IFERROR(--ISNUMBER(SEARCH("R52",G166))*52,0)+IFERROR(--ISNUMBER(SEARCH("R53",G166))*53,0)+IFERROR(--ISNUMBER(SEARCH("R54",G166))*54,0)+IFERROR(--ISNUMBER(SEARCH("R55",G166))*55,0)+IFERROR(--ISNUMBER(SEARCH("R56",G166))*56,0)+IFERROR(--ISNUMBER(SEARCH("R57",G166))*57,0)+IFERROR(--ISNUMBER(SEARCH("R58",G166))*58,0)+IFERROR(--ISNUMBER(SEARCH("R59",G166))*59,0)+IFERROR(--ISNUMBER(SEARCH("R60",G166))*60,0)+IFERROR(--ISNUMBER(SEARCH("R61",G166))*61,0)+IFERROR(--ISNUMBER(SEARCH("R62",G166))*62,0)+IFERROR(--ISNUMBER(SEARCH("R63",G166))*63,0)+IFERROR(--ISNUMBER(SEARCH("R64",G166))*64,0)+IFERROR(--ISNUMBER(SEARCH("R65",G166))*65,0)+IFERROR(--ISNUMBER(SEARCH("R66",G166))*66,0)+IFERROR(--ISNUMBER(SEARCH("R67",G166))*67,0)+IFERROR(--ISNUMBER(SEARCH("R68",G166))*68,0)+IFERROR(--ISNUMBER(SEARCH("R69",G166))*69,0)+IFERROR(--ISNUMBER(SEARCH("R70",G166))*70,0)+IFERROR(--ISNUMBER(SEARCH("R71",G166))*71,0)+IFERROR(--ISNUMBER(SEARCH("R72",G166))*72,0)+IFERROR(--ISNUMBER(SEARCH("R73",G166))*73,0)+IFERROR(--ISNUMBER(SEARCH("R74",G166))*74,0)+IFERROR(--ISNUMBER(SEARCH("R75",G166))*75,0)+IFERROR(--ISNUMBER(SEARCH("R76",G166))*76,0)+IFERROR(--ISNUMBER(SEARCH("R77",G166))*77,0)+IFERROR(--ISNUMBER(SEARCH("R78",G166))*78,0)+IFERROR(--ISNUMBER(SEARCH("R79",G166))*79,0)+IFERROR(--ISNUMBER(SEARCH("R80",G166))*80,0)+IFERROR(--ISNUMBER(SEARCH("R81",G166))*81,0)+IFERROR(--ISNUMBER(SEARCH("R82",G166))*82,0)+IFERROR(--ISNUMBER(SEARCH("R83",G166))*83,0)+IFERROR(--ISNUMBER(SEARCH("R84",G166))*84,0)+IFERROR(--ISNUMBER(SEARCH("R85",G166))*85,0)+IFERROR(--ISNUMBER(SEARCH("R86",G166))*86,0)+IFERROR(--ISNUMBER(SEARCH("R87",G166))*87,0)+IFERROR(--ISNUMBER(SEARCH("R88",G166))*88,0)+IFERROR(--ISNUMBER(SEARCH("R89",G166))*89,0)+IFERROR(--ISNUMBER(SEARCH("R90",G166))*90,0)+IFERROR(--ISNUMBER(SEARCH("R91",G166))*91,0)+IFERROR(--ISNUMBER(SEARCH("R92",G166))*92,0)+IFERROR(--ISNUMBER(SEARCH("R93",G166))*93,0)+IFERROR(--ISNUMBER(SEARCH("R94",G166))*94,0)+IFERROR(--ISNUMBER(SEARCH("R95",G166))*95,0)+IFERROR(--ISNUMBER(SEARCH("R96",G166))*96,0)+IFERROR(--ISNUMBER(SEARCH("R97",G166))*97,0)+IFERROR(--ISNUMBER(SEARCH("R98",G166))*98,0)+IFERROR(--ISNUMBER(SEARCH("R99",G166))*99,0)+IFERROR(--ISNUMBER(SEARCH("R100",G166))*100,0)+IFERROR(--ISNUMBER(SEARCH("R101",G166))*101,0)+IFERROR(--ISNUMBER(SEARCH("R102",G166))*102,0)+IFERROR(--ISNUMBER(SEARCH("R103",G166))*103,0)+IFERROR(--ISNUMBER(SEARCH("R104",G166))*104,0)+IFERROR(--ISNUMBER(SEARCH("R105",G166))*105,0)+IFERROR(--ISNUMBER(SEARCH("R106",G166))*106,0)+IFERROR(--ISNUMBER(SEARCH("R107",G166))*107,0)+IFERROR(--ISNUMBER(SEARCH("R108",G166))*108,0)+IFERROR(--ISNUMBER(SEARCH("R109",G166))*109,0)+IFERROR(--ISNUMBER(SEARCH("R110",G166))*110,0)+IFERROR(--ISNUMBER(SEARCH("R111",G166))*111,0)+IFERROR(--ISNUMBER(SEARCH("R112",G166))*112,0)+IFERROR(--ISNUMBER(SEARCH("R113",G166))*113,0)+IFERROR(--ISNUMBER(SEARCH("R114",G166))*114,0)+IFERROR(--ISNUMBER(SEARCH("R115",G166))*115,0)+IFERROR(--ISNUMBER(SEARCH("R116",G166))*116,0)+IFERROR(--ISNUMBER(SEARCH("R117",G166))*117,0)+IFERROR(--ISNUMBER(SEARCH("R118",G166))*118,0)+IFERROR(--ISNUMBER(SEARCH("R119",G166))*119,0)+IFERROR(--ISNUMBER(SEARCH("R120",G166))*120,0)+IFERROR(--ISNUMBER(SEARCH("R121",G166))*121,0)+IFERROR(--ISNUMBER(SEARCH("R122",G166))*122,0)+IFERROR(--ISNUMBER(SEARCH("R123",G166))*123,0)+IFERROR(--ISNUMBER(SEARCH("R124",G166))*124,0)+IFERROR(--ISNUMBER(SEARCH("R125",G166))*125,0)+IFERROR(--ISNUMBER(SEARCH("R126",G166))*126,0)+IFERROR(--ISNUMBER(SEARCH("R127",G166))*127,0)+IFERROR(--ISNUMBER(SEARCH("R128",G166))*128,0)+IFERROR(--ISNUMBER(SEARCH("R129",G166))*129,0)+IFERROR(--ISNUMBER(SEARCH("R130",G166))*130,0)+IFERROR(--ISNUMBER(SEARCH("R131",G166))*131,0)+IFERROR(--ISNUMBER(SEARCH("R132",G166))*132,0)+IFERROR(--ISNUMBER(SEARCH("R133",G166))*133,0)+IFERROR(--ISNUMBER(SEARCH("R134",G166))*134,0)+IFERROR(--ISNUMBER(SEARCH("R135",G166))*135,0)+IFERROR(--ISNUMBER(SEARCH("R136",G166))*136,0)+IFERROR(--ISNUMBER(SEARCH("R137",G166))*137,0)+IFERROR(--ISNUMBER(SEARCH("R138",G166))*138,0)+IFERROR(--ISNUMBER(SEARCH("R139",G166))*139,0)+IFERROR(--ISNUMBER(SEARCH("R140",G166))*140,0)+IFERROR(--ISNUMBER(SEARCH("R141",G166))*141,0))</f>
        <v/>
      </c>
      <c r="V166" s="59">
        <f>IF(A166="","",IF(K166&lt;&gt;"",K166,J166))</f>
        <v/>
      </c>
      <c r="W166" s="59">
        <f>IF(A166="","",IF(AND(V166=29,O166&lt;&gt;"",COUNTIFS($V$6:$V$505,29,$F$6:$F$505,F166,$C$6:$C$505,C166,$O$6:$O$505,"&lt;&gt;")&gt;1),IF(COUNTIFS($V$6:V166,29,$F$6:F166,F166,$C$6:C166,C166,$O$6:O166,"&lt;&gt;")=1,"Esta es la fila que se debe CONSERVAR (aparición 1 de "&amp;COUNTIFS($V$6:$V$505,29,$F$6:$F$505,F166,$C$6:$C$505,C166,$O$6:$O$505,"&lt;&gt;")&amp;" con el mismo tercero y valor, casilla 29). Si hay más filas iguales, bórreles el valor a ELLAS, no a esta.","DUPLICADO — ya existe otra fila con el mismo tercero y valor para casilla 29 (aparición "&amp;COUNTIFS($V$6:V166,29,$F$6:F166,F166,$C$6:C166,C166,$O$6:O166,"&lt;&gt;")&amp;" de "&amp;COUNTIFS($V$6:$V$505,29,$F$6:$F$505,F166,$C$6:$C$505,C166,$O$6:$O$505,"&lt;&gt;")&amp;"). Para resolverlo: seleccione la celda O"&amp;ROW()&amp;" (columna Valor a declarar de ESTA fila) y presione Supr."),""))</f>
        <v/>
      </c>
      <c r="X166" s="463">
        <f>IF(A166="","",F166)</f>
        <v/>
      </c>
      <c r="Y166" s="463">
        <f>IF(A166="","",SUMIF(Entrada_Manual!$I$88:$I$187,A166,Entrada_Manual!$F$88:$F$187))</f>
        <v/>
      </c>
      <c r="Z166" s="463">
        <f>IF(A166="","",X166-Y166)</f>
        <v/>
      </c>
      <c r="AA166">
        <f>IF(A166="","",SUMPRODUCT((Entrada_Manual!$I$88:$I$187=A166)*1))</f>
        <v/>
      </c>
      <c r="AB166">
        <f>IF(A166="","",IF(S166&lt;=1,"",IF(AA166=0,"PENDIENTE — SIN ASIGNAR",IF(Z166=0,"RESUELTO","PARCIAL — DIFERENCIA "&amp;TEXT(Z166,"#,##0")))))</f>
        <v/>
      </c>
    </row>
    <row r="167" ht="14.25" customHeight="1" s="235">
      <c r="A167" s="47">
        <f>IF(Exogena_RAW!E176&lt;&gt;"",ROW()-5,"")</f>
        <v/>
      </c>
      <c r="B167" s="48">
        <f>IF(A167="","",176)</f>
        <v/>
      </c>
      <c r="C167" s="48">
        <f>IF(A167="","",IFERROR(Exogena_RAW!A176,""))</f>
        <v/>
      </c>
      <c r="D167" s="48">
        <f>IF(A167="","",IFERROR(Exogena_RAW!B176,""))</f>
        <v/>
      </c>
      <c r="E167" s="48">
        <f>IF(A167="","",Exogena_RAW!E176)</f>
        <v/>
      </c>
      <c r="F167" s="461">
        <f>IF(A167="","",Exogena_RAW!F176)</f>
        <v/>
      </c>
      <c r="G167" s="48">
        <f>IF(A167="","",IFERROR(Exogena_RAW!G176,""))</f>
        <v/>
      </c>
      <c r="H167" s="48">
        <f>IF(A167="","",IFERROR(Exogena_RAW!H176,""))</f>
        <v/>
      </c>
      <c r="I167" s="48">
        <f>IF(A167="","",IFERROR(IF(S167&gt;1,"VARIAS CASILLAS",IF(S167=1,IF(T167=1,"PROPUESTA DE CASILLA","REVISIÓN: CASILLA NO DIRECTA"),IF(OR(ISNUMBER(SEARCH("TOPE",UPPER(E167))),ISNUMBER(SEARCH("TOPE",UPPER(G167)))),"SOLO CONTROL",IF(ISNUMBER(SEARCH("RETEN",UPPER(E167))),"RETENCIÓN","REVISAR")))),"REVISAR"))</f>
        <v/>
      </c>
      <c r="J167" s="48">
        <f>IF(A167="","",IF(ISNUMBER(SEARCH("ingreso laboral promedio de los últimos seis meses",E167)),"",IFERROR(IF(AND(S167=1,T167=1),U167,""),"")))</f>
        <v/>
      </c>
      <c r="K167" s="216" t="n"/>
      <c r="L167" s="48">
        <f>IF(A167="","",IFERROR(IF(K167&lt;&gt;"","Casilla elegida por usuario",IF(S167&gt;1,"Varias casillas — elegir en K",IF(J167&lt;&gt;"","Sugerencia directa",IF(S167=1,"No trasladar directo — revisar",IF(OR(ISNUMBER(SEARCH("TOPE",UPPER(E167))),ISNUMBER(SEARCH("TOPE",UPPER(G167)))),"Solo control","Revisar manualmente"))))),"Revisar manualmente"))</f>
        <v/>
      </c>
      <c r="M167" s="461">
        <f>IF(A167="","",IF(IF(K167&lt;&gt;"",K167,J167)="",0,IF(COUNTIFS(Reglas!$I$5:$I$118,IF(K167&lt;&gt;"",K167,J167),Reglas!$J$5:$J$118,"Sí")=1,F167,0)))</f>
        <v/>
      </c>
      <c r="N167" s="56" t="n"/>
      <c r="O167" s="462">
        <f>IF(A167="","",IF(M167=0,"",M167))</f>
        <v/>
      </c>
      <c r="P167" s="461">
        <f>IF(A167="","",IF(O167="",0,IF(ISNUMBER(O167),O167,0)))</f>
        <v/>
      </c>
      <c r="Q167" s="48">
        <f>IF(A167="","",IF(Exogena_RAW!$C$4="","BLOQUEADO: FALTA AÑO",IF(Exogena_RAW!$K$10&lt;&gt;Reglas!$B$5,"BLOQUEADO: AÑO",IF(IF(K167&lt;&gt;"",K167,J167)="",IF(S167&gt;1,"REQUIERE ASIGNACIÓN MANUAL (VARIAS CASILLAS)","INFORMATIVO (sin casilla — no se declara)"),IF(COUNTIFS(Reglas!$I$5:$I$118,IF(K167&lt;&gt;"",K167,J167),Reglas!$J$5:$J$118,"Sí")=0,"BLOQUEADO: CASILLA NO DIRECTA",IF(O167="","EXCLUIDO (valor borrado por el usuario)",IF(_xlfn.ISFORMULA(O167),IF(W167&lt;&gt;"","BORRADOR — VALOR SUGERIDO DIAN ⚠ VER ALERTA","BORRADOR — VALOR SUGERIDO DIAN"),IF(W167&lt;&gt;"","ACEPTADO ⚠ VER ALERTA","ACEPTADO"))))))))</f>
        <v/>
      </c>
      <c r="R167" s="218" t="n"/>
      <c r="S167" s="58">
        <f>IF(A167="","",IFERROR(--ISNUMBER(SEARCH("R28",G167)),0)+IFERROR(--ISNUMBER(SEARCH("R29",G167)),0)+IFERROR(--ISNUMBER(SEARCH("R30",G167)),0)+IFERROR(--ISNUMBER(SEARCH("R31",G167)),0)+IFERROR(--ISNUMBER(SEARCH("R32",G167)),0)+IFERROR(--ISNUMBER(SEARCH("R33",G167)),0)+IFERROR(--ISNUMBER(SEARCH("R34",G167)),0)+IFERROR(--ISNUMBER(SEARCH("R35",G167)),0)+IFERROR(--ISNUMBER(SEARCH("R36",G167)),0)+IFERROR(--ISNUMBER(SEARCH("R37",G167)),0)+IFERROR(--ISNUMBER(SEARCH("R38",G167)),0)+IFERROR(--ISNUMBER(SEARCH("R39",G167)),0)+IFERROR(--ISNUMBER(SEARCH("R40",G167)),0)+IFERROR(--ISNUMBER(SEARCH("R41",G167)),0)+IFERROR(--ISNUMBER(SEARCH("R42",G167)),0)+IFERROR(--ISNUMBER(SEARCH("R43",G167)),0)+IFERROR(--ISNUMBER(SEARCH("R44",G167)),0)+IFERROR(--ISNUMBER(SEARCH("R45",G167)),0)+IFERROR(--ISNUMBER(SEARCH("R46",G167)),0)+IFERROR(--ISNUMBER(SEARCH("R47",G167)),0)+IFERROR(--ISNUMBER(SEARCH("R48",G167)),0)+IFERROR(--ISNUMBER(SEARCH("R49",G167)),0)+IFERROR(--ISNUMBER(SEARCH("R50",G167)),0)+IFERROR(--ISNUMBER(SEARCH("R51",G167)),0)+IFERROR(--ISNUMBER(SEARCH("R52",G167)),0)+IFERROR(--ISNUMBER(SEARCH("R53",G167)),0)+IFERROR(--ISNUMBER(SEARCH("R54",G167)),0)+IFERROR(--ISNUMBER(SEARCH("R55",G167)),0)+IFERROR(--ISNUMBER(SEARCH("R56",G167)),0)+IFERROR(--ISNUMBER(SEARCH("R57",G167)),0)+IFERROR(--ISNUMBER(SEARCH("R58",G167)),0)+IFERROR(--ISNUMBER(SEARCH("R59",G167)),0)+IFERROR(--ISNUMBER(SEARCH("R60",G167)),0)+IFERROR(--ISNUMBER(SEARCH("R61",G167)),0)+IFERROR(--ISNUMBER(SEARCH("R62",G167)),0)+IFERROR(--ISNUMBER(SEARCH("R63",G167)),0)+IFERROR(--ISNUMBER(SEARCH("R64",G167)),0)+IFERROR(--ISNUMBER(SEARCH("R65",G167)),0)+IFERROR(--ISNUMBER(SEARCH("R66",G167)),0)+IFERROR(--ISNUMBER(SEARCH("R67",G167)),0)+IFERROR(--ISNUMBER(SEARCH("R68",G167)),0)+IFERROR(--ISNUMBER(SEARCH("R69",G167)),0)+IFERROR(--ISNUMBER(SEARCH("R70",G167)),0)+IFERROR(--ISNUMBER(SEARCH("R71",G167)),0)+IFERROR(--ISNUMBER(SEARCH("R72",G167)),0)+IFERROR(--ISNUMBER(SEARCH("R73",G167)),0)+IFERROR(--ISNUMBER(SEARCH("R74",G167)),0)+IFERROR(--ISNUMBER(SEARCH("R75",G167)),0)+IFERROR(--ISNUMBER(SEARCH("R76",G167)),0)+IFERROR(--ISNUMBER(SEARCH("R77",G167)),0)+IFERROR(--ISNUMBER(SEARCH("R78",G167)),0)+IFERROR(--ISNUMBER(SEARCH("R79",G167)),0)+IFERROR(--ISNUMBER(SEARCH("R80",G167)),0)+IFERROR(--ISNUMBER(SEARCH("R81",G167)),0)+IFERROR(--ISNUMBER(SEARCH("R82",G167)),0)+IFERROR(--ISNUMBER(SEARCH("R83",G167)),0)+IFERROR(--ISNUMBER(SEARCH("R84",G167)),0)+IFERROR(--ISNUMBER(SEARCH("R85",G167)),0)+IFERROR(--ISNUMBER(SEARCH("R86",G167)),0)+IFERROR(--ISNUMBER(SEARCH("R87",G167)),0)+IFERROR(--ISNUMBER(SEARCH("R88",G167)),0)+IFERROR(--ISNUMBER(SEARCH("R89",G167)),0)+IFERROR(--ISNUMBER(SEARCH("R90",G167)),0)+IFERROR(--ISNUMBER(SEARCH("R91",G167)),0)+IFERROR(--ISNUMBER(SEARCH("R92",G167)),0)+IFERROR(--ISNUMBER(SEARCH("R93",G167)),0)+IFERROR(--ISNUMBER(SEARCH("R94",G167)),0)+IFERROR(--ISNUMBER(SEARCH("R95",G167)),0)+IFERROR(--ISNUMBER(SEARCH("R96",G167)),0)+IFERROR(--ISNUMBER(SEARCH("R97",G167)),0)+IFERROR(--ISNUMBER(SEARCH("R98",G167)),0)+IFERROR(--ISNUMBER(SEARCH("R99",G167)),0)+IFERROR(--ISNUMBER(SEARCH("R100",G167)),0)+IFERROR(--ISNUMBER(SEARCH("R101",G167)),0)+IFERROR(--ISNUMBER(SEARCH("R102",G167)),0)+IFERROR(--ISNUMBER(SEARCH("R103",G167)),0)+IFERROR(--ISNUMBER(SEARCH("R104",G167)),0)+IFERROR(--ISNUMBER(SEARCH("R105",G167)),0)+IFERROR(--ISNUMBER(SEARCH("R106",G167)),0)+IFERROR(--ISNUMBER(SEARCH("R107",G167)),0)+IFERROR(--ISNUMBER(SEARCH("R108",G167)),0)+IFERROR(--ISNUMBER(SEARCH("R109",G167)),0)+IFERROR(--ISNUMBER(SEARCH("R110",G167)),0)+IFERROR(--ISNUMBER(SEARCH("R111",G167)),0)+IFERROR(--ISNUMBER(SEARCH("R112",G167)),0)+IFERROR(--ISNUMBER(SEARCH("R113",G167)),0)+IFERROR(--ISNUMBER(SEARCH("R114",G167)),0)+IFERROR(--ISNUMBER(SEARCH("R115",G167)),0)+IFERROR(--ISNUMBER(SEARCH("R116",G167)),0)+IFERROR(--ISNUMBER(SEARCH("R117",G167)),0)+IFERROR(--ISNUMBER(SEARCH("R118",G167)),0)+IFERROR(--ISNUMBER(SEARCH("R119",G167)),0)+IFERROR(--ISNUMBER(SEARCH("R120",G167)),0)+IFERROR(--ISNUMBER(SEARCH("R121",G167)),0)+IFERROR(--ISNUMBER(SEARCH("R122",G167)),0)+IFERROR(--ISNUMBER(SEARCH("R123",G167)),0)+IFERROR(--ISNUMBER(SEARCH("R124",G167)),0)+IFERROR(--ISNUMBER(SEARCH("R125",G167)),0)+IFERROR(--ISNUMBER(SEARCH("R126",G167)),0)+IFERROR(--ISNUMBER(SEARCH("R127",G167)),0)+IFERROR(--ISNUMBER(SEARCH("R128",G167)),0)+IFERROR(--ISNUMBER(SEARCH("R129",G167)),0)+IFERROR(--ISNUMBER(SEARCH("R130",G167)),0)+IFERROR(--ISNUMBER(SEARCH("R131",G167)),0)+IFERROR(--ISNUMBER(SEARCH("R132",G167)),0)+IFERROR(--ISNUMBER(SEARCH("R133",G167)),0)+IFERROR(--ISNUMBER(SEARCH("R134",G167)),0)+IFERROR(--ISNUMBER(SEARCH("R135",G167)),0)+IFERROR(--ISNUMBER(SEARCH("R136",G167)),0)+IFERROR(--ISNUMBER(SEARCH("R137",G167)),0)+IFERROR(--ISNUMBER(SEARCH("R138",G167)),0)+IFERROR(--ISNUMBER(SEARCH("R139",G167)),0)+IFERROR(--ISNUMBER(SEARCH("R140",G167)),0)+IFERROR(--ISNUMBER(SEARCH("R141",G167)),0))</f>
        <v/>
      </c>
      <c r="T167" s="58">
        <f>IF(A167="","",IFERROR(--ISNUMBER(SEARCH("R28",G167)),0)+IFERROR(--ISNUMBER(SEARCH("R29",G167)),0)+IFERROR(--ISNUMBER(SEARCH("R30",G167)),0)+IFERROR(--ISNUMBER(SEARCH("R32",G167)),0)+IFERROR(--ISNUMBER(SEARCH("R33",G167)),0)+IFERROR(--ISNUMBER(SEARCH("R35",G167)),0)+IFERROR(--ISNUMBER(SEARCH("R36",G167)),0)+IFERROR(--ISNUMBER(SEARCH("R38",G167)),0)+IFERROR(--ISNUMBER(SEARCH("R39",G167)),0)+IFERROR(--ISNUMBER(SEARCH("R43",G167)),0)+IFERROR(--ISNUMBER(SEARCH("R44",G167)),0)+IFERROR(--ISNUMBER(SEARCH("R45",G167)),0)+IFERROR(--ISNUMBER(SEARCH("R47",G167)),0)+IFERROR(--ISNUMBER(SEARCH("R48",G167)),0)+IFERROR(--ISNUMBER(SEARCH("R50",G167)),0)+IFERROR(--ISNUMBER(SEARCH("R51",G167)),0)+IFERROR(--ISNUMBER(SEARCH("R56",G167)),0)+IFERROR(--ISNUMBER(SEARCH("R58",G167)),0)+IFERROR(--ISNUMBER(SEARCH("R59",G167)),0)+IFERROR(--ISNUMBER(SEARCH("R60",G167)),0)+IFERROR(--ISNUMBER(SEARCH("R62",G167)),0)+IFERROR(--ISNUMBER(SEARCH("R63",G167)),0)+IFERROR(--ISNUMBER(SEARCH("R64",G167)),0)+IFERROR(--ISNUMBER(SEARCH("R66",G167)),0)+IFERROR(--ISNUMBER(SEARCH("R67",G167)),0)+IFERROR(--ISNUMBER(SEARCH("R72",G167)),0)+IFERROR(--ISNUMBER(SEARCH("R74",G167)),0)+IFERROR(--ISNUMBER(SEARCH("R75",G167)),0)+IFERROR(--ISNUMBER(SEARCH("R76",G167)),0)+IFERROR(--ISNUMBER(SEARCH("R77",G167)),0)+IFERROR(--ISNUMBER(SEARCH("R79",G167)),0)+IFERROR(--ISNUMBER(SEARCH("R80",G167)),0)+IFERROR(--ISNUMBER(SEARCH("R81",G167)),0)+IFERROR(--ISNUMBER(SEARCH("R83",G167)),0)+IFERROR(--ISNUMBER(SEARCH("R84",G167)),0)+IFERROR(--ISNUMBER(SEARCH("R89",G167)),0)+IFERROR(--ISNUMBER(SEARCH("R94",G167)),0)+IFERROR(--ISNUMBER(SEARCH("R95",G167)),0)+IFERROR(--ISNUMBER(SEARCH("R96",G167)),0)+IFERROR(--ISNUMBER(SEARCH("R98",G167)),0)+IFERROR(--ISNUMBER(SEARCH("R99",G167)),0)+IFERROR(--ISNUMBER(SEARCH("R100",G167)),0)+IFERROR(--ISNUMBER(SEARCH("R104",G167)),0)+IFERROR(--ISNUMBER(SEARCH("R105",G167)),0)+IFERROR(--ISNUMBER(SEARCH("R107",G167)),0)+IFERROR(--ISNUMBER(SEARCH("R108",G167)),0)+IFERROR(--ISNUMBER(SEARCH("R109",G167)),0)+IFERROR(--ISNUMBER(SEARCH("R110",G167)),0)+IFERROR(--ISNUMBER(SEARCH("R112",G167)),0)+IFERROR(--ISNUMBER(SEARCH("R113",G167)),0)+IFERROR(--ISNUMBER(SEARCH("R114",G167)),0)+IFERROR(--ISNUMBER(SEARCH("R118",G167)),0)+IFERROR(--ISNUMBER(SEARCH("R119",G167)),0)+IFERROR(--ISNUMBER(SEARCH("R120",G167)),0)+IFERROR(--ISNUMBER(SEARCH("R122",G167)),0)+IFERROR(--ISNUMBER(SEARCH("R123",G167)),0)+IFERROR(--ISNUMBER(SEARCH("R124",G167)),0)+IFERROR(--ISNUMBER(SEARCH("R128",G167)),0)+IFERROR(--ISNUMBER(SEARCH("R130",G167)),0)+IFERROR(--ISNUMBER(SEARCH("R131",G167)),0)+IFERROR(--ISNUMBER(SEARCH("R132",G167)),0)+IFERROR(--ISNUMBER(SEARCH("R135",G167)),0)+IFERROR(--ISNUMBER(SEARCH("R138",G167)),0)+IFERROR(--ISNUMBER(SEARCH("R141",G167)),0))</f>
        <v/>
      </c>
      <c r="U167" s="58">
        <f>IF(A167="","",IFERROR(--ISNUMBER(SEARCH("R28",G167))*28,0)+IFERROR(--ISNUMBER(SEARCH("R29",G167))*29,0)+IFERROR(--ISNUMBER(SEARCH("R30",G167))*30,0)+IFERROR(--ISNUMBER(SEARCH("R31",G167))*31,0)+IFERROR(--ISNUMBER(SEARCH("R32",G167))*32,0)+IFERROR(--ISNUMBER(SEARCH("R33",G167))*33,0)+IFERROR(--ISNUMBER(SEARCH("R34",G167))*34,0)+IFERROR(--ISNUMBER(SEARCH("R35",G167))*35,0)+IFERROR(--ISNUMBER(SEARCH("R36",G167))*36,0)+IFERROR(--ISNUMBER(SEARCH("R37",G167))*37,0)+IFERROR(--ISNUMBER(SEARCH("R38",G167))*38,0)+IFERROR(--ISNUMBER(SEARCH("R39",G167))*39,0)+IFERROR(--ISNUMBER(SEARCH("R40",G167))*40,0)+IFERROR(--ISNUMBER(SEARCH("R41",G167))*41,0)+IFERROR(--ISNUMBER(SEARCH("R42",G167))*42,0)+IFERROR(--ISNUMBER(SEARCH("R43",G167))*43,0)+IFERROR(--ISNUMBER(SEARCH("R44",G167))*44,0)+IFERROR(--ISNUMBER(SEARCH("R45",G167))*45,0)+IFERROR(--ISNUMBER(SEARCH("R46",G167))*46,0)+IFERROR(--ISNUMBER(SEARCH("R47",G167))*47,0)+IFERROR(--ISNUMBER(SEARCH("R48",G167))*48,0)+IFERROR(--ISNUMBER(SEARCH("R49",G167))*49,0)+IFERROR(--ISNUMBER(SEARCH("R50",G167))*50,0)+IFERROR(--ISNUMBER(SEARCH("R51",G167))*51,0)+IFERROR(--ISNUMBER(SEARCH("R52",G167))*52,0)+IFERROR(--ISNUMBER(SEARCH("R53",G167))*53,0)+IFERROR(--ISNUMBER(SEARCH("R54",G167))*54,0)+IFERROR(--ISNUMBER(SEARCH("R55",G167))*55,0)+IFERROR(--ISNUMBER(SEARCH("R56",G167))*56,0)+IFERROR(--ISNUMBER(SEARCH("R57",G167))*57,0)+IFERROR(--ISNUMBER(SEARCH("R58",G167))*58,0)+IFERROR(--ISNUMBER(SEARCH("R59",G167))*59,0)+IFERROR(--ISNUMBER(SEARCH("R60",G167))*60,0)+IFERROR(--ISNUMBER(SEARCH("R61",G167))*61,0)+IFERROR(--ISNUMBER(SEARCH("R62",G167))*62,0)+IFERROR(--ISNUMBER(SEARCH("R63",G167))*63,0)+IFERROR(--ISNUMBER(SEARCH("R64",G167))*64,0)+IFERROR(--ISNUMBER(SEARCH("R65",G167))*65,0)+IFERROR(--ISNUMBER(SEARCH("R66",G167))*66,0)+IFERROR(--ISNUMBER(SEARCH("R67",G167))*67,0)+IFERROR(--ISNUMBER(SEARCH("R68",G167))*68,0)+IFERROR(--ISNUMBER(SEARCH("R69",G167))*69,0)+IFERROR(--ISNUMBER(SEARCH("R70",G167))*70,0)+IFERROR(--ISNUMBER(SEARCH("R71",G167))*71,0)+IFERROR(--ISNUMBER(SEARCH("R72",G167))*72,0)+IFERROR(--ISNUMBER(SEARCH("R73",G167))*73,0)+IFERROR(--ISNUMBER(SEARCH("R74",G167))*74,0)+IFERROR(--ISNUMBER(SEARCH("R75",G167))*75,0)+IFERROR(--ISNUMBER(SEARCH("R76",G167))*76,0)+IFERROR(--ISNUMBER(SEARCH("R77",G167))*77,0)+IFERROR(--ISNUMBER(SEARCH("R78",G167))*78,0)+IFERROR(--ISNUMBER(SEARCH("R79",G167))*79,0)+IFERROR(--ISNUMBER(SEARCH("R80",G167))*80,0)+IFERROR(--ISNUMBER(SEARCH("R81",G167))*81,0)+IFERROR(--ISNUMBER(SEARCH("R82",G167))*82,0)+IFERROR(--ISNUMBER(SEARCH("R83",G167))*83,0)+IFERROR(--ISNUMBER(SEARCH("R84",G167))*84,0)+IFERROR(--ISNUMBER(SEARCH("R85",G167))*85,0)+IFERROR(--ISNUMBER(SEARCH("R86",G167))*86,0)+IFERROR(--ISNUMBER(SEARCH("R87",G167))*87,0)+IFERROR(--ISNUMBER(SEARCH("R88",G167))*88,0)+IFERROR(--ISNUMBER(SEARCH("R89",G167))*89,0)+IFERROR(--ISNUMBER(SEARCH("R90",G167))*90,0)+IFERROR(--ISNUMBER(SEARCH("R91",G167))*91,0)+IFERROR(--ISNUMBER(SEARCH("R92",G167))*92,0)+IFERROR(--ISNUMBER(SEARCH("R93",G167))*93,0)+IFERROR(--ISNUMBER(SEARCH("R94",G167))*94,0)+IFERROR(--ISNUMBER(SEARCH("R95",G167))*95,0)+IFERROR(--ISNUMBER(SEARCH("R96",G167))*96,0)+IFERROR(--ISNUMBER(SEARCH("R97",G167))*97,0)+IFERROR(--ISNUMBER(SEARCH("R98",G167))*98,0)+IFERROR(--ISNUMBER(SEARCH("R99",G167))*99,0)+IFERROR(--ISNUMBER(SEARCH("R100",G167))*100,0)+IFERROR(--ISNUMBER(SEARCH("R101",G167))*101,0)+IFERROR(--ISNUMBER(SEARCH("R102",G167))*102,0)+IFERROR(--ISNUMBER(SEARCH("R103",G167))*103,0)+IFERROR(--ISNUMBER(SEARCH("R104",G167))*104,0)+IFERROR(--ISNUMBER(SEARCH("R105",G167))*105,0)+IFERROR(--ISNUMBER(SEARCH("R106",G167))*106,0)+IFERROR(--ISNUMBER(SEARCH("R107",G167))*107,0)+IFERROR(--ISNUMBER(SEARCH("R108",G167))*108,0)+IFERROR(--ISNUMBER(SEARCH("R109",G167))*109,0)+IFERROR(--ISNUMBER(SEARCH("R110",G167))*110,0)+IFERROR(--ISNUMBER(SEARCH("R111",G167))*111,0)+IFERROR(--ISNUMBER(SEARCH("R112",G167))*112,0)+IFERROR(--ISNUMBER(SEARCH("R113",G167))*113,0)+IFERROR(--ISNUMBER(SEARCH("R114",G167))*114,0)+IFERROR(--ISNUMBER(SEARCH("R115",G167))*115,0)+IFERROR(--ISNUMBER(SEARCH("R116",G167))*116,0)+IFERROR(--ISNUMBER(SEARCH("R117",G167))*117,0)+IFERROR(--ISNUMBER(SEARCH("R118",G167))*118,0)+IFERROR(--ISNUMBER(SEARCH("R119",G167))*119,0)+IFERROR(--ISNUMBER(SEARCH("R120",G167))*120,0)+IFERROR(--ISNUMBER(SEARCH("R121",G167))*121,0)+IFERROR(--ISNUMBER(SEARCH("R122",G167))*122,0)+IFERROR(--ISNUMBER(SEARCH("R123",G167))*123,0)+IFERROR(--ISNUMBER(SEARCH("R124",G167))*124,0)+IFERROR(--ISNUMBER(SEARCH("R125",G167))*125,0)+IFERROR(--ISNUMBER(SEARCH("R126",G167))*126,0)+IFERROR(--ISNUMBER(SEARCH("R127",G167))*127,0)+IFERROR(--ISNUMBER(SEARCH("R128",G167))*128,0)+IFERROR(--ISNUMBER(SEARCH("R129",G167))*129,0)+IFERROR(--ISNUMBER(SEARCH("R130",G167))*130,0)+IFERROR(--ISNUMBER(SEARCH("R131",G167))*131,0)+IFERROR(--ISNUMBER(SEARCH("R132",G167))*132,0)+IFERROR(--ISNUMBER(SEARCH("R133",G167))*133,0)+IFERROR(--ISNUMBER(SEARCH("R134",G167))*134,0)+IFERROR(--ISNUMBER(SEARCH("R135",G167))*135,0)+IFERROR(--ISNUMBER(SEARCH("R136",G167))*136,0)+IFERROR(--ISNUMBER(SEARCH("R137",G167))*137,0)+IFERROR(--ISNUMBER(SEARCH("R138",G167))*138,0)+IFERROR(--ISNUMBER(SEARCH("R139",G167))*139,0)+IFERROR(--ISNUMBER(SEARCH("R140",G167))*140,0)+IFERROR(--ISNUMBER(SEARCH("R141",G167))*141,0))</f>
        <v/>
      </c>
      <c r="V167" s="59">
        <f>IF(A167="","",IF(K167&lt;&gt;"",K167,J167))</f>
        <v/>
      </c>
      <c r="W167" s="59">
        <f>IF(A167="","",IF(AND(V167=29,O167&lt;&gt;"",COUNTIFS($V$6:$V$505,29,$F$6:$F$505,F167,$C$6:$C$505,C167,$O$6:$O$505,"&lt;&gt;")&gt;1),IF(COUNTIFS($V$6:V167,29,$F$6:F167,F167,$C$6:C167,C167,$O$6:O167,"&lt;&gt;")=1,"Esta es la fila que se debe CONSERVAR (aparición 1 de "&amp;COUNTIFS($V$6:$V$505,29,$F$6:$F$505,F167,$C$6:$C$505,C167,$O$6:$O$505,"&lt;&gt;")&amp;" con el mismo tercero y valor, casilla 29). Si hay más filas iguales, bórreles el valor a ELLAS, no a esta.","DUPLICADO — ya existe otra fila con el mismo tercero y valor para casilla 29 (aparición "&amp;COUNTIFS($V$6:V167,29,$F$6:F167,F167,$C$6:C167,C167,$O$6:O167,"&lt;&gt;")&amp;" de "&amp;COUNTIFS($V$6:$V$505,29,$F$6:$F$505,F167,$C$6:$C$505,C167,$O$6:$O$505,"&lt;&gt;")&amp;"). Para resolverlo: seleccione la celda O"&amp;ROW()&amp;" (columna Valor a declarar de ESTA fila) y presione Supr."),""))</f>
        <v/>
      </c>
      <c r="X167" s="463">
        <f>IF(A167="","",F167)</f>
        <v/>
      </c>
      <c r="Y167" s="463">
        <f>IF(A167="","",SUMIF(Entrada_Manual!$I$88:$I$187,A167,Entrada_Manual!$F$88:$F$187))</f>
        <v/>
      </c>
      <c r="Z167" s="463">
        <f>IF(A167="","",X167-Y167)</f>
        <v/>
      </c>
      <c r="AA167">
        <f>IF(A167="","",SUMPRODUCT((Entrada_Manual!$I$88:$I$187=A167)*1))</f>
        <v/>
      </c>
      <c r="AB167">
        <f>IF(A167="","",IF(S167&lt;=1,"",IF(AA167=0,"PENDIENTE — SIN ASIGNAR",IF(Z167=0,"RESUELTO","PARCIAL — DIFERENCIA "&amp;TEXT(Z167,"#,##0")))))</f>
        <v/>
      </c>
    </row>
    <row r="168" ht="14.25" customHeight="1" s="235">
      <c r="A168" s="47">
        <f>IF(Exogena_RAW!E177&lt;&gt;"",ROW()-5,"")</f>
        <v/>
      </c>
      <c r="B168" s="48">
        <f>IF(A168="","",177)</f>
        <v/>
      </c>
      <c r="C168" s="48">
        <f>IF(A168="","",IFERROR(Exogena_RAW!A177,""))</f>
        <v/>
      </c>
      <c r="D168" s="48">
        <f>IF(A168="","",IFERROR(Exogena_RAW!B177,""))</f>
        <v/>
      </c>
      <c r="E168" s="48">
        <f>IF(A168="","",Exogena_RAW!E177)</f>
        <v/>
      </c>
      <c r="F168" s="461">
        <f>IF(A168="","",Exogena_RAW!F177)</f>
        <v/>
      </c>
      <c r="G168" s="48">
        <f>IF(A168="","",IFERROR(Exogena_RAW!G177,""))</f>
        <v/>
      </c>
      <c r="H168" s="48">
        <f>IF(A168="","",IFERROR(Exogena_RAW!H177,""))</f>
        <v/>
      </c>
      <c r="I168" s="48">
        <f>IF(A168="","",IFERROR(IF(S168&gt;1,"VARIAS CASILLAS",IF(S168=1,IF(T168=1,"PROPUESTA DE CASILLA","REVISIÓN: CASILLA NO DIRECTA"),IF(OR(ISNUMBER(SEARCH("TOPE",UPPER(E168))),ISNUMBER(SEARCH("TOPE",UPPER(G168)))),"SOLO CONTROL",IF(ISNUMBER(SEARCH("RETEN",UPPER(E168))),"RETENCIÓN","REVISAR")))),"REVISAR"))</f>
        <v/>
      </c>
      <c r="J168" s="48">
        <f>IF(A168="","",IF(ISNUMBER(SEARCH("ingreso laboral promedio de los últimos seis meses",E168)),"",IFERROR(IF(AND(S168=1,T168=1),U168,""),"")))</f>
        <v/>
      </c>
      <c r="K168" s="216" t="n"/>
      <c r="L168" s="48">
        <f>IF(A168="","",IFERROR(IF(K168&lt;&gt;"","Casilla elegida por usuario",IF(S168&gt;1,"Varias casillas — elegir en K",IF(J168&lt;&gt;"","Sugerencia directa",IF(S168=1,"No trasladar directo — revisar",IF(OR(ISNUMBER(SEARCH("TOPE",UPPER(E168))),ISNUMBER(SEARCH("TOPE",UPPER(G168)))),"Solo control","Revisar manualmente"))))),"Revisar manualmente"))</f>
        <v/>
      </c>
      <c r="M168" s="461">
        <f>IF(A168="","",IF(IF(K168&lt;&gt;"",K168,J168)="",0,IF(COUNTIFS(Reglas!$I$5:$I$118,IF(K168&lt;&gt;"",K168,J168),Reglas!$J$5:$J$118,"Sí")=1,F168,0)))</f>
        <v/>
      </c>
      <c r="N168" s="56" t="n"/>
      <c r="O168" s="462">
        <f>IF(A168="","",IF(M168=0,"",M168))</f>
        <v/>
      </c>
      <c r="P168" s="461">
        <f>IF(A168="","",IF(O168="",0,IF(ISNUMBER(O168),O168,0)))</f>
        <v/>
      </c>
      <c r="Q168" s="48">
        <f>IF(A168="","",IF(Exogena_RAW!$C$4="","BLOQUEADO: FALTA AÑO",IF(Exogena_RAW!$K$10&lt;&gt;Reglas!$B$5,"BLOQUEADO: AÑO",IF(IF(K168&lt;&gt;"",K168,J168)="",IF(S168&gt;1,"REQUIERE ASIGNACIÓN MANUAL (VARIAS CASILLAS)","INFORMATIVO (sin casilla — no se declara)"),IF(COUNTIFS(Reglas!$I$5:$I$118,IF(K168&lt;&gt;"",K168,J168),Reglas!$J$5:$J$118,"Sí")=0,"BLOQUEADO: CASILLA NO DIRECTA",IF(O168="","EXCLUIDO (valor borrado por el usuario)",IF(_xlfn.ISFORMULA(O168),IF(W168&lt;&gt;"","BORRADOR — VALOR SUGERIDO DIAN ⚠ VER ALERTA","BORRADOR — VALOR SUGERIDO DIAN"),IF(W168&lt;&gt;"","ACEPTADO ⚠ VER ALERTA","ACEPTADO"))))))))</f>
        <v/>
      </c>
      <c r="R168" s="218" t="n"/>
      <c r="S168" s="58">
        <f>IF(A168="","",IFERROR(--ISNUMBER(SEARCH("R28",G168)),0)+IFERROR(--ISNUMBER(SEARCH("R29",G168)),0)+IFERROR(--ISNUMBER(SEARCH("R30",G168)),0)+IFERROR(--ISNUMBER(SEARCH("R31",G168)),0)+IFERROR(--ISNUMBER(SEARCH("R32",G168)),0)+IFERROR(--ISNUMBER(SEARCH("R33",G168)),0)+IFERROR(--ISNUMBER(SEARCH("R34",G168)),0)+IFERROR(--ISNUMBER(SEARCH("R35",G168)),0)+IFERROR(--ISNUMBER(SEARCH("R36",G168)),0)+IFERROR(--ISNUMBER(SEARCH("R37",G168)),0)+IFERROR(--ISNUMBER(SEARCH("R38",G168)),0)+IFERROR(--ISNUMBER(SEARCH("R39",G168)),0)+IFERROR(--ISNUMBER(SEARCH("R40",G168)),0)+IFERROR(--ISNUMBER(SEARCH("R41",G168)),0)+IFERROR(--ISNUMBER(SEARCH("R42",G168)),0)+IFERROR(--ISNUMBER(SEARCH("R43",G168)),0)+IFERROR(--ISNUMBER(SEARCH("R44",G168)),0)+IFERROR(--ISNUMBER(SEARCH("R45",G168)),0)+IFERROR(--ISNUMBER(SEARCH("R46",G168)),0)+IFERROR(--ISNUMBER(SEARCH("R47",G168)),0)+IFERROR(--ISNUMBER(SEARCH("R48",G168)),0)+IFERROR(--ISNUMBER(SEARCH("R49",G168)),0)+IFERROR(--ISNUMBER(SEARCH("R50",G168)),0)+IFERROR(--ISNUMBER(SEARCH("R51",G168)),0)+IFERROR(--ISNUMBER(SEARCH("R52",G168)),0)+IFERROR(--ISNUMBER(SEARCH("R53",G168)),0)+IFERROR(--ISNUMBER(SEARCH("R54",G168)),0)+IFERROR(--ISNUMBER(SEARCH("R55",G168)),0)+IFERROR(--ISNUMBER(SEARCH("R56",G168)),0)+IFERROR(--ISNUMBER(SEARCH("R57",G168)),0)+IFERROR(--ISNUMBER(SEARCH("R58",G168)),0)+IFERROR(--ISNUMBER(SEARCH("R59",G168)),0)+IFERROR(--ISNUMBER(SEARCH("R60",G168)),0)+IFERROR(--ISNUMBER(SEARCH("R61",G168)),0)+IFERROR(--ISNUMBER(SEARCH("R62",G168)),0)+IFERROR(--ISNUMBER(SEARCH("R63",G168)),0)+IFERROR(--ISNUMBER(SEARCH("R64",G168)),0)+IFERROR(--ISNUMBER(SEARCH("R65",G168)),0)+IFERROR(--ISNUMBER(SEARCH("R66",G168)),0)+IFERROR(--ISNUMBER(SEARCH("R67",G168)),0)+IFERROR(--ISNUMBER(SEARCH("R68",G168)),0)+IFERROR(--ISNUMBER(SEARCH("R69",G168)),0)+IFERROR(--ISNUMBER(SEARCH("R70",G168)),0)+IFERROR(--ISNUMBER(SEARCH("R71",G168)),0)+IFERROR(--ISNUMBER(SEARCH("R72",G168)),0)+IFERROR(--ISNUMBER(SEARCH("R73",G168)),0)+IFERROR(--ISNUMBER(SEARCH("R74",G168)),0)+IFERROR(--ISNUMBER(SEARCH("R75",G168)),0)+IFERROR(--ISNUMBER(SEARCH("R76",G168)),0)+IFERROR(--ISNUMBER(SEARCH("R77",G168)),0)+IFERROR(--ISNUMBER(SEARCH("R78",G168)),0)+IFERROR(--ISNUMBER(SEARCH("R79",G168)),0)+IFERROR(--ISNUMBER(SEARCH("R80",G168)),0)+IFERROR(--ISNUMBER(SEARCH("R81",G168)),0)+IFERROR(--ISNUMBER(SEARCH("R82",G168)),0)+IFERROR(--ISNUMBER(SEARCH("R83",G168)),0)+IFERROR(--ISNUMBER(SEARCH("R84",G168)),0)+IFERROR(--ISNUMBER(SEARCH("R85",G168)),0)+IFERROR(--ISNUMBER(SEARCH("R86",G168)),0)+IFERROR(--ISNUMBER(SEARCH("R87",G168)),0)+IFERROR(--ISNUMBER(SEARCH("R88",G168)),0)+IFERROR(--ISNUMBER(SEARCH("R89",G168)),0)+IFERROR(--ISNUMBER(SEARCH("R90",G168)),0)+IFERROR(--ISNUMBER(SEARCH("R91",G168)),0)+IFERROR(--ISNUMBER(SEARCH("R92",G168)),0)+IFERROR(--ISNUMBER(SEARCH("R93",G168)),0)+IFERROR(--ISNUMBER(SEARCH("R94",G168)),0)+IFERROR(--ISNUMBER(SEARCH("R95",G168)),0)+IFERROR(--ISNUMBER(SEARCH("R96",G168)),0)+IFERROR(--ISNUMBER(SEARCH("R97",G168)),0)+IFERROR(--ISNUMBER(SEARCH("R98",G168)),0)+IFERROR(--ISNUMBER(SEARCH("R99",G168)),0)+IFERROR(--ISNUMBER(SEARCH("R100",G168)),0)+IFERROR(--ISNUMBER(SEARCH("R101",G168)),0)+IFERROR(--ISNUMBER(SEARCH("R102",G168)),0)+IFERROR(--ISNUMBER(SEARCH("R103",G168)),0)+IFERROR(--ISNUMBER(SEARCH("R104",G168)),0)+IFERROR(--ISNUMBER(SEARCH("R105",G168)),0)+IFERROR(--ISNUMBER(SEARCH("R106",G168)),0)+IFERROR(--ISNUMBER(SEARCH("R107",G168)),0)+IFERROR(--ISNUMBER(SEARCH("R108",G168)),0)+IFERROR(--ISNUMBER(SEARCH("R109",G168)),0)+IFERROR(--ISNUMBER(SEARCH("R110",G168)),0)+IFERROR(--ISNUMBER(SEARCH("R111",G168)),0)+IFERROR(--ISNUMBER(SEARCH("R112",G168)),0)+IFERROR(--ISNUMBER(SEARCH("R113",G168)),0)+IFERROR(--ISNUMBER(SEARCH("R114",G168)),0)+IFERROR(--ISNUMBER(SEARCH("R115",G168)),0)+IFERROR(--ISNUMBER(SEARCH("R116",G168)),0)+IFERROR(--ISNUMBER(SEARCH("R117",G168)),0)+IFERROR(--ISNUMBER(SEARCH("R118",G168)),0)+IFERROR(--ISNUMBER(SEARCH("R119",G168)),0)+IFERROR(--ISNUMBER(SEARCH("R120",G168)),0)+IFERROR(--ISNUMBER(SEARCH("R121",G168)),0)+IFERROR(--ISNUMBER(SEARCH("R122",G168)),0)+IFERROR(--ISNUMBER(SEARCH("R123",G168)),0)+IFERROR(--ISNUMBER(SEARCH("R124",G168)),0)+IFERROR(--ISNUMBER(SEARCH("R125",G168)),0)+IFERROR(--ISNUMBER(SEARCH("R126",G168)),0)+IFERROR(--ISNUMBER(SEARCH("R127",G168)),0)+IFERROR(--ISNUMBER(SEARCH("R128",G168)),0)+IFERROR(--ISNUMBER(SEARCH("R129",G168)),0)+IFERROR(--ISNUMBER(SEARCH("R130",G168)),0)+IFERROR(--ISNUMBER(SEARCH("R131",G168)),0)+IFERROR(--ISNUMBER(SEARCH("R132",G168)),0)+IFERROR(--ISNUMBER(SEARCH("R133",G168)),0)+IFERROR(--ISNUMBER(SEARCH("R134",G168)),0)+IFERROR(--ISNUMBER(SEARCH("R135",G168)),0)+IFERROR(--ISNUMBER(SEARCH("R136",G168)),0)+IFERROR(--ISNUMBER(SEARCH("R137",G168)),0)+IFERROR(--ISNUMBER(SEARCH("R138",G168)),0)+IFERROR(--ISNUMBER(SEARCH("R139",G168)),0)+IFERROR(--ISNUMBER(SEARCH("R140",G168)),0)+IFERROR(--ISNUMBER(SEARCH("R141",G168)),0))</f>
        <v/>
      </c>
      <c r="T168" s="58">
        <f>IF(A168="","",IFERROR(--ISNUMBER(SEARCH("R28",G168)),0)+IFERROR(--ISNUMBER(SEARCH("R29",G168)),0)+IFERROR(--ISNUMBER(SEARCH("R30",G168)),0)+IFERROR(--ISNUMBER(SEARCH("R32",G168)),0)+IFERROR(--ISNUMBER(SEARCH("R33",G168)),0)+IFERROR(--ISNUMBER(SEARCH("R35",G168)),0)+IFERROR(--ISNUMBER(SEARCH("R36",G168)),0)+IFERROR(--ISNUMBER(SEARCH("R38",G168)),0)+IFERROR(--ISNUMBER(SEARCH("R39",G168)),0)+IFERROR(--ISNUMBER(SEARCH("R43",G168)),0)+IFERROR(--ISNUMBER(SEARCH("R44",G168)),0)+IFERROR(--ISNUMBER(SEARCH("R45",G168)),0)+IFERROR(--ISNUMBER(SEARCH("R47",G168)),0)+IFERROR(--ISNUMBER(SEARCH("R48",G168)),0)+IFERROR(--ISNUMBER(SEARCH("R50",G168)),0)+IFERROR(--ISNUMBER(SEARCH("R51",G168)),0)+IFERROR(--ISNUMBER(SEARCH("R56",G168)),0)+IFERROR(--ISNUMBER(SEARCH("R58",G168)),0)+IFERROR(--ISNUMBER(SEARCH("R59",G168)),0)+IFERROR(--ISNUMBER(SEARCH("R60",G168)),0)+IFERROR(--ISNUMBER(SEARCH("R62",G168)),0)+IFERROR(--ISNUMBER(SEARCH("R63",G168)),0)+IFERROR(--ISNUMBER(SEARCH("R64",G168)),0)+IFERROR(--ISNUMBER(SEARCH("R66",G168)),0)+IFERROR(--ISNUMBER(SEARCH("R67",G168)),0)+IFERROR(--ISNUMBER(SEARCH("R72",G168)),0)+IFERROR(--ISNUMBER(SEARCH("R74",G168)),0)+IFERROR(--ISNUMBER(SEARCH("R75",G168)),0)+IFERROR(--ISNUMBER(SEARCH("R76",G168)),0)+IFERROR(--ISNUMBER(SEARCH("R77",G168)),0)+IFERROR(--ISNUMBER(SEARCH("R79",G168)),0)+IFERROR(--ISNUMBER(SEARCH("R80",G168)),0)+IFERROR(--ISNUMBER(SEARCH("R81",G168)),0)+IFERROR(--ISNUMBER(SEARCH("R83",G168)),0)+IFERROR(--ISNUMBER(SEARCH("R84",G168)),0)+IFERROR(--ISNUMBER(SEARCH("R89",G168)),0)+IFERROR(--ISNUMBER(SEARCH("R94",G168)),0)+IFERROR(--ISNUMBER(SEARCH("R95",G168)),0)+IFERROR(--ISNUMBER(SEARCH("R96",G168)),0)+IFERROR(--ISNUMBER(SEARCH("R98",G168)),0)+IFERROR(--ISNUMBER(SEARCH("R99",G168)),0)+IFERROR(--ISNUMBER(SEARCH("R100",G168)),0)+IFERROR(--ISNUMBER(SEARCH("R104",G168)),0)+IFERROR(--ISNUMBER(SEARCH("R105",G168)),0)+IFERROR(--ISNUMBER(SEARCH("R107",G168)),0)+IFERROR(--ISNUMBER(SEARCH("R108",G168)),0)+IFERROR(--ISNUMBER(SEARCH("R109",G168)),0)+IFERROR(--ISNUMBER(SEARCH("R110",G168)),0)+IFERROR(--ISNUMBER(SEARCH("R112",G168)),0)+IFERROR(--ISNUMBER(SEARCH("R113",G168)),0)+IFERROR(--ISNUMBER(SEARCH("R114",G168)),0)+IFERROR(--ISNUMBER(SEARCH("R118",G168)),0)+IFERROR(--ISNUMBER(SEARCH("R119",G168)),0)+IFERROR(--ISNUMBER(SEARCH("R120",G168)),0)+IFERROR(--ISNUMBER(SEARCH("R122",G168)),0)+IFERROR(--ISNUMBER(SEARCH("R123",G168)),0)+IFERROR(--ISNUMBER(SEARCH("R124",G168)),0)+IFERROR(--ISNUMBER(SEARCH("R128",G168)),0)+IFERROR(--ISNUMBER(SEARCH("R130",G168)),0)+IFERROR(--ISNUMBER(SEARCH("R131",G168)),0)+IFERROR(--ISNUMBER(SEARCH("R132",G168)),0)+IFERROR(--ISNUMBER(SEARCH("R135",G168)),0)+IFERROR(--ISNUMBER(SEARCH("R138",G168)),0)+IFERROR(--ISNUMBER(SEARCH("R141",G168)),0))</f>
        <v/>
      </c>
      <c r="U168" s="58">
        <f>IF(A168="","",IFERROR(--ISNUMBER(SEARCH("R28",G168))*28,0)+IFERROR(--ISNUMBER(SEARCH("R29",G168))*29,0)+IFERROR(--ISNUMBER(SEARCH("R30",G168))*30,0)+IFERROR(--ISNUMBER(SEARCH("R31",G168))*31,0)+IFERROR(--ISNUMBER(SEARCH("R32",G168))*32,0)+IFERROR(--ISNUMBER(SEARCH("R33",G168))*33,0)+IFERROR(--ISNUMBER(SEARCH("R34",G168))*34,0)+IFERROR(--ISNUMBER(SEARCH("R35",G168))*35,0)+IFERROR(--ISNUMBER(SEARCH("R36",G168))*36,0)+IFERROR(--ISNUMBER(SEARCH("R37",G168))*37,0)+IFERROR(--ISNUMBER(SEARCH("R38",G168))*38,0)+IFERROR(--ISNUMBER(SEARCH("R39",G168))*39,0)+IFERROR(--ISNUMBER(SEARCH("R40",G168))*40,0)+IFERROR(--ISNUMBER(SEARCH("R41",G168))*41,0)+IFERROR(--ISNUMBER(SEARCH("R42",G168))*42,0)+IFERROR(--ISNUMBER(SEARCH("R43",G168))*43,0)+IFERROR(--ISNUMBER(SEARCH("R44",G168))*44,0)+IFERROR(--ISNUMBER(SEARCH("R45",G168))*45,0)+IFERROR(--ISNUMBER(SEARCH("R46",G168))*46,0)+IFERROR(--ISNUMBER(SEARCH("R47",G168))*47,0)+IFERROR(--ISNUMBER(SEARCH("R48",G168))*48,0)+IFERROR(--ISNUMBER(SEARCH("R49",G168))*49,0)+IFERROR(--ISNUMBER(SEARCH("R50",G168))*50,0)+IFERROR(--ISNUMBER(SEARCH("R51",G168))*51,0)+IFERROR(--ISNUMBER(SEARCH("R52",G168))*52,0)+IFERROR(--ISNUMBER(SEARCH("R53",G168))*53,0)+IFERROR(--ISNUMBER(SEARCH("R54",G168))*54,0)+IFERROR(--ISNUMBER(SEARCH("R55",G168))*55,0)+IFERROR(--ISNUMBER(SEARCH("R56",G168))*56,0)+IFERROR(--ISNUMBER(SEARCH("R57",G168))*57,0)+IFERROR(--ISNUMBER(SEARCH("R58",G168))*58,0)+IFERROR(--ISNUMBER(SEARCH("R59",G168))*59,0)+IFERROR(--ISNUMBER(SEARCH("R60",G168))*60,0)+IFERROR(--ISNUMBER(SEARCH("R61",G168))*61,0)+IFERROR(--ISNUMBER(SEARCH("R62",G168))*62,0)+IFERROR(--ISNUMBER(SEARCH("R63",G168))*63,0)+IFERROR(--ISNUMBER(SEARCH("R64",G168))*64,0)+IFERROR(--ISNUMBER(SEARCH("R65",G168))*65,0)+IFERROR(--ISNUMBER(SEARCH("R66",G168))*66,0)+IFERROR(--ISNUMBER(SEARCH("R67",G168))*67,0)+IFERROR(--ISNUMBER(SEARCH("R68",G168))*68,0)+IFERROR(--ISNUMBER(SEARCH("R69",G168))*69,0)+IFERROR(--ISNUMBER(SEARCH("R70",G168))*70,0)+IFERROR(--ISNUMBER(SEARCH("R71",G168))*71,0)+IFERROR(--ISNUMBER(SEARCH("R72",G168))*72,0)+IFERROR(--ISNUMBER(SEARCH("R73",G168))*73,0)+IFERROR(--ISNUMBER(SEARCH("R74",G168))*74,0)+IFERROR(--ISNUMBER(SEARCH("R75",G168))*75,0)+IFERROR(--ISNUMBER(SEARCH("R76",G168))*76,0)+IFERROR(--ISNUMBER(SEARCH("R77",G168))*77,0)+IFERROR(--ISNUMBER(SEARCH("R78",G168))*78,0)+IFERROR(--ISNUMBER(SEARCH("R79",G168))*79,0)+IFERROR(--ISNUMBER(SEARCH("R80",G168))*80,0)+IFERROR(--ISNUMBER(SEARCH("R81",G168))*81,0)+IFERROR(--ISNUMBER(SEARCH("R82",G168))*82,0)+IFERROR(--ISNUMBER(SEARCH("R83",G168))*83,0)+IFERROR(--ISNUMBER(SEARCH("R84",G168))*84,0)+IFERROR(--ISNUMBER(SEARCH("R85",G168))*85,0)+IFERROR(--ISNUMBER(SEARCH("R86",G168))*86,0)+IFERROR(--ISNUMBER(SEARCH("R87",G168))*87,0)+IFERROR(--ISNUMBER(SEARCH("R88",G168))*88,0)+IFERROR(--ISNUMBER(SEARCH("R89",G168))*89,0)+IFERROR(--ISNUMBER(SEARCH("R90",G168))*90,0)+IFERROR(--ISNUMBER(SEARCH("R91",G168))*91,0)+IFERROR(--ISNUMBER(SEARCH("R92",G168))*92,0)+IFERROR(--ISNUMBER(SEARCH("R93",G168))*93,0)+IFERROR(--ISNUMBER(SEARCH("R94",G168))*94,0)+IFERROR(--ISNUMBER(SEARCH("R95",G168))*95,0)+IFERROR(--ISNUMBER(SEARCH("R96",G168))*96,0)+IFERROR(--ISNUMBER(SEARCH("R97",G168))*97,0)+IFERROR(--ISNUMBER(SEARCH("R98",G168))*98,0)+IFERROR(--ISNUMBER(SEARCH("R99",G168))*99,0)+IFERROR(--ISNUMBER(SEARCH("R100",G168))*100,0)+IFERROR(--ISNUMBER(SEARCH("R101",G168))*101,0)+IFERROR(--ISNUMBER(SEARCH("R102",G168))*102,0)+IFERROR(--ISNUMBER(SEARCH("R103",G168))*103,0)+IFERROR(--ISNUMBER(SEARCH("R104",G168))*104,0)+IFERROR(--ISNUMBER(SEARCH("R105",G168))*105,0)+IFERROR(--ISNUMBER(SEARCH("R106",G168))*106,0)+IFERROR(--ISNUMBER(SEARCH("R107",G168))*107,0)+IFERROR(--ISNUMBER(SEARCH("R108",G168))*108,0)+IFERROR(--ISNUMBER(SEARCH("R109",G168))*109,0)+IFERROR(--ISNUMBER(SEARCH("R110",G168))*110,0)+IFERROR(--ISNUMBER(SEARCH("R111",G168))*111,0)+IFERROR(--ISNUMBER(SEARCH("R112",G168))*112,0)+IFERROR(--ISNUMBER(SEARCH("R113",G168))*113,0)+IFERROR(--ISNUMBER(SEARCH("R114",G168))*114,0)+IFERROR(--ISNUMBER(SEARCH("R115",G168))*115,0)+IFERROR(--ISNUMBER(SEARCH("R116",G168))*116,0)+IFERROR(--ISNUMBER(SEARCH("R117",G168))*117,0)+IFERROR(--ISNUMBER(SEARCH("R118",G168))*118,0)+IFERROR(--ISNUMBER(SEARCH("R119",G168))*119,0)+IFERROR(--ISNUMBER(SEARCH("R120",G168))*120,0)+IFERROR(--ISNUMBER(SEARCH("R121",G168))*121,0)+IFERROR(--ISNUMBER(SEARCH("R122",G168))*122,0)+IFERROR(--ISNUMBER(SEARCH("R123",G168))*123,0)+IFERROR(--ISNUMBER(SEARCH("R124",G168))*124,0)+IFERROR(--ISNUMBER(SEARCH("R125",G168))*125,0)+IFERROR(--ISNUMBER(SEARCH("R126",G168))*126,0)+IFERROR(--ISNUMBER(SEARCH("R127",G168))*127,0)+IFERROR(--ISNUMBER(SEARCH("R128",G168))*128,0)+IFERROR(--ISNUMBER(SEARCH("R129",G168))*129,0)+IFERROR(--ISNUMBER(SEARCH("R130",G168))*130,0)+IFERROR(--ISNUMBER(SEARCH("R131",G168))*131,0)+IFERROR(--ISNUMBER(SEARCH("R132",G168))*132,0)+IFERROR(--ISNUMBER(SEARCH("R133",G168))*133,0)+IFERROR(--ISNUMBER(SEARCH("R134",G168))*134,0)+IFERROR(--ISNUMBER(SEARCH("R135",G168))*135,0)+IFERROR(--ISNUMBER(SEARCH("R136",G168))*136,0)+IFERROR(--ISNUMBER(SEARCH("R137",G168))*137,0)+IFERROR(--ISNUMBER(SEARCH("R138",G168))*138,0)+IFERROR(--ISNUMBER(SEARCH("R139",G168))*139,0)+IFERROR(--ISNUMBER(SEARCH("R140",G168))*140,0)+IFERROR(--ISNUMBER(SEARCH("R141",G168))*141,0))</f>
        <v/>
      </c>
      <c r="V168" s="59">
        <f>IF(A168="","",IF(K168&lt;&gt;"",K168,J168))</f>
        <v/>
      </c>
      <c r="W168" s="59">
        <f>IF(A168="","",IF(AND(V168=29,O168&lt;&gt;"",COUNTIFS($V$6:$V$505,29,$F$6:$F$505,F168,$C$6:$C$505,C168,$O$6:$O$505,"&lt;&gt;")&gt;1),IF(COUNTIFS($V$6:V168,29,$F$6:F168,F168,$C$6:C168,C168,$O$6:O168,"&lt;&gt;")=1,"Esta es la fila que se debe CONSERVAR (aparición 1 de "&amp;COUNTIFS($V$6:$V$505,29,$F$6:$F$505,F168,$C$6:$C$505,C168,$O$6:$O$505,"&lt;&gt;")&amp;" con el mismo tercero y valor, casilla 29). Si hay más filas iguales, bórreles el valor a ELLAS, no a esta.","DUPLICADO — ya existe otra fila con el mismo tercero y valor para casilla 29 (aparición "&amp;COUNTIFS($V$6:V168,29,$F$6:F168,F168,$C$6:C168,C168,$O$6:O168,"&lt;&gt;")&amp;" de "&amp;COUNTIFS($V$6:$V$505,29,$F$6:$F$505,F168,$C$6:$C$505,C168,$O$6:$O$505,"&lt;&gt;")&amp;"). Para resolverlo: seleccione la celda O"&amp;ROW()&amp;" (columna Valor a declarar de ESTA fila) y presione Supr."),""))</f>
        <v/>
      </c>
      <c r="X168" s="463">
        <f>IF(A168="","",F168)</f>
        <v/>
      </c>
      <c r="Y168" s="463">
        <f>IF(A168="","",SUMIF(Entrada_Manual!$I$88:$I$187,A168,Entrada_Manual!$F$88:$F$187))</f>
        <v/>
      </c>
      <c r="Z168" s="463">
        <f>IF(A168="","",X168-Y168)</f>
        <v/>
      </c>
      <c r="AA168">
        <f>IF(A168="","",SUMPRODUCT((Entrada_Manual!$I$88:$I$187=A168)*1))</f>
        <v/>
      </c>
      <c r="AB168">
        <f>IF(A168="","",IF(S168&lt;=1,"",IF(AA168=0,"PENDIENTE — SIN ASIGNAR",IF(Z168=0,"RESUELTO","PARCIAL — DIFERENCIA "&amp;TEXT(Z168,"#,##0")))))</f>
        <v/>
      </c>
    </row>
    <row r="169" ht="14.25" customHeight="1" s="235">
      <c r="A169" s="47">
        <f>IF(Exogena_RAW!E178&lt;&gt;"",ROW()-5,"")</f>
        <v/>
      </c>
      <c r="B169" s="48">
        <f>IF(A169="","",178)</f>
        <v/>
      </c>
      <c r="C169" s="48">
        <f>IF(A169="","",IFERROR(Exogena_RAW!A178,""))</f>
        <v/>
      </c>
      <c r="D169" s="48">
        <f>IF(A169="","",IFERROR(Exogena_RAW!B178,""))</f>
        <v/>
      </c>
      <c r="E169" s="48">
        <f>IF(A169="","",Exogena_RAW!E178)</f>
        <v/>
      </c>
      <c r="F169" s="461">
        <f>IF(A169="","",Exogena_RAW!F178)</f>
        <v/>
      </c>
      <c r="G169" s="48">
        <f>IF(A169="","",IFERROR(Exogena_RAW!G178,""))</f>
        <v/>
      </c>
      <c r="H169" s="48">
        <f>IF(A169="","",IFERROR(Exogena_RAW!H178,""))</f>
        <v/>
      </c>
      <c r="I169" s="48">
        <f>IF(A169="","",IFERROR(IF(S169&gt;1,"VARIAS CASILLAS",IF(S169=1,IF(T169=1,"PROPUESTA DE CASILLA","REVISIÓN: CASILLA NO DIRECTA"),IF(OR(ISNUMBER(SEARCH("TOPE",UPPER(E169))),ISNUMBER(SEARCH("TOPE",UPPER(G169)))),"SOLO CONTROL",IF(ISNUMBER(SEARCH("RETEN",UPPER(E169))),"RETENCIÓN","REVISAR")))),"REVISAR"))</f>
        <v/>
      </c>
      <c r="J169" s="48">
        <f>IF(A169="","",IF(ISNUMBER(SEARCH("ingreso laboral promedio de los últimos seis meses",E169)),"",IFERROR(IF(AND(S169=1,T169=1),U169,""),"")))</f>
        <v/>
      </c>
      <c r="K169" s="216" t="n"/>
      <c r="L169" s="48">
        <f>IF(A169="","",IFERROR(IF(K169&lt;&gt;"","Casilla elegida por usuario",IF(S169&gt;1,"Varias casillas — elegir en K",IF(J169&lt;&gt;"","Sugerencia directa",IF(S169=1,"No trasladar directo — revisar",IF(OR(ISNUMBER(SEARCH("TOPE",UPPER(E169))),ISNUMBER(SEARCH("TOPE",UPPER(G169)))),"Solo control","Revisar manualmente"))))),"Revisar manualmente"))</f>
        <v/>
      </c>
      <c r="M169" s="461">
        <f>IF(A169="","",IF(IF(K169&lt;&gt;"",K169,J169)="",0,IF(COUNTIFS(Reglas!$I$5:$I$118,IF(K169&lt;&gt;"",K169,J169),Reglas!$J$5:$J$118,"Sí")=1,F169,0)))</f>
        <v/>
      </c>
      <c r="N169" s="56" t="n"/>
      <c r="O169" s="462">
        <f>IF(A169="","",IF(M169=0,"",M169))</f>
        <v/>
      </c>
      <c r="P169" s="461">
        <f>IF(A169="","",IF(O169="",0,IF(ISNUMBER(O169),O169,0)))</f>
        <v/>
      </c>
      <c r="Q169" s="48">
        <f>IF(A169="","",IF(Exogena_RAW!$C$4="","BLOQUEADO: FALTA AÑO",IF(Exogena_RAW!$K$10&lt;&gt;Reglas!$B$5,"BLOQUEADO: AÑO",IF(IF(K169&lt;&gt;"",K169,J169)="",IF(S169&gt;1,"REQUIERE ASIGNACIÓN MANUAL (VARIAS CASILLAS)","INFORMATIVO (sin casilla — no se declara)"),IF(COUNTIFS(Reglas!$I$5:$I$118,IF(K169&lt;&gt;"",K169,J169),Reglas!$J$5:$J$118,"Sí")=0,"BLOQUEADO: CASILLA NO DIRECTA",IF(O169="","EXCLUIDO (valor borrado por el usuario)",IF(_xlfn.ISFORMULA(O169),IF(W169&lt;&gt;"","BORRADOR — VALOR SUGERIDO DIAN ⚠ VER ALERTA","BORRADOR — VALOR SUGERIDO DIAN"),IF(W169&lt;&gt;"","ACEPTADO ⚠ VER ALERTA","ACEPTADO"))))))))</f>
        <v/>
      </c>
      <c r="R169" s="218" t="n"/>
      <c r="S169" s="58">
        <f>IF(A169="","",IFERROR(--ISNUMBER(SEARCH("R28",G169)),0)+IFERROR(--ISNUMBER(SEARCH("R29",G169)),0)+IFERROR(--ISNUMBER(SEARCH("R30",G169)),0)+IFERROR(--ISNUMBER(SEARCH("R31",G169)),0)+IFERROR(--ISNUMBER(SEARCH("R32",G169)),0)+IFERROR(--ISNUMBER(SEARCH("R33",G169)),0)+IFERROR(--ISNUMBER(SEARCH("R34",G169)),0)+IFERROR(--ISNUMBER(SEARCH("R35",G169)),0)+IFERROR(--ISNUMBER(SEARCH("R36",G169)),0)+IFERROR(--ISNUMBER(SEARCH("R37",G169)),0)+IFERROR(--ISNUMBER(SEARCH("R38",G169)),0)+IFERROR(--ISNUMBER(SEARCH("R39",G169)),0)+IFERROR(--ISNUMBER(SEARCH("R40",G169)),0)+IFERROR(--ISNUMBER(SEARCH("R41",G169)),0)+IFERROR(--ISNUMBER(SEARCH("R42",G169)),0)+IFERROR(--ISNUMBER(SEARCH("R43",G169)),0)+IFERROR(--ISNUMBER(SEARCH("R44",G169)),0)+IFERROR(--ISNUMBER(SEARCH("R45",G169)),0)+IFERROR(--ISNUMBER(SEARCH("R46",G169)),0)+IFERROR(--ISNUMBER(SEARCH("R47",G169)),0)+IFERROR(--ISNUMBER(SEARCH("R48",G169)),0)+IFERROR(--ISNUMBER(SEARCH("R49",G169)),0)+IFERROR(--ISNUMBER(SEARCH("R50",G169)),0)+IFERROR(--ISNUMBER(SEARCH("R51",G169)),0)+IFERROR(--ISNUMBER(SEARCH("R52",G169)),0)+IFERROR(--ISNUMBER(SEARCH("R53",G169)),0)+IFERROR(--ISNUMBER(SEARCH("R54",G169)),0)+IFERROR(--ISNUMBER(SEARCH("R55",G169)),0)+IFERROR(--ISNUMBER(SEARCH("R56",G169)),0)+IFERROR(--ISNUMBER(SEARCH("R57",G169)),0)+IFERROR(--ISNUMBER(SEARCH("R58",G169)),0)+IFERROR(--ISNUMBER(SEARCH("R59",G169)),0)+IFERROR(--ISNUMBER(SEARCH("R60",G169)),0)+IFERROR(--ISNUMBER(SEARCH("R61",G169)),0)+IFERROR(--ISNUMBER(SEARCH("R62",G169)),0)+IFERROR(--ISNUMBER(SEARCH("R63",G169)),0)+IFERROR(--ISNUMBER(SEARCH("R64",G169)),0)+IFERROR(--ISNUMBER(SEARCH("R65",G169)),0)+IFERROR(--ISNUMBER(SEARCH("R66",G169)),0)+IFERROR(--ISNUMBER(SEARCH("R67",G169)),0)+IFERROR(--ISNUMBER(SEARCH("R68",G169)),0)+IFERROR(--ISNUMBER(SEARCH("R69",G169)),0)+IFERROR(--ISNUMBER(SEARCH("R70",G169)),0)+IFERROR(--ISNUMBER(SEARCH("R71",G169)),0)+IFERROR(--ISNUMBER(SEARCH("R72",G169)),0)+IFERROR(--ISNUMBER(SEARCH("R73",G169)),0)+IFERROR(--ISNUMBER(SEARCH("R74",G169)),0)+IFERROR(--ISNUMBER(SEARCH("R75",G169)),0)+IFERROR(--ISNUMBER(SEARCH("R76",G169)),0)+IFERROR(--ISNUMBER(SEARCH("R77",G169)),0)+IFERROR(--ISNUMBER(SEARCH("R78",G169)),0)+IFERROR(--ISNUMBER(SEARCH("R79",G169)),0)+IFERROR(--ISNUMBER(SEARCH("R80",G169)),0)+IFERROR(--ISNUMBER(SEARCH("R81",G169)),0)+IFERROR(--ISNUMBER(SEARCH("R82",G169)),0)+IFERROR(--ISNUMBER(SEARCH("R83",G169)),0)+IFERROR(--ISNUMBER(SEARCH("R84",G169)),0)+IFERROR(--ISNUMBER(SEARCH("R85",G169)),0)+IFERROR(--ISNUMBER(SEARCH("R86",G169)),0)+IFERROR(--ISNUMBER(SEARCH("R87",G169)),0)+IFERROR(--ISNUMBER(SEARCH("R88",G169)),0)+IFERROR(--ISNUMBER(SEARCH("R89",G169)),0)+IFERROR(--ISNUMBER(SEARCH("R90",G169)),0)+IFERROR(--ISNUMBER(SEARCH("R91",G169)),0)+IFERROR(--ISNUMBER(SEARCH("R92",G169)),0)+IFERROR(--ISNUMBER(SEARCH("R93",G169)),0)+IFERROR(--ISNUMBER(SEARCH("R94",G169)),0)+IFERROR(--ISNUMBER(SEARCH("R95",G169)),0)+IFERROR(--ISNUMBER(SEARCH("R96",G169)),0)+IFERROR(--ISNUMBER(SEARCH("R97",G169)),0)+IFERROR(--ISNUMBER(SEARCH("R98",G169)),0)+IFERROR(--ISNUMBER(SEARCH("R99",G169)),0)+IFERROR(--ISNUMBER(SEARCH("R100",G169)),0)+IFERROR(--ISNUMBER(SEARCH("R101",G169)),0)+IFERROR(--ISNUMBER(SEARCH("R102",G169)),0)+IFERROR(--ISNUMBER(SEARCH("R103",G169)),0)+IFERROR(--ISNUMBER(SEARCH("R104",G169)),0)+IFERROR(--ISNUMBER(SEARCH("R105",G169)),0)+IFERROR(--ISNUMBER(SEARCH("R106",G169)),0)+IFERROR(--ISNUMBER(SEARCH("R107",G169)),0)+IFERROR(--ISNUMBER(SEARCH("R108",G169)),0)+IFERROR(--ISNUMBER(SEARCH("R109",G169)),0)+IFERROR(--ISNUMBER(SEARCH("R110",G169)),0)+IFERROR(--ISNUMBER(SEARCH("R111",G169)),0)+IFERROR(--ISNUMBER(SEARCH("R112",G169)),0)+IFERROR(--ISNUMBER(SEARCH("R113",G169)),0)+IFERROR(--ISNUMBER(SEARCH("R114",G169)),0)+IFERROR(--ISNUMBER(SEARCH("R115",G169)),0)+IFERROR(--ISNUMBER(SEARCH("R116",G169)),0)+IFERROR(--ISNUMBER(SEARCH("R117",G169)),0)+IFERROR(--ISNUMBER(SEARCH("R118",G169)),0)+IFERROR(--ISNUMBER(SEARCH("R119",G169)),0)+IFERROR(--ISNUMBER(SEARCH("R120",G169)),0)+IFERROR(--ISNUMBER(SEARCH("R121",G169)),0)+IFERROR(--ISNUMBER(SEARCH("R122",G169)),0)+IFERROR(--ISNUMBER(SEARCH("R123",G169)),0)+IFERROR(--ISNUMBER(SEARCH("R124",G169)),0)+IFERROR(--ISNUMBER(SEARCH("R125",G169)),0)+IFERROR(--ISNUMBER(SEARCH("R126",G169)),0)+IFERROR(--ISNUMBER(SEARCH("R127",G169)),0)+IFERROR(--ISNUMBER(SEARCH("R128",G169)),0)+IFERROR(--ISNUMBER(SEARCH("R129",G169)),0)+IFERROR(--ISNUMBER(SEARCH("R130",G169)),0)+IFERROR(--ISNUMBER(SEARCH("R131",G169)),0)+IFERROR(--ISNUMBER(SEARCH("R132",G169)),0)+IFERROR(--ISNUMBER(SEARCH("R133",G169)),0)+IFERROR(--ISNUMBER(SEARCH("R134",G169)),0)+IFERROR(--ISNUMBER(SEARCH("R135",G169)),0)+IFERROR(--ISNUMBER(SEARCH("R136",G169)),0)+IFERROR(--ISNUMBER(SEARCH("R137",G169)),0)+IFERROR(--ISNUMBER(SEARCH("R138",G169)),0)+IFERROR(--ISNUMBER(SEARCH("R139",G169)),0)+IFERROR(--ISNUMBER(SEARCH("R140",G169)),0)+IFERROR(--ISNUMBER(SEARCH("R141",G169)),0))</f>
        <v/>
      </c>
      <c r="T169" s="58">
        <f>IF(A169="","",IFERROR(--ISNUMBER(SEARCH("R28",G169)),0)+IFERROR(--ISNUMBER(SEARCH("R29",G169)),0)+IFERROR(--ISNUMBER(SEARCH("R30",G169)),0)+IFERROR(--ISNUMBER(SEARCH("R32",G169)),0)+IFERROR(--ISNUMBER(SEARCH("R33",G169)),0)+IFERROR(--ISNUMBER(SEARCH("R35",G169)),0)+IFERROR(--ISNUMBER(SEARCH("R36",G169)),0)+IFERROR(--ISNUMBER(SEARCH("R38",G169)),0)+IFERROR(--ISNUMBER(SEARCH("R39",G169)),0)+IFERROR(--ISNUMBER(SEARCH("R43",G169)),0)+IFERROR(--ISNUMBER(SEARCH("R44",G169)),0)+IFERROR(--ISNUMBER(SEARCH("R45",G169)),0)+IFERROR(--ISNUMBER(SEARCH("R47",G169)),0)+IFERROR(--ISNUMBER(SEARCH("R48",G169)),0)+IFERROR(--ISNUMBER(SEARCH("R50",G169)),0)+IFERROR(--ISNUMBER(SEARCH("R51",G169)),0)+IFERROR(--ISNUMBER(SEARCH("R56",G169)),0)+IFERROR(--ISNUMBER(SEARCH("R58",G169)),0)+IFERROR(--ISNUMBER(SEARCH("R59",G169)),0)+IFERROR(--ISNUMBER(SEARCH("R60",G169)),0)+IFERROR(--ISNUMBER(SEARCH("R62",G169)),0)+IFERROR(--ISNUMBER(SEARCH("R63",G169)),0)+IFERROR(--ISNUMBER(SEARCH("R64",G169)),0)+IFERROR(--ISNUMBER(SEARCH("R66",G169)),0)+IFERROR(--ISNUMBER(SEARCH("R67",G169)),0)+IFERROR(--ISNUMBER(SEARCH("R72",G169)),0)+IFERROR(--ISNUMBER(SEARCH("R74",G169)),0)+IFERROR(--ISNUMBER(SEARCH("R75",G169)),0)+IFERROR(--ISNUMBER(SEARCH("R76",G169)),0)+IFERROR(--ISNUMBER(SEARCH("R77",G169)),0)+IFERROR(--ISNUMBER(SEARCH("R79",G169)),0)+IFERROR(--ISNUMBER(SEARCH("R80",G169)),0)+IFERROR(--ISNUMBER(SEARCH("R81",G169)),0)+IFERROR(--ISNUMBER(SEARCH("R83",G169)),0)+IFERROR(--ISNUMBER(SEARCH("R84",G169)),0)+IFERROR(--ISNUMBER(SEARCH("R89",G169)),0)+IFERROR(--ISNUMBER(SEARCH("R94",G169)),0)+IFERROR(--ISNUMBER(SEARCH("R95",G169)),0)+IFERROR(--ISNUMBER(SEARCH("R96",G169)),0)+IFERROR(--ISNUMBER(SEARCH("R98",G169)),0)+IFERROR(--ISNUMBER(SEARCH("R99",G169)),0)+IFERROR(--ISNUMBER(SEARCH("R100",G169)),0)+IFERROR(--ISNUMBER(SEARCH("R104",G169)),0)+IFERROR(--ISNUMBER(SEARCH("R105",G169)),0)+IFERROR(--ISNUMBER(SEARCH("R107",G169)),0)+IFERROR(--ISNUMBER(SEARCH("R108",G169)),0)+IFERROR(--ISNUMBER(SEARCH("R109",G169)),0)+IFERROR(--ISNUMBER(SEARCH("R110",G169)),0)+IFERROR(--ISNUMBER(SEARCH("R112",G169)),0)+IFERROR(--ISNUMBER(SEARCH("R113",G169)),0)+IFERROR(--ISNUMBER(SEARCH("R114",G169)),0)+IFERROR(--ISNUMBER(SEARCH("R118",G169)),0)+IFERROR(--ISNUMBER(SEARCH("R119",G169)),0)+IFERROR(--ISNUMBER(SEARCH("R120",G169)),0)+IFERROR(--ISNUMBER(SEARCH("R122",G169)),0)+IFERROR(--ISNUMBER(SEARCH("R123",G169)),0)+IFERROR(--ISNUMBER(SEARCH("R124",G169)),0)+IFERROR(--ISNUMBER(SEARCH("R128",G169)),0)+IFERROR(--ISNUMBER(SEARCH("R130",G169)),0)+IFERROR(--ISNUMBER(SEARCH("R131",G169)),0)+IFERROR(--ISNUMBER(SEARCH("R132",G169)),0)+IFERROR(--ISNUMBER(SEARCH("R135",G169)),0)+IFERROR(--ISNUMBER(SEARCH("R138",G169)),0)+IFERROR(--ISNUMBER(SEARCH("R141",G169)),0))</f>
        <v/>
      </c>
      <c r="U169" s="58">
        <f>IF(A169="","",IFERROR(--ISNUMBER(SEARCH("R28",G169))*28,0)+IFERROR(--ISNUMBER(SEARCH("R29",G169))*29,0)+IFERROR(--ISNUMBER(SEARCH("R30",G169))*30,0)+IFERROR(--ISNUMBER(SEARCH("R31",G169))*31,0)+IFERROR(--ISNUMBER(SEARCH("R32",G169))*32,0)+IFERROR(--ISNUMBER(SEARCH("R33",G169))*33,0)+IFERROR(--ISNUMBER(SEARCH("R34",G169))*34,0)+IFERROR(--ISNUMBER(SEARCH("R35",G169))*35,0)+IFERROR(--ISNUMBER(SEARCH("R36",G169))*36,0)+IFERROR(--ISNUMBER(SEARCH("R37",G169))*37,0)+IFERROR(--ISNUMBER(SEARCH("R38",G169))*38,0)+IFERROR(--ISNUMBER(SEARCH("R39",G169))*39,0)+IFERROR(--ISNUMBER(SEARCH("R40",G169))*40,0)+IFERROR(--ISNUMBER(SEARCH("R41",G169))*41,0)+IFERROR(--ISNUMBER(SEARCH("R42",G169))*42,0)+IFERROR(--ISNUMBER(SEARCH("R43",G169))*43,0)+IFERROR(--ISNUMBER(SEARCH("R44",G169))*44,0)+IFERROR(--ISNUMBER(SEARCH("R45",G169))*45,0)+IFERROR(--ISNUMBER(SEARCH("R46",G169))*46,0)+IFERROR(--ISNUMBER(SEARCH("R47",G169))*47,0)+IFERROR(--ISNUMBER(SEARCH("R48",G169))*48,0)+IFERROR(--ISNUMBER(SEARCH("R49",G169))*49,0)+IFERROR(--ISNUMBER(SEARCH("R50",G169))*50,0)+IFERROR(--ISNUMBER(SEARCH("R51",G169))*51,0)+IFERROR(--ISNUMBER(SEARCH("R52",G169))*52,0)+IFERROR(--ISNUMBER(SEARCH("R53",G169))*53,0)+IFERROR(--ISNUMBER(SEARCH("R54",G169))*54,0)+IFERROR(--ISNUMBER(SEARCH("R55",G169))*55,0)+IFERROR(--ISNUMBER(SEARCH("R56",G169))*56,0)+IFERROR(--ISNUMBER(SEARCH("R57",G169))*57,0)+IFERROR(--ISNUMBER(SEARCH("R58",G169))*58,0)+IFERROR(--ISNUMBER(SEARCH("R59",G169))*59,0)+IFERROR(--ISNUMBER(SEARCH("R60",G169))*60,0)+IFERROR(--ISNUMBER(SEARCH("R61",G169))*61,0)+IFERROR(--ISNUMBER(SEARCH("R62",G169))*62,0)+IFERROR(--ISNUMBER(SEARCH("R63",G169))*63,0)+IFERROR(--ISNUMBER(SEARCH("R64",G169))*64,0)+IFERROR(--ISNUMBER(SEARCH("R65",G169))*65,0)+IFERROR(--ISNUMBER(SEARCH("R66",G169))*66,0)+IFERROR(--ISNUMBER(SEARCH("R67",G169))*67,0)+IFERROR(--ISNUMBER(SEARCH("R68",G169))*68,0)+IFERROR(--ISNUMBER(SEARCH("R69",G169))*69,0)+IFERROR(--ISNUMBER(SEARCH("R70",G169))*70,0)+IFERROR(--ISNUMBER(SEARCH("R71",G169))*71,0)+IFERROR(--ISNUMBER(SEARCH("R72",G169))*72,0)+IFERROR(--ISNUMBER(SEARCH("R73",G169))*73,0)+IFERROR(--ISNUMBER(SEARCH("R74",G169))*74,0)+IFERROR(--ISNUMBER(SEARCH("R75",G169))*75,0)+IFERROR(--ISNUMBER(SEARCH("R76",G169))*76,0)+IFERROR(--ISNUMBER(SEARCH("R77",G169))*77,0)+IFERROR(--ISNUMBER(SEARCH("R78",G169))*78,0)+IFERROR(--ISNUMBER(SEARCH("R79",G169))*79,0)+IFERROR(--ISNUMBER(SEARCH("R80",G169))*80,0)+IFERROR(--ISNUMBER(SEARCH("R81",G169))*81,0)+IFERROR(--ISNUMBER(SEARCH("R82",G169))*82,0)+IFERROR(--ISNUMBER(SEARCH("R83",G169))*83,0)+IFERROR(--ISNUMBER(SEARCH("R84",G169))*84,0)+IFERROR(--ISNUMBER(SEARCH("R85",G169))*85,0)+IFERROR(--ISNUMBER(SEARCH("R86",G169))*86,0)+IFERROR(--ISNUMBER(SEARCH("R87",G169))*87,0)+IFERROR(--ISNUMBER(SEARCH("R88",G169))*88,0)+IFERROR(--ISNUMBER(SEARCH("R89",G169))*89,0)+IFERROR(--ISNUMBER(SEARCH("R90",G169))*90,0)+IFERROR(--ISNUMBER(SEARCH("R91",G169))*91,0)+IFERROR(--ISNUMBER(SEARCH("R92",G169))*92,0)+IFERROR(--ISNUMBER(SEARCH("R93",G169))*93,0)+IFERROR(--ISNUMBER(SEARCH("R94",G169))*94,0)+IFERROR(--ISNUMBER(SEARCH("R95",G169))*95,0)+IFERROR(--ISNUMBER(SEARCH("R96",G169))*96,0)+IFERROR(--ISNUMBER(SEARCH("R97",G169))*97,0)+IFERROR(--ISNUMBER(SEARCH("R98",G169))*98,0)+IFERROR(--ISNUMBER(SEARCH("R99",G169))*99,0)+IFERROR(--ISNUMBER(SEARCH("R100",G169))*100,0)+IFERROR(--ISNUMBER(SEARCH("R101",G169))*101,0)+IFERROR(--ISNUMBER(SEARCH("R102",G169))*102,0)+IFERROR(--ISNUMBER(SEARCH("R103",G169))*103,0)+IFERROR(--ISNUMBER(SEARCH("R104",G169))*104,0)+IFERROR(--ISNUMBER(SEARCH("R105",G169))*105,0)+IFERROR(--ISNUMBER(SEARCH("R106",G169))*106,0)+IFERROR(--ISNUMBER(SEARCH("R107",G169))*107,0)+IFERROR(--ISNUMBER(SEARCH("R108",G169))*108,0)+IFERROR(--ISNUMBER(SEARCH("R109",G169))*109,0)+IFERROR(--ISNUMBER(SEARCH("R110",G169))*110,0)+IFERROR(--ISNUMBER(SEARCH("R111",G169))*111,0)+IFERROR(--ISNUMBER(SEARCH("R112",G169))*112,0)+IFERROR(--ISNUMBER(SEARCH("R113",G169))*113,0)+IFERROR(--ISNUMBER(SEARCH("R114",G169))*114,0)+IFERROR(--ISNUMBER(SEARCH("R115",G169))*115,0)+IFERROR(--ISNUMBER(SEARCH("R116",G169))*116,0)+IFERROR(--ISNUMBER(SEARCH("R117",G169))*117,0)+IFERROR(--ISNUMBER(SEARCH("R118",G169))*118,0)+IFERROR(--ISNUMBER(SEARCH("R119",G169))*119,0)+IFERROR(--ISNUMBER(SEARCH("R120",G169))*120,0)+IFERROR(--ISNUMBER(SEARCH("R121",G169))*121,0)+IFERROR(--ISNUMBER(SEARCH("R122",G169))*122,0)+IFERROR(--ISNUMBER(SEARCH("R123",G169))*123,0)+IFERROR(--ISNUMBER(SEARCH("R124",G169))*124,0)+IFERROR(--ISNUMBER(SEARCH("R125",G169))*125,0)+IFERROR(--ISNUMBER(SEARCH("R126",G169))*126,0)+IFERROR(--ISNUMBER(SEARCH("R127",G169))*127,0)+IFERROR(--ISNUMBER(SEARCH("R128",G169))*128,0)+IFERROR(--ISNUMBER(SEARCH("R129",G169))*129,0)+IFERROR(--ISNUMBER(SEARCH("R130",G169))*130,0)+IFERROR(--ISNUMBER(SEARCH("R131",G169))*131,0)+IFERROR(--ISNUMBER(SEARCH("R132",G169))*132,0)+IFERROR(--ISNUMBER(SEARCH("R133",G169))*133,0)+IFERROR(--ISNUMBER(SEARCH("R134",G169))*134,0)+IFERROR(--ISNUMBER(SEARCH("R135",G169))*135,0)+IFERROR(--ISNUMBER(SEARCH("R136",G169))*136,0)+IFERROR(--ISNUMBER(SEARCH("R137",G169))*137,0)+IFERROR(--ISNUMBER(SEARCH("R138",G169))*138,0)+IFERROR(--ISNUMBER(SEARCH("R139",G169))*139,0)+IFERROR(--ISNUMBER(SEARCH("R140",G169))*140,0)+IFERROR(--ISNUMBER(SEARCH("R141",G169))*141,0))</f>
        <v/>
      </c>
      <c r="V169" s="59">
        <f>IF(A169="","",IF(K169&lt;&gt;"",K169,J169))</f>
        <v/>
      </c>
      <c r="W169" s="59">
        <f>IF(A169="","",IF(AND(V169=29,O169&lt;&gt;"",COUNTIFS($V$6:$V$505,29,$F$6:$F$505,F169,$C$6:$C$505,C169,$O$6:$O$505,"&lt;&gt;")&gt;1),IF(COUNTIFS($V$6:V169,29,$F$6:F169,F169,$C$6:C169,C169,$O$6:O169,"&lt;&gt;")=1,"Esta es la fila que se debe CONSERVAR (aparición 1 de "&amp;COUNTIFS($V$6:$V$505,29,$F$6:$F$505,F169,$C$6:$C$505,C169,$O$6:$O$505,"&lt;&gt;")&amp;" con el mismo tercero y valor, casilla 29). Si hay más filas iguales, bórreles el valor a ELLAS, no a esta.","DUPLICADO — ya existe otra fila con el mismo tercero y valor para casilla 29 (aparición "&amp;COUNTIFS($V$6:V169,29,$F$6:F169,F169,$C$6:C169,C169,$O$6:O169,"&lt;&gt;")&amp;" de "&amp;COUNTIFS($V$6:$V$505,29,$F$6:$F$505,F169,$C$6:$C$505,C169,$O$6:$O$505,"&lt;&gt;")&amp;"). Para resolverlo: seleccione la celda O"&amp;ROW()&amp;" (columna Valor a declarar de ESTA fila) y presione Supr."),""))</f>
        <v/>
      </c>
      <c r="X169" s="463">
        <f>IF(A169="","",F169)</f>
        <v/>
      </c>
      <c r="Y169" s="463">
        <f>IF(A169="","",SUMIF(Entrada_Manual!$I$88:$I$187,A169,Entrada_Manual!$F$88:$F$187))</f>
        <v/>
      </c>
      <c r="Z169" s="463">
        <f>IF(A169="","",X169-Y169)</f>
        <v/>
      </c>
      <c r="AA169">
        <f>IF(A169="","",SUMPRODUCT((Entrada_Manual!$I$88:$I$187=A169)*1))</f>
        <v/>
      </c>
      <c r="AB169">
        <f>IF(A169="","",IF(S169&lt;=1,"",IF(AA169=0,"PENDIENTE — SIN ASIGNAR",IF(Z169=0,"RESUELTO","PARCIAL — DIFERENCIA "&amp;TEXT(Z169,"#,##0")))))</f>
        <v/>
      </c>
    </row>
    <row r="170" ht="14.25" customHeight="1" s="235">
      <c r="A170" s="47">
        <f>IF(Exogena_RAW!E179&lt;&gt;"",ROW()-5,"")</f>
        <v/>
      </c>
      <c r="B170" s="48">
        <f>IF(A170="","",179)</f>
        <v/>
      </c>
      <c r="C170" s="48">
        <f>IF(A170="","",IFERROR(Exogena_RAW!A179,""))</f>
        <v/>
      </c>
      <c r="D170" s="48">
        <f>IF(A170="","",IFERROR(Exogena_RAW!B179,""))</f>
        <v/>
      </c>
      <c r="E170" s="48">
        <f>IF(A170="","",Exogena_RAW!E179)</f>
        <v/>
      </c>
      <c r="F170" s="461">
        <f>IF(A170="","",Exogena_RAW!F179)</f>
        <v/>
      </c>
      <c r="G170" s="48">
        <f>IF(A170="","",IFERROR(Exogena_RAW!G179,""))</f>
        <v/>
      </c>
      <c r="H170" s="48">
        <f>IF(A170="","",IFERROR(Exogena_RAW!H179,""))</f>
        <v/>
      </c>
      <c r="I170" s="48">
        <f>IF(A170="","",IFERROR(IF(S170&gt;1,"VARIAS CASILLAS",IF(S170=1,IF(T170=1,"PROPUESTA DE CASILLA","REVISIÓN: CASILLA NO DIRECTA"),IF(OR(ISNUMBER(SEARCH("TOPE",UPPER(E170))),ISNUMBER(SEARCH("TOPE",UPPER(G170)))),"SOLO CONTROL",IF(ISNUMBER(SEARCH("RETEN",UPPER(E170))),"RETENCIÓN","REVISAR")))),"REVISAR"))</f>
        <v/>
      </c>
      <c r="J170" s="48">
        <f>IF(A170="","",IF(ISNUMBER(SEARCH("ingreso laboral promedio de los últimos seis meses",E170)),"",IFERROR(IF(AND(S170=1,T170=1),U170,""),"")))</f>
        <v/>
      </c>
      <c r="K170" s="216" t="n"/>
      <c r="L170" s="48">
        <f>IF(A170="","",IFERROR(IF(K170&lt;&gt;"","Casilla elegida por usuario",IF(S170&gt;1,"Varias casillas — elegir en K",IF(J170&lt;&gt;"","Sugerencia directa",IF(S170=1,"No trasladar directo — revisar",IF(OR(ISNUMBER(SEARCH("TOPE",UPPER(E170))),ISNUMBER(SEARCH("TOPE",UPPER(G170)))),"Solo control","Revisar manualmente"))))),"Revisar manualmente"))</f>
        <v/>
      </c>
      <c r="M170" s="461">
        <f>IF(A170="","",IF(IF(K170&lt;&gt;"",K170,J170)="",0,IF(COUNTIFS(Reglas!$I$5:$I$118,IF(K170&lt;&gt;"",K170,J170),Reglas!$J$5:$J$118,"Sí")=1,F170,0)))</f>
        <v/>
      </c>
      <c r="N170" s="56" t="n"/>
      <c r="O170" s="462">
        <f>IF(A170="","",IF(M170=0,"",M170))</f>
        <v/>
      </c>
      <c r="P170" s="461">
        <f>IF(A170="","",IF(O170="",0,IF(ISNUMBER(O170),O170,0)))</f>
        <v/>
      </c>
      <c r="Q170" s="48">
        <f>IF(A170="","",IF(Exogena_RAW!$C$4="","BLOQUEADO: FALTA AÑO",IF(Exogena_RAW!$K$10&lt;&gt;Reglas!$B$5,"BLOQUEADO: AÑO",IF(IF(K170&lt;&gt;"",K170,J170)="",IF(S170&gt;1,"REQUIERE ASIGNACIÓN MANUAL (VARIAS CASILLAS)","INFORMATIVO (sin casilla — no se declara)"),IF(COUNTIFS(Reglas!$I$5:$I$118,IF(K170&lt;&gt;"",K170,J170),Reglas!$J$5:$J$118,"Sí")=0,"BLOQUEADO: CASILLA NO DIRECTA",IF(O170="","EXCLUIDO (valor borrado por el usuario)",IF(_xlfn.ISFORMULA(O170),IF(W170&lt;&gt;"","BORRADOR — VALOR SUGERIDO DIAN ⚠ VER ALERTA","BORRADOR — VALOR SUGERIDO DIAN"),IF(W170&lt;&gt;"","ACEPTADO ⚠ VER ALERTA","ACEPTADO"))))))))</f>
        <v/>
      </c>
      <c r="R170" s="218" t="n"/>
      <c r="S170" s="58">
        <f>IF(A170="","",IFERROR(--ISNUMBER(SEARCH("R28",G170)),0)+IFERROR(--ISNUMBER(SEARCH("R29",G170)),0)+IFERROR(--ISNUMBER(SEARCH("R30",G170)),0)+IFERROR(--ISNUMBER(SEARCH("R31",G170)),0)+IFERROR(--ISNUMBER(SEARCH("R32",G170)),0)+IFERROR(--ISNUMBER(SEARCH("R33",G170)),0)+IFERROR(--ISNUMBER(SEARCH("R34",G170)),0)+IFERROR(--ISNUMBER(SEARCH("R35",G170)),0)+IFERROR(--ISNUMBER(SEARCH("R36",G170)),0)+IFERROR(--ISNUMBER(SEARCH("R37",G170)),0)+IFERROR(--ISNUMBER(SEARCH("R38",G170)),0)+IFERROR(--ISNUMBER(SEARCH("R39",G170)),0)+IFERROR(--ISNUMBER(SEARCH("R40",G170)),0)+IFERROR(--ISNUMBER(SEARCH("R41",G170)),0)+IFERROR(--ISNUMBER(SEARCH("R42",G170)),0)+IFERROR(--ISNUMBER(SEARCH("R43",G170)),0)+IFERROR(--ISNUMBER(SEARCH("R44",G170)),0)+IFERROR(--ISNUMBER(SEARCH("R45",G170)),0)+IFERROR(--ISNUMBER(SEARCH("R46",G170)),0)+IFERROR(--ISNUMBER(SEARCH("R47",G170)),0)+IFERROR(--ISNUMBER(SEARCH("R48",G170)),0)+IFERROR(--ISNUMBER(SEARCH("R49",G170)),0)+IFERROR(--ISNUMBER(SEARCH("R50",G170)),0)+IFERROR(--ISNUMBER(SEARCH("R51",G170)),0)+IFERROR(--ISNUMBER(SEARCH("R52",G170)),0)+IFERROR(--ISNUMBER(SEARCH("R53",G170)),0)+IFERROR(--ISNUMBER(SEARCH("R54",G170)),0)+IFERROR(--ISNUMBER(SEARCH("R55",G170)),0)+IFERROR(--ISNUMBER(SEARCH("R56",G170)),0)+IFERROR(--ISNUMBER(SEARCH("R57",G170)),0)+IFERROR(--ISNUMBER(SEARCH("R58",G170)),0)+IFERROR(--ISNUMBER(SEARCH("R59",G170)),0)+IFERROR(--ISNUMBER(SEARCH("R60",G170)),0)+IFERROR(--ISNUMBER(SEARCH("R61",G170)),0)+IFERROR(--ISNUMBER(SEARCH("R62",G170)),0)+IFERROR(--ISNUMBER(SEARCH("R63",G170)),0)+IFERROR(--ISNUMBER(SEARCH("R64",G170)),0)+IFERROR(--ISNUMBER(SEARCH("R65",G170)),0)+IFERROR(--ISNUMBER(SEARCH("R66",G170)),0)+IFERROR(--ISNUMBER(SEARCH("R67",G170)),0)+IFERROR(--ISNUMBER(SEARCH("R68",G170)),0)+IFERROR(--ISNUMBER(SEARCH("R69",G170)),0)+IFERROR(--ISNUMBER(SEARCH("R70",G170)),0)+IFERROR(--ISNUMBER(SEARCH("R71",G170)),0)+IFERROR(--ISNUMBER(SEARCH("R72",G170)),0)+IFERROR(--ISNUMBER(SEARCH("R73",G170)),0)+IFERROR(--ISNUMBER(SEARCH("R74",G170)),0)+IFERROR(--ISNUMBER(SEARCH("R75",G170)),0)+IFERROR(--ISNUMBER(SEARCH("R76",G170)),0)+IFERROR(--ISNUMBER(SEARCH("R77",G170)),0)+IFERROR(--ISNUMBER(SEARCH("R78",G170)),0)+IFERROR(--ISNUMBER(SEARCH("R79",G170)),0)+IFERROR(--ISNUMBER(SEARCH("R80",G170)),0)+IFERROR(--ISNUMBER(SEARCH("R81",G170)),0)+IFERROR(--ISNUMBER(SEARCH("R82",G170)),0)+IFERROR(--ISNUMBER(SEARCH("R83",G170)),0)+IFERROR(--ISNUMBER(SEARCH("R84",G170)),0)+IFERROR(--ISNUMBER(SEARCH("R85",G170)),0)+IFERROR(--ISNUMBER(SEARCH("R86",G170)),0)+IFERROR(--ISNUMBER(SEARCH("R87",G170)),0)+IFERROR(--ISNUMBER(SEARCH("R88",G170)),0)+IFERROR(--ISNUMBER(SEARCH("R89",G170)),0)+IFERROR(--ISNUMBER(SEARCH("R90",G170)),0)+IFERROR(--ISNUMBER(SEARCH("R91",G170)),0)+IFERROR(--ISNUMBER(SEARCH("R92",G170)),0)+IFERROR(--ISNUMBER(SEARCH("R93",G170)),0)+IFERROR(--ISNUMBER(SEARCH("R94",G170)),0)+IFERROR(--ISNUMBER(SEARCH("R95",G170)),0)+IFERROR(--ISNUMBER(SEARCH("R96",G170)),0)+IFERROR(--ISNUMBER(SEARCH("R97",G170)),0)+IFERROR(--ISNUMBER(SEARCH("R98",G170)),0)+IFERROR(--ISNUMBER(SEARCH("R99",G170)),0)+IFERROR(--ISNUMBER(SEARCH("R100",G170)),0)+IFERROR(--ISNUMBER(SEARCH("R101",G170)),0)+IFERROR(--ISNUMBER(SEARCH("R102",G170)),0)+IFERROR(--ISNUMBER(SEARCH("R103",G170)),0)+IFERROR(--ISNUMBER(SEARCH("R104",G170)),0)+IFERROR(--ISNUMBER(SEARCH("R105",G170)),0)+IFERROR(--ISNUMBER(SEARCH("R106",G170)),0)+IFERROR(--ISNUMBER(SEARCH("R107",G170)),0)+IFERROR(--ISNUMBER(SEARCH("R108",G170)),0)+IFERROR(--ISNUMBER(SEARCH("R109",G170)),0)+IFERROR(--ISNUMBER(SEARCH("R110",G170)),0)+IFERROR(--ISNUMBER(SEARCH("R111",G170)),0)+IFERROR(--ISNUMBER(SEARCH("R112",G170)),0)+IFERROR(--ISNUMBER(SEARCH("R113",G170)),0)+IFERROR(--ISNUMBER(SEARCH("R114",G170)),0)+IFERROR(--ISNUMBER(SEARCH("R115",G170)),0)+IFERROR(--ISNUMBER(SEARCH("R116",G170)),0)+IFERROR(--ISNUMBER(SEARCH("R117",G170)),0)+IFERROR(--ISNUMBER(SEARCH("R118",G170)),0)+IFERROR(--ISNUMBER(SEARCH("R119",G170)),0)+IFERROR(--ISNUMBER(SEARCH("R120",G170)),0)+IFERROR(--ISNUMBER(SEARCH("R121",G170)),0)+IFERROR(--ISNUMBER(SEARCH("R122",G170)),0)+IFERROR(--ISNUMBER(SEARCH("R123",G170)),0)+IFERROR(--ISNUMBER(SEARCH("R124",G170)),0)+IFERROR(--ISNUMBER(SEARCH("R125",G170)),0)+IFERROR(--ISNUMBER(SEARCH("R126",G170)),0)+IFERROR(--ISNUMBER(SEARCH("R127",G170)),0)+IFERROR(--ISNUMBER(SEARCH("R128",G170)),0)+IFERROR(--ISNUMBER(SEARCH("R129",G170)),0)+IFERROR(--ISNUMBER(SEARCH("R130",G170)),0)+IFERROR(--ISNUMBER(SEARCH("R131",G170)),0)+IFERROR(--ISNUMBER(SEARCH("R132",G170)),0)+IFERROR(--ISNUMBER(SEARCH("R133",G170)),0)+IFERROR(--ISNUMBER(SEARCH("R134",G170)),0)+IFERROR(--ISNUMBER(SEARCH("R135",G170)),0)+IFERROR(--ISNUMBER(SEARCH("R136",G170)),0)+IFERROR(--ISNUMBER(SEARCH("R137",G170)),0)+IFERROR(--ISNUMBER(SEARCH("R138",G170)),0)+IFERROR(--ISNUMBER(SEARCH("R139",G170)),0)+IFERROR(--ISNUMBER(SEARCH("R140",G170)),0)+IFERROR(--ISNUMBER(SEARCH("R141",G170)),0))</f>
        <v/>
      </c>
      <c r="T170" s="58">
        <f>IF(A170="","",IFERROR(--ISNUMBER(SEARCH("R28",G170)),0)+IFERROR(--ISNUMBER(SEARCH("R29",G170)),0)+IFERROR(--ISNUMBER(SEARCH("R30",G170)),0)+IFERROR(--ISNUMBER(SEARCH("R32",G170)),0)+IFERROR(--ISNUMBER(SEARCH("R33",G170)),0)+IFERROR(--ISNUMBER(SEARCH("R35",G170)),0)+IFERROR(--ISNUMBER(SEARCH("R36",G170)),0)+IFERROR(--ISNUMBER(SEARCH("R38",G170)),0)+IFERROR(--ISNUMBER(SEARCH("R39",G170)),0)+IFERROR(--ISNUMBER(SEARCH("R43",G170)),0)+IFERROR(--ISNUMBER(SEARCH("R44",G170)),0)+IFERROR(--ISNUMBER(SEARCH("R45",G170)),0)+IFERROR(--ISNUMBER(SEARCH("R47",G170)),0)+IFERROR(--ISNUMBER(SEARCH("R48",G170)),0)+IFERROR(--ISNUMBER(SEARCH("R50",G170)),0)+IFERROR(--ISNUMBER(SEARCH("R51",G170)),0)+IFERROR(--ISNUMBER(SEARCH("R56",G170)),0)+IFERROR(--ISNUMBER(SEARCH("R58",G170)),0)+IFERROR(--ISNUMBER(SEARCH("R59",G170)),0)+IFERROR(--ISNUMBER(SEARCH("R60",G170)),0)+IFERROR(--ISNUMBER(SEARCH("R62",G170)),0)+IFERROR(--ISNUMBER(SEARCH("R63",G170)),0)+IFERROR(--ISNUMBER(SEARCH("R64",G170)),0)+IFERROR(--ISNUMBER(SEARCH("R66",G170)),0)+IFERROR(--ISNUMBER(SEARCH("R67",G170)),0)+IFERROR(--ISNUMBER(SEARCH("R72",G170)),0)+IFERROR(--ISNUMBER(SEARCH("R74",G170)),0)+IFERROR(--ISNUMBER(SEARCH("R75",G170)),0)+IFERROR(--ISNUMBER(SEARCH("R76",G170)),0)+IFERROR(--ISNUMBER(SEARCH("R77",G170)),0)+IFERROR(--ISNUMBER(SEARCH("R79",G170)),0)+IFERROR(--ISNUMBER(SEARCH("R80",G170)),0)+IFERROR(--ISNUMBER(SEARCH("R81",G170)),0)+IFERROR(--ISNUMBER(SEARCH("R83",G170)),0)+IFERROR(--ISNUMBER(SEARCH("R84",G170)),0)+IFERROR(--ISNUMBER(SEARCH("R89",G170)),0)+IFERROR(--ISNUMBER(SEARCH("R94",G170)),0)+IFERROR(--ISNUMBER(SEARCH("R95",G170)),0)+IFERROR(--ISNUMBER(SEARCH("R96",G170)),0)+IFERROR(--ISNUMBER(SEARCH("R98",G170)),0)+IFERROR(--ISNUMBER(SEARCH("R99",G170)),0)+IFERROR(--ISNUMBER(SEARCH("R100",G170)),0)+IFERROR(--ISNUMBER(SEARCH("R104",G170)),0)+IFERROR(--ISNUMBER(SEARCH("R105",G170)),0)+IFERROR(--ISNUMBER(SEARCH("R107",G170)),0)+IFERROR(--ISNUMBER(SEARCH("R108",G170)),0)+IFERROR(--ISNUMBER(SEARCH("R109",G170)),0)+IFERROR(--ISNUMBER(SEARCH("R110",G170)),0)+IFERROR(--ISNUMBER(SEARCH("R112",G170)),0)+IFERROR(--ISNUMBER(SEARCH("R113",G170)),0)+IFERROR(--ISNUMBER(SEARCH("R114",G170)),0)+IFERROR(--ISNUMBER(SEARCH("R118",G170)),0)+IFERROR(--ISNUMBER(SEARCH("R119",G170)),0)+IFERROR(--ISNUMBER(SEARCH("R120",G170)),0)+IFERROR(--ISNUMBER(SEARCH("R122",G170)),0)+IFERROR(--ISNUMBER(SEARCH("R123",G170)),0)+IFERROR(--ISNUMBER(SEARCH("R124",G170)),0)+IFERROR(--ISNUMBER(SEARCH("R128",G170)),0)+IFERROR(--ISNUMBER(SEARCH("R130",G170)),0)+IFERROR(--ISNUMBER(SEARCH("R131",G170)),0)+IFERROR(--ISNUMBER(SEARCH("R132",G170)),0)+IFERROR(--ISNUMBER(SEARCH("R135",G170)),0)+IFERROR(--ISNUMBER(SEARCH("R138",G170)),0)+IFERROR(--ISNUMBER(SEARCH("R141",G170)),0))</f>
        <v/>
      </c>
      <c r="U170" s="58">
        <f>IF(A170="","",IFERROR(--ISNUMBER(SEARCH("R28",G170))*28,0)+IFERROR(--ISNUMBER(SEARCH("R29",G170))*29,0)+IFERROR(--ISNUMBER(SEARCH("R30",G170))*30,0)+IFERROR(--ISNUMBER(SEARCH("R31",G170))*31,0)+IFERROR(--ISNUMBER(SEARCH("R32",G170))*32,0)+IFERROR(--ISNUMBER(SEARCH("R33",G170))*33,0)+IFERROR(--ISNUMBER(SEARCH("R34",G170))*34,0)+IFERROR(--ISNUMBER(SEARCH("R35",G170))*35,0)+IFERROR(--ISNUMBER(SEARCH("R36",G170))*36,0)+IFERROR(--ISNUMBER(SEARCH("R37",G170))*37,0)+IFERROR(--ISNUMBER(SEARCH("R38",G170))*38,0)+IFERROR(--ISNUMBER(SEARCH("R39",G170))*39,0)+IFERROR(--ISNUMBER(SEARCH("R40",G170))*40,0)+IFERROR(--ISNUMBER(SEARCH("R41",G170))*41,0)+IFERROR(--ISNUMBER(SEARCH("R42",G170))*42,0)+IFERROR(--ISNUMBER(SEARCH("R43",G170))*43,0)+IFERROR(--ISNUMBER(SEARCH("R44",G170))*44,0)+IFERROR(--ISNUMBER(SEARCH("R45",G170))*45,0)+IFERROR(--ISNUMBER(SEARCH("R46",G170))*46,0)+IFERROR(--ISNUMBER(SEARCH("R47",G170))*47,0)+IFERROR(--ISNUMBER(SEARCH("R48",G170))*48,0)+IFERROR(--ISNUMBER(SEARCH("R49",G170))*49,0)+IFERROR(--ISNUMBER(SEARCH("R50",G170))*50,0)+IFERROR(--ISNUMBER(SEARCH("R51",G170))*51,0)+IFERROR(--ISNUMBER(SEARCH("R52",G170))*52,0)+IFERROR(--ISNUMBER(SEARCH("R53",G170))*53,0)+IFERROR(--ISNUMBER(SEARCH("R54",G170))*54,0)+IFERROR(--ISNUMBER(SEARCH("R55",G170))*55,0)+IFERROR(--ISNUMBER(SEARCH("R56",G170))*56,0)+IFERROR(--ISNUMBER(SEARCH("R57",G170))*57,0)+IFERROR(--ISNUMBER(SEARCH("R58",G170))*58,0)+IFERROR(--ISNUMBER(SEARCH("R59",G170))*59,0)+IFERROR(--ISNUMBER(SEARCH("R60",G170))*60,0)+IFERROR(--ISNUMBER(SEARCH("R61",G170))*61,0)+IFERROR(--ISNUMBER(SEARCH("R62",G170))*62,0)+IFERROR(--ISNUMBER(SEARCH("R63",G170))*63,0)+IFERROR(--ISNUMBER(SEARCH("R64",G170))*64,0)+IFERROR(--ISNUMBER(SEARCH("R65",G170))*65,0)+IFERROR(--ISNUMBER(SEARCH("R66",G170))*66,0)+IFERROR(--ISNUMBER(SEARCH("R67",G170))*67,0)+IFERROR(--ISNUMBER(SEARCH("R68",G170))*68,0)+IFERROR(--ISNUMBER(SEARCH("R69",G170))*69,0)+IFERROR(--ISNUMBER(SEARCH("R70",G170))*70,0)+IFERROR(--ISNUMBER(SEARCH("R71",G170))*71,0)+IFERROR(--ISNUMBER(SEARCH("R72",G170))*72,0)+IFERROR(--ISNUMBER(SEARCH("R73",G170))*73,0)+IFERROR(--ISNUMBER(SEARCH("R74",G170))*74,0)+IFERROR(--ISNUMBER(SEARCH("R75",G170))*75,0)+IFERROR(--ISNUMBER(SEARCH("R76",G170))*76,0)+IFERROR(--ISNUMBER(SEARCH("R77",G170))*77,0)+IFERROR(--ISNUMBER(SEARCH("R78",G170))*78,0)+IFERROR(--ISNUMBER(SEARCH("R79",G170))*79,0)+IFERROR(--ISNUMBER(SEARCH("R80",G170))*80,0)+IFERROR(--ISNUMBER(SEARCH("R81",G170))*81,0)+IFERROR(--ISNUMBER(SEARCH("R82",G170))*82,0)+IFERROR(--ISNUMBER(SEARCH("R83",G170))*83,0)+IFERROR(--ISNUMBER(SEARCH("R84",G170))*84,0)+IFERROR(--ISNUMBER(SEARCH("R85",G170))*85,0)+IFERROR(--ISNUMBER(SEARCH("R86",G170))*86,0)+IFERROR(--ISNUMBER(SEARCH("R87",G170))*87,0)+IFERROR(--ISNUMBER(SEARCH("R88",G170))*88,0)+IFERROR(--ISNUMBER(SEARCH("R89",G170))*89,0)+IFERROR(--ISNUMBER(SEARCH("R90",G170))*90,0)+IFERROR(--ISNUMBER(SEARCH("R91",G170))*91,0)+IFERROR(--ISNUMBER(SEARCH("R92",G170))*92,0)+IFERROR(--ISNUMBER(SEARCH("R93",G170))*93,0)+IFERROR(--ISNUMBER(SEARCH("R94",G170))*94,0)+IFERROR(--ISNUMBER(SEARCH("R95",G170))*95,0)+IFERROR(--ISNUMBER(SEARCH("R96",G170))*96,0)+IFERROR(--ISNUMBER(SEARCH("R97",G170))*97,0)+IFERROR(--ISNUMBER(SEARCH("R98",G170))*98,0)+IFERROR(--ISNUMBER(SEARCH("R99",G170))*99,0)+IFERROR(--ISNUMBER(SEARCH("R100",G170))*100,0)+IFERROR(--ISNUMBER(SEARCH("R101",G170))*101,0)+IFERROR(--ISNUMBER(SEARCH("R102",G170))*102,0)+IFERROR(--ISNUMBER(SEARCH("R103",G170))*103,0)+IFERROR(--ISNUMBER(SEARCH("R104",G170))*104,0)+IFERROR(--ISNUMBER(SEARCH("R105",G170))*105,0)+IFERROR(--ISNUMBER(SEARCH("R106",G170))*106,0)+IFERROR(--ISNUMBER(SEARCH("R107",G170))*107,0)+IFERROR(--ISNUMBER(SEARCH("R108",G170))*108,0)+IFERROR(--ISNUMBER(SEARCH("R109",G170))*109,0)+IFERROR(--ISNUMBER(SEARCH("R110",G170))*110,0)+IFERROR(--ISNUMBER(SEARCH("R111",G170))*111,0)+IFERROR(--ISNUMBER(SEARCH("R112",G170))*112,0)+IFERROR(--ISNUMBER(SEARCH("R113",G170))*113,0)+IFERROR(--ISNUMBER(SEARCH("R114",G170))*114,0)+IFERROR(--ISNUMBER(SEARCH("R115",G170))*115,0)+IFERROR(--ISNUMBER(SEARCH("R116",G170))*116,0)+IFERROR(--ISNUMBER(SEARCH("R117",G170))*117,0)+IFERROR(--ISNUMBER(SEARCH("R118",G170))*118,0)+IFERROR(--ISNUMBER(SEARCH("R119",G170))*119,0)+IFERROR(--ISNUMBER(SEARCH("R120",G170))*120,0)+IFERROR(--ISNUMBER(SEARCH("R121",G170))*121,0)+IFERROR(--ISNUMBER(SEARCH("R122",G170))*122,0)+IFERROR(--ISNUMBER(SEARCH("R123",G170))*123,0)+IFERROR(--ISNUMBER(SEARCH("R124",G170))*124,0)+IFERROR(--ISNUMBER(SEARCH("R125",G170))*125,0)+IFERROR(--ISNUMBER(SEARCH("R126",G170))*126,0)+IFERROR(--ISNUMBER(SEARCH("R127",G170))*127,0)+IFERROR(--ISNUMBER(SEARCH("R128",G170))*128,0)+IFERROR(--ISNUMBER(SEARCH("R129",G170))*129,0)+IFERROR(--ISNUMBER(SEARCH("R130",G170))*130,0)+IFERROR(--ISNUMBER(SEARCH("R131",G170))*131,0)+IFERROR(--ISNUMBER(SEARCH("R132",G170))*132,0)+IFERROR(--ISNUMBER(SEARCH("R133",G170))*133,0)+IFERROR(--ISNUMBER(SEARCH("R134",G170))*134,0)+IFERROR(--ISNUMBER(SEARCH("R135",G170))*135,0)+IFERROR(--ISNUMBER(SEARCH("R136",G170))*136,0)+IFERROR(--ISNUMBER(SEARCH("R137",G170))*137,0)+IFERROR(--ISNUMBER(SEARCH("R138",G170))*138,0)+IFERROR(--ISNUMBER(SEARCH("R139",G170))*139,0)+IFERROR(--ISNUMBER(SEARCH("R140",G170))*140,0)+IFERROR(--ISNUMBER(SEARCH("R141",G170))*141,0))</f>
        <v/>
      </c>
      <c r="V170" s="59">
        <f>IF(A170="","",IF(K170&lt;&gt;"",K170,J170))</f>
        <v/>
      </c>
      <c r="W170" s="59">
        <f>IF(A170="","",IF(AND(V170=29,O170&lt;&gt;"",COUNTIFS($V$6:$V$505,29,$F$6:$F$505,F170,$C$6:$C$505,C170,$O$6:$O$505,"&lt;&gt;")&gt;1),IF(COUNTIFS($V$6:V170,29,$F$6:F170,F170,$C$6:C170,C170,$O$6:O170,"&lt;&gt;")=1,"Esta es la fila que se debe CONSERVAR (aparición 1 de "&amp;COUNTIFS($V$6:$V$505,29,$F$6:$F$505,F170,$C$6:$C$505,C170,$O$6:$O$505,"&lt;&gt;")&amp;" con el mismo tercero y valor, casilla 29). Si hay más filas iguales, bórreles el valor a ELLAS, no a esta.","DUPLICADO — ya existe otra fila con el mismo tercero y valor para casilla 29 (aparición "&amp;COUNTIFS($V$6:V170,29,$F$6:F170,F170,$C$6:C170,C170,$O$6:O170,"&lt;&gt;")&amp;" de "&amp;COUNTIFS($V$6:$V$505,29,$F$6:$F$505,F170,$C$6:$C$505,C170,$O$6:$O$505,"&lt;&gt;")&amp;"). Para resolverlo: seleccione la celda O"&amp;ROW()&amp;" (columna Valor a declarar de ESTA fila) y presione Supr."),""))</f>
        <v/>
      </c>
      <c r="X170" s="463">
        <f>IF(A170="","",F170)</f>
        <v/>
      </c>
      <c r="Y170" s="463">
        <f>IF(A170="","",SUMIF(Entrada_Manual!$I$88:$I$187,A170,Entrada_Manual!$F$88:$F$187))</f>
        <v/>
      </c>
      <c r="Z170" s="463">
        <f>IF(A170="","",X170-Y170)</f>
        <v/>
      </c>
      <c r="AA170">
        <f>IF(A170="","",SUMPRODUCT((Entrada_Manual!$I$88:$I$187=A170)*1))</f>
        <v/>
      </c>
      <c r="AB170">
        <f>IF(A170="","",IF(S170&lt;=1,"",IF(AA170=0,"PENDIENTE — SIN ASIGNAR",IF(Z170=0,"RESUELTO","PARCIAL — DIFERENCIA "&amp;TEXT(Z170,"#,##0")))))</f>
        <v/>
      </c>
    </row>
    <row r="171" ht="14.25" customHeight="1" s="235">
      <c r="A171" s="47">
        <f>IF(Exogena_RAW!E180&lt;&gt;"",ROW()-5,"")</f>
        <v/>
      </c>
      <c r="B171" s="48">
        <f>IF(A171="","",180)</f>
        <v/>
      </c>
      <c r="C171" s="48">
        <f>IF(A171="","",IFERROR(Exogena_RAW!A180,""))</f>
        <v/>
      </c>
      <c r="D171" s="48">
        <f>IF(A171="","",IFERROR(Exogena_RAW!B180,""))</f>
        <v/>
      </c>
      <c r="E171" s="48">
        <f>IF(A171="","",Exogena_RAW!E180)</f>
        <v/>
      </c>
      <c r="F171" s="461">
        <f>IF(A171="","",Exogena_RAW!F180)</f>
        <v/>
      </c>
      <c r="G171" s="48">
        <f>IF(A171="","",IFERROR(Exogena_RAW!G180,""))</f>
        <v/>
      </c>
      <c r="H171" s="48">
        <f>IF(A171="","",IFERROR(Exogena_RAW!H180,""))</f>
        <v/>
      </c>
      <c r="I171" s="48">
        <f>IF(A171="","",IFERROR(IF(S171&gt;1,"VARIAS CASILLAS",IF(S171=1,IF(T171=1,"PROPUESTA DE CASILLA","REVISIÓN: CASILLA NO DIRECTA"),IF(OR(ISNUMBER(SEARCH("TOPE",UPPER(E171))),ISNUMBER(SEARCH("TOPE",UPPER(G171)))),"SOLO CONTROL",IF(ISNUMBER(SEARCH("RETEN",UPPER(E171))),"RETENCIÓN","REVISAR")))),"REVISAR"))</f>
        <v/>
      </c>
      <c r="J171" s="48">
        <f>IF(A171="","",IF(ISNUMBER(SEARCH("ingreso laboral promedio de los últimos seis meses",E171)),"",IFERROR(IF(AND(S171=1,T171=1),U171,""),"")))</f>
        <v/>
      </c>
      <c r="K171" s="216" t="n"/>
      <c r="L171" s="48">
        <f>IF(A171="","",IFERROR(IF(K171&lt;&gt;"","Casilla elegida por usuario",IF(S171&gt;1,"Varias casillas — elegir en K",IF(J171&lt;&gt;"","Sugerencia directa",IF(S171=1,"No trasladar directo — revisar",IF(OR(ISNUMBER(SEARCH("TOPE",UPPER(E171))),ISNUMBER(SEARCH("TOPE",UPPER(G171)))),"Solo control","Revisar manualmente"))))),"Revisar manualmente"))</f>
        <v/>
      </c>
      <c r="M171" s="461">
        <f>IF(A171="","",IF(IF(K171&lt;&gt;"",K171,J171)="",0,IF(COUNTIFS(Reglas!$I$5:$I$118,IF(K171&lt;&gt;"",K171,J171),Reglas!$J$5:$J$118,"Sí")=1,F171,0)))</f>
        <v/>
      </c>
      <c r="N171" s="56" t="n"/>
      <c r="O171" s="462">
        <f>IF(A171="","",IF(M171=0,"",M171))</f>
        <v/>
      </c>
      <c r="P171" s="461">
        <f>IF(A171="","",IF(O171="",0,IF(ISNUMBER(O171),O171,0)))</f>
        <v/>
      </c>
      <c r="Q171" s="48">
        <f>IF(A171="","",IF(Exogena_RAW!$C$4="","BLOQUEADO: FALTA AÑO",IF(Exogena_RAW!$K$10&lt;&gt;Reglas!$B$5,"BLOQUEADO: AÑO",IF(IF(K171&lt;&gt;"",K171,J171)="",IF(S171&gt;1,"REQUIERE ASIGNACIÓN MANUAL (VARIAS CASILLAS)","INFORMATIVO (sin casilla — no se declara)"),IF(COUNTIFS(Reglas!$I$5:$I$118,IF(K171&lt;&gt;"",K171,J171),Reglas!$J$5:$J$118,"Sí")=0,"BLOQUEADO: CASILLA NO DIRECTA",IF(O171="","EXCLUIDO (valor borrado por el usuario)",IF(_xlfn.ISFORMULA(O171),IF(W171&lt;&gt;"","BORRADOR — VALOR SUGERIDO DIAN ⚠ VER ALERTA","BORRADOR — VALOR SUGERIDO DIAN"),IF(W171&lt;&gt;"","ACEPTADO ⚠ VER ALERTA","ACEPTADO"))))))))</f>
        <v/>
      </c>
      <c r="R171" s="218" t="n"/>
      <c r="S171" s="58">
        <f>IF(A171="","",IFERROR(--ISNUMBER(SEARCH("R28",G171)),0)+IFERROR(--ISNUMBER(SEARCH("R29",G171)),0)+IFERROR(--ISNUMBER(SEARCH("R30",G171)),0)+IFERROR(--ISNUMBER(SEARCH("R31",G171)),0)+IFERROR(--ISNUMBER(SEARCH("R32",G171)),0)+IFERROR(--ISNUMBER(SEARCH("R33",G171)),0)+IFERROR(--ISNUMBER(SEARCH("R34",G171)),0)+IFERROR(--ISNUMBER(SEARCH("R35",G171)),0)+IFERROR(--ISNUMBER(SEARCH("R36",G171)),0)+IFERROR(--ISNUMBER(SEARCH("R37",G171)),0)+IFERROR(--ISNUMBER(SEARCH("R38",G171)),0)+IFERROR(--ISNUMBER(SEARCH("R39",G171)),0)+IFERROR(--ISNUMBER(SEARCH("R40",G171)),0)+IFERROR(--ISNUMBER(SEARCH("R41",G171)),0)+IFERROR(--ISNUMBER(SEARCH("R42",G171)),0)+IFERROR(--ISNUMBER(SEARCH("R43",G171)),0)+IFERROR(--ISNUMBER(SEARCH("R44",G171)),0)+IFERROR(--ISNUMBER(SEARCH("R45",G171)),0)+IFERROR(--ISNUMBER(SEARCH("R46",G171)),0)+IFERROR(--ISNUMBER(SEARCH("R47",G171)),0)+IFERROR(--ISNUMBER(SEARCH("R48",G171)),0)+IFERROR(--ISNUMBER(SEARCH("R49",G171)),0)+IFERROR(--ISNUMBER(SEARCH("R50",G171)),0)+IFERROR(--ISNUMBER(SEARCH("R51",G171)),0)+IFERROR(--ISNUMBER(SEARCH("R52",G171)),0)+IFERROR(--ISNUMBER(SEARCH("R53",G171)),0)+IFERROR(--ISNUMBER(SEARCH("R54",G171)),0)+IFERROR(--ISNUMBER(SEARCH("R55",G171)),0)+IFERROR(--ISNUMBER(SEARCH("R56",G171)),0)+IFERROR(--ISNUMBER(SEARCH("R57",G171)),0)+IFERROR(--ISNUMBER(SEARCH("R58",G171)),0)+IFERROR(--ISNUMBER(SEARCH("R59",G171)),0)+IFERROR(--ISNUMBER(SEARCH("R60",G171)),0)+IFERROR(--ISNUMBER(SEARCH("R61",G171)),0)+IFERROR(--ISNUMBER(SEARCH("R62",G171)),0)+IFERROR(--ISNUMBER(SEARCH("R63",G171)),0)+IFERROR(--ISNUMBER(SEARCH("R64",G171)),0)+IFERROR(--ISNUMBER(SEARCH("R65",G171)),0)+IFERROR(--ISNUMBER(SEARCH("R66",G171)),0)+IFERROR(--ISNUMBER(SEARCH("R67",G171)),0)+IFERROR(--ISNUMBER(SEARCH("R68",G171)),0)+IFERROR(--ISNUMBER(SEARCH("R69",G171)),0)+IFERROR(--ISNUMBER(SEARCH("R70",G171)),0)+IFERROR(--ISNUMBER(SEARCH("R71",G171)),0)+IFERROR(--ISNUMBER(SEARCH("R72",G171)),0)+IFERROR(--ISNUMBER(SEARCH("R73",G171)),0)+IFERROR(--ISNUMBER(SEARCH("R74",G171)),0)+IFERROR(--ISNUMBER(SEARCH("R75",G171)),0)+IFERROR(--ISNUMBER(SEARCH("R76",G171)),0)+IFERROR(--ISNUMBER(SEARCH("R77",G171)),0)+IFERROR(--ISNUMBER(SEARCH("R78",G171)),0)+IFERROR(--ISNUMBER(SEARCH("R79",G171)),0)+IFERROR(--ISNUMBER(SEARCH("R80",G171)),0)+IFERROR(--ISNUMBER(SEARCH("R81",G171)),0)+IFERROR(--ISNUMBER(SEARCH("R82",G171)),0)+IFERROR(--ISNUMBER(SEARCH("R83",G171)),0)+IFERROR(--ISNUMBER(SEARCH("R84",G171)),0)+IFERROR(--ISNUMBER(SEARCH("R85",G171)),0)+IFERROR(--ISNUMBER(SEARCH("R86",G171)),0)+IFERROR(--ISNUMBER(SEARCH("R87",G171)),0)+IFERROR(--ISNUMBER(SEARCH("R88",G171)),0)+IFERROR(--ISNUMBER(SEARCH("R89",G171)),0)+IFERROR(--ISNUMBER(SEARCH("R90",G171)),0)+IFERROR(--ISNUMBER(SEARCH("R91",G171)),0)+IFERROR(--ISNUMBER(SEARCH("R92",G171)),0)+IFERROR(--ISNUMBER(SEARCH("R93",G171)),0)+IFERROR(--ISNUMBER(SEARCH("R94",G171)),0)+IFERROR(--ISNUMBER(SEARCH("R95",G171)),0)+IFERROR(--ISNUMBER(SEARCH("R96",G171)),0)+IFERROR(--ISNUMBER(SEARCH("R97",G171)),0)+IFERROR(--ISNUMBER(SEARCH("R98",G171)),0)+IFERROR(--ISNUMBER(SEARCH("R99",G171)),0)+IFERROR(--ISNUMBER(SEARCH("R100",G171)),0)+IFERROR(--ISNUMBER(SEARCH("R101",G171)),0)+IFERROR(--ISNUMBER(SEARCH("R102",G171)),0)+IFERROR(--ISNUMBER(SEARCH("R103",G171)),0)+IFERROR(--ISNUMBER(SEARCH("R104",G171)),0)+IFERROR(--ISNUMBER(SEARCH("R105",G171)),0)+IFERROR(--ISNUMBER(SEARCH("R106",G171)),0)+IFERROR(--ISNUMBER(SEARCH("R107",G171)),0)+IFERROR(--ISNUMBER(SEARCH("R108",G171)),0)+IFERROR(--ISNUMBER(SEARCH("R109",G171)),0)+IFERROR(--ISNUMBER(SEARCH("R110",G171)),0)+IFERROR(--ISNUMBER(SEARCH("R111",G171)),0)+IFERROR(--ISNUMBER(SEARCH("R112",G171)),0)+IFERROR(--ISNUMBER(SEARCH("R113",G171)),0)+IFERROR(--ISNUMBER(SEARCH("R114",G171)),0)+IFERROR(--ISNUMBER(SEARCH("R115",G171)),0)+IFERROR(--ISNUMBER(SEARCH("R116",G171)),0)+IFERROR(--ISNUMBER(SEARCH("R117",G171)),0)+IFERROR(--ISNUMBER(SEARCH("R118",G171)),0)+IFERROR(--ISNUMBER(SEARCH("R119",G171)),0)+IFERROR(--ISNUMBER(SEARCH("R120",G171)),0)+IFERROR(--ISNUMBER(SEARCH("R121",G171)),0)+IFERROR(--ISNUMBER(SEARCH("R122",G171)),0)+IFERROR(--ISNUMBER(SEARCH("R123",G171)),0)+IFERROR(--ISNUMBER(SEARCH("R124",G171)),0)+IFERROR(--ISNUMBER(SEARCH("R125",G171)),0)+IFERROR(--ISNUMBER(SEARCH("R126",G171)),0)+IFERROR(--ISNUMBER(SEARCH("R127",G171)),0)+IFERROR(--ISNUMBER(SEARCH("R128",G171)),0)+IFERROR(--ISNUMBER(SEARCH("R129",G171)),0)+IFERROR(--ISNUMBER(SEARCH("R130",G171)),0)+IFERROR(--ISNUMBER(SEARCH("R131",G171)),0)+IFERROR(--ISNUMBER(SEARCH("R132",G171)),0)+IFERROR(--ISNUMBER(SEARCH("R133",G171)),0)+IFERROR(--ISNUMBER(SEARCH("R134",G171)),0)+IFERROR(--ISNUMBER(SEARCH("R135",G171)),0)+IFERROR(--ISNUMBER(SEARCH("R136",G171)),0)+IFERROR(--ISNUMBER(SEARCH("R137",G171)),0)+IFERROR(--ISNUMBER(SEARCH("R138",G171)),0)+IFERROR(--ISNUMBER(SEARCH("R139",G171)),0)+IFERROR(--ISNUMBER(SEARCH("R140",G171)),0)+IFERROR(--ISNUMBER(SEARCH("R141",G171)),0))</f>
        <v/>
      </c>
      <c r="T171" s="58">
        <f>IF(A171="","",IFERROR(--ISNUMBER(SEARCH("R28",G171)),0)+IFERROR(--ISNUMBER(SEARCH("R29",G171)),0)+IFERROR(--ISNUMBER(SEARCH("R30",G171)),0)+IFERROR(--ISNUMBER(SEARCH("R32",G171)),0)+IFERROR(--ISNUMBER(SEARCH("R33",G171)),0)+IFERROR(--ISNUMBER(SEARCH("R35",G171)),0)+IFERROR(--ISNUMBER(SEARCH("R36",G171)),0)+IFERROR(--ISNUMBER(SEARCH("R38",G171)),0)+IFERROR(--ISNUMBER(SEARCH("R39",G171)),0)+IFERROR(--ISNUMBER(SEARCH("R43",G171)),0)+IFERROR(--ISNUMBER(SEARCH("R44",G171)),0)+IFERROR(--ISNUMBER(SEARCH("R45",G171)),0)+IFERROR(--ISNUMBER(SEARCH("R47",G171)),0)+IFERROR(--ISNUMBER(SEARCH("R48",G171)),0)+IFERROR(--ISNUMBER(SEARCH("R50",G171)),0)+IFERROR(--ISNUMBER(SEARCH("R51",G171)),0)+IFERROR(--ISNUMBER(SEARCH("R56",G171)),0)+IFERROR(--ISNUMBER(SEARCH("R58",G171)),0)+IFERROR(--ISNUMBER(SEARCH("R59",G171)),0)+IFERROR(--ISNUMBER(SEARCH("R60",G171)),0)+IFERROR(--ISNUMBER(SEARCH("R62",G171)),0)+IFERROR(--ISNUMBER(SEARCH("R63",G171)),0)+IFERROR(--ISNUMBER(SEARCH("R64",G171)),0)+IFERROR(--ISNUMBER(SEARCH("R66",G171)),0)+IFERROR(--ISNUMBER(SEARCH("R67",G171)),0)+IFERROR(--ISNUMBER(SEARCH("R72",G171)),0)+IFERROR(--ISNUMBER(SEARCH("R74",G171)),0)+IFERROR(--ISNUMBER(SEARCH("R75",G171)),0)+IFERROR(--ISNUMBER(SEARCH("R76",G171)),0)+IFERROR(--ISNUMBER(SEARCH("R77",G171)),0)+IFERROR(--ISNUMBER(SEARCH("R79",G171)),0)+IFERROR(--ISNUMBER(SEARCH("R80",G171)),0)+IFERROR(--ISNUMBER(SEARCH("R81",G171)),0)+IFERROR(--ISNUMBER(SEARCH("R83",G171)),0)+IFERROR(--ISNUMBER(SEARCH("R84",G171)),0)+IFERROR(--ISNUMBER(SEARCH("R89",G171)),0)+IFERROR(--ISNUMBER(SEARCH("R94",G171)),0)+IFERROR(--ISNUMBER(SEARCH("R95",G171)),0)+IFERROR(--ISNUMBER(SEARCH("R96",G171)),0)+IFERROR(--ISNUMBER(SEARCH("R98",G171)),0)+IFERROR(--ISNUMBER(SEARCH("R99",G171)),0)+IFERROR(--ISNUMBER(SEARCH("R100",G171)),0)+IFERROR(--ISNUMBER(SEARCH("R104",G171)),0)+IFERROR(--ISNUMBER(SEARCH("R105",G171)),0)+IFERROR(--ISNUMBER(SEARCH("R107",G171)),0)+IFERROR(--ISNUMBER(SEARCH("R108",G171)),0)+IFERROR(--ISNUMBER(SEARCH("R109",G171)),0)+IFERROR(--ISNUMBER(SEARCH("R110",G171)),0)+IFERROR(--ISNUMBER(SEARCH("R112",G171)),0)+IFERROR(--ISNUMBER(SEARCH("R113",G171)),0)+IFERROR(--ISNUMBER(SEARCH("R114",G171)),0)+IFERROR(--ISNUMBER(SEARCH("R118",G171)),0)+IFERROR(--ISNUMBER(SEARCH("R119",G171)),0)+IFERROR(--ISNUMBER(SEARCH("R120",G171)),0)+IFERROR(--ISNUMBER(SEARCH("R122",G171)),0)+IFERROR(--ISNUMBER(SEARCH("R123",G171)),0)+IFERROR(--ISNUMBER(SEARCH("R124",G171)),0)+IFERROR(--ISNUMBER(SEARCH("R128",G171)),0)+IFERROR(--ISNUMBER(SEARCH("R130",G171)),0)+IFERROR(--ISNUMBER(SEARCH("R131",G171)),0)+IFERROR(--ISNUMBER(SEARCH("R132",G171)),0)+IFERROR(--ISNUMBER(SEARCH("R135",G171)),0)+IFERROR(--ISNUMBER(SEARCH("R138",G171)),0)+IFERROR(--ISNUMBER(SEARCH("R141",G171)),0))</f>
        <v/>
      </c>
      <c r="U171" s="58">
        <f>IF(A171="","",IFERROR(--ISNUMBER(SEARCH("R28",G171))*28,0)+IFERROR(--ISNUMBER(SEARCH("R29",G171))*29,0)+IFERROR(--ISNUMBER(SEARCH("R30",G171))*30,0)+IFERROR(--ISNUMBER(SEARCH("R31",G171))*31,0)+IFERROR(--ISNUMBER(SEARCH("R32",G171))*32,0)+IFERROR(--ISNUMBER(SEARCH("R33",G171))*33,0)+IFERROR(--ISNUMBER(SEARCH("R34",G171))*34,0)+IFERROR(--ISNUMBER(SEARCH("R35",G171))*35,0)+IFERROR(--ISNUMBER(SEARCH("R36",G171))*36,0)+IFERROR(--ISNUMBER(SEARCH("R37",G171))*37,0)+IFERROR(--ISNUMBER(SEARCH("R38",G171))*38,0)+IFERROR(--ISNUMBER(SEARCH("R39",G171))*39,0)+IFERROR(--ISNUMBER(SEARCH("R40",G171))*40,0)+IFERROR(--ISNUMBER(SEARCH("R41",G171))*41,0)+IFERROR(--ISNUMBER(SEARCH("R42",G171))*42,0)+IFERROR(--ISNUMBER(SEARCH("R43",G171))*43,0)+IFERROR(--ISNUMBER(SEARCH("R44",G171))*44,0)+IFERROR(--ISNUMBER(SEARCH("R45",G171))*45,0)+IFERROR(--ISNUMBER(SEARCH("R46",G171))*46,0)+IFERROR(--ISNUMBER(SEARCH("R47",G171))*47,0)+IFERROR(--ISNUMBER(SEARCH("R48",G171))*48,0)+IFERROR(--ISNUMBER(SEARCH("R49",G171))*49,0)+IFERROR(--ISNUMBER(SEARCH("R50",G171))*50,0)+IFERROR(--ISNUMBER(SEARCH("R51",G171))*51,0)+IFERROR(--ISNUMBER(SEARCH("R52",G171))*52,0)+IFERROR(--ISNUMBER(SEARCH("R53",G171))*53,0)+IFERROR(--ISNUMBER(SEARCH("R54",G171))*54,0)+IFERROR(--ISNUMBER(SEARCH("R55",G171))*55,0)+IFERROR(--ISNUMBER(SEARCH("R56",G171))*56,0)+IFERROR(--ISNUMBER(SEARCH("R57",G171))*57,0)+IFERROR(--ISNUMBER(SEARCH("R58",G171))*58,0)+IFERROR(--ISNUMBER(SEARCH("R59",G171))*59,0)+IFERROR(--ISNUMBER(SEARCH("R60",G171))*60,0)+IFERROR(--ISNUMBER(SEARCH("R61",G171))*61,0)+IFERROR(--ISNUMBER(SEARCH("R62",G171))*62,0)+IFERROR(--ISNUMBER(SEARCH("R63",G171))*63,0)+IFERROR(--ISNUMBER(SEARCH("R64",G171))*64,0)+IFERROR(--ISNUMBER(SEARCH("R65",G171))*65,0)+IFERROR(--ISNUMBER(SEARCH("R66",G171))*66,0)+IFERROR(--ISNUMBER(SEARCH("R67",G171))*67,0)+IFERROR(--ISNUMBER(SEARCH("R68",G171))*68,0)+IFERROR(--ISNUMBER(SEARCH("R69",G171))*69,0)+IFERROR(--ISNUMBER(SEARCH("R70",G171))*70,0)+IFERROR(--ISNUMBER(SEARCH("R71",G171))*71,0)+IFERROR(--ISNUMBER(SEARCH("R72",G171))*72,0)+IFERROR(--ISNUMBER(SEARCH("R73",G171))*73,0)+IFERROR(--ISNUMBER(SEARCH("R74",G171))*74,0)+IFERROR(--ISNUMBER(SEARCH("R75",G171))*75,0)+IFERROR(--ISNUMBER(SEARCH("R76",G171))*76,0)+IFERROR(--ISNUMBER(SEARCH("R77",G171))*77,0)+IFERROR(--ISNUMBER(SEARCH("R78",G171))*78,0)+IFERROR(--ISNUMBER(SEARCH("R79",G171))*79,0)+IFERROR(--ISNUMBER(SEARCH("R80",G171))*80,0)+IFERROR(--ISNUMBER(SEARCH("R81",G171))*81,0)+IFERROR(--ISNUMBER(SEARCH("R82",G171))*82,0)+IFERROR(--ISNUMBER(SEARCH("R83",G171))*83,0)+IFERROR(--ISNUMBER(SEARCH("R84",G171))*84,0)+IFERROR(--ISNUMBER(SEARCH("R85",G171))*85,0)+IFERROR(--ISNUMBER(SEARCH("R86",G171))*86,0)+IFERROR(--ISNUMBER(SEARCH("R87",G171))*87,0)+IFERROR(--ISNUMBER(SEARCH("R88",G171))*88,0)+IFERROR(--ISNUMBER(SEARCH("R89",G171))*89,0)+IFERROR(--ISNUMBER(SEARCH("R90",G171))*90,0)+IFERROR(--ISNUMBER(SEARCH("R91",G171))*91,0)+IFERROR(--ISNUMBER(SEARCH("R92",G171))*92,0)+IFERROR(--ISNUMBER(SEARCH("R93",G171))*93,0)+IFERROR(--ISNUMBER(SEARCH("R94",G171))*94,0)+IFERROR(--ISNUMBER(SEARCH("R95",G171))*95,0)+IFERROR(--ISNUMBER(SEARCH("R96",G171))*96,0)+IFERROR(--ISNUMBER(SEARCH("R97",G171))*97,0)+IFERROR(--ISNUMBER(SEARCH("R98",G171))*98,0)+IFERROR(--ISNUMBER(SEARCH("R99",G171))*99,0)+IFERROR(--ISNUMBER(SEARCH("R100",G171))*100,0)+IFERROR(--ISNUMBER(SEARCH("R101",G171))*101,0)+IFERROR(--ISNUMBER(SEARCH("R102",G171))*102,0)+IFERROR(--ISNUMBER(SEARCH("R103",G171))*103,0)+IFERROR(--ISNUMBER(SEARCH("R104",G171))*104,0)+IFERROR(--ISNUMBER(SEARCH("R105",G171))*105,0)+IFERROR(--ISNUMBER(SEARCH("R106",G171))*106,0)+IFERROR(--ISNUMBER(SEARCH("R107",G171))*107,0)+IFERROR(--ISNUMBER(SEARCH("R108",G171))*108,0)+IFERROR(--ISNUMBER(SEARCH("R109",G171))*109,0)+IFERROR(--ISNUMBER(SEARCH("R110",G171))*110,0)+IFERROR(--ISNUMBER(SEARCH("R111",G171))*111,0)+IFERROR(--ISNUMBER(SEARCH("R112",G171))*112,0)+IFERROR(--ISNUMBER(SEARCH("R113",G171))*113,0)+IFERROR(--ISNUMBER(SEARCH("R114",G171))*114,0)+IFERROR(--ISNUMBER(SEARCH("R115",G171))*115,0)+IFERROR(--ISNUMBER(SEARCH("R116",G171))*116,0)+IFERROR(--ISNUMBER(SEARCH("R117",G171))*117,0)+IFERROR(--ISNUMBER(SEARCH("R118",G171))*118,0)+IFERROR(--ISNUMBER(SEARCH("R119",G171))*119,0)+IFERROR(--ISNUMBER(SEARCH("R120",G171))*120,0)+IFERROR(--ISNUMBER(SEARCH("R121",G171))*121,0)+IFERROR(--ISNUMBER(SEARCH("R122",G171))*122,0)+IFERROR(--ISNUMBER(SEARCH("R123",G171))*123,0)+IFERROR(--ISNUMBER(SEARCH("R124",G171))*124,0)+IFERROR(--ISNUMBER(SEARCH("R125",G171))*125,0)+IFERROR(--ISNUMBER(SEARCH("R126",G171))*126,0)+IFERROR(--ISNUMBER(SEARCH("R127",G171))*127,0)+IFERROR(--ISNUMBER(SEARCH("R128",G171))*128,0)+IFERROR(--ISNUMBER(SEARCH("R129",G171))*129,0)+IFERROR(--ISNUMBER(SEARCH("R130",G171))*130,0)+IFERROR(--ISNUMBER(SEARCH("R131",G171))*131,0)+IFERROR(--ISNUMBER(SEARCH("R132",G171))*132,0)+IFERROR(--ISNUMBER(SEARCH("R133",G171))*133,0)+IFERROR(--ISNUMBER(SEARCH("R134",G171))*134,0)+IFERROR(--ISNUMBER(SEARCH("R135",G171))*135,0)+IFERROR(--ISNUMBER(SEARCH("R136",G171))*136,0)+IFERROR(--ISNUMBER(SEARCH("R137",G171))*137,0)+IFERROR(--ISNUMBER(SEARCH("R138",G171))*138,0)+IFERROR(--ISNUMBER(SEARCH("R139",G171))*139,0)+IFERROR(--ISNUMBER(SEARCH("R140",G171))*140,0)+IFERROR(--ISNUMBER(SEARCH("R141",G171))*141,0))</f>
        <v/>
      </c>
      <c r="V171" s="59">
        <f>IF(A171="","",IF(K171&lt;&gt;"",K171,J171))</f>
        <v/>
      </c>
      <c r="W171" s="59">
        <f>IF(A171="","",IF(AND(V171=29,O171&lt;&gt;"",COUNTIFS($V$6:$V$505,29,$F$6:$F$505,F171,$C$6:$C$505,C171,$O$6:$O$505,"&lt;&gt;")&gt;1),IF(COUNTIFS($V$6:V171,29,$F$6:F171,F171,$C$6:C171,C171,$O$6:O171,"&lt;&gt;")=1,"Esta es la fila que se debe CONSERVAR (aparición 1 de "&amp;COUNTIFS($V$6:$V$505,29,$F$6:$F$505,F171,$C$6:$C$505,C171,$O$6:$O$505,"&lt;&gt;")&amp;" con el mismo tercero y valor, casilla 29). Si hay más filas iguales, bórreles el valor a ELLAS, no a esta.","DUPLICADO — ya existe otra fila con el mismo tercero y valor para casilla 29 (aparición "&amp;COUNTIFS($V$6:V171,29,$F$6:F171,F171,$C$6:C171,C171,$O$6:O171,"&lt;&gt;")&amp;" de "&amp;COUNTIFS($V$6:$V$505,29,$F$6:$F$505,F171,$C$6:$C$505,C171,$O$6:$O$505,"&lt;&gt;")&amp;"). Para resolverlo: seleccione la celda O"&amp;ROW()&amp;" (columna Valor a declarar de ESTA fila) y presione Supr."),""))</f>
        <v/>
      </c>
      <c r="X171" s="463">
        <f>IF(A171="","",F171)</f>
        <v/>
      </c>
      <c r="Y171" s="463">
        <f>IF(A171="","",SUMIF(Entrada_Manual!$I$88:$I$187,A171,Entrada_Manual!$F$88:$F$187))</f>
        <v/>
      </c>
      <c r="Z171" s="463">
        <f>IF(A171="","",X171-Y171)</f>
        <v/>
      </c>
      <c r="AA171">
        <f>IF(A171="","",SUMPRODUCT((Entrada_Manual!$I$88:$I$187=A171)*1))</f>
        <v/>
      </c>
      <c r="AB171">
        <f>IF(A171="","",IF(S171&lt;=1,"",IF(AA171=0,"PENDIENTE — SIN ASIGNAR",IF(Z171=0,"RESUELTO","PARCIAL — DIFERENCIA "&amp;TEXT(Z171,"#,##0")))))</f>
        <v/>
      </c>
    </row>
    <row r="172" ht="14.25" customHeight="1" s="235">
      <c r="A172" s="47">
        <f>IF(Exogena_RAW!E181&lt;&gt;"",ROW()-5,"")</f>
        <v/>
      </c>
      <c r="B172" s="48">
        <f>IF(A172="","",181)</f>
        <v/>
      </c>
      <c r="C172" s="48">
        <f>IF(A172="","",IFERROR(Exogena_RAW!A181,""))</f>
        <v/>
      </c>
      <c r="D172" s="48">
        <f>IF(A172="","",IFERROR(Exogena_RAW!B181,""))</f>
        <v/>
      </c>
      <c r="E172" s="48">
        <f>IF(A172="","",Exogena_RAW!E181)</f>
        <v/>
      </c>
      <c r="F172" s="461">
        <f>IF(A172="","",Exogena_RAW!F181)</f>
        <v/>
      </c>
      <c r="G172" s="48">
        <f>IF(A172="","",IFERROR(Exogena_RAW!G181,""))</f>
        <v/>
      </c>
      <c r="H172" s="48">
        <f>IF(A172="","",IFERROR(Exogena_RAW!H181,""))</f>
        <v/>
      </c>
      <c r="I172" s="48">
        <f>IF(A172="","",IFERROR(IF(S172&gt;1,"VARIAS CASILLAS",IF(S172=1,IF(T172=1,"PROPUESTA DE CASILLA","REVISIÓN: CASILLA NO DIRECTA"),IF(OR(ISNUMBER(SEARCH("TOPE",UPPER(E172))),ISNUMBER(SEARCH("TOPE",UPPER(G172)))),"SOLO CONTROL",IF(ISNUMBER(SEARCH("RETEN",UPPER(E172))),"RETENCIÓN","REVISAR")))),"REVISAR"))</f>
        <v/>
      </c>
      <c r="J172" s="48">
        <f>IF(A172="","",IF(ISNUMBER(SEARCH("ingreso laboral promedio de los últimos seis meses",E172)),"",IFERROR(IF(AND(S172=1,T172=1),U172,""),"")))</f>
        <v/>
      </c>
      <c r="K172" s="216" t="n"/>
      <c r="L172" s="48">
        <f>IF(A172="","",IFERROR(IF(K172&lt;&gt;"","Casilla elegida por usuario",IF(S172&gt;1,"Varias casillas — elegir en K",IF(J172&lt;&gt;"","Sugerencia directa",IF(S172=1,"No trasladar directo — revisar",IF(OR(ISNUMBER(SEARCH("TOPE",UPPER(E172))),ISNUMBER(SEARCH("TOPE",UPPER(G172)))),"Solo control","Revisar manualmente"))))),"Revisar manualmente"))</f>
        <v/>
      </c>
      <c r="M172" s="461">
        <f>IF(A172="","",IF(IF(K172&lt;&gt;"",K172,J172)="",0,IF(COUNTIFS(Reglas!$I$5:$I$118,IF(K172&lt;&gt;"",K172,J172),Reglas!$J$5:$J$118,"Sí")=1,F172,0)))</f>
        <v/>
      </c>
      <c r="N172" s="56" t="n"/>
      <c r="O172" s="462">
        <f>IF(A172="","",IF(M172=0,"",M172))</f>
        <v/>
      </c>
      <c r="P172" s="461">
        <f>IF(A172="","",IF(O172="",0,IF(ISNUMBER(O172),O172,0)))</f>
        <v/>
      </c>
      <c r="Q172" s="48">
        <f>IF(A172="","",IF(Exogena_RAW!$C$4="","BLOQUEADO: FALTA AÑO",IF(Exogena_RAW!$K$10&lt;&gt;Reglas!$B$5,"BLOQUEADO: AÑO",IF(IF(K172&lt;&gt;"",K172,J172)="",IF(S172&gt;1,"REQUIERE ASIGNACIÓN MANUAL (VARIAS CASILLAS)","INFORMATIVO (sin casilla — no se declara)"),IF(COUNTIFS(Reglas!$I$5:$I$118,IF(K172&lt;&gt;"",K172,J172),Reglas!$J$5:$J$118,"Sí")=0,"BLOQUEADO: CASILLA NO DIRECTA",IF(O172="","EXCLUIDO (valor borrado por el usuario)",IF(_xlfn.ISFORMULA(O172),IF(W172&lt;&gt;"","BORRADOR — VALOR SUGERIDO DIAN ⚠ VER ALERTA","BORRADOR — VALOR SUGERIDO DIAN"),IF(W172&lt;&gt;"","ACEPTADO ⚠ VER ALERTA","ACEPTADO"))))))))</f>
        <v/>
      </c>
      <c r="R172" s="218" t="n"/>
      <c r="S172" s="58">
        <f>IF(A172="","",IFERROR(--ISNUMBER(SEARCH("R28",G172)),0)+IFERROR(--ISNUMBER(SEARCH("R29",G172)),0)+IFERROR(--ISNUMBER(SEARCH("R30",G172)),0)+IFERROR(--ISNUMBER(SEARCH("R31",G172)),0)+IFERROR(--ISNUMBER(SEARCH("R32",G172)),0)+IFERROR(--ISNUMBER(SEARCH("R33",G172)),0)+IFERROR(--ISNUMBER(SEARCH("R34",G172)),0)+IFERROR(--ISNUMBER(SEARCH("R35",G172)),0)+IFERROR(--ISNUMBER(SEARCH("R36",G172)),0)+IFERROR(--ISNUMBER(SEARCH("R37",G172)),0)+IFERROR(--ISNUMBER(SEARCH("R38",G172)),0)+IFERROR(--ISNUMBER(SEARCH("R39",G172)),0)+IFERROR(--ISNUMBER(SEARCH("R40",G172)),0)+IFERROR(--ISNUMBER(SEARCH("R41",G172)),0)+IFERROR(--ISNUMBER(SEARCH("R42",G172)),0)+IFERROR(--ISNUMBER(SEARCH("R43",G172)),0)+IFERROR(--ISNUMBER(SEARCH("R44",G172)),0)+IFERROR(--ISNUMBER(SEARCH("R45",G172)),0)+IFERROR(--ISNUMBER(SEARCH("R46",G172)),0)+IFERROR(--ISNUMBER(SEARCH("R47",G172)),0)+IFERROR(--ISNUMBER(SEARCH("R48",G172)),0)+IFERROR(--ISNUMBER(SEARCH("R49",G172)),0)+IFERROR(--ISNUMBER(SEARCH("R50",G172)),0)+IFERROR(--ISNUMBER(SEARCH("R51",G172)),0)+IFERROR(--ISNUMBER(SEARCH("R52",G172)),0)+IFERROR(--ISNUMBER(SEARCH("R53",G172)),0)+IFERROR(--ISNUMBER(SEARCH("R54",G172)),0)+IFERROR(--ISNUMBER(SEARCH("R55",G172)),0)+IFERROR(--ISNUMBER(SEARCH("R56",G172)),0)+IFERROR(--ISNUMBER(SEARCH("R57",G172)),0)+IFERROR(--ISNUMBER(SEARCH("R58",G172)),0)+IFERROR(--ISNUMBER(SEARCH("R59",G172)),0)+IFERROR(--ISNUMBER(SEARCH("R60",G172)),0)+IFERROR(--ISNUMBER(SEARCH("R61",G172)),0)+IFERROR(--ISNUMBER(SEARCH("R62",G172)),0)+IFERROR(--ISNUMBER(SEARCH("R63",G172)),0)+IFERROR(--ISNUMBER(SEARCH("R64",G172)),0)+IFERROR(--ISNUMBER(SEARCH("R65",G172)),0)+IFERROR(--ISNUMBER(SEARCH("R66",G172)),0)+IFERROR(--ISNUMBER(SEARCH("R67",G172)),0)+IFERROR(--ISNUMBER(SEARCH("R68",G172)),0)+IFERROR(--ISNUMBER(SEARCH("R69",G172)),0)+IFERROR(--ISNUMBER(SEARCH("R70",G172)),0)+IFERROR(--ISNUMBER(SEARCH("R71",G172)),0)+IFERROR(--ISNUMBER(SEARCH("R72",G172)),0)+IFERROR(--ISNUMBER(SEARCH("R73",G172)),0)+IFERROR(--ISNUMBER(SEARCH("R74",G172)),0)+IFERROR(--ISNUMBER(SEARCH("R75",G172)),0)+IFERROR(--ISNUMBER(SEARCH("R76",G172)),0)+IFERROR(--ISNUMBER(SEARCH("R77",G172)),0)+IFERROR(--ISNUMBER(SEARCH("R78",G172)),0)+IFERROR(--ISNUMBER(SEARCH("R79",G172)),0)+IFERROR(--ISNUMBER(SEARCH("R80",G172)),0)+IFERROR(--ISNUMBER(SEARCH("R81",G172)),0)+IFERROR(--ISNUMBER(SEARCH("R82",G172)),0)+IFERROR(--ISNUMBER(SEARCH("R83",G172)),0)+IFERROR(--ISNUMBER(SEARCH("R84",G172)),0)+IFERROR(--ISNUMBER(SEARCH("R85",G172)),0)+IFERROR(--ISNUMBER(SEARCH("R86",G172)),0)+IFERROR(--ISNUMBER(SEARCH("R87",G172)),0)+IFERROR(--ISNUMBER(SEARCH("R88",G172)),0)+IFERROR(--ISNUMBER(SEARCH("R89",G172)),0)+IFERROR(--ISNUMBER(SEARCH("R90",G172)),0)+IFERROR(--ISNUMBER(SEARCH("R91",G172)),0)+IFERROR(--ISNUMBER(SEARCH("R92",G172)),0)+IFERROR(--ISNUMBER(SEARCH("R93",G172)),0)+IFERROR(--ISNUMBER(SEARCH("R94",G172)),0)+IFERROR(--ISNUMBER(SEARCH("R95",G172)),0)+IFERROR(--ISNUMBER(SEARCH("R96",G172)),0)+IFERROR(--ISNUMBER(SEARCH("R97",G172)),0)+IFERROR(--ISNUMBER(SEARCH("R98",G172)),0)+IFERROR(--ISNUMBER(SEARCH("R99",G172)),0)+IFERROR(--ISNUMBER(SEARCH("R100",G172)),0)+IFERROR(--ISNUMBER(SEARCH("R101",G172)),0)+IFERROR(--ISNUMBER(SEARCH("R102",G172)),0)+IFERROR(--ISNUMBER(SEARCH("R103",G172)),0)+IFERROR(--ISNUMBER(SEARCH("R104",G172)),0)+IFERROR(--ISNUMBER(SEARCH("R105",G172)),0)+IFERROR(--ISNUMBER(SEARCH("R106",G172)),0)+IFERROR(--ISNUMBER(SEARCH("R107",G172)),0)+IFERROR(--ISNUMBER(SEARCH("R108",G172)),0)+IFERROR(--ISNUMBER(SEARCH("R109",G172)),0)+IFERROR(--ISNUMBER(SEARCH("R110",G172)),0)+IFERROR(--ISNUMBER(SEARCH("R111",G172)),0)+IFERROR(--ISNUMBER(SEARCH("R112",G172)),0)+IFERROR(--ISNUMBER(SEARCH("R113",G172)),0)+IFERROR(--ISNUMBER(SEARCH("R114",G172)),0)+IFERROR(--ISNUMBER(SEARCH("R115",G172)),0)+IFERROR(--ISNUMBER(SEARCH("R116",G172)),0)+IFERROR(--ISNUMBER(SEARCH("R117",G172)),0)+IFERROR(--ISNUMBER(SEARCH("R118",G172)),0)+IFERROR(--ISNUMBER(SEARCH("R119",G172)),0)+IFERROR(--ISNUMBER(SEARCH("R120",G172)),0)+IFERROR(--ISNUMBER(SEARCH("R121",G172)),0)+IFERROR(--ISNUMBER(SEARCH("R122",G172)),0)+IFERROR(--ISNUMBER(SEARCH("R123",G172)),0)+IFERROR(--ISNUMBER(SEARCH("R124",G172)),0)+IFERROR(--ISNUMBER(SEARCH("R125",G172)),0)+IFERROR(--ISNUMBER(SEARCH("R126",G172)),0)+IFERROR(--ISNUMBER(SEARCH("R127",G172)),0)+IFERROR(--ISNUMBER(SEARCH("R128",G172)),0)+IFERROR(--ISNUMBER(SEARCH("R129",G172)),0)+IFERROR(--ISNUMBER(SEARCH("R130",G172)),0)+IFERROR(--ISNUMBER(SEARCH("R131",G172)),0)+IFERROR(--ISNUMBER(SEARCH("R132",G172)),0)+IFERROR(--ISNUMBER(SEARCH("R133",G172)),0)+IFERROR(--ISNUMBER(SEARCH("R134",G172)),0)+IFERROR(--ISNUMBER(SEARCH("R135",G172)),0)+IFERROR(--ISNUMBER(SEARCH("R136",G172)),0)+IFERROR(--ISNUMBER(SEARCH("R137",G172)),0)+IFERROR(--ISNUMBER(SEARCH("R138",G172)),0)+IFERROR(--ISNUMBER(SEARCH("R139",G172)),0)+IFERROR(--ISNUMBER(SEARCH("R140",G172)),0)+IFERROR(--ISNUMBER(SEARCH("R141",G172)),0))</f>
        <v/>
      </c>
      <c r="T172" s="58">
        <f>IF(A172="","",IFERROR(--ISNUMBER(SEARCH("R28",G172)),0)+IFERROR(--ISNUMBER(SEARCH("R29",G172)),0)+IFERROR(--ISNUMBER(SEARCH("R30",G172)),0)+IFERROR(--ISNUMBER(SEARCH("R32",G172)),0)+IFERROR(--ISNUMBER(SEARCH("R33",G172)),0)+IFERROR(--ISNUMBER(SEARCH("R35",G172)),0)+IFERROR(--ISNUMBER(SEARCH("R36",G172)),0)+IFERROR(--ISNUMBER(SEARCH("R38",G172)),0)+IFERROR(--ISNUMBER(SEARCH("R39",G172)),0)+IFERROR(--ISNUMBER(SEARCH("R43",G172)),0)+IFERROR(--ISNUMBER(SEARCH("R44",G172)),0)+IFERROR(--ISNUMBER(SEARCH("R45",G172)),0)+IFERROR(--ISNUMBER(SEARCH("R47",G172)),0)+IFERROR(--ISNUMBER(SEARCH("R48",G172)),0)+IFERROR(--ISNUMBER(SEARCH("R50",G172)),0)+IFERROR(--ISNUMBER(SEARCH("R51",G172)),0)+IFERROR(--ISNUMBER(SEARCH("R56",G172)),0)+IFERROR(--ISNUMBER(SEARCH("R58",G172)),0)+IFERROR(--ISNUMBER(SEARCH("R59",G172)),0)+IFERROR(--ISNUMBER(SEARCH("R60",G172)),0)+IFERROR(--ISNUMBER(SEARCH("R62",G172)),0)+IFERROR(--ISNUMBER(SEARCH("R63",G172)),0)+IFERROR(--ISNUMBER(SEARCH("R64",G172)),0)+IFERROR(--ISNUMBER(SEARCH("R66",G172)),0)+IFERROR(--ISNUMBER(SEARCH("R67",G172)),0)+IFERROR(--ISNUMBER(SEARCH("R72",G172)),0)+IFERROR(--ISNUMBER(SEARCH("R74",G172)),0)+IFERROR(--ISNUMBER(SEARCH("R75",G172)),0)+IFERROR(--ISNUMBER(SEARCH("R76",G172)),0)+IFERROR(--ISNUMBER(SEARCH("R77",G172)),0)+IFERROR(--ISNUMBER(SEARCH("R79",G172)),0)+IFERROR(--ISNUMBER(SEARCH("R80",G172)),0)+IFERROR(--ISNUMBER(SEARCH("R81",G172)),0)+IFERROR(--ISNUMBER(SEARCH("R83",G172)),0)+IFERROR(--ISNUMBER(SEARCH("R84",G172)),0)+IFERROR(--ISNUMBER(SEARCH("R89",G172)),0)+IFERROR(--ISNUMBER(SEARCH("R94",G172)),0)+IFERROR(--ISNUMBER(SEARCH("R95",G172)),0)+IFERROR(--ISNUMBER(SEARCH("R96",G172)),0)+IFERROR(--ISNUMBER(SEARCH("R98",G172)),0)+IFERROR(--ISNUMBER(SEARCH("R99",G172)),0)+IFERROR(--ISNUMBER(SEARCH("R100",G172)),0)+IFERROR(--ISNUMBER(SEARCH("R104",G172)),0)+IFERROR(--ISNUMBER(SEARCH("R105",G172)),0)+IFERROR(--ISNUMBER(SEARCH("R107",G172)),0)+IFERROR(--ISNUMBER(SEARCH("R108",G172)),0)+IFERROR(--ISNUMBER(SEARCH("R109",G172)),0)+IFERROR(--ISNUMBER(SEARCH("R110",G172)),0)+IFERROR(--ISNUMBER(SEARCH("R112",G172)),0)+IFERROR(--ISNUMBER(SEARCH("R113",G172)),0)+IFERROR(--ISNUMBER(SEARCH("R114",G172)),0)+IFERROR(--ISNUMBER(SEARCH("R118",G172)),0)+IFERROR(--ISNUMBER(SEARCH("R119",G172)),0)+IFERROR(--ISNUMBER(SEARCH("R120",G172)),0)+IFERROR(--ISNUMBER(SEARCH("R122",G172)),0)+IFERROR(--ISNUMBER(SEARCH("R123",G172)),0)+IFERROR(--ISNUMBER(SEARCH("R124",G172)),0)+IFERROR(--ISNUMBER(SEARCH("R128",G172)),0)+IFERROR(--ISNUMBER(SEARCH("R130",G172)),0)+IFERROR(--ISNUMBER(SEARCH("R131",G172)),0)+IFERROR(--ISNUMBER(SEARCH("R132",G172)),0)+IFERROR(--ISNUMBER(SEARCH("R135",G172)),0)+IFERROR(--ISNUMBER(SEARCH("R138",G172)),0)+IFERROR(--ISNUMBER(SEARCH("R141",G172)),0))</f>
        <v/>
      </c>
      <c r="U172" s="58">
        <f>IF(A172="","",IFERROR(--ISNUMBER(SEARCH("R28",G172))*28,0)+IFERROR(--ISNUMBER(SEARCH("R29",G172))*29,0)+IFERROR(--ISNUMBER(SEARCH("R30",G172))*30,0)+IFERROR(--ISNUMBER(SEARCH("R31",G172))*31,0)+IFERROR(--ISNUMBER(SEARCH("R32",G172))*32,0)+IFERROR(--ISNUMBER(SEARCH("R33",G172))*33,0)+IFERROR(--ISNUMBER(SEARCH("R34",G172))*34,0)+IFERROR(--ISNUMBER(SEARCH("R35",G172))*35,0)+IFERROR(--ISNUMBER(SEARCH("R36",G172))*36,0)+IFERROR(--ISNUMBER(SEARCH("R37",G172))*37,0)+IFERROR(--ISNUMBER(SEARCH("R38",G172))*38,0)+IFERROR(--ISNUMBER(SEARCH("R39",G172))*39,0)+IFERROR(--ISNUMBER(SEARCH("R40",G172))*40,0)+IFERROR(--ISNUMBER(SEARCH("R41",G172))*41,0)+IFERROR(--ISNUMBER(SEARCH("R42",G172))*42,0)+IFERROR(--ISNUMBER(SEARCH("R43",G172))*43,0)+IFERROR(--ISNUMBER(SEARCH("R44",G172))*44,0)+IFERROR(--ISNUMBER(SEARCH("R45",G172))*45,0)+IFERROR(--ISNUMBER(SEARCH("R46",G172))*46,0)+IFERROR(--ISNUMBER(SEARCH("R47",G172))*47,0)+IFERROR(--ISNUMBER(SEARCH("R48",G172))*48,0)+IFERROR(--ISNUMBER(SEARCH("R49",G172))*49,0)+IFERROR(--ISNUMBER(SEARCH("R50",G172))*50,0)+IFERROR(--ISNUMBER(SEARCH("R51",G172))*51,0)+IFERROR(--ISNUMBER(SEARCH("R52",G172))*52,0)+IFERROR(--ISNUMBER(SEARCH("R53",G172))*53,0)+IFERROR(--ISNUMBER(SEARCH("R54",G172))*54,0)+IFERROR(--ISNUMBER(SEARCH("R55",G172))*55,0)+IFERROR(--ISNUMBER(SEARCH("R56",G172))*56,0)+IFERROR(--ISNUMBER(SEARCH("R57",G172))*57,0)+IFERROR(--ISNUMBER(SEARCH("R58",G172))*58,0)+IFERROR(--ISNUMBER(SEARCH("R59",G172))*59,0)+IFERROR(--ISNUMBER(SEARCH("R60",G172))*60,0)+IFERROR(--ISNUMBER(SEARCH("R61",G172))*61,0)+IFERROR(--ISNUMBER(SEARCH("R62",G172))*62,0)+IFERROR(--ISNUMBER(SEARCH("R63",G172))*63,0)+IFERROR(--ISNUMBER(SEARCH("R64",G172))*64,0)+IFERROR(--ISNUMBER(SEARCH("R65",G172))*65,0)+IFERROR(--ISNUMBER(SEARCH("R66",G172))*66,0)+IFERROR(--ISNUMBER(SEARCH("R67",G172))*67,0)+IFERROR(--ISNUMBER(SEARCH("R68",G172))*68,0)+IFERROR(--ISNUMBER(SEARCH("R69",G172))*69,0)+IFERROR(--ISNUMBER(SEARCH("R70",G172))*70,0)+IFERROR(--ISNUMBER(SEARCH("R71",G172))*71,0)+IFERROR(--ISNUMBER(SEARCH("R72",G172))*72,0)+IFERROR(--ISNUMBER(SEARCH("R73",G172))*73,0)+IFERROR(--ISNUMBER(SEARCH("R74",G172))*74,0)+IFERROR(--ISNUMBER(SEARCH("R75",G172))*75,0)+IFERROR(--ISNUMBER(SEARCH("R76",G172))*76,0)+IFERROR(--ISNUMBER(SEARCH("R77",G172))*77,0)+IFERROR(--ISNUMBER(SEARCH("R78",G172))*78,0)+IFERROR(--ISNUMBER(SEARCH("R79",G172))*79,0)+IFERROR(--ISNUMBER(SEARCH("R80",G172))*80,0)+IFERROR(--ISNUMBER(SEARCH("R81",G172))*81,0)+IFERROR(--ISNUMBER(SEARCH("R82",G172))*82,0)+IFERROR(--ISNUMBER(SEARCH("R83",G172))*83,0)+IFERROR(--ISNUMBER(SEARCH("R84",G172))*84,0)+IFERROR(--ISNUMBER(SEARCH("R85",G172))*85,0)+IFERROR(--ISNUMBER(SEARCH("R86",G172))*86,0)+IFERROR(--ISNUMBER(SEARCH("R87",G172))*87,0)+IFERROR(--ISNUMBER(SEARCH("R88",G172))*88,0)+IFERROR(--ISNUMBER(SEARCH("R89",G172))*89,0)+IFERROR(--ISNUMBER(SEARCH("R90",G172))*90,0)+IFERROR(--ISNUMBER(SEARCH("R91",G172))*91,0)+IFERROR(--ISNUMBER(SEARCH("R92",G172))*92,0)+IFERROR(--ISNUMBER(SEARCH("R93",G172))*93,0)+IFERROR(--ISNUMBER(SEARCH("R94",G172))*94,0)+IFERROR(--ISNUMBER(SEARCH("R95",G172))*95,0)+IFERROR(--ISNUMBER(SEARCH("R96",G172))*96,0)+IFERROR(--ISNUMBER(SEARCH("R97",G172))*97,0)+IFERROR(--ISNUMBER(SEARCH("R98",G172))*98,0)+IFERROR(--ISNUMBER(SEARCH("R99",G172))*99,0)+IFERROR(--ISNUMBER(SEARCH("R100",G172))*100,0)+IFERROR(--ISNUMBER(SEARCH("R101",G172))*101,0)+IFERROR(--ISNUMBER(SEARCH("R102",G172))*102,0)+IFERROR(--ISNUMBER(SEARCH("R103",G172))*103,0)+IFERROR(--ISNUMBER(SEARCH("R104",G172))*104,0)+IFERROR(--ISNUMBER(SEARCH("R105",G172))*105,0)+IFERROR(--ISNUMBER(SEARCH("R106",G172))*106,0)+IFERROR(--ISNUMBER(SEARCH("R107",G172))*107,0)+IFERROR(--ISNUMBER(SEARCH("R108",G172))*108,0)+IFERROR(--ISNUMBER(SEARCH("R109",G172))*109,0)+IFERROR(--ISNUMBER(SEARCH("R110",G172))*110,0)+IFERROR(--ISNUMBER(SEARCH("R111",G172))*111,0)+IFERROR(--ISNUMBER(SEARCH("R112",G172))*112,0)+IFERROR(--ISNUMBER(SEARCH("R113",G172))*113,0)+IFERROR(--ISNUMBER(SEARCH("R114",G172))*114,0)+IFERROR(--ISNUMBER(SEARCH("R115",G172))*115,0)+IFERROR(--ISNUMBER(SEARCH("R116",G172))*116,0)+IFERROR(--ISNUMBER(SEARCH("R117",G172))*117,0)+IFERROR(--ISNUMBER(SEARCH("R118",G172))*118,0)+IFERROR(--ISNUMBER(SEARCH("R119",G172))*119,0)+IFERROR(--ISNUMBER(SEARCH("R120",G172))*120,0)+IFERROR(--ISNUMBER(SEARCH("R121",G172))*121,0)+IFERROR(--ISNUMBER(SEARCH("R122",G172))*122,0)+IFERROR(--ISNUMBER(SEARCH("R123",G172))*123,0)+IFERROR(--ISNUMBER(SEARCH("R124",G172))*124,0)+IFERROR(--ISNUMBER(SEARCH("R125",G172))*125,0)+IFERROR(--ISNUMBER(SEARCH("R126",G172))*126,0)+IFERROR(--ISNUMBER(SEARCH("R127",G172))*127,0)+IFERROR(--ISNUMBER(SEARCH("R128",G172))*128,0)+IFERROR(--ISNUMBER(SEARCH("R129",G172))*129,0)+IFERROR(--ISNUMBER(SEARCH("R130",G172))*130,0)+IFERROR(--ISNUMBER(SEARCH("R131",G172))*131,0)+IFERROR(--ISNUMBER(SEARCH("R132",G172))*132,0)+IFERROR(--ISNUMBER(SEARCH("R133",G172))*133,0)+IFERROR(--ISNUMBER(SEARCH("R134",G172))*134,0)+IFERROR(--ISNUMBER(SEARCH("R135",G172))*135,0)+IFERROR(--ISNUMBER(SEARCH("R136",G172))*136,0)+IFERROR(--ISNUMBER(SEARCH("R137",G172))*137,0)+IFERROR(--ISNUMBER(SEARCH("R138",G172))*138,0)+IFERROR(--ISNUMBER(SEARCH("R139",G172))*139,0)+IFERROR(--ISNUMBER(SEARCH("R140",G172))*140,0)+IFERROR(--ISNUMBER(SEARCH("R141",G172))*141,0))</f>
        <v/>
      </c>
      <c r="V172" s="59">
        <f>IF(A172="","",IF(K172&lt;&gt;"",K172,J172))</f>
        <v/>
      </c>
      <c r="W172" s="59">
        <f>IF(A172="","",IF(AND(V172=29,O172&lt;&gt;"",COUNTIFS($V$6:$V$505,29,$F$6:$F$505,F172,$C$6:$C$505,C172,$O$6:$O$505,"&lt;&gt;")&gt;1),IF(COUNTIFS($V$6:V172,29,$F$6:F172,F172,$C$6:C172,C172,$O$6:O172,"&lt;&gt;")=1,"Esta es la fila que se debe CONSERVAR (aparición 1 de "&amp;COUNTIFS($V$6:$V$505,29,$F$6:$F$505,F172,$C$6:$C$505,C172,$O$6:$O$505,"&lt;&gt;")&amp;" con el mismo tercero y valor, casilla 29). Si hay más filas iguales, bórreles el valor a ELLAS, no a esta.","DUPLICADO — ya existe otra fila con el mismo tercero y valor para casilla 29 (aparición "&amp;COUNTIFS($V$6:V172,29,$F$6:F172,F172,$C$6:C172,C172,$O$6:O172,"&lt;&gt;")&amp;" de "&amp;COUNTIFS($V$6:$V$505,29,$F$6:$F$505,F172,$C$6:$C$505,C172,$O$6:$O$505,"&lt;&gt;")&amp;"). Para resolverlo: seleccione la celda O"&amp;ROW()&amp;" (columna Valor a declarar de ESTA fila) y presione Supr."),""))</f>
        <v/>
      </c>
      <c r="X172" s="463">
        <f>IF(A172="","",F172)</f>
        <v/>
      </c>
      <c r="Y172" s="463">
        <f>IF(A172="","",SUMIF(Entrada_Manual!$I$88:$I$187,A172,Entrada_Manual!$F$88:$F$187))</f>
        <v/>
      </c>
      <c r="Z172" s="463">
        <f>IF(A172="","",X172-Y172)</f>
        <v/>
      </c>
      <c r="AA172">
        <f>IF(A172="","",SUMPRODUCT((Entrada_Manual!$I$88:$I$187=A172)*1))</f>
        <v/>
      </c>
      <c r="AB172">
        <f>IF(A172="","",IF(S172&lt;=1,"",IF(AA172=0,"PENDIENTE — SIN ASIGNAR",IF(Z172=0,"RESUELTO","PARCIAL — DIFERENCIA "&amp;TEXT(Z172,"#,##0")))))</f>
        <v/>
      </c>
    </row>
    <row r="173" ht="14.25" customHeight="1" s="235">
      <c r="A173" s="47">
        <f>IF(Exogena_RAW!E182&lt;&gt;"",ROW()-5,"")</f>
        <v/>
      </c>
      <c r="B173" s="48">
        <f>IF(A173="","",182)</f>
        <v/>
      </c>
      <c r="C173" s="48">
        <f>IF(A173="","",IFERROR(Exogena_RAW!A182,""))</f>
        <v/>
      </c>
      <c r="D173" s="48">
        <f>IF(A173="","",IFERROR(Exogena_RAW!B182,""))</f>
        <v/>
      </c>
      <c r="E173" s="48">
        <f>IF(A173="","",Exogena_RAW!E182)</f>
        <v/>
      </c>
      <c r="F173" s="461">
        <f>IF(A173="","",Exogena_RAW!F182)</f>
        <v/>
      </c>
      <c r="G173" s="48">
        <f>IF(A173="","",IFERROR(Exogena_RAW!G182,""))</f>
        <v/>
      </c>
      <c r="H173" s="48">
        <f>IF(A173="","",IFERROR(Exogena_RAW!H182,""))</f>
        <v/>
      </c>
      <c r="I173" s="48">
        <f>IF(A173="","",IFERROR(IF(S173&gt;1,"VARIAS CASILLAS",IF(S173=1,IF(T173=1,"PROPUESTA DE CASILLA","REVISIÓN: CASILLA NO DIRECTA"),IF(OR(ISNUMBER(SEARCH("TOPE",UPPER(E173))),ISNUMBER(SEARCH("TOPE",UPPER(G173)))),"SOLO CONTROL",IF(ISNUMBER(SEARCH("RETEN",UPPER(E173))),"RETENCIÓN","REVISAR")))),"REVISAR"))</f>
        <v/>
      </c>
      <c r="J173" s="48">
        <f>IF(A173="","",IF(ISNUMBER(SEARCH("ingreso laboral promedio de los últimos seis meses",E173)),"",IFERROR(IF(AND(S173=1,T173=1),U173,""),"")))</f>
        <v/>
      </c>
      <c r="K173" s="216" t="n"/>
      <c r="L173" s="48">
        <f>IF(A173="","",IFERROR(IF(K173&lt;&gt;"","Casilla elegida por usuario",IF(S173&gt;1,"Varias casillas — elegir en K",IF(J173&lt;&gt;"","Sugerencia directa",IF(S173=1,"No trasladar directo — revisar",IF(OR(ISNUMBER(SEARCH("TOPE",UPPER(E173))),ISNUMBER(SEARCH("TOPE",UPPER(G173)))),"Solo control","Revisar manualmente"))))),"Revisar manualmente"))</f>
        <v/>
      </c>
      <c r="M173" s="461">
        <f>IF(A173="","",IF(IF(K173&lt;&gt;"",K173,J173)="",0,IF(COUNTIFS(Reglas!$I$5:$I$118,IF(K173&lt;&gt;"",K173,J173),Reglas!$J$5:$J$118,"Sí")=1,F173,0)))</f>
        <v/>
      </c>
      <c r="N173" s="56" t="n"/>
      <c r="O173" s="462">
        <f>IF(A173="","",IF(M173=0,"",M173))</f>
        <v/>
      </c>
      <c r="P173" s="461">
        <f>IF(A173="","",IF(O173="",0,IF(ISNUMBER(O173),O173,0)))</f>
        <v/>
      </c>
      <c r="Q173" s="48">
        <f>IF(A173="","",IF(Exogena_RAW!$C$4="","BLOQUEADO: FALTA AÑO",IF(Exogena_RAW!$K$10&lt;&gt;Reglas!$B$5,"BLOQUEADO: AÑO",IF(IF(K173&lt;&gt;"",K173,J173)="",IF(S173&gt;1,"REQUIERE ASIGNACIÓN MANUAL (VARIAS CASILLAS)","INFORMATIVO (sin casilla — no se declara)"),IF(COUNTIFS(Reglas!$I$5:$I$118,IF(K173&lt;&gt;"",K173,J173),Reglas!$J$5:$J$118,"Sí")=0,"BLOQUEADO: CASILLA NO DIRECTA",IF(O173="","EXCLUIDO (valor borrado por el usuario)",IF(_xlfn.ISFORMULA(O173),IF(W173&lt;&gt;"","BORRADOR — VALOR SUGERIDO DIAN ⚠ VER ALERTA","BORRADOR — VALOR SUGERIDO DIAN"),IF(W173&lt;&gt;"","ACEPTADO ⚠ VER ALERTA","ACEPTADO"))))))))</f>
        <v/>
      </c>
      <c r="R173" s="218" t="n"/>
      <c r="S173" s="58">
        <f>IF(A173="","",IFERROR(--ISNUMBER(SEARCH("R28",G173)),0)+IFERROR(--ISNUMBER(SEARCH("R29",G173)),0)+IFERROR(--ISNUMBER(SEARCH("R30",G173)),0)+IFERROR(--ISNUMBER(SEARCH("R31",G173)),0)+IFERROR(--ISNUMBER(SEARCH("R32",G173)),0)+IFERROR(--ISNUMBER(SEARCH("R33",G173)),0)+IFERROR(--ISNUMBER(SEARCH("R34",G173)),0)+IFERROR(--ISNUMBER(SEARCH("R35",G173)),0)+IFERROR(--ISNUMBER(SEARCH("R36",G173)),0)+IFERROR(--ISNUMBER(SEARCH("R37",G173)),0)+IFERROR(--ISNUMBER(SEARCH("R38",G173)),0)+IFERROR(--ISNUMBER(SEARCH("R39",G173)),0)+IFERROR(--ISNUMBER(SEARCH("R40",G173)),0)+IFERROR(--ISNUMBER(SEARCH("R41",G173)),0)+IFERROR(--ISNUMBER(SEARCH("R42",G173)),0)+IFERROR(--ISNUMBER(SEARCH("R43",G173)),0)+IFERROR(--ISNUMBER(SEARCH("R44",G173)),0)+IFERROR(--ISNUMBER(SEARCH("R45",G173)),0)+IFERROR(--ISNUMBER(SEARCH("R46",G173)),0)+IFERROR(--ISNUMBER(SEARCH("R47",G173)),0)+IFERROR(--ISNUMBER(SEARCH("R48",G173)),0)+IFERROR(--ISNUMBER(SEARCH("R49",G173)),0)+IFERROR(--ISNUMBER(SEARCH("R50",G173)),0)+IFERROR(--ISNUMBER(SEARCH("R51",G173)),0)+IFERROR(--ISNUMBER(SEARCH("R52",G173)),0)+IFERROR(--ISNUMBER(SEARCH("R53",G173)),0)+IFERROR(--ISNUMBER(SEARCH("R54",G173)),0)+IFERROR(--ISNUMBER(SEARCH("R55",G173)),0)+IFERROR(--ISNUMBER(SEARCH("R56",G173)),0)+IFERROR(--ISNUMBER(SEARCH("R57",G173)),0)+IFERROR(--ISNUMBER(SEARCH("R58",G173)),0)+IFERROR(--ISNUMBER(SEARCH("R59",G173)),0)+IFERROR(--ISNUMBER(SEARCH("R60",G173)),0)+IFERROR(--ISNUMBER(SEARCH("R61",G173)),0)+IFERROR(--ISNUMBER(SEARCH("R62",G173)),0)+IFERROR(--ISNUMBER(SEARCH("R63",G173)),0)+IFERROR(--ISNUMBER(SEARCH("R64",G173)),0)+IFERROR(--ISNUMBER(SEARCH("R65",G173)),0)+IFERROR(--ISNUMBER(SEARCH("R66",G173)),0)+IFERROR(--ISNUMBER(SEARCH("R67",G173)),0)+IFERROR(--ISNUMBER(SEARCH("R68",G173)),0)+IFERROR(--ISNUMBER(SEARCH("R69",G173)),0)+IFERROR(--ISNUMBER(SEARCH("R70",G173)),0)+IFERROR(--ISNUMBER(SEARCH("R71",G173)),0)+IFERROR(--ISNUMBER(SEARCH("R72",G173)),0)+IFERROR(--ISNUMBER(SEARCH("R73",G173)),0)+IFERROR(--ISNUMBER(SEARCH("R74",G173)),0)+IFERROR(--ISNUMBER(SEARCH("R75",G173)),0)+IFERROR(--ISNUMBER(SEARCH("R76",G173)),0)+IFERROR(--ISNUMBER(SEARCH("R77",G173)),0)+IFERROR(--ISNUMBER(SEARCH("R78",G173)),0)+IFERROR(--ISNUMBER(SEARCH("R79",G173)),0)+IFERROR(--ISNUMBER(SEARCH("R80",G173)),0)+IFERROR(--ISNUMBER(SEARCH("R81",G173)),0)+IFERROR(--ISNUMBER(SEARCH("R82",G173)),0)+IFERROR(--ISNUMBER(SEARCH("R83",G173)),0)+IFERROR(--ISNUMBER(SEARCH("R84",G173)),0)+IFERROR(--ISNUMBER(SEARCH("R85",G173)),0)+IFERROR(--ISNUMBER(SEARCH("R86",G173)),0)+IFERROR(--ISNUMBER(SEARCH("R87",G173)),0)+IFERROR(--ISNUMBER(SEARCH("R88",G173)),0)+IFERROR(--ISNUMBER(SEARCH("R89",G173)),0)+IFERROR(--ISNUMBER(SEARCH("R90",G173)),0)+IFERROR(--ISNUMBER(SEARCH("R91",G173)),0)+IFERROR(--ISNUMBER(SEARCH("R92",G173)),0)+IFERROR(--ISNUMBER(SEARCH("R93",G173)),0)+IFERROR(--ISNUMBER(SEARCH("R94",G173)),0)+IFERROR(--ISNUMBER(SEARCH("R95",G173)),0)+IFERROR(--ISNUMBER(SEARCH("R96",G173)),0)+IFERROR(--ISNUMBER(SEARCH("R97",G173)),0)+IFERROR(--ISNUMBER(SEARCH("R98",G173)),0)+IFERROR(--ISNUMBER(SEARCH("R99",G173)),0)+IFERROR(--ISNUMBER(SEARCH("R100",G173)),0)+IFERROR(--ISNUMBER(SEARCH("R101",G173)),0)+IFERROR(--ISNUMBER(SEARCH("R102",G173)),0)+IFERROR(--ISNUMBER(SEARCH("R103",G173)),0)+IFERROR(--ISNUMBER(SEARCH("R104",G173)),0)+IFERROR(--ISNUMBER(SEARCH("R105",G173)),0)+IFERROR(--ISNUMBER(SEARCH("R106",G173)),0)+IFERROR(--ISNUMBER(SEARCH("R107",G173)),0)+IFERROR(--ISNUMBER(SEARCH("R108",G173)),0)+IFERROR(--ISNUMBER(SEARCH("R109",G173)),0)+IFERROR(--ISNUMBER(SEARCH("R110",G173)),0)+IFERROR(--ISNUMBER(SEARCH("R111",G173)),0)+IFERROR(--ISNUMBER(SEARCH("R112",G173)),0)+IFERROR(--ISNUMBER(SEARCH("R113",G173)),0)+IFERROR(--ISNUMBER(SEARCH("R114",G173)),0)+IFERROR(--ISNUMBER(SEARCH("R115",G173)),0)+IFERROR(--ISNUMBER(SEARCH("R116",G173)),0)+IFERROR(--ISNUMBER(SEARCH("R117",G173)),0)+IFERROR(--ISNUMBER(SEARCH("R118",G173)),0)+IFERROR(--ISNUMBER(SEARCH("R119",G173)),0)+IFERROR(--ISNUMBER(SEARCH("R120",G173)),0)+IFERROR(--ISNUMBER(SEARCH("R121",G173)),0)+IFERROR(--ISNUMBER(SEARCH("R122",G173)),0)+IFERROR(--ISNUMBER(SEARCH("R123",G173)),0)+IFERROR(--ISNUMBER(SEARCH("R124",G173)),0)+IFERROR(--ISNUMBER(SEARCH("R125",G173)),0)+IFERROR(--ISNUMBER(SEARCH("R126",G173)),0)+IFERROR(--ISNUMBER(SEARCH("R127",G173)),0)+IFERROR(--ISNUMBER(SEARCH("R128",G173)),0)+IFERROR(--ISNUMBER(SEARCH("R129",G173)),0)+IFERROR(--ISNUMBER(SEARCH("R130",G173)),0)+IFERROR(--ISNUMBER(SEARCH("R131",G173)),0)+IFERROR(--ISNUMBER(SEARCH("R132",G173)),0)+IFERROR(--ISNUMBER(SEARCH("R133",G173)),0)+IFERROR(--ISNUMBER(SEARCH("R134",G173)),0)+IFERROR(--ISNUMBER(SEARCH("R135",G173)),0)+IFERROR(--ISNUMBER(SEARCH("R136",G173)),0)+IFERROR(--ISNUMBER(SEARCH("R137",G173)),0)+IFERROR(--ISNUMBER(SEARCH("R138",G173)),0)+IFERROR(--ISNUMBER(SEARCH("R139",G173)),0)+IFERROR(--ISNUMBER(SEARCH("R140",G173)),0)+IFERROR(--ISNUMBER(SEARCH("R141",G173)),0))</f>
        <v/>
      </c>
      <c r="T173" s="58">
        <f>IF(A173="","",IFERROR(--ISNUMBER(SEARCH("R28",G173)),0)+IFERROR(--ISNUMBER(SEARCH("R29",G173)),0)+IFERROR(--ISNUMBER(SEARCH("R30",G173)),0)+IFERROR(--ISNUMBER(SEARCH("R32",G173)),0)+IFERROR(--ISNUMBER(SEARCH("R33",G173)),0)+IFERROR(--ISNUMBER(SEARCH("R35",G173)),0)+IFERROR(--ISNUMBER(SEARCH("R36",G173)),0)+IFERROR(--ISNUMBER(SEARCH("R38",G173)),0)+IFERROR(--ISNUMBER(SEARCH("R39",G173)),0)+IFERROR(--ISNUMBER(SEARCH("R43",G173)),0)+IFERROR(--ISNUMBER(SEARCH("R44",G173)),0)+IFERROR(--ISNUMBER(SEARCH("R45",G173)),0)+IFERROR(--ISNUMBER(SEARCH("R47",G173)),0)+IFERROR(--ISNUMBER(SEARCH("R48",G173)),0)+IFERROR(--ISNUMBER(SEARCH("R50",G173)),0)+IFERROR(--ISNUMBER(SEARCH("R51",G173)),0)+IFERROR(--ISNUMBER(SEARCH("R56",G173)),0)+IFERROR(--ISNUMBER(SEARCH("R58",G173)),0)+IFERROR(--ISNUMBER(SEARCH("R59",G173)),0)+IFERROR(--ISNUMBER(SEARCH("R60",G173)),0)+IFERROR(--ISNUMBER(SEARCH("R62",G173)),0)+IFERROR(--ISNUMBER(SEARCH("R63",G173)),0)+IFERROR(--ISNUMBER(SEARCH("R64",G173)),0)+IFERROR(--ISNUMBER(SEARCH("R66",G173)),0)+IFERROR(--ISNUMBER(SEARCH("R67",G173)),0)+IFERROR(--ISNUMBER(SEARCH("R72",G173)),0)+IFERROR(--ISNUMBER(SEARCH("R74",G173)),0)+IFERROR(--ISNUMBER(SEARCH("R75",G173)),0)+IFERROR(--ISNUMBER(SEARCH("R76",G173)),0)+IFERROR(--ISNUMBER(SEARCH("R77",G173)),0)+IFERROR(--ISNUMBER(SEARCH("R79",G173)),0)+IFERROR(--ISNUMBER(SEARCH("R80",G173)),0)+IFERROR(--ISNUMBER(SEARCH("R81",G173)),0)+IFERROR(--ISNUMBER(SEARCH("R83",G173)),0)+IFERROR(--ISNUMBER(SEARCH("R84",G173)),0)+IFERROR(--ISNUMBER(SEARCH("R89",G173)),0)+IFERROR(--ISNUMBER(SEARCH("R94",G173)),0)+IFERROR(--ISNUMBER(SEARCH("R95",G173)),0)+IFERROR(--ISNUMBER(SEARCH("R96",G173)),0)+IFERROR(--ISNUMBER(SEARCH("R98",G173)),0)+IFERROR(--ISNUMBER(SEARCH("R99",G173)),0)+IFERROR(--ISNUMBER(SEARCH("R100",G173)),0)+IFERROR(--ISNUMBER(SEARCH("R104",G173)),0)+IFERROR(--ISNUMBER(SEARCH("R105",G173)),0)+IFERROR(--ISNUMBER(SEARCH("R107",G173)),0)+IFERROR(--ISNUMBER(SEARCH("R108",G173)),0)+IFERROR(--ISNUMBER(SEARCH("R109",G173)),0)+IFERROR(--ISNUMBER(SEARCH("R110",G173)),0)+IFERROR(--ISNUMBER(SEARCH("R112",G173)),0)+IFERROR(--ISNUMBER(SEARCH("R113",G173)),0)+IFERROR(--ISNUMBER(SEARCH("R114",G173)),0)+IFERROR(--ISNUMBER(SEARCH("R118",G173)),0)+IFERROR(--ISNUMBER(SEARCH("R119",G173)),0)+IFERROR(--ISNUMBER(SEARCH("R120",G173)),0)+IFERROR(--ISNUMBER(SEARCH("R122",G173)),0)+IFERROR(--ISNUMBER(SEARCH("R123",G173)),0)+IFERROR(--ISNUMBER(SEARCH("R124",G173)),0)+IFERROR(--ISNUMBER(SEARCH("R128",G173)),0)+IFERROR(--ISNUMBER(SEARCH("R130",G173)),0)+IFERROR(--ISNUMBER(SEARCH("R131",G173)),0)+IFERROR(--ISNUMBER(SEARCH("R132",G173)),0)+IFERROR(--ISNUMBER(SEARCH("R135",G173)),0)+IFERROR(--ISNUMBER(SEARCH("R138",G173)),0)+IFERROR(--ISNUMBER(SEARCH("R141",G173)),0))</f>
        <v/>
      </c>
      <c r="U173" s="58">
        <f>IF(A173="","",IFERROR(--ISNUMBER(SEARCH("R28",G173))*28,0)+IFERROR(--ISNUMBER(SEARCH("R29",G173))*29,0)+IFERROR(--ISNUMBER(SEARCH("R30",G173))*30,0)+IFERROR(--ISNUMBER(SEARCH("R31",G173))*31,0)+IFERROR(--ISNUMBER(SEARCH("R32",G173))*32,0)+IFERROR(--ISNUMBER(SEARCH("R33",G173))*33,0)+IFERROR(--ISNUMBER(SEARCH("R34",G173))*34,0)+IFERROR(--ISNUMBER(SEARCH("R35",G173))*35,0)+IFERROR(--ISNUMBER(SEARCH("R36",G173))*36,0)+IFERROR(--ISNUMBER(SEARCH("R37",G173))*37,0)+IFERROR(--ISNUMBER(SEARCH("R38",G173))*38,0)+IFERROR(--ISNUMBER(SEARCH("R39",G173))*39,0)+IFERROR(--ISNUMBER(SEARCH("R40",G173))*40,0)+IFERROR(--ISNUMBER(SEARCH("R41",G173))*41,0)+IFERROR(--ISNUMBER(SEARCH("R42",G173))*42,0)+IFERROR(--ISNUMBER(SEARCH("R43",G173))*43,0)+IFERROR(--ISNUMBER(SEARCH("R44",G173))*44,0)+IFERROR(--ISNUMBER(SEARCH("R45",G173))*45,0)+IFERROR(--ISNUMBER(SEARCH("R46",G173))*46,0)+IFERROR(--ISNUMBER(SEARCH("R47",G173))*47,0)+IFERROR(--ISNUMBER(SEARCH("R48",G173))*48,0)+IFERROR(--ISNUMBER(SEARCH("R49",G173))*49,0)+IFERROR(--ISNUMBER(SEARCH("R50",G173))*50,0)+IFERROR(--ISNUMBER(SEARCH("R51",G173))*51,0)+IFERROR(--ISNUMBER(SEARCH("R52",G173))*52,0)+IFERROR(--ISNUMBER(SEARCH("R53",G173))*53,0)+IFERROR(--ISNUMBER(SEARCH("R54",G173))*54,0)+IFERROR(--ISNUMBER(SEARCH("R55",G173))*55,0)+IFERROR(--ISNUMBER(SEARCH("R56",G173))*56,0)+IFERROR(--ISNUMBER(SEARCH("R57",G173))*57,0)+IFERROR(--ISNUMBER(SEARCH("R58",G173))*58,0)+IFERROR(--ISNUMBER(SEARCH("R59",G173))*59,0)+IFERROR(--ISNUMBER(SEARCH("R60",G173))*60,0)+IFERROR(--ISNUMBER(SEARCH("R61",G173))*61,0)+IFERROR(--ISNUMBER(SEARCH("R62",G173))*62,0)+IFERROR(--ISNUMBER(SEARCH("R63",G173))*63,0)+IFERROR(--ISNUMBER(SEARCH("R64",G173))*64,0)+IFERROR(--ISNUMBER(SEARCH("R65",G173))*65,0)+IFERROR(--ISNUMBER(SEARCH("R66",G173))*66,0)+IFERROR(--ISNUMBER(SEARCH("R67",G173))*67,0)+IFERROR(--ISNUMBER(SEARCH("R68",G173))*68,0)+IFERROR(--ISNUMBER(SEARCH("R69",G173))*69,0)+IFERROR(--ISNUMBER(SEARCH("R70",G173))*70,0)+IFERROR(--ISNUMBER(SEARCH("R71",G173))*71,0)+IFERROR(--ISNUMBER(SEARCH("R72",G173))*72,0)+IFERROR(--ISNUMBER(SEARCH("R73",G173))*73,0)+IFERROR(--ISNUMBER(SEARCH("R74",G173))*74,0)+IFERROR(--ISNUMBER(SEARCH("R75",G173))*75,0)+IFERROR(--ISNUMBER(SEARCH("R76",G173))*76,0)+IFERROR(--ISNUMBER(SEARCH("R77",G173))*77,0)+IFERROR(--ISNUMBER(SEARCH("R78",G173))*78,0)+IFERROR(--ISNUMBER(SEARCH("R79",G173))*79,0)+IFERROR(--ISNUMBER(SEARCH("R80",G173))*80,0)+IFERROR(--ISNUMBER(SEARCH("R81",G173))*81,0)+IFERROR(--ISNUMBER(SEARCH("R82",G173))*82,0)+IFERROR(--ISNUMBER(SEARCH("R83",G173))*83,0)+IFERROR(--ISNUMBER(SEARCH("R84",G173))*84,0)+IFERROR(--ISNUMBER(SEARCH("R85",G173))*85,0)+IFERROR(--ISNUMBER(SEARCH("R86",G173))*86,0)+IFERROR(--ISNUMBER(SEARCH("R87",G173))*87,0)+IFERROR(--ISNUMBER(SEARCH("R88",G173))*88,0)+IFERROR(--ISNUMBER(SEARCH("R89",G173))*89,0)+IFERROR(--ISNUMBER(SEARCH("R90",G173))*90,0)+IFERROR(--ISNUMBER(SEARCH("R91",G173))*91,0)+IFERROR(--ISNUMBER(SEARCH("R92",G173))*92,0)+IFERROR(--ISNUMBER(SEARCH("R93",G173))*93,0)+IFERROR(--ISNUMBER(SEARCH("R94",G173))*94,0)+IFERROR(--ISNUMBER(SEARCH("R95",G173))*95,0)+IFERROR(--ISNUMBER(SEARCH("R96",G173))*96,0)+IFERROR(--ISNUMBER(SEARCH("R97",G173))*97,0)+IFERROR(--ISNUMBER(SEARCH("R98",G173))*98,0)+IFERROR(--ISNUMBER(SEARCH("R99",G173))*99,0)+IFERROR(--ISNUMBER(SEARCH("R100",G173))*100,0)+IFERROR(--ISNUMBER(SEARCH("R101",G173))*101,0)+IFERROR(--ISNUMBER(SEARCH("R102",G173))*102,0)+IFERROR(--ISNUMBER(SEARCH("R103",G173))*103,0)+IFERROR(--ISNUMBER(SEARCH("R104",G173))*104,0)+IFERROR(--ISNUMBER(SEARCH("R105",G173))*105,0)+IFERROR(--ISNUMBER(SEARCH("R106",G173))*106,0)+IFERROR(--ISNUMBER(SEARCH("R107",G173))*107,0)+IFERROR(--ISNUMBER(SEARCH("R108",G173))*108,0)+IFERROR(--ISNUMBER(SEARCH("R109",G173))*109,0)+IFERROR(--ISNUMBER(SEARCH("R110",G173))*110,0)+IFERROR(--ISNUMBER(SEARCH("R111",G173))*111,0)+IFERROR(--ISNUMBER(SEARCH("R112",G173))*112,0)+IFERROR(--ISNUMBER(SEARCH("R113",G173))*113,0)+IFERROR(--ISNUMBER(SEARCH("R114",G173))*114,0)+IFERROR(--ISNUMBER(SEARCH("R115",G173))*115,0)+IFERROR(--ISNUMBER(SEARCH("R116",G173))*116,0)+IFERROR(--ISNUMBER(SEARCH("R117",G173))*117,0)+IFERROR(--ISNUMBER(SEARCH("R118",G173))*118,0)+IFERROR(--ISNUMBER(SEARCH("R119",G173))*119,0)+IFERROR(--ISNUMBER(SEARCH("R120",G173))*120,0)+IFERROR(--ISNUMBER(SEARCH("R121",G173))*121,0)+IFERROR(--ISNUMBER(SEARCH("R122",G173))*122,0)+IFERROR(--ISNUMBER(SEARCH("R123",G173))*123,0)+IFERROR(--ISNUMBER(SEARCH("R124",G173))*124,0)+IFERROR(--ISNUMBER(SEARCH("R125",G173))*125,0)+IFERROR(--ISNUMBER(SEARCH("R126",G173))*126,0)+IFERROR(--ISNUMBER(SEARCH("R127",G173))*127,0)+IFERROR(--ISNUMBER(SEARCH("R128",G173))*128,0)+IFERROR(--ISNUMBER(SEARCH("R129",G173))*129,0)+IFERROR(--ISNUMBER(SEARCH("R130",G173))*130,0)+IFERROR(--ISNUMBER(SEARCH("R131",G173))*131,0)+IFERROR(--ISNUMBER(SEARCH("R132",G173))*132,0)+IFERROR(--ISNUMBER(SEARCH("R133",G173))*133,0)+IFERROR(--ISNUMBER(SEARCH("R134",G173))*134,0)+IFERROR(--ISNUMBER(SEARCH("R135",G173))*135,0)+IFERROR(--ISNUMBER(SEARCH("R136",G173))*136,0)+IFERROR(--ISNUMBER(SEARCH("R137",G173))*137,0)+IFERROR(--ISNUMBER(SEARCH("R138",G173))*138,0)+IFERROR(--ISNUMBER(SEARCH("R139",G173))*139,0)+IFERROR(--ISNUMBER(SEARCH("R140",G173))*140,0)+IFERROR(--ISNUMBER(SEARCH("R141",G173))*141,0))</f>
        <v/>
      </c>
      <c r="V173" s="59">
        <f>IF(A173="","",IF(K173&lt;&gt;"",K173,J173))</f>
        <v/>
      </c>
      <c r="W173" s="59">
        <f>IF(A173="","",IF(AND(V173=29,O173&lt;&gt;"",COUNTIFS($V$6:$V$505,29,$F$6:$F$505,F173,$C$6:$C$505,C173,$O$6:$O$505,"&lt;&gt;")&gt;1),IF(COUNTIFS($V$6:V173,29,$F$6:F173,F173,$C$6:C173,C173,$O$6:O173,"&lt;&gt;")=1,"Esta es la fila que se debe CONSERVAR (aparición 1 de "&amp;COUNTIFS($V$6:$V$505,29,$F$6:$F$505,F173,$C$6:$C$505,C173,$O$6:$O$505,"&lt;&gt;")&amp;" con el mismo tercero y valor, casilla 29). Si hay más filas iguales, bórreles el valor a ELLAS, no a esta.","DUPLICADO — ya existe otra fila con el mismo tercero y valor para casilla 29 (aparición "&amp;COUNTIFS($V$6:V173,29,$F$6:F173,F173,$C$6:C173,C173,$O$6:O173,"&lt;&gt;")&amp;" de "&amp;COUNTIFS($V$6:$V$505,29,$F$6:$F$505,F173,$C$6:$C$505,C173,$O$6:$O$505,"&lt;&gt;")&amp;"). Para resolverlo: seleccione la celda O"&amp;ROW()&amp;" (columna Valor a declarar de ESTA fila) y presione Supr."),""))</f>
        <v/>
      </c>
      <c r="X173" s="463">
        <f>IF(A173="","",F173)</f>
        <v/>
      </c>
      <c r="Y173" s="463">
        <f>IF(A173="","",SUMIF(Entrada_Manual!$I$88:$I$187,A173,Entrada_Manual!$F$88:$F$187))</f>
        <v/>
      </c>
      <c r="Z173" s="463">
        <f>IF(A173="","",X173-Y173)</f>
        <v/>
      </c>
      <c r="AA173">
        <f>IF(A173="","",SUMPRODUCT((Entrada_Manual!$I$88:$I$187=A173)*1))</f>
        <v/>
      </c>
      <c r="AB173">
        <f>IF(A173="","",IF(S173&lt;=1,"",IF(AA173=0,"PENDIENTE — SIN ASIGNAR",IF(Z173=0,"RESUELTO","PARCIAL — DIFERENCIA "&amp;TEXT(Z173,"#,##0")))))</f>
        <v/>
      </c>
    </row>
    <row r="174" ht="14.25" customHeight="1" s="235">
      <c r="A174" s="47">
        <f>IF(Exogena_RAW!E183&lt;&gt;"",ROW()-5,"")</f>
        <v/>
      </c>
      <c r="B174" s="48">
        <f>IF(A174="","",183)</f>
        <v/>
      </c>
      <c r="C174" s="48">
        <f>IF(A174="","",IFERROR(Exogena_RAW!A183,""))</f>
        <v/>
      </c>
      <c r="D174" s="48">
        <f>IF(A174="","",IFERROR(Exogena_RAW!B183,""))</f>
        <v/>
      </c>
      <c r="E174" s="48">
        <f>IF(A174="","",Exogena_RAW!E183)</f>
        <v/>
      </c>
      <c r="F174" s="461">
        <f>IF(A174="","",Exogena_RAW!F183)</f>
        <v/>
      </c>
      <c r="G174" s="48">
        <f>IF(A174="","",IFERROR(Exogena_RAW!G183,""))</f>
        <v/>
      </c>
      <c r="H174" s="48">
        <f>IF(A174="","",IFERROR(Exogena_RAW!H183,""))</f>
        <v/>
      </c>
      <c r="I174" s="48">
        <f>IF(A174="","",IFERROR(IF(S174&gt;1,"VARIAS CASILLAS",IF(S174=1,IF(T174=1,"PROPUESTA DE CASILLA","REVISIÓN: CASILLA NO DIRECTA"),IF(OR(ISNUMBER(SEARCH("TOPE",UPPER(E174))),ISNUMBER(SEARCH("TOPE",UPPER(G174)))),"SOLO CONTROL",IF(ISNUMBER(SEARCH("RETEN",UPPER(E174))),"RETENCIÓN","REVISAR")))),"REVISAR"))</f>
        <v/>
      </c>
      <c r="J174" s="48">
        <f>IF(A174="","",IF(ISNUMBER(SEARCH("ingreso laboral promedio de los últimos seis meses",E174)),"",IFERROR(IF(AND(S174=1,T174=1),U174,""),"")))</f>
        <v/>
      </c>
      <c r="K174" s="216" t="n"/>
      <c r="L174" s="48">
        <f>IF(A174="","",IFERROR(IF(K174&lt;&gt;"","Casilla elegida por usuario",IF(S174&gt;1,"Varias casillas — elegir en K",IF(J174&lt;&gt;"","Sugerencia directa",IF(S174=1,"No trasladar directo — revisar",IF(OR(ISNUMBER(SEARCH("TOPE",UPPER(E174))),ISNUMBER(SEARCH("TOPE",UPPER(G174)))),"Solo control","Revisar manualmente"))))),"Revisar manualmente"))</f>
        <v/>
      </c>
      <c r="M174" s="461">
        <f>IF(A174="","",IF(IF(K174&lt;&gt;"",K174,J174)="",0,IF(COUNTIFS(Reglas!$I$5:$I$118,IF(K174&lt;&gt;"",K174,J174),Reglas!$J$5:$J$118,"Sí")=1,F174,0)))</f>
        <v/>
      </c>
      <c r="N174" s="56" t="n"/>
      <c r="O174" s="462">
        <f>IF(A174="","",IF(M174=0,"",M174))</f>
        <v/>
      </c>
      <c r="P174" s="461">
        <f>IF(A174="","",IF(O174="",0,IF(ISNUMBER(O174),O174,0)))</f>
        <v/>
      </c>
      <c r="Q174" s="48">
        <f>IF(A174="","",IF(Exogena_RAW!$C$4="","BLOQUEADO: FALTA AÑO",IF(Exogena_RAW!$K$10&lt;&gt;Reglas!$B$5,"BLOQUEADO: AÑO",IF(IF(K174&lt;&gt;"",K174,J174)="",IF(S174&gt;1,"REQUIERE ASIGNACIÓN MANUAL (VARIAS CASILLAS)","INFORMATIVO (sin casilla — no se declara)"),IF(COUNTIFS(Reglas!$I$5:$I$118,IF(K174&lt;&gt;"",K174,J174),Reglas!$J$5:$J$118,"Sí")=0,"BLOQUEADO: CASILLA NO DIRECTA",IF(O174="","EXCLUIDO (valor borrado por el usuario)",IF(_xlfn.ISFORMULA(O174),IF(W174&lt;&gt;"","BORRADOR — VALOR SUGERIDO DIAN ⚠ VER ALERTA","BORRADOR — VALOR SUGERIDO DIAN"),IF(W174&lt;&gt;"","ACEPTADO ⚠ VER ALERTA","ACEPTADO"))))))))</f>
        <v/>
      </c>
      <c r="R174" s="218" t="n"/>
      <c r="S174" s="58">
        <f>IF(A174="","",IFERROR(--ISNUMBER(SEARCH("R28",G174)),0)+IFERROR(--ISNUMBER(SEARCH("R29",G174)),0)+IFERROR(--ISNUMBER(SEARCH("R30",G174)),0)+IFERROR(--ISNUMBER(SEARCH("R31",G174)),0)+IFERROR(--ISNUMBER(SEARCH("R32",G174)),0)+IFERROR(--ISNUMBER(SEARCH("R33",G174)),0)+IFERROR(--ISNUMBER(SEARCH("R34",G174)),0)+IFERROR(--ISNUMBER(SEARCH("R35",G174)),0)+IFERROR(--ISNUMBER(SEARCH("R36",G174)),0)+IFERROR(--ISNUMBER(SEARCH("R37",G174)),0)+IFERROR(--ISNUMBER(SEARCH("R38",G174)),0)+IFERROR(--ISNUMBER(SEARCH("R39",G174)),0)+IFERROR(--ISNUMBER(SEARCH("R40",G174)),0)+IFERROR(--ISNUMBER(SEARCH("R41",G174)),0)+IFERROR(--ISNUMBER(SEARCH("R42",G174)),0)+IFERROR(--ISNUMBER(SEARCH("R43",G174)),0)+IFERROR(--ISNUMBER(SEARCH("R44",G174)),0)+IFERROR(--ISNUMBER(SEARCH("R45",G174)),0)+IFERROR(--ISNUMBER(SEARCH("R46",G174)),0)+IFERROR(--ISNUMBER(SEARCH("R47",G174)),0)+IFERROR(--ISNUMBER(SEARCH("R48",G174)),0)+IFERROR(--ISNUMBER(SEARCH("R49",G174)),0)+IFERROR(--ISNUMBER(SEARCH("R50",G174)),0)+IFERROR(--ISNUMBER(SEARCH("R51",G174)),0)+IFERROR(--ISNUMBER(SEARCH("R52",G174)),0)+IFERROR(--ISNUMBER(SEARCH("R53",G174)),0)+IFERROR(--ISNUMBER(SEARCH("R54",G174)),0)+IFERROR(--ISNUMBER(SEARCH("R55",G174)),0)+IFERROR(--ISNUMBER(SEARCH("R56",G174)),0)+IFERROR(--ISNUMBER(SEARCH("R57",G174)),0)+IFERROR(--ISNUMBER(SEARCH("R58",G174)),0)+IFERROR(--ISNUMBER(SEARCH("R59",G174)),0)+IFERROR(--ISNUMBER(SEARCH("R60",G174)),0)+IFERROR(--ISNUMBER(SEARCH("R61",G174)),0)+IFERROR(--ISNUMBER(SEARCH("R62",G174)),0)+IFERROR(--ISNUMBER(SEARCH("R63",G174)),0)+IFERROR(--ISNUMBER(SEARCH("R64",G174)),0)+IFERROR(--ISNUMBER(SEARCH("R65",G174)),0)+IFERROR(--ISNUMBER(SEARCH("R66",G174)),0)+IFERROR(--ISNUMBER(SEARCH("R67",G174)),0)+IFERROR(--ISNUMBER(SEARCH("R68",G174)),0)+IFERROR(--ISNUMBER(SEARCH("R69",G174)),0)+IFERROR(--ISNUMBER(SEARCH("R70",G174)),0)+IFERROR(--ISNUMBER(SEARCH("R71",G174)),0)+IFERROR(--ISNUMBER(SEARCH("R72",G174)),0)+IFERROR(--ISNUMBER(SEARCH("R73",G174)),0)+IFERROR(--ISNUMBER(SEARCH("R74",G174)),0)+IFERROR(--ISNUMBER(SEARCH("R75",G174)),0)+IFERROR(--ISNUMBER(SEARCH("R76",G174)),0)+IFERROR(--ISNUMBER(SEARCH("R77",G174)),0)+IFERROR(--ISNUMBER(SEARCH("R78",G174)),0)+IFERROR(--ISNUMBER(SEARCH("R79",G174)),0)+IFERROR(--ISNUMBER(SEARCH("R80",G174)),0)+IFERROR(--ISNUMBER(SEARCH("R81",G174)),0)+IFERROR(--ISNUMBER(SEARCH("R82",G174)),0)+IFERROR(--ISNUMBER(SEARCH("R83",G174)),0)+IFERROR(--ISNUMBER(SEARCH("R84",G174)),0)+IFERROR(--ISNUMBER(SEARCH("R85",G174)),0)+IFERROR(--ISNUMBER(SEARCH("R86",G174)),0)+IFERROR(--ISNUMBER(SEARCH("R87",G174)),0)+IFERROR(--ISNUMBER(SEARCH("R88",G174)),0)+IFERROR(--ISNUMBER(SEARCH("R89",G174)),0)+IFERROR(--ISNUMBER(SEARCH("R90",G174)),0)+IFERROR(--ISNUMBER(SEARCH("R91",G174)),0)+IFERROR(--ISNUMBER(SEARCH("R92",G174)),0)+IFERROR(--ISNUMBER(SEARCH("R93",G174)),0)+IFERROR(--ISNUMBER(SEARCH("R94",G174)),0)+IFERROR(--ISNUMBER(SEARCH("R95",G174)),0)+IFERROR(--ISNUMBER(SEARCH("R96",G174)),0)+IFERROR(--ISNUMBER(SEARCH("R97",G174)),0)+IFERROR(--ISNUMBER(SEARCH("R98",G174)),0)+IFERROR(--ISNUMBER(SEARCH("R99",G174)),0)+IFERROR(--ISNUMBER(SEARCH("R100",G174)),0)+IFERROR(--ISNUMBER(SEARCH("R101",G174)),0)+IFERROR(--ISNUMBER(SEARCH("R102",G174)),0)+IFERROR(--ISNUMBER(SEARCH("R103",G174)),0)+IFERROR(--ISNUMBER(SEARCH("R104",G174)),0)+IFERROR(--ISNUMBER(SEARCH("R105",G174)),0)+IFERROR(--ISNUMBER(SEARCH("R106",G174)),0)+IFERROR(--ISNUMBER(SEARCH("R107",G174)),0)+IFERROR(--ISNUMBER(SEARCH("R108",G174)),0)+IFERROR(--ISNUMBER(SEARCH("R109",G174)),0)+IFERROR(--ISNUMBER(SEARCH("R110",G174)),0)+IFERROR(--ISNUMBER(SEARCH("R111",G174)),0)+IFERROR(--ISNUMBER(SEARCH("R112",G174)),0)+IFERROR(--ISNUMBER(SEARCH("R113",G174)),0)+IFERROR(--ISNUMBER(SEARCH("R114",G174)),0)+IFERROR(--ISNUMBER(SEARCH("R115",G174)),0)+IFERROR(--ISNUMBER(SEARCH("R116",G174)),0)+IFERROR(--ISNUMBER(SEARCH("R117",G174)),0)+IFERROR(--ISNUMBER(SEARCH("R118",G174)),0)+IFERROR(--ISNUMBER(SEARCH("R119",G174)),0)+IFERROR(--ISNUMBER(SEARCH("R120",G174)),0)+IFERROR(--ISNUMBER(SEARCH("R121",G174)),0)+IFERROR(--ISNUMBER(SEARCH("R122",G174)),0)+IFERROR(--ISNUMBER(SEARCH("R123",G174)),0)+IFERROR(--ISNUMBER(SEARCH("R124",G174)),0)+IFERROR(--ISNUMBER(SEARCH("R125",G174)),0)+IFERROR(--ISNUMBER(SEARCH("R126",G174)),0)+IFERROR(--ISNUMBER(SEARCH("R127",G174)),0)+IFERROR(--ISNUMBER(SEARCH("R128",G174)),0)+IFERROR(--ISNUMBER(SEARCH("R129",G174)),0)+IFERROR(--ISNUMBER(SEARCH("R130",G174)),0)+IFERROR(--ISNUMBER(SEARCH("R131",G174)),0)+IFERROR(--ISNUMBER(SEARCH("R132",G174)),0)+IFERROR(--ISNUMBER(SEARCH("R133",G174)),0)+IFERROR(--ISNUMBER(SEARCH("R134",G174)),0)+IFERROR(--ISNUMBER(SEARCH("R135",G174)),0)+IFERROR(--ISNUMBER(SEARCH("R136",G174)),0)+IFERROR(--ISNUMBER(SEARCH("R137",G174)),0)+IFERROR(--ISNUMBER(SEARCH("R138",G174)),0)+IFERROR(--ISNUMBER(SEARCH("R139",G174)),0)+IFERROR(--ISNUMBER(SEARCH("R140",G174)),0)+IFERROR(--ISNUMBER(SEARCH("R141",G174)),0))</f>
        <v/>
      </c>
      <c r="T174" s="58">
        <f>IF(A174="","",IFERROR(--ISNUMBER(SEARCH("R28",G174)),0)+IFERROR(--ISNUMBER(SEARCH("R29",G174)),0)+IFERROR(--ISNUMBER(SEARCH("R30",G174)),0)+IFERROR(--ISNUMBER(SEARCH("R32",G174)),0)+IFERROR(--ISNUMBER(SEARCH("R33",G174)),0)+IFERROR(--ISNUMBER(SEARCH("R35",G174)),0)+IFERROR(--ISNUMBER(SEARCH("R36",G174)),0)+IFERROR(--ISNUMBER(SEARCH("R38",G174)),0)+IFERROR(--ISNUMBER(SEARCH("R39",G174)),0)+IFERROR(--ISNUMBER(SEARCH("R43",G174)),0)+IFERROR(--ISNUMBER(SEARCH("R44",G174)),0)+IFERROR(--ISNUMBER(SEARCH("R45",G174)),0)+IFERROR(--ISNUMBER(SEARCH("R47",G174)),0)+IFERROR(--ISNUMBER(SEARCH("R48",G174)),0)+IFERROR(--ISNUMBER(SEARCH("R50",G174)),0)+IFERROR(--ISNUMBER(SEARCH("R51",G174)),0)+IFERROR(--ISNUMBER(SEARCH("R56",G174)),0)+IFERROR(--ISNUMBER(SEARCH("R58",G174)),0)+IFERROR(--ISNUMBER(SEARCH("R59",G174)),0)+IFERROR(--ISNUMBER(SEARCH("R60",G174)),0)+IFERROR(--ISNUMBER(SEARCH("R62",G174)),0)+IFERROR(--ISNUMBER(SEARCH("R63",G174)),0)+IFERROR(--ISNUMBER(SEARCH("R64",G174)),0)+IFERROR(--ISNUMBER(SEARCH("R66",G174)),0)+IFERROR(--ISNUMBER(SEARCH("R67",G174)),0)+IFERROR(--ISNUMBER(SEARCH("R72",G174)),0)+IFERROR(--ISNUMBER(SEARCH("R74",G174)),0)+IFERROR(--ISNUMBER(SEARCH("R75",G174)),0)+IFERROR(--ISNUMBER(SEARCH("R76",G174)),0)+IFERROR(--ISNUMBER(SEARCH("R77",G174)),0)+IFERROR(--ISNUMBER(SEARCH("R79",G174)),0)+IFERROR(--ISNUMBER(SEARCH("R80",G174)),0)+IFERROR(--ISNUMBER(SEARCH("R81",G174)),0)+IFERROR(--ISNUMBER(SEARCH("R83",G174)),0)+IFERROR(--ISNUMBER(SEARCH("R84",G174)),0)+IFERROR(--ISNUMBER(SEARCH("R89",G174)),0)+IFERROR(--ISNUMBER(SEARCH("R94",G174)),0)+IFERROR(--ISNUMBER(SEARCH("R95",G174)),0)+IFERROR(--ISNUMBER(SEARCH("R96",G174)),0)+IFERROR(--ISNUMBER(SEARCH("R98",G174)),0)+IFERROR(--ISNUMBER(SEARCH("R99",G174)),0)+IFERROR(--ISNUMBER(SEARCH("R100",G174)),0)+IFERROR(--ISNUMBER(SEARCH("R104",G174)),0)+IFERROR(--ISNUMBER(SEARCH("R105",G174)),0)+IFERROR(--ISNUMBER(SEARCH("R107",G174)),0)+IFERROR(--ISNUMBER(SEARCH("R108",G174)),0)+IFERROR(--ISNUMBER(SEARCH("R109",G174)),0)+IFERROR(--ISNUMBER(SEARCH("R110",G174)),0)+IFERROR(--ISNUMBER(SEARCH("R112",G174)),0)+IFERROR(--ISNUMBER(SEARCH("R113",G174)),0)+IFERROR(--ISNUMBER(SEARCH("R114",G174)),0)+IFERROR(--ISNUMBER(SEARCH("R118",G174)),0)+IFERROR(--ISNUMBER(SEARCH("R119",G174)),0)+IFERROR(--ISNUMBER(SEARCH("R120",G174)),0)+IFERROR(--ISNUMBER(SEARCH("R122",G174)),0)+IFERROR(--ISNUMBER(SEARCH("R123",G174)),0)+IFERROR(--ISNUMBER(SEARCH("R124",G174)),0)+IFERROR(--ISNUMBER(SEARCH("R128",G174)),0)+IFERROR(--ISNUMBER(SEARCH("R130",G174)),0)+IFERROR(--ISNUMBER(SEARCH("R131",G174)),0)+IFERROR(--ISNUMBER(SEARCH("R132",G174)),0)+IFERROR(--ISNUMBER(SEARCH("R135",G174)),0)+IFERROR(--ISNUMBER(SEARCH("R138",G174)),0)+IFERROR(--ISNUMBER(SEARCH("R141",G174)),0))</f>
        <v/>
      </c>
      <c r="U174" s="58">
        <f>IF(A174="","",IFERROR(--ISNUMBER(SEARCH("R28",G174))*28,0)+IFERROR(--ISNUMBER(SEARCH("R29",G174))*29,0)+IFERROR(--ISNUMBER(SEARCH("R30",G174))*30,0)+IFERROR(--ISNUMBER(SEARCH("R31",G174))*31,0)+IFERROR(--ISNUMBER(SEARCH("R32",G174))*32,0)+IFERROR(--ISNUMBER(SEARCH("R33",G174))*33,0)+IFERROR(--ISNUMBER(SEARCH("R34",G174))*34,0)+IFERROR(--ISNUMBER(SEARCH("R35",G174))*35,0)+IFERROR(--ISNUMBER(SEARCH("R36",G174))*36,0)+IFERROR(--ISNUMBER(SEARCH("R37",G174))*37,0)+IFERROR(--ISNUMBER(SEARCH("R38",G174))*38,0)+IFERROR(--ISNUMBER(SEARCH("R39",G174))*39,0)+IFERROR(--ISNUMBER(SEARCH("R40",G174))*40,0)+IFERROR(--ISNUMBER(SEARCH("R41",G174))*41,0)+IFERROR(--ISNUMBER(SEARCH("R42",G174))*42,0)+IFERROR(--ISNUMBER(SEARCH("R43",G174))*43,0)+IFERROR(--ISNUMBER(SEARCH("R44",G174))*44,0)+IFERROR(--ISNUMBER(SEARCH("R45",G174))*45,0)+IFERROR(--ISNUMBER(SEARCH("R46",G174))*46,0)+IFERROR(--ISNUMBER(SEARCH("R47",G174))*47,0)+IFERROR(--ISNUMBER(SEARCH("R48",G174))*48,0)+IFERROR(--ISNUMBER(SEARCH("R49",G174))*49,0)+IFERROR(--ISNUMBER(SEARCH("R50",G174))*50,0)+IFERROR(--ISNUMBER(SEARCH("R51",G174))*51,0)+IFERROR(--ISNUMBER(SEARCH("R52",G174))*52,0)+IFERROR(--ISNUMBER(SEARCH("R53",G174))*53,0)+IFERROR(--ISNUMBER(SEARCH("R54",G174))*54,0)+IFERROR(--ISNUMBER(SEARCH("R55",G174))*55,0)+IFERROR(--ISNUMBER(SEARCH("R56",G174))*56,0)+IFERROR(--ISNUMBER(SEARCH("R57",G174))*57,0)+IFERROR(--ISNUMBER(SEARCH("R58",G174))*58,0)+IFERROR(--ISNUMBER(SEARCH("R59",G174))*59,0)+IFERROR(--ISNUMBER(SEARCH("R60",G174))*60,0)+IFERROR(--ISNUMBER(SEARCH("R61",G174))*61,0)+IFERROR(--ISNUMBER(SEARCH("R62",G174))*62,0)+IFERROR(--ISNUMBER(SEARCH("R63",G174))*63,0)+IFERROR(--ISNUMBER(SEARCH("R64",G174))*64,0)+IFERROR(--ISNUMBER(SEARCH("R65",G174))*65,0)+IFERROR(--ISNUMBER(SEARCH("R66",G174))*66,0)+IFERROR(--ISNUMBER(SEARCH("R67",G174))*67,0)+IFERROR(--ISNUMBER(SEARCH("R68",G174))*68,0)+IFERROR(--ISNUMBER(SEARCH("R69",G174))*69,0)+IFERROR(--ISNUMBER(SEARCH("R70",G174))*70,0)+IFERROR(--ISNUMBER(SEARCH("R71",G174))*71,0)+IFERROR(--ISNUMBER(SEARCH("R72",G174))*72,0)+IFERROR(--ISNUMBER(SEARCH("R73",G174))*73,0)+IFERROR(--ISNUMBER(SEARCH("R74",G174))*74,0)+IFERROR(--ISNUMBER(SEARCH("R75",G174))*75,0)+IFERROR(--ISNUMBER(SEARCH("R76",G174))*76,0)+IFERROR(--ISNUMBER(SEARCH("R77",G174))*77,0)+IFERROR(--ISNUMBER(SEARCH("R78",G174))*78,0)+IFERROR(--ISNUMBER(SEARCH("R79",G174))*79,0)+IFERROR(--ISNUMBER(SEARCH("R80",G174))*80,0)+IFERROR(--ISNUMBER(SEARCH("R81",G174))*81,0)+IFERROR(--ISNUMBER(SEARCH("R82",G174))*82,0)+IFERROR(--ISNUMBER(SEARCH("R83",G174))*83,0)+IFERROR(--ISNUMBER(SEARCH("R84",G174))*84,0)+IFERROR(--ISNUMBER(SEARCH("R85",G174))*85,0)+IFERROR(--ISNUMBER(SEARCH("R86",G174))*86,0)+IFERROR(--ISNUMBER(SEARCH("R87",G174))*87,0)+IFERROR(--ISNUMBER(SEARCH("R88",G174))*88,0)+IFERROR(--ISNUMBER(SEARCH("R89",G174))*89,0)+IFERROR(--ISNUMBER(SEARCH("R90",G174))*90,0)+IFERROR(--ISNUMBER(SEARCH("R91",G174))*91,0)+IFERROR(--ISNUMBER(SEARCH("R92",G174))*92,0)+IFERROR(--ISNUMBER(SEARCH("R93",G174))*93,0)+IFERROR(--ISNUMBER(SEARCH("R94",G174))*94,0)+IFERROR(--ISNUMBER(SEARCH("R95",G174))*95,0)+IFERROR(--ISNUMBER(SEARCH("R96",G174))*96,0)+IFERROR(--ISNUMBER(SEARCH("R97",G174))*97,0)+IFERROR(--ISNUMBER(SEARCH("R98",G174))*98,0)+IFERROR(--ISNUMBER(SEARCH("R99",G174))*99,0)+IFERROR(--ISNUMBER(SEARCH("R100",G174))*100,0)+IFERROR(--ISNUMBER(SEARCH("R101",G174))*101,0)+IFERROR(--ISNUMBER(SEARCH("R102",G174))*102,0)+IFERROR(--ISNUMBER(SEARCH("R103",G174))*103,0)+IFERROR(--ISNUMBER(SEARCH("R104",G174))*104,0)+IFERROR(--ISNUMBER(SEARCH("R105",G174))*105,0)+IFERROR(--ISNUMBER(SEARCH("R106",G174))*106,0)+IFERROR(--ISNUMBER(SEARCH("R107",G174))*107,0)+IFERROR(--ISNUMBER(SEARCH("R108",G174))*108,0)+IFERROR(--ISNUMBER(SEARCH("R109",G174))*109,0)+IFERROR(--ISNUMBER(SEARCH("R110",G174))*110,0)+IFERROR(--ISNUMBER(SEARCH("R111",G174))*111,0)+IFERROR(--ISNUMBER(SEARCH("R112",G174))*112,0)+IFERROR(--ISNUMBER(SEARCH("R113",G174))*113,0)+IFERROR(--ISNUMBER(SEARCH("R114",G174))*114,0)+IFERROR(--ISNUMBER(SEARCH("R115",G174))*115,0)+IFERROR(--ISNUMBER(SEARCH("R116",G174))*116,0)+IFERROR(--ISNUMBER(SEARCH("R117",G174))*117,0)+IFERROR(--ISNUMBER(SEARCH("R118",G174))*118,0)+IFERROR(--ISNUMBER(SEARCH("R119",G174))*119,0)+IFERROR(--ISNUMBER(SEARCH("R120",G174))*120,0)+IFERROR(--ISNUMBER(SEARCH("R121",G174))*121,0)+IFERROR(--ISNUMBER(SEARCH("R122",G174))*122,0)+IFERROR(--ISNUMBER(SEARCH("R123",G174))*123,0)+IFERROR(--ISNUMBER(SEARCH("R124",G174))*124,0)+IFERROR(--ISNUMBER(SEARCH("R125",G174))*125,0)+IFERROR(--ISNUMBER(SEARCH("R126",G174))*126,0)+IFERROR(--ISNUMBER(SEARCH("R127",G174))*127,0)+IFERROR(--ISNUMBER(SEARCH("R128",G174))*128,0)+IFERROR(--ISNUMBER(SEARCH("R129",G174))*129,0)+IFERROR(--ISNUMBER(SEARCH("R130",G174))*130,0)+IFERROR(--ISNUMBER(SEARCH("R131",G174))*131,0)+IFERROR(--ISNUMBER(SEARCH("R132",G174))*132,0)+IFERROR(--ISNUMBER(SEARCH("R133",G174))*133,0)+IFERROR(--ISNUMBER(SEARCH("R134",G174))*134,0)+IFERROR(--ISNUMBER(SEARCH("R135",G174))*135,0)+IFERROR(--ISNUMBER(SEARCH("R136",G174))*136,0)+IFERROR(--ISNUMBER(SEARCH("R137",G174))*137,0)+IFERROR(--ISNUMBER(SEARCH("R138",G174))*138,0)+IFERROR(--ISNUMBER(SEARCH("R139",G174))*139,0)+IFERROR(--ISNUMBER(SEARCH("R140",G174))*140,0)+IFERROR(--ISNUMBER(SEARCH("R141",G174))*141,0))</f>
        <v/>
      </c>
      <c r="V174" s="59">
        <f>IF(A174="","",IF(K174&lt;&gt;"",K174,J174))</f>
        <v/>
      </c>
      <c r="W174" s="59">
        <f>IF(A174="","",IF(AND(V174=29,O174&lt;&gt;"",COUNTIFS($V$6:$V$505,29,$F$6:$F$505,F174,$C$6:$C$505,C174,$O$6:$O$505,"&lt;&gt;")&gt;1),IF(COUNTIFS($V$6:V174,29,$F$6:F174,F174,$C$6:C174,C174,$O$6:O174,"&lt;&gt;")=1,"Esta es la fila que se debe CONSERVAR (aparición 1 de "&amp;COUNTIFS($V$6:$V$505,29,$F$6:$F$505,F174,$C$6:$C$505,C174,$O$6:$O$505,"&lt;&gt;")&amp;" con el mismo tercero y valor, casilla 29). Si hay más filas iguales, bórreles el valor a ELLAS, no a esta.","DUPLICADO — ya existe otra fila con el mismo tercero y valor para casilla 29 (aparición "&amp;COUNTIFS($V$6:V174,29,$F$6:F174,F174,$C$6:C174,C174,$O$6:O174,"&lt;&gt;")&amp;" de "&amp;COUNTIFS($V$6:$V$505,29,$F$6:$F$505,F174,$C$6:$C$505,C174,$O$6:$O$505,"&lt;&gt;")&amp;"). Para resolverlo: seleccione la celda O"&amp;ROW()&amp;" (columna Valor a declarar de ESTA fila) y presione Supr."),""))</f>
        <v/>
      </c>
      <c r="X174" s="463">
        <f>IF(A174="","",F174)</f>
        <v/>
      </c>
      <c r="Y174" s="463">
        <f>IF(A174="","",SUMIF(Entrada_Manual!$I$88:$I$187,A174,Entrada_Manual!$F$88:$F$187))</f>
        <v/>
      </c>
      <c r="Z174" s="463">
        <f>IF(A174="","",X174-Y174)</f>
        <v/>
      </c>
      <c r="AA174">
        <f>IF(A174="","",SUMPRODUCT((Entrada_Manual!$I$88:$I$187=A174)*1))</f>
        <v/>
      </c>
      <c r="AB174">
        <f>IF(A174="","",IF(S174&lt;=1,"",IF(AA174=0,"PENDIENTE — SIN ASIGNAR",IF(Z174=0,"RESUELTO","PARCIAL — DIFERENCIA "&amp;TEXT(Z174,"#,##0")))))</f>
        <v/>
      </c>
    </row>
    <row r="175" ht="14.25" customHeight="1" s="235">
      <c r="A175" s="47">
        <f>IF(Exogena_RAW!E184&lt;&gt;"",ROW()-5,"")</f>
        <v/>
      </c>
      <c r="B175" s="48">
        <f>IF(A175="","",184)</f>
        <v/>
      </c>
      <c r="C175" s="48">
        <f>IF(A175="","",IFERROR(Exogena_RAW!A184,""))</f>
        <v/>
      </c>
      <c r="D175" s="48">
        <f>IF(A175="","",IFERROR(Exogena_RAW!B184,""))</f>
        <v/>
      </c>
      <c r="E175" s="48">
        <f>IF(A175="","",Exogena_RAW!E184)</f>
        <v/>
      </c>
      <c r="F175" s="461">
        <f>IF(A175="","",Exogena_RAW!F184)</f>
        <v/>
      </c>
      <c r="G175" s="48">
        <f>IF(A175="","",IFERROR(Exogena_RAW!G184,""))</f>
        <v/>
      </c>
      <c r="H175" s="48">
        <f>IF(A175="","",IFERROR(Exogena_RAW!H184,""))</f>
        <v/>
      </c>
      <c r="I175" s="48">
        <f>IF(A175="","",IFERROR(IF(S175&gt;1,"VARIAS CASILLAS",IF(S175=1,IF(T175=1,"PROPUESTA DE CASILLA","REVISIÓN: CASILLA NO DIRECTA"),IF(OR(ISNUMBER(SEARCH("TOPE",UPPER(E175))),ISNUMBER(SEARCH("TOPE",UPPER(G175)))),"SOLO CONTROL",IF(ISNUMBER(SEARCH("RETEN",UPPER(E175))),"RETENCIÓN","REVISAR")))),"REVISAR"))</f>
        <v/>
      </c>
      <c r="J175" s="48">
        <f>IF(A175="","",IF(ISNUMBER(SEARCH("ingreso laboral promedio de los últimos seis meses",E175)),"",IFERROR(IF(AND(S175=1,T175=1),U175,""),"")))</f>
        <v/>
      </c>
      <c r="K175" s="216" t="n"/>
      <c r="L175" s="48">
        <f>IF(A175="","",IFERROR(IF(K175&lt;&gt;"","Casilla elegida por usuario",IF(S175&gt;1,"Varias casillas — elegir en K",IF(J175&lt;&gt;"","Sugerencia directa",IF(S175=1,"No trasladar directo — revisar",IF(OR(ISNUMBER(SEARCH("TOPE",UPPER(E175))),ISNUMBER(SEARCH("TOPE",UPPER(G175)))),"Solo control","Revisar manualmente"))))),"Revisar manualmente"))</f>
        <v/>
      </c>
      <c r="M175" s="461">
        <f>IF(A175="","",IF(IF(K175&lt;&gt;"",K175,J175)="",0,IF(COUNTIFS(Reglas!$I$5:$I$118,IF(K175&lt;&gt;"",K175,J175),Reglas!$J$5:$J$118,"Sí")=1,F175,0)))</f>
        <v/>
      </c>
      <c r="N175" s="56" t="n"/>
      <c r="O175" s="462">
        <f>IF(A175="","",IF(M175=0,"",M175))</f>
        <v/>
      </c>
      <c r="P175" s="461">
        <f>IF(A175="","",IF(O175="",0,IF(ISNUMBER(O175),O175,0)))</f>
        <v/>
      </c>
      <c r="Q175" s="48">
        <f>IF(A175="","",IF(Exogena_RAW!$C$4="","BLOQUEADO: FALTA AÑO",IF(Exogena_RAW!$K$10&lt;&gt;Reglas!$B$5,"BLOQUEADO: AÑO",IF(IF(K175&lt;&gt;"",K175,J175)="",IF(S175&gt;1,"REQUIERE ASIGNACIÓN MANUAL (VARIAS CASILLAS)","INFORMATIVO (sin casilla — no se declara)"),IF(COUNTIFS(Reglas!$I$5:$I$118,IF(K175&lt;&gt;"",K175,J175),Reglas!$J$5:$J$118,"Sí")=0,"BLOQUEADO: CASILLA NO DIRECTA",IF(O175="","EXCLUIDO (valor borrado por el usuario)",IF(_xlfn.ISFORMULA(O175),IF(W175&lt;&gt;"","BORRADOR — VALOR SUGERIDO DIAN ⚠ VER ALERTA","BORRADOR — VALOR SUGERIDO DIAN"),IF(W175&lt;&gt;"","ACEPTADO ⚠ VER ALERTA","ACEPTADO"))))))))</f>
        <v/>
      </c>
      <c r="R175" s="218" t="n"/>
      <c r="S175" s="58">
        <f>IF(A175="","",IFERROR(--ISNUMBER(SEARCH("R28",G175)),0)+IFERROR(--ISNUMBER(SEARCH("R29",G175)),0)+IFERROR(--ISNUMBER(SEARCH("R30",G175)),0)+IFERROR(--ISNUMBER(SEARCH("R31",G175)),0)+IFERROR(--ISNUMBER(SEARCH("R32",G175)),0)+IFERROR(--ISNUMBER(SEARCH("R33",G175)),0)+IFERROR(--ISNUMBER(SEARCH("R34",G175)),0)+IFERROR(--ISNUMBER(SEARCH("R35",G175)),0)+IFERROR(--ISNUMBER(SEARCH("R36",G175)),0)+IFERROR(--ISNUMBER(SEARCH("R37",G175)),0)+IFERROR(--ISNUMBER(SEARCH("R38",G175)),0)+IFERROR(--ISNUMBER(SEARCH("R39",G175)),0)+IFERROR(--ISNUMBER(SEARCH("R40",G175)),0)+IFERROR(--ISNUMBER(SEARCH("R41",G175)),0)+IFERROR(--ISNUMBER(SEARCH("R42",G175)),0)+IFERROR(--ISNUMBER(SEARCH("R43",G175)),0)+IFERROR(--ISNUMBER(SEARCH("R44",G175)),0)+IFERROR(--ISNUMBER(SEARCH("R45",G175)),0)+IFERROR(--ISNUMBER(SEARCH("R46",G175)),0)+IFERROR(--ISNUMBER(SEARCH("R47",G175)),0)+IFERROR(--ISNUMBER(SEARCH("R48",G175)),0)+IFERROR(--ISNUMBER(SEARCH("R49",G175)),0)+IFERROR(--ISNUMBER(SEARCH("R50",G175)),0)+IFERROR(--ISNUMBER(SEARCH("R51",G175)),0)+IFERROR(--ISNUMBER(SEARCH("R52",G175)),0)+IFERROR(--ISNUMBER(SEARCH("R53",G175)),0)+IFERROR(--ISNUMBER(SEARCH("R54",G175)),0)+IFERROR(--ISNUMBER(SEARCH("R55",G175)),0)+IFERROR(--ISNUMBER(SEARCH("R56",G175)),0)+IFERROR(--ISNUMBER(SEARCH("R57",G175)),0)+IFERROR(--ISNUMBER(SEARCH("R58",G175)),0)+IFERROR(--ISNUMBER(SEARCH("R59",G175)),0)+IFERROR(--ISNUMBER(SEARCH("R60",G175)),0)+IFERROR(--ISNUMBER(SEARCH("R61",G175)),0)+IFERROR(--ISNUMBER(SEARCH("R62",G175)),0)+IFERROR(--ISNUMBER(SEARCH("R63",G175)),0)+IFERROR(--ISNUMBER(SEARCH("R64",G175)),0)+IFERROR(--ISNUMBER(SEARCH("R65",G175)),0)+IFERROR(--ISNUMBER(SEARCH("R66",G175)),0)+IFERROR(--ISNUMBER(SEARCH("R67",G175)),0)+IFERROR(--ISNUMBER(SEARCH("R68",G175)),0)+IFERROR(--ISNUMBER(SEARCH("R69",G175)),0)+IFERROR(--ISNUMBER(SEARCH("R70",G175)),0)+IFERROR(--ISNUMBER(SEARCH("R71",G175)),0)+IFERROR(--ISNUMBER(SEARCH("R72",G175)),0)+IFERROR(--ISNUMBER(SEARCH("R73",G175)),0)+IFERROR(--ISNUMBER(SEARCH("R74",G175)),0)+IFERROR(--ISNUMBER(SEARCH("R75",G175)),0)+IFERROR(--ISNUMBER(SEARCH("R76",G175)),0)+IFERROR(--ISNUMBER(SEARCH("R77",G175)),0)+IFERROR(--ISNUMBER(SEARCH("R78",G175)),0)+IFERROR(--ISNUMBER(SEARCH("R79",G175)),0)+IFERROR(--ISNUMBER(SEARCH("R80",G175)),0)+IFERROR(--ISNUMBER(SEARCH("R81",G175)),0)+IFERROR(--ISNUMBER(SEARCH("R82",G175)),0)+IFERROR(--ISNUMBER(SEARCH("R83",G175)),0)+IFERROR(--ISNUMBER(SEARCH("R84",G175)),0)+IFERROR(--ISNUMBER(SEARCH("R85",G175)),0)+IFERROR(--ISNUMBER(SEARCH("R86",G175)),0)+IFERROR(--ISNUMBER(SEARCH("R87",G175)),0)+IFERROR(--ISNUMBER(SEARCH("R88",G175)),0)+IFERROR(--ISNUMBER(SEARCH("R89",G175)),0)+IFERROR(--ISNUMBER(SEARCH("R90",G175)),0)+IFERROR(--ISNUMBER(SEARCH("R91",G175)),0)+IFERROR(--ISNUMBER(SEARCH("R92",G175)),0)+IFERROR(--ISNUMBER(SEARCH("R93",G175)),0)+IFERROR(--ISNUMBER(SEARCH("R94",G175)),0)+IFERROR(--ISNUMBER(SEARCH("R95",G175)),0)+IFERROR(--ISNUMBER(SEARCH("R96",G175)),0)+IFERROR(--ISNUMBER(SEARCH("R97",G175)),0)+IFERROR(--ISNUMBER(SEARCH("R98",G175)),0)+IFERROR(--ISNUMBER(SEARCH("R99",G175)),0)+IFERROR(--ISNUMBER(SEARCH("R100",G175)),0)+IFERROR(--ISNUMBER(SEARCH("R101",G175)),0)+IFERROR(--ISNUMBER(SEARCH("R102",G175)),0)+IFERROR(--ISNUMBER(SEARCH("R103",G175)),0)+IFERROR(--ISNUMBER(SEARCH("R104",G175)),0)+IFERROR(--ISNUMBER(SEARCH("R105",G175)),0)+IFERROR(--ISNUMBER(SEARCH("R106",G175)),0)+IFERROR(--ISNUMBER(SEARCH("R107",G175)),0)+IFERROR(--ISNUMBER(SEARCH("R108",G175)),0)+IFERROR(--ISNUMBER(SEARCH("R109",G175)),0)+IFERROR(--ISNUMBER(SEARCH("R110",G175)),0)+IFERROR(--ISNUMBER(SEARCH("R111",G175)),0)+IFERROR(--ISNUMBER(SEARCH("R112",G175)),0)+IFERROR(--ISNUMBER(SEARCH("R113",G175)),0)+IFERROR(--ISNUMBER(SEARCH("R114",G175)),0)+IFERROR(--ISNUMBER(SEARCH("R115",G175)),0)+IFERROR(--ISNUMBER(SEARCH("R116",G175)),0)+IFERROR(--ISNUMBER(SEARCH("R117",G175)),0)+IFERROR(--ISNUMBER(SEARCH("R118",G175)),0)+IFERROR(--ISNUMBER(SEARCH("R119",G175)),0)+IFERROR(--ISNUMBER(SEARCH("R120",G175)),0)+IFERROR(--ISNUMBER(SEARCH("R121",G175)),0)+IFERROR(--ISNUMBER(SEARCH("R122",G175)),0)+IFERROR(--ISNUMBER(SEARCH("R123",G175)),0)+IFERROR(--ISNUMBER(SEARCH("R124",G175)),0)+IFERROR(--ISNUMBER(SEARCH("R125",G175)),0)+IFERROR(--ISNUMBER(SEARCH("R126",G175)),0)+IFERROR(--ISNUMBER(SEARCH("R127",G175)),0)+IFERROR(--ISNUMBER(SEARCH("R128",G175)),0)+IFERROR(--ISNUMBER(SEARCH("R129",G175)),0)+IFERROR(--ISNUMBER(SEARCH("R130",G175)),0)+IFERROR(--ISNUMBER(SEARCH("R131",G175)),0)+IFERROR(--ISNUMBER(SEARCH("R132",G175)),0)+IFERROR(--ISNUMBER(SEARCH("R133",G175)),0)+IFERROR(--ISNUMBER(SEARCH("R134",G175)),0)+IFERROR(--ISNUMBER(SEARCH("R135",G175)),0)+IFERROR(--ISNUMBER(SEARCH("R136",G175)),0)+IFERROR(--ISNUMBER(SEARCH("R137",G175)),0)+IFERROR(--ISNUMBER(SEARCH("R138",G175)),0)+IFERROR(--ISNUMBER(SEARCH("R139",G175)),0)+IFERROR(--ISNUMBER(SEARCH("R140",G175)),0)+IFERROR(--ISNUMBER(SEARCH("R141",G175)),0))</f>
        <v/>
      </c>
      <c r="T175" s="58">
        <f>IF(A175="","",IFERROR(--ISNUMBER(SEARCH("R28",G175)),0)+IFERROR(--ISNUMBER(SEARCH("R29",G175)),0)+IFERROR(--ISNUMBER(SEARCH("R30",G175)),0)+IFERROR(--ISNUMBER(SEARCH("R32",G175)),0)+IFERROR(--ISNUMBER(SEARCH("R33",G175)),0)+IFERROR(--ISNUMBER(SEARCH("R35",G175)),0)+IFERROR(--ISNUMBER(SEARCH("R36",G175)),0)+IFERROR(--ISNUMBER(SEARCH("R38",G175)),0)+IFERROR(--ISNUMBER(SEARCH("R39",G175)),0)+IFERROR(--ISNUMBER(SEARCH("R43",G175)),0)+IFERROR(--ISNUMBER(SEARCH("R44",G175)),0)+IFERROR(--ISNUMBER(SEARCH("R45",G175)),0)+IFERROR(--ISNUMBER(SEARCH("R47",G175)),0)+IFERROR(--ISNUMBER(SEARCH("R48",G175)),0)+IFERROR(--ISNUMBER(SEARCH("R50",G175)),0)+IFERROR(--ISNUMBER(SEARCH("R51",G175)),0)+IFERROR(--ISNUMBER(SEARCH("R56",G175)),0)+IFERROR(--ISNUMBER(SEARCH("R58",G175)),0)+IFERROR(--ISNUMBER(SEARCH("R59",G175)),0)+IFERROR(--ISNUMBER(SEARCH("R60",G175)),0)+IFERROR(--ISNUMBER(SEARCH("R62",G175)),0)+IFERROR(--ISNUMBER(SEARCH("R63",G175)),0)+IFERROR(--ISNUMBER(SEARCH("R64",G175)),0)+IFERROR(--ISNUMBER(SEARCH("R66",G175)),0)+IFERROR(--ISNUMBER(SEARCH("R67",G175)),0)+IFERROR(--ISNUMBER(SEARCH("R72",G175)),0)+IFERROR(--ISNUMBER(SEARCH("R74",G175)),0)+IFERROR(--ISNUMBER(SEARCH("R75",G175)),0)+IFERROR(--ISNUMBER(SEARCH("R76",G175)),0)+IFERROR(--ISNUMBER(SEARCH("R77",G175)),0)+IFERROR(--ISNUMBER(SEARCH("R79",G175)),0)+IFERROR(--ISNUMBER(SEARCH("R80",G175)),0)+IFERROR(--ISNUMBER(SEARCH("R81",G175)),0)+IFERROR(--ISNUMBER(SEARCH("R83",G175)),0)+IFERROR(--ISNUMBER(SEARCH("R84",G175)),0)+IFERROR(--ISNUMBER(SEARCH("R89",G175)),0)+IFERROR(--ISNUMBER(SEARCH("R94",G175)),0)+IFERROR(--ISNUMBER(SEARCH("R95",G175)),0)+IFERROR(--ISNUMBER(SEARCH("R96",G175)),0)+IFERROR(--ISNUMBER(SEARCH("R98",G175)),0)+IFERROR(--ISNUMBER(SEARCH("R99",G175)),0)+IFERROR(--ISNUMBER(SEARCH("R100",G175)),0)+IFERROR(--ISNUMBER(SEARCH("R104",G175)),0)+IFERROR(--ISNUMBER(SEARCH("R105",G175)),0)+IFERROR(--ISNUMBER(SEARCH("R107",G175)),0)+IFERROR(--ISNUMBER(SEARCH("R108",G175)),0)+IFERROR(--ISNUMBER(SEARCH("R109",G175)),0)+IFERROR(--ISNUMBER(SEARCH("R110",G175)),0)+IFERROR(--ISNUMBER(SEARCH("R112",G175)),0)+IFERROR(--ISNUMBER(SEARCH("R113",G175)),0)+IFERROR(--ISNUMBER(SEARCH("R114",G175)),0)+IFERROR(--ISNUMBER(SEARCH("R118",G175)),0)+IFERROR(--ISNUMBER(SEARCH("R119",G175)),0)+IFERROR(--ISNUMBER(SEARCH("R120",G175)),0)+IFERROR(--ISNUMBER(SEARCH("R122",G175)),0)+IFERROR(--ISNUMBER(SEARCH("R123",G175)),0)+IFERROR(--ISNUMBER(SEARCH("R124",G175)),0)+IFERROR(--ISNUMBER(SEARCH("R128",G175)),0)+IFERROR(--ISNUMBER(SEARCH("R130",G175)),0)+IFERROR(--ISNUMBER(SEARCH("R131",G175)),0)+IFERROR(--ISNUMBER(SEARCH("R132",G175)),0)+IFERROR(--ISNUMBER(SEARCH("R135",G175)),0)+IFERROR(--ISNUMBER(SEARCH("R138",G175)),0)+IFERROR(--ISNUMBER(SEARCH("R141",G175)),0))</f>
        <v/>
      </c>
      <c r="U175" s="58">
        <f>IF(A175="","",IFERROR(--ISNUMBER(SEARCH("R28",G175))*28,0)+IFERROR(--ISNUMBER(SEARCH("R29",G175))*29,0)+IFERROR(--ISNUMBER(SEARCH("R30",G175))*30,0)+IFERROR(--ISNUMBER(SEARCH("R31",G175))*31,0)+IFERROR(--ISNUMBER(SEARCH("R32",G175))*32,0)+IFERROR(--ISNUMBER(SEARCH("R33",G175))*33,0)+IFERROR(--ISNUMBER(SEARCH("R34",G175))*34,0)+IFERROR(--ISNUMBER(SEARCH("R35",G175))*35,0)+IFERROR(--ISNUMBER(SEARCH("R36",G175))*36,0)+IFERROR(--ISNUMBER(SEARCH("R37",G175))*37,0)+IFERROR(--ISNUMBER(SEARCH("R38",G175))*38,0)+IFERROR(--ISNUMBER(SEARCH("R39",G175))*39,0)+IFERROR(--ISNUMBER(SEARCH("R40",G175))*40,0)+IFERROR(--ISNUMBER(SEARCH("R41",G175))*41,0)+IFERROR(--ISNUMBER(SEARCH("R42",G175))*42,0)+IFERROR(--ISNUMBER(SEARCH("R43",G175))*43,0)+IFERROR(--ISNUMBER(SEARCH("R44",G175))*44,0)+IFERROR(--ISNUMBER(SEARCH("R45",G175))*45,0)+IFERROR(--ISNUMBER(SEARCH("R46",G175))*46,0)+IFERROR(--ISNUMBER(SEARCH("R47",G175))*47,0)+IFERROR(--ISNUMBER(SEARCH("R48",G175))*48,0)+IFERROR(--ISNUMBER(SEARCH("R49",G175))*49,0)+IFERROR(--ISNUMBER(SEARCH("R50",G175))*50,0)+IFERROR(--ISNUMBER(SEARCH("R51",G175))*51,0)+IFERROR(--ISNUMBER(SEARCH("R52",G175))*52,0)+IFERROR(--ISNUMBER(SEARCH("R53",G175))*53,0)+IFERROR(--ISNUMBER(SEARCH("R54",G175))*54,0)+IFERROR(--ISNUMBER(SEARCH("R55",G175))*55,0)+IFERROR(--ISNUMBER(SEARCH("R56",G175))*56,0)+IFERROR(--ISNUMBER(SEARCH("R57",G175))*57,0)+IFERROR(--ISNUMBER(SEARCH("R58",G175))*58,0)+IFERROR(--ISNUMBER(SEARCH("R59",G175))*59,0)+IFERROR(--ISNUMBER(SEARCH("R60",G175))*60,0)+IFERROR(--ISNUMBER(SEARCH("R61",G175))*61,0)+IFERROR(--ISNUMBER(SEARCH("R62",G175))*62,0)+IFERROR(--ISNUMBER(SEARCH("R63",G175))*63,0)+IFERROR(--ISNUMBER(SEARCH("R64",G175))*64,0)+IFERROR(--ISNUMBER(SEARCH("R65",G175))*65,0)+IFERROR(--ISNUMBER(SEARCH("R66",G175))*66,0)+IFERROR(--ISNUMBER(SEARCH("R67",G175))*67,0)+IFERROR(--ISNUMBER(SEARCH("R68",G175))*68,0)+IFERROR(--ISNUMBER(SEARCH("R69",G175))*69,0)+IFERROR(--ISNUMBER(SEARCH("R70",G175))*70,0)+IFERROR(--ISNUMBER(SEARCH("R71",G175))*71,0)+IFERROR(--ISNUMBER(SEARCH("R72",G175))*72,0)+IFERROR(--ISNUMBER(SEARCH("R73",G175))*73,0)+IFERROR(--ISNUMBER(SEARCH("R74",G175))*74,0)+IFERROR(--ISNUMBER(SEARCH("R75",G175))*75,0)+IFERROR(--ISNUMBER(SEARCH("R76",G175))*76,0)+IFERROR(--ISNUMBER(SEARCH("R77",G175))*77,0)+IFERROR(--ISNUMBER(SEARCH("R78",G175))*78,0)+IFERROR(--ISNUMBER(SEARCH("R79",G175))*79,0)+IFERROR(--ISNUMBER(SEARCH("R80",G175))*80,0)+IFERROR(--ISNUMBER(SEARCH("R81",G175))*81,0)+IFERROR(--ISNUMBER(SEARCH("R82",G175))*82,0)+IFERROR(--ISNUMBER(SEARCH("R83",G175))*83,0)+IFERROR(--ISNUMBER(SEARCH("R84",G175))*84,0)+IFERROR(--ISNUMBER(SEARCH("R85",G175))*85,0)+IFERROR(--ISNUMBER(SEARCH("R86",G175))*86,0)+IFERROR(--ISNUMBER(SEARCH("R87",G175))*87,0)+IFERROR(--ISNUMBER(SEARCH("R88",G175))*88,0)+IFERROR(--ISNUMBER(SEARCH("R89",G175))*89,0)+IFERROR(--ISNUMBER(SEARCH("R90",G175))*90,0)+IFERROR(--ISNUMBER(SEARCH("R91",G175))*91,0)+IFERROR(--ISNUMBER(SEARCH("R92",G175))*92,0)+IFERROR(--ISNUMBER(SEARCH("R93",G175))*93,0)+IFERROR(--ISNUMBER(SEARCH("R94",G175))*94,0)+IFERROR(--ISNUMBER(SEARCH("R95",G175))*95,0)+IFERROR(--ISNUMBER(SEARCH("R96",G175))*96,0)+IFERROR(--ISNUMBER(SEARCH("R97",G175))*97,0)+IFERROR(--ISNUMBER(SEARCH("R98",G175))*98,0)+IFERROR(--ISNUMBER(SEARCH("R99",G175))*99,0)+IFERROR(--ISNUMBER(SEARCH("R100",G175))*100,0)+IFERROR(--ISNUMBER(SEARCH("R101",G175))*101,0)+IFERROR(--ISNUMBER(SEARCH("R102",G175))*102,0)+IFERROR(--ISNUMBER(SEARCH("R103",G175))*103,0)+IFERROR(--ISNUMBER(SEARCH("R104",G175))*104,0)+IFERROR(--ISNUMBER(SEARCH("R105",G175))*105,0)+IFERROR(--ISNUMBER(SEARCH("R106",G175))*106,0)+IFERROR(--ISNUMBER(SEARCH("R107",G175))*107,0)+IFERROR(--ISNUMBER(SEARCH("R108",G175))*108,0)+IFERROR(--ISNUMBER(SEARCH("R109",G175))*109,0)+IFERROR(--ISNUMBER(SEARCH("R110",G175))*110,0)+IFERROR(--ISNUMBER(SEARCH("R111",G175))*111,0)+IFERROR(--ISNUMBER(SEARCH("R112",G175))*112,0)+IFERROR(--ISNUMBER(SEARCH("R113",G175))*113,0)+IFERROR(--ISNUMBER(SEARCH("R114",G175))*114,0)+IFERROR(--ISNUMBER(SEARCH("R115",G175))*115,0)+IFERROR(--ISNUMBER(SEARCH("R116",G175))*116,0)+IFERROR(--ISNUMBER(SEARCH("R117",G175))*117,0)+IFERROR(--ISNUMBER(SEARCH("R118",G175))*118,0)+IFERROR(--ISNUMBER(SEARCH("R119",G175))*119,0)+IFERROR(--ISNUMBER(SEARCH("R120",G175))*120,0)+IFERROR(--ISNUMBER(SEARCH("R121",G175))*121,0)+IFERROR(--ISNUMBER(SEARCH("R122",G175))*122,0)+IFERROR(--ISNUMBER(SEARCH("R123",G175))*123,0)+IFERROR(--ISNUMBER(SEARCH("R124",G175))*124,0)+IFERROR(--ISNUMBER(SEARCH("R125",G175))*125,0)+IFERROR(--ISNUMBER(SEARCH("R126",G175))*126,0)+IFERROR(--ISNUMBER(SEARCH("R127",G175))*127,0)+IFERROR(--ISNUMBER(SEARCH("R128",G175))*128,0)+IFERROR(--ISNUMBER(SEARCH("R129",G175))*129,0)+IFERROR(--ISNUMBER(SEARCH("R130",G175))*130,0)+IFERROR(--ISNUMBER(SEARCH("R131",G175))*131,0)+IFERROR(--ISNUMBER(SEARCH("R132",G175))*132,0)+IFERROR(--ISNUMBER(SEARCH("R133",G175))*133,0)+IFERROR(--ISNUMBER(SEARCH("R134",G175))*134,0)+IFERROR(--ISNUMBER(SEARCH("R135",G175))*135,0)+IFERROR(--ISNUMBER(SEARCH("R136",G175))*136,0)+IFERROR(--ISNUMBER(SEARCH("R137",G175))*137,0)+IFERROR(--ISNUMBER(SEARCH("R138",G175))*138,0)+IFERROR(--ISNUMBER(SEARCH("R139",G175))*139,0)+IFERROR(--ISNUMBER(SEARCH("R140",G175))*140,0)+IFERROR(--ISNUMBER(SEARCH("R141",G175))*141,0))</f>
        <v/>
      </c>
      <c r="V175" s="59">
        <f>IF(A175="","",IF(K175&lt;&gt;"",K175,J175))</f>
        <v/>
      </c>
      <c r="W175" s="59">
        <f>IF(A175="","",IF(AND(V175=29,O175&lt;&gt;"",COUNTIFS($V$6:$V$505,29,$F$6:$F$505,F175,$C$6:$C$505,C175,$O$6:$O$505,"&lt;&gt;")&gt;1),IF(COUNTIFS($V$6:V175,29,$F$6:F175,F175,$C$6:C175,C175,$O$6:O175,"&lt;&gt;")=1,"Esta es la fila que se debe CONSERVAR (aparición 1 de "&amp;COUNTIFS($V$6:$V$505,29,$F$6:$F$505,F175,$C$6:$C$505,C175,$O$6:$O$505,"&lt;&gt;")&amp;" con el mismo tercero y valor, casilla 29). Si hay más filas iguales, bórreles el valor a ELLAS, no a esta.","DUPLICADO — ya existe otra fila con el mismo tercero y valor para casilla 29 (aparición "&amp;COUNTIFS($V$6:V175,29,$F$6:F175,F175,$C$6:C175,C175,$O$6:O175,"&lt;&gt;")&amp;" de "&amp;COUNTIFS($V$6:$V$505,29,$F$6:$F$505,F175,$C$6:$C$505,C175,$O$6:$O$505,"&lt;&gt;")&amp;"). Para resolverlo: seleccione la celda O"&amp;ROW()&amp;" (columna Valor a declarar de ESTA fila) y presione Supr."),""))</f>
        <v/>
      </c>
      <c r="X175" s="463">
        <f>IF(A175="","",F175)</f>
        <v/>
      </c>
      <c r="Y175" s="463">
        <f>IF(A175="","",SUMIF(Entrada_Manual!$I$88:$I$187,A175,Entrada_Manual!$F$88:$F$187))</f>
        <v/>
      </c>
      <c r="Z175" s="463">
        <f>IF(A175="","",X175-Y175)</f>
        <v/>
      </c>
      <c r="AA175">
        <f>IF(A175="","",SUMPRODUCT((Entrada_Manual!$I$88:$I$187=A175)*1))</f>
        <v/>
      </c>
      <c r="AB175">
        <f>IF(A175="","",IF(S175&lt;=1,"",IF(AA175=0,"PENDIENTE — SIN ASIGNAR",IF(Z175=0,"RESUELTO","PARCIAL — DIFERENCIA "&amp;TEXT(Z175,"#,##0")))))</f>
        <v/>
      </c>
    </row>
    <row r="176" ht="14.25" customHeight="1" s="235">
      <c r="A176" s="47">
        <f>IF(Exogena_RAW!E185&lt;&gt;"",ROW()-5,"")</f>
        <v/>
      </c>
      <c r="B176" s="48">
        <f>IF(A176="","",185)</f>
        <v/>
      </c>
      <c r="C176" s="48">
        <f>IF(A176="","",IFERROR(Exogena_RAW!A185,""))</f>
        <v/>
      </c>
      <c r="D176" s="48">
        <f>IF(A176="","",IFERROR(Exogena_RAW!B185,""))</f>
        <v/>
      </c>
      <c r="E176" s="48">
        <f>IF(A176="","",Exogena_RAW!E185)</f>
        <v/>
      </c>
      <c r="F176" s="461">
        <f>IF(A176="","",Exogena_RAW!F185)</f>
        <v/>
      </c>
      <c r="G176" s="48">
        <f>IF(A176="","",IFERROR(Exogena_RAW!G185,""))</f>
        <v/>
      </c>
      <c r="H176" s="48">
        <f>IF(A176="","",IFERROR(Exogena_RAW!H185,""))</f>
        <v/>
      </c>
      <c r="I176" s="48">
        <f>IF(A176="","",IFERROR(IF(S176&gt;1,"VARIAS CASILLAS",IF(S176=1,IF(T176=1,"PROPUESTA DE CASILLA","REVISIÓN: CASILLA NO DIRECTA"),IF(OR(ISNUMBER(SEARCH("TOPE",UPPER(E176))),ISNUMBER(SEARCH("TOPE",UPPER(G176)))),"SOLO CONTROL",IF(ISNUMBER(SEARCH("RETEN",UPPER(E176))),"RETENCIÓN","REVISAR")))),"REVISAR"))</f>
        <v/>
      </c>
      <c r="J176" s="48">
        <f>IF(A176="","",IF(ISNUMBER(SEARCH("ingreso laboral promedio de los últimos seis meses",E176)),"",IFERROR(IF(AND(S176=1,T176=1),U176,""),"")))</f>
        <v/>
      </c>
      <c r="K176" s="216" t="n"/>
      <c r="L176" s="48">
        <f>IF(A176="","",IFERROR(IF(K176&lt;&gt;"","Casilla elegida por usuario",IF(S176&gt;1,"Varias casillas — elegir en K",IF(J176&lt;&gt;"","Sugerencia directa",IF(S176=1,"No trasladar directo — revisar",IF(OR(ISNUMBER(SEARCH("TOPE",UPPER(E176))),ISNUMBER(SEARCH("TOPE",UPPER(G176)))),"Solo control","Revisar manualmente"))))),"Revisar manualmente"))</f>
        <v/>
      </c>
      <c r="M176" s="461">
        <f>IF(A176="","",IF(IF(K176&lt;&gt;"",K176,J176)="",0,IF(COUNTIFS(Reglas!$I$5:$I$118,IF(K176&lt;&gt;"",K176,J176),Reglas!$J$5:$J$118,"Sí")=1,F176,0)))</f>
        <v/>
      </c>
      <c r="N176" s="56" t="n"/>
      <c r="O176" s="462">
        <f>IF(A176="","",IF(M176=0,"",M176))</f>
        <v/>
      </c>
      <c r="P176" s="461">
        <f>IF(A176="","",IF(O176="",0,IF(ISNUMBER(O176),O176,0)))</f>
        <v/>
      </c>
      <c r="Q176" s="48">
        <f>IF(A176="","",IF(Exogena_RAW!$C$4="","BLOQUEADO: FALTA AÑO",IF(Exogena_RAW!$K$10&lt;&gt;Reglas!$B$5,"BLOQUEADO: AÑO",IF(IF(K176&lt;&gt;"",K176,J176)="",IF(S176&gt;1,"REQUIERE ASIGNACIÓN MANUAL (VARIAS CASILLAS)","INFORMATIVO (sin casilla — no se declara)"),IF(COUNTIFS(Reglas!$I$5:$I$118,IF(K176&lt;&gt;"",K176,J176),Reglas!$J$5:$J$118,"Sí")=0,"BLOQUEADO: CASILLA NO DIRECTA",IF(O176="","EXCLUIDO (valor borrado por el usuario)",IF(_xlfn.ISFORMULA(O176),IF(W176&lt;&gt;"","BORRADOR — VALOR SUGERIDO DIAN ⚠ VER ALERTA","BORRADOR — VALOR SUGERIDO DIAN"),IF(W176&lt;&gt;"","ACEPTADO ⚠ VER ALERTA","ACEPTADO"))))))))</f>
        <v/>
      </c>
      <c r="R176" s="218" t="n"/>
      <c r="S176" s="58">
        <f>IF(A176="","",IFERROR(--ISNUMBER(SEARCH("R28",G176)),0)+IFERROR(--ISNUMBER(SEARCH("R29",G176)),0)+IFERROR(--ISNUMBER(SEARCH("R30",G176)),0)+IFERROR(--ISNUMBER(SEARCH("R31",G176)),0)+IFERROR(--ISNUMBER(SEARCH("R32",G176)),0)+IFERROR(--ISNUMBER(SEARCH("R33",G176)),0)+IFERROR(--ISNUMBER(SEARCH("R34",G176)),0)+IFERROR(--ISNUMBER(SEARCH("R35",G176)),0)+IFERROR(--ISNUMBER(SEARCH("R36",G176)),0)+IFERROR(--ISNUMBER(SEARCH("R37",G176)),0)+IFERROR(--ISNUMBER(SEARCH("R38",G176)),0)+IFERROR(--ISNUMBER(SEARCH("R39",G176)),0)+IFERROR(--ISNUMBER(SEARCH("R40",G176)),0)+IFERROR(--ISNUMBER(SEARCH("R41",G176)),0)+IFERROR(--ISNUMBER(SEARCH("R42",G176)),0)+IFERROR(--ISNUMBER(SEARCH("R43",G176)),0)+IFERROR(--ISNUMBER(SEARCH("R44",G176)),0)+IFERROR(--ISNUMBER(SEARCH("R45",G176)),0)+IFERROR(--ISNUMBER(SEARCH("R46",G176)),0)+IFERROR(--ISNUMBER(SEARCH("R47",G176)),0)+IFERROR(--ISNUMBER(SEARCH("R48",G176)),0)+IFERROR(--ISNUMBER(SEARCH("R49",G176)),0)+IFERROR(--ISNUMBER(SEARCH("R50",G176)),0)+IFERROR(--ISNUMBER(SEARCH("R51",G176)),0)+IFERROR(--ISNUMBER(SEARCH("R52",G176)),0)+IFERROR(--ISNUMBER(SEARCH("R53",G176)),0)+IFERROR(--ISNUMBER(SEARCH("R54",G176)),0)+IFERROR(--ISNUMBER(SEARCH("R55",G176)),0)+IFERROR(--ISNUMBER(SEARCH("R56",G176)),0)+IFERROR(--ISNUMBER(SEARCH("R57",G176)),0)+IFERROR(--ISNUMBER(SEARCH("R58",G176)),0)+IFERROR(--ISNUMBER(SEARCH("R59",G176)),0)+IFERROR(--ISNUMBER(SEARCH("R60",G176)),0)+IFERROR(--ISNUMBER(SEARCH("R61",G176)),0)+IFERROR(--ISNUMBER(SEARCH("R62",G176)),0)+IFERROR(--ISNUMBER(SEARCH("R63",G176)),0)+IFERROR(--ISNUMBER(SEARCH("R64",G176)),0)+IFERROR(--ISNUMBER(SEARCH("R65",G176)),0)+IFERROR(--ISNUMBER(SEARCH("R66",G176)),0)+IFERROR(--ISNUMBER(SEARCH("R67",G176)),0)+IFERROR(--ISNUMBER(SEARCH("R68",G176)),0)+IFERROR(--ISNUMBER(SEARCH("R69",G176)),0)+IFERROR(--ISNUMBER(SEARCH("R70",G176)),0)+IFERROR(--ISNUMBER(SEARCH("R71",G176)),0)+IFERROR(--ISNUMBER(SEARCH("R72",G176)),0)+IFERROR(--ISNUMBER(SEARCH("R73",G176)),0)+IFERROR(--ISNUMBER(SEARCH("R74",G176)),0)+IFERROR(--ISNUMBER(SEARCH("R75",G176)),0)+IFERROR(--ISNUMBER(SEARCH("R76",G176)),0)+IFERROR(--ISNUMBER(SEARCH("R77",G176)),0)+IFERROR(--ISNUMBER(SEARCH("R78",G176)),0)+IFERROR(--ISNUMBER(SEARCH("R79",G176)),0)+IFERROR(--ISNUMBER(SEARCH("R80",G176)),0)+IFERROR(--ISNUMBER(SEARCH("R81",G176)),0)+IFERROR(--ISNUMBER(SEARCH("R82",G176)),0)+IFERROR(--ISNUMBER(SEARCH("R83",G176)),0)+IFERROR(--ISNUMBER(SEARCH("R84",G176)),0)+IFERROR(--ISNUMBER(SEARCH("R85",G176)),0)+IFERROR(--ISNUMBER(SEARCH("R86",G176)),0)+IFERROR(--ISNUMBER(SEARCH("R87",G176)),0)+IFERROR(--ISNUMBER(SEARCH("R88",G176)),0)+IFERROR(--ISNUMBER(SEARCH("R89",G176)),0)+IFERROR(--ISNUMBER(SEARCH("R90",G176)),0)+IFERROR(--ISNUMBER(SEARCH("R91",G176)),0)+IFERROR(--ISNUMBER(SEARCH("R92",G176)),0)+IFERROR(--ISNUMBER(SEARCH("R93",G176)),0)+IFERROR(--ISNUMBER(SEARCH("R94",G176)),0)+IFERROR(--ISNUMBER(SEARCH("R95",G176)),0)+IFERROR(--ISNUMBER(SEARCH("R96",G176)),0)+IFERROR(--ISNUMBER(SEARCH("R97",G176)),0)+IFERROR(--ISNUMBER(SEARCH("R98",G176)),0)+IFERROR(--ISNUMBER(SEARCH("R99",G176)),0)+IFERROR(--ISNUMBER(SEARCH("R100",G176)),0)+IFERROR(--ISNUMBER(SEARCH("R101",G176)),0)+IFERROR(--ISNUMBER(SEARCH("R102",G176)),0)+IFERROR(--ISNUMBER(SEARCH("R103",G176)),0)+IFERROR(--ISNUMBER(SEARCH("R104",G176)),0)+IFERROR(--ISNUMBER(SEARCH("R105",G176)),0)+IFERROR(--ISNUMBER(SEARCH("R106",G176)),0)+IFERROR(--ISNUMBER(SEARCH("R107",G176)),0)+IFERROR(--ISNUMBER(SEARCH("R108",G176)),0)+IFERROR(--ISNUMBER(SEARCH("R109",G176)),0)+IFERROR(--ISNUMBER(SEARCH("R110",G176)),0)+IFERROR(--ISNUMBER(SEARCH("R111",G176)),0)+IFERROR(--ISNUMBER(SEARCH("R112",G176)),0)+IFERROR(--ISNUMBER(SEARCH("R113",G176)),0)+IFERROR(--ISNUMBER(SEARCH("R114",G176)),0)+IFERROR(--ISNUMBER(SEARCH("R115",G176)),0)+IFERROR(--ISNUMBER(SEARCH("R116",G176)),0)+IFERROR(--ISNUMBER(SEARCH("R117",G176)),0)+IFERROR(--ISNUMBER(SEARCH("R118",G176)),0)+IFERROR(--ISNUMBER(SEARCH("R119",G176)),0)+IFERROR(--ISNUMBER(SEARCH("R120",G176)),0)+IFERROR(--ISNUMBER(SEARCH("R121",G176)),0)+IFERROR(--ISNUMBER(SEARCH("R122",G176)),0)+IFERROR(--ISNUMBER(SEARCH("R123",G176)),0)+IFERROR(--ISNUMBER(SEARCH("R124",G176)),0)+IFERROR(--ISNUMBER(SEARCH("R125",G176)),0)+IFERROR(--ISNUMBER(SEARCH("R126",G176)),0)+IFERROR(--ISNUMBER(SEARCH("R127",G176)),0)+IFERROR(--ISNUMBER(SEARCH("R128",G176)),0)+IFERROR(--ISNUMBER(SEARCH("R129",G176)),0)+IFERROR(--ISNUMBER(SEARCH("R130",G176)),0)+IFERROR(--ISNUMBER(SEARCH("R131",G176)),0)+IFERROR(--ISNUMBER(SEARCH("R132",G176)),0)+IFERROR(--ISNUMBER(SEARCH("R133",G176)),0)+IFERROR(--ISNUMBER(SEARCH("R134",G176)),0)+IFERROR(--ISNUMBER(SEARCH("R135",G176)),0)+IFERROR(--ISNUMBER(SEARCH("R136",G176)),0)+IFERROR(--ISNUMBER(SEARCH("R137",G176)),0)+IFERROR(--ISNUMBER(SEARCH("R138",G176)),0)+IFERROR(--ISNUMBER(SEARCH("R139",G176)),0)+IFERROR(--ISNUMBER(SEARCH("R140",G176)),0)+IFERROR(--ISNUMBER(SEARCH("R141",G176)),0))</f>
        <v/>
      </c>
      <c r="T176" s="58">
        <f>IF(A176="","",IFERROR(--ISNUMBER(SEARCH("R28",G176)),0)+IFERROR(--ISNUMBER(SEARCH("R29",G176)),0)+IFERROR(--ISNUMBER(SEARCH("R30",G176)),0)+IFERROR(--ISNUMBER(SEARCH("R32",G176)),0)+IFERROR(--ISNUMBER(SEARCH("R33",G176)),0)+IFERROR(--ISNUMBER(SEARCH("R35",G176)),0)+IFERROR(--ISNUMBER(SEARCH("R36",G176)),0)+IFERROR(--ISNUMBER(SEARCH("R38",G176)),0)+IFERROR(--ISNUMBER(SEARCH("R39",G176)),0)+IFERROR(--ISNUMBER(SEARCH("R43",G176)),0)+IFERROR(--ISNUMBER(SEARCH("R44",G176)),0)+IFERROR(--ISNUMBER(SEARCH("R45",G176)),0)+IFERROR(--ISNUMBER(SEARCH("R47",G176)),0)+IFERROR(--ISNUMBER(SEARCH("R48",G176)),0)+IFERROR(--ISNUMBER(SEARCH("R50",G176)),0)+IFERROR(--ISNUMBER(SEARCH("R51",G176)),0)+IFERROR(--ISNUMBER(SEARCH("R56",G176)),0)+IFERROR(--ISNUMBER(SEARCH("R58",G176)),0)+IFERROR(--ISNUMBER(SEARCH("R59",G176)),0)+IFERROR(--ISNUMBER(SEARCH("R60",G176)),0)+IFERROR(--ISNUMBER(SEARCH("R62",G176)),0)+IFERROR(--ISNUMBER(SEARCH("R63",G176)),0)+IFERROR(--ISNUMBER(SEARCH("R64",G176)),0)+IFERROR(--ISNUMBER(SEARCH("R66",G176)),0)+IFERROR(--ISNUMBER(SEARCH("R67",G176)),0)+IFERROR(--ISNUMBER(SEARCH("R72",G176)),0)+IFERROR(--ISNUMBER(SEARCH("R74",G176)),0)+IFERROR(--ISNUMBER(SEARCH("R75",G176)),0)+IFERROR(--ISNUMBER(SEARCH("R76",G176)),0)+IFERROR(--ISNUMBER(SEARCH("R77",G176)),0)+IFERROR(--ISNUMBER(SEARCH("R79",G176)),0)+IFERROR(--ISNUMBER(SEARCH("R80",G176)),0)+IFERROR(--ISNUMBER(SEARCH("R81",G176)),0)+IFERROR(--ISNUMBER(SEARCH("R83",G176)),0)+IFERROR(--ISNUMBER(SEARCH("R84",G176)),0)+IFERROR(--ISNUMBER(SEARCH("R89",G176)),0)+IFERROR(--ISNUMBER(SEARCH("R94",G176)),0)+IFERROR(--ISNUMBER(SEARCH("R95",G176)),0)+IFERROR(--ISNUMBER(SEARCH("R96",G176)),0)+IFERROR(--ISNUMBER(SEARCH("R98",G176)),0)+IFERROR(--ISNUMBER(SEARCH("R99",G176)),0)+IFERROR(--ISNUMBER(SEARCH("R100",G176)),0)+IFERROR(--ISNUMBER(SEARCH("R104",G176)),0)+IFERROR(--ISNUMBER(SEARCH("R105",G176)),0)+IFERROR(--ISNUMBER(SEARCH("R107",G176)),0)+IFERROR(--ISNUMBER(SEARCH("R108",G176)),0)+IFERROR(--ISNUMBER(SEARCH("R109",G176)),0)+IFERROR(--ISNUMBER(SEARCH("R110",G176)),0)+IFERROR(--ISNUMBER(SEARCH("R112",G176)),0)+IFERROR(--ISNUMBER(SEARCH("R113",G176)),0)+IFERROR(--ISNUMBER(SEARCH("R114",G176)),0)+IFERROR(--ISNUMBER(SEARCH("R118",G176)),0)+IFERROR(--ISNUMBER(SEARCH("R119",G176)),0)+IFERROR(--ISNUMBER(SEARCH("R120",G176)),0)+IFERROR(--ISNUMBER(SEARCH("R122",G176)),0)+IFERROR(--ISNUMBER(SEARCH("R123",G176)),0)+IFERROR(--ISNUMBER(SEARCH("R124",G176)),0)+IFERROR(--ISNUMBER(SEARCH("R128",G176)),0)+IFERROR(--ISNUMBER(SEARCH("R130",G176)),0)+IFERROR(--ISNUMBER(SEARCH("R131",G176)),0)+IFERROR(--ISNUMBER(SEARCH("R132",G176)),0)+IFERROR(--ISNUMBER(SEARCH("R135",G176)),0)+IFERROR(--ISNUMBER(SEARCH("R138",G176)),0)+IFERROR(--ISNUMBER(SEARCH("R141",G176)),0))</f>
        <v/>
      </c>
      <c r="U176" s="58">
        <f>IF(A176="","",IFERROR(--ISNUMBER(SEARCH("R28",G176))*28,0)+IFERROR(--ISNUMBER(SEARCH("R29",G176))*29,0)+IFERROR(--ISNUMBER(SEARCH("R30",G176))*30,0)+IFERROR(--ISNUMBER(SEARCH("R31",G176))*31,0)+IFERROR(--ISNUMBER(SEARCH("R32",G176))*32,0)+IFERROR(--ISNUMBER(SEARCH("R33",G176))*33,0)+IFERROR(--ISNUMBER(SEARCH("R34",G176))*34,0)+IFERROR(--ISNUMBER(SEARCH("R35",G176))*35,0)+IFERROR(--ISNUMBER(SEARCH("R36",G176))*36,0)+IFERROR(--ISNUMBER(SEARCH("R37",G176))*37,0)+IFERROR(--ISNUMBER(SEARCH("R38",G176))*38,0)+IFERROR(--ISNUMBER(SEARCH("R39",G176))*39,0)+IFERROR(--ISNUMBER(SEARCH("R40",G176))*40,0)+IFERROR(--ISNUMBER(SEARCH("R41",G176))*41,0)+IFERROR(--ISNUMBER(SEARCH("R42",G176))*42,0)+IFERROR(--ISNUMBER(SEARCH("R43",G176))*43,0)+IFERROR(--ISNUMBER(SEARCH("R44",G176))*44,0)+IFERROR(--ISNUMBER(SEARCH("R45",G176))*45,0)+IFERROR(--ISNUMBER(SEARCH("R46",G176))*46,0)+IFERROR(--ISNUMBER(SEARCH("R47",G176))*47,0)+IFERROR(--ISNUMBER(SEARCH("R48",G176))*48,0)+IFERROR(--ISNUMBER(SEARCH("R49",G176))*49,0)+IFERROR(--ISNUMBER(SEARCH("R50",G176))*50,0)+IFERROR(--ISNUMBER(SEARCH("R51",G176))*51,0)+IFERROR(--ISNUMBER(SEARCH("R52",G176))*52,0)+IFERROR(--ISNUMBER(SEARCH("R53",G176))*53,0)+IFERROR(--ISNUMBER(SEARCH("R54",G176))*54,0)+IFERROR(--ISNUMBER(SEARCH("R55",G176))*55,0)+IFERROR(--ISNUMBER(SEARCH("R56",G176))*56,0)+IFERROR(--ISNUMBER(SEARCH("R57",G176))*57,0)+IFERROR(--ISNUMBER(SEARCH("R58",G176))*58,0)+IFERROR(--ISNUMBER(SEARCH("R59",G176))*59,0)+IFERROR(--ISNUMBER(SEARCH("R60",G176))*60,0)+IFERROR(--ISNUMBER(SEARCH("R61",G176))*61,0)+IFERROR(--ISNUMBER(SEARCH("R62",G176))*62,0)+IFERROR(--ISNUMBER(SEARCH("R63",G176))*63,0)+IFERROR(--ISNUMBER(SEARCH("R64",G176))*64,0)+IFERROR(--ISNUMBER(SEARCH("R65",G176))*65,0)+IFERROR(--ISNUMBER(SEARCH("R66",G176))*66,0)+IFERROR(--ISNUMBER(SEARCH("R67",G176))*67,0)+IFERROR(--ISNUMBER(SEARCH("R68",G176))*68,0)+IFERROR(--ISNUMBER(SEARCH("R69",G176))*69,0)+IFERROR(--ISNUMBER(SEARCH("R70",G176))*70,0)+IFERROR(--ISNUMBER(SEARCH("R71",G176))*71,0)+IFERROR(--ISNUMBER(SEARCH("R72",G176))*72,0)+IFERROR(--ISNUMBER(SEARCH("R73",G176))*73,0)+IFERROR(--ISNUMBER(SEARCH("R74",G176))*74,0)+IFERROR(--ISNUMBER(SEARCH("R75",G176))*75,0)+IFERROR(--ISNUMBER(SEARCH("R76",G176))*76,0)+IFERROR(--ISNUMBER(SEARCH("R77",G176))*77,0)+IFERROR(--ISNUMBER(SEARCH("R78",G176))*78,0)+IFERROR(--ISNUMBER(SEARCH("R79",G176))*79,0)+IFERROR(--ISNUMBER(SEARCH("R80",G176))*80,0)+IFERROR(--ISNUMBER(SEARCH("R81",G176))*81,0)+IFERROR(--ISNUMBER(SEARCH("R82",G176))*82,0)+IFERROR(--ISNUMBER(SEARCH("R83",G176))*83,0)+IFERROR(--ISNUMBER(SEARCH("R84",G176))*84,0)+IFERROR(--ISNUMBER(SEARCH("R85",G176))*85,0)+IFERROR(--ISNUMBER(SEARCH("R86",G176))*86,0)+IFERROR(--ISNUMBER(SEARCH("R87",G176))*87,0)+IFERROR(--ISNUMBER(SEARCH("R88",G176))*88,0)+IFERROR(--ISNUMBER(SEARCH("R89",G176))*89,0)+IFERROR(--ISNUMBER(SEARCH("R90",G176))*90,0)+IFERROR(--ISNUMBER(SEARCH("R91",G176))*91,0)+IFERROR(--ISNUMBER(SEARCH("R92",G176))*92,0)+IFERROR(--ISNUMBER(SEARCH("R93",G176))*93,0)+IFERROR(--ISNUMBER(SEARCH("R94",G176))*94,0)+IFERROR(--ISNUMBER(SEARCH("R95",G176))*95,0)+IFERROR(--ISNUMBER(SEARCH("R96",G176))*96,0)+IFERROR(--ISNUMBER(SEARCH("R97",G176))*97,0)+IFERROR(--ISNUMBER(SEARCH("R98",G176))*98,0)+IFERROR(--ISNUMBER(SEARCH("R99",G176))*99,0)+IFERROR(--ISNUMBER(SEARCH("R100",G176))*100,0)+IFERROR(--ISNUMBER(SEARCH("R101",G176))*101,0)+IFERROR(--ISNUMBER(SEARCH("R102",G176))*102,0)+IFERROR(--ISNUMBER(SEARCH("R103",G176))*103,0)+IFERROR(--ISNUMBER(SEARCH("R104",G176))*104,0)+IFERROR(--ISNUMBER(SEARCH("R105",G176))*105,0)+IFERROR(--ISNUMBER(SEARCH("R106",G176))*106,0)+IFERROR(--ISNUMBER(SEARCH("R107",G176))*107,0)+IFERROR(--ISNUMBER(SEARCH("R108",G176))*108,0)+IFERROR(--ISNUMBER(SEARCH("R109",G176))*109,0)+IFERROR(--ISNUMBER(SEARCH("R110",G176))*110,0)+IFERROR(--ISNUMBER(SEARCH("R111",G176))*111,0)+IFERROR(--ISNUMBER(SEARCH("R112",G176))*112,0)+IFERROR(--ISNUMBER(SEARCH("R113",G176))*113,0)+IFERROR(--ISNUMBER(SEARCH("R114",G176))*114,0)+IFERROR(--ISNUMBER(SEARCH("R115",G176))*115,0)+IFERROR(--ISNUMBER(SEARCH("R116",G176))*116,0)+IFERROR(--ISNUMBER(SEARCH("R117",G176))*117,0)+IFERROR(--ISNUMBER(SEARCH("R118",G176))*118,0)+IFERROR(--ISNUMBER(SEARCH("R119",G176))*119,0)+IFERROR(--ISNUMBER(SEARCH("R120",G176))*120,0)+IFERROR(--ISNUMBER(SEARCH("R121",G176))*121,0)+IFERROR(--ISNUMBER(SEARCH("R122",G176))*122,0)+IFERROR(--ISNUMBER(SEARCH("R123",G176))*123,0)+IFERROR(--ISNUMBER(SEARCH("R124",G176))*124,0)+IFERROR(--ISNUMBER(SEARCH("R125",G176))*125,0)+IFERROR(--ISNUMBER(SEARCH("R126",G176))*126,0)+IFERROR(--ISNUMBER(SEARCH("R127",G176))*127,0)+IFERROR(--ISNUMBER(SEARCH("R128",G176))*128,0)+IFERROR(--ISNUMBER(SEARCH("R129",G176))*129,0)+IFERROR(--ISNUMBER(SEARCH("R130",G176))*130,0)+IFERROR(--ISNUMBER(SEARCH("R131",G176))*131,0)+IFERROR(--ISNUMBER(SEARCH("R132",G176))*132,0)+IFERROR(--ISNUMBER(SEARCH("R133",G176))*133,0)+IFERROR(--ISNUMBER(SEARCH("R134",G176))*134,0)+IFERROR(--ISNUMBER(SEARCH("R135",G176))*135,0)+IFERROR(--ISNUMBER(SEARCH("R136",G176))*136,0)+IFERROR(--ISNUMBER(SEARCH("R137",G176))*137,0)+IFERROR(--ISNUMBER(SEARCH("R138",G176))*138,0)+IFERROR(--ISNUMBER(SEARCH("R139",G176))*139,0)+IFERROR(--ISNUMBER(SEARCH("R140",G176))*140,0)+IFERROR(--ISNUMBER(SEARCH("R141",G176))*141,0))</f>
        <v/>
      </c>
      <c r="V176" s="59">
        <f>IF(A176="","",IF(K176&lt;&gt;"",K176,J176))</f>
        <v/>
      </c>
      <c r="W176" s="59">
        <f>IF(A176="","",IF(AND(V176=29,O176&lt;&gt;"",COUNTIFS($V$6:$V$505,29,$F$6:$F$505,F176,$C$6:$C$505,C176,$O$6:$O$505,"&lt;&gt;")&gt;1),IF(COUNTIFS($V$6:V176,29,$F$6:F176,F176,$C$6:C176,C176,$O$6:O176,"&lt;&gt;")=1,"Esta es la fila que se debe CONSERVAR (aparición 1 de "&amp;COUNTIFS($V$6:$V$505,29,$F$6:$F$505,F176,$C$6:$C$505,C176,$O$6:$O$505,"&lt;&gt;")&amp;" con el mismo tercero y valor, casilla 29). Si hay más filas iguales, bórreles el valor a ELLAS, no a esta.","DUPLICADO — ya existe otra fila con el mismo tercero y valor para casilla 29 (aparición "&amp;COUNTIFS($V$6:V176,29,$F$6:F176,F176,$C$6:C176,C176,$O$6:O176,"&lt;&gt;")&amp;" de "&amp;COUNTIFS($V$6:$V$505,29,$F$6:$F$505,F176,$C$6:$C$505,C176,$O$6:$O$505,"&lt;&gt;")&amp;"). Para resolverlo: seleccione la celda O"&amp;ROW()&amp;" (columna Valor a declarar de ESTA fila) y presione Supr."),""))</f>
        <v/>
      </c>
      <c r="X176" s="463">
        <f>IF(A176="","",F176)</f>
        <v/>
      </c>
      <c r="Y176" s="463">
        <f>IF(A176="","",SUMIF(Entrada_Manual!$I$88:$I$187,A176,Entrada_Manual!$F$88:$F$187))</f>
        <v/>
      </c>
      <c r="Z176" s="463">
        <f>IF(A176="","",X176-Y176)</f>
        <v/>
      </c>
      <c r="AA176">
        <f>IF(A176="","",SUMPRODUCT((Entrada_Manual!$I$88:$I$187=A176)*1))</f>
        <v/>
      </c>
      <c r="AB176">
        <f>IF(A176="","",IF(S176&lt;=1,"",IF(AA176=0,"PENDIENTE — SIN ASIGNAR",IF(Z176=0,"RESUELTO","PARCIAL — DIFERENCIA "&amp;TEXT(Z176,"#,##0")))))</f>
        <v/>
      </c>
    </row>
    <row r="177" ht="14.25" customHeight="1" s="235">
      <c r="A177" s="47">
        <f>IF(Exogena_RAW!E186&lt;&gt;"",ROW()-5,"")</f>
        <v/>
      </c>
      <c r="B177" s="48">
        <f>IF(A177="","",186)</f>
        <v/>
      </c>
      <c r="C177" s="48">
        <f>IF(A177="","",IFERROR(Exogena_RAW!A186,""))</f>
        <v/>
      </c>
      <c r="D177" s="48">
        <f>IF(A177="","",IFERROR(Exogena_RAW!B186,""))</f>
        <v/>
      </c>
      <c r="E177" s="48">
        <f>IF(A177="","",Exogena_RAW!E186)</f>
        <v/>
      </c>
      <c r="F177" s="461">
        <f>IF(A177="","",Exogena_RAW!F186)</f>
        <v/>
      </c>
      <c r="G177" s="48">
        <f>IF(A177="","",IFERROR(Exogena_RAW!G186,""))</f>
        <v/>
      </c>
      <c r="H177" s="48">
        <f>IF(A177="","",IFERROR(Exogena_RAW!H186,""))</f>
        <v/>
      </c>
      <c r="I177" s="48">
        <f>IF(A177="","",IFERROR(IF(S177&gt;1,"VARIAS CASILLAS",IF(S177=1,IF(T177=1,"PROPUESTA DE CASILLA","REVISIÓN: CASILLA NO DIRECTA"),IF(OR(ISNUMBER(SEARCH("TOPE",UPPER(E177))),ISNUMBER(SEARCH("TOPE",UPPER(G177)))),"SOLO CONTROL",IF(ISNUMBER(SEARCH("RETEN",UPPER(E177))),"RETENCIÓN","REVISAR")))),"REVISAR"))</f>
        <v/>
      </c>
      <c r="J177" s="48">
        <f>IF(A177="","",IF(ISNUMBER(SEARCH("ingreso laboral promedio de los últimos seis meses",E177)),"",IFERROR(IF(AND(S177=1,T177=1),U177,""),"")))</f>
        <v/>
      </c>
      <c r="K177" s="216" t="n"/>
      <c r="L177" s="48">
        <f>IF(A177="","",IFERROR(IF(K177&lt;&gt;"","Casilla elegida por usuario",IF(S177&gt;1,"Varias casillas — elegir en K",IF(J177&lt;&gt;"","Sugerencia directa",IF(S177=1,"No trasladar directo — revisar",IF(OR(ISNUMBER(SEARCH("TOPE",UPPER(E177))),ISNUMBER(SEARCH("TOPE",UPPER(G177)))),"Solo control","Revisar manualmente"))))),"Revisar manualmente"))</f>
        <v/>
      </c>
      <c r="M177" s="461">
        <f>IF(A177="","",IF(IF(K177&lt;&gt;"",K177,J177)="",0,IF(COUNTIFS(Reglas!$I$5:$I$118,IF(K177&lt;&gt;"",K177,J177),Reglas!$J$5:$J$118,"Sí")=1,F177,0)))</f>
        <v/>
      </c>
      <c r="N177" s="56" t="n"/>
      <c r="O177" s="462">
        <f>IF(A177="","",IF(M177=0,"",M177))</f>
        <v/>
      </c>
      <c r="P177" s="461">
        <f>IF(A177="","",IF(O177="",0,IF(ISNUMBER(O177),O177,0)))</f>
        <v/>
      </c>
      <c r="Q177" s="48">
        <f>IF(A177="","",IF(Exogena_RAW!$C$4="","BLOQUEADO: FALTA AÑO",IF(Exogena_RAW!$K$10&lt;&gt;Reglas!$B$5,"BLOQUEADO: AÑO",IF(IF(K177&lt;&gt;"",K177,J177)="",IF(S177&gt;1,"REQUIERE ASIGNACIÓN MANUAL (VARIAS CASILLAS)","INFORMATIVO (sin casilla — no se declara)"),IF(COUNTIFS(Reglas!$I$5:$I$118,IF(K177&lt;&gt;"",K177,J177),Reglas!$J$5:$J$118,"Sí")=0,"BLOQUEADO: CASILLA NO DIRECTA",IF(O177="","EXCLUIDO (valor borrado por el usuario)",IF(_xlfn.ISFORMULA(O177),IF(W177&lt;&gt;"","BORRADOR — VALOR SUGERIDO DIAN ⚠ VER ALERTA","BORRADOR — VALOR SUGERIDO DIAN"),IF(W177&lt;&gt;"","ACEPTADO ⚠ VER ALERTA","ACEPTADO"))))))))</f>
        <v/>
      </c>
      <c r="R177" s="218" t="n"/>
      <c r="S177" s="58">
        <f>IF(A177="","",IFERROR(--ISNUMBER(SEARCH("R28",G177)),0)+IFERROR(--ISNUMBER(SEARCH("R29",G177)),0)+IFERROR(--ISNUMBER(SEARCH("R30",G177)),0)+IFERROR(--ISNUMBER(SEARCH("R31",G177)),0)+IFERROR(--ISNUMBER(SEARCH("R32",G177)),0)+IFERROR(--ISNUMBER(SEARCH("R33",G177)),0)+IFERROR(--ISNUMBER(SEARCH("R34",G177)),0)+IFERROR(--ISNUMBER(SEARCH("R35",G177)),0)+IFERROR(--ISNUMBER(SEARCH("R36",G177)),0)+IFERROR(--ISNUMBER(SEARCH("R37",G177)),0)+IFERROR(--ISNUMBER(SEARCH("R38",G177)),0)+IFERROR(--ISNUMBER(SEARCH("R39",G177)),0)+IFERROR(--ISNUMBER(SEARCH("R40",G177)),0)+IFERROR(--ISNUMBER(SEARCH("R41",G177)),0)+IFERROR(--ISNUMBER(SEARCH("R42",G177)),0)+IFERROR(--ISNUMBER(SEARCH("R43",G177)),0)+IFERROR(--ISNUMBER(SEARCH("R44",G177)),0)+IFERROR(--ISNUMBER(SEARCH("R45",G177)),0)+IFERROR(--ISNUMBER(SEARCH("R46",G177)),0)+IFERROR(--ISNUMBER(SEARCH("R47",G177)),0)+IFERROR(--ISNUMBER(SEARCH("R48",G177)),0)+IFERROR(--ISNUMBER(SEARCH("R49",G177)),0)+IFERROR(--ISNUMBER(SEARCH("R50",G177)),0)+IFERROR(--ISNUMBER(SEARCH("R51",G177)),0)+IFERROR(--ISNUMBER(SEARCH("R52",G177)),0)+IFERROR(--ISNUMBER(SEARCH("R53",G177)),0)+IFERROR(--ISNUMBER(SEARCH("R54",G177)),0)+IFERROR(--ISNUMBER(SEARCH("R55",G177)),0)+IFERROR(--ISNUMBER(SEARCH("R56",G177)),0)+IFERROR(--ISNUMBER(SEARCH("R57",G177)),0)+IFERROR(--ISNUMBER(SEARCH("R58",G177)),0)+IFERROR(--ISNUMBER(SEARCH("R59",G177)),0)+IFERROR(--ISNUMBER(SEARCH("R60",G177)),0)+IFERROR(--ISNUMBER(SEARCH("R61",G177)),0)+IFERROR(--ISNUMBER(SEARCH("R62",G177)),0)+IFERROR(--ISNUMBER(SEARCH("R63",G177)),0)+IFERROR(--ISNUMBER(SEARCH("R64",G177)),0)+IFERROR(--ISNUMBER(SEARCH("R65",G177)),0)+IFERROR(--ISNUMBER(SEARCH("R66",G177)),0)+IFERROR(--ISNUMBER(SEARCH("R67",G177)),0)+IFERROR(--ISNUMBER(SEARCH("R68",G177)),0)+IFERROR(--ISNUMBER(SEARCH("R69",G177)),0)+IFERROR(--ISNUMBER(SEARCH("R70",G177)),0)+IFERROR(--ISNUMBER(SEARCH("R71",G177)),0)+IFERROR(--ISNUMBER(SEARCH("R72",G177)),0)+IFERROR(--ISNUMBER(SEARCH("R73",G177)),0)+IFERROR(--ISNUMBER(SEARCH("R74",G177)),0)+IFERROR(--ISNUMBER(SEARCH("R75",G177)),0)+IFERROR(--ISNUMBER(SEARCH("R76",G177)),0)+IFERROR(--ISNUMBER(SEARCH("R77",G177)),0)+IFERROR(--ISNUMBER(SEARCH("R78",G177)),0)+IFERROR(--ISNUMBER(SEARCH("R79",G177)),0)+IFERROR(--ISNUMBER(SEARCH("R80",G177)),0)+IFERROR(--ISNUMBER(SEARCH("R81",G177)),0)+IFERROR(--ISNUMBER(SEARCH("R82",G177)),0)+IFERROR(--ISNUMBER(SEARCH("R83",G177)),0)+IFERROR(--ISNUMBER(SEARCH("R84",G177)),0)+IFERROR(--ISNUMBER(SEARCH("R85",G177)),0)+IFERROR(--ISNUMBER(SEARCH("R86",G177)),0)+IFERROR(--ISNUMBER(SEARCH("R87",G177)),0)+IFERROR(--ISNUMBER(SEARCH("R88",G177)),0)+IFERROR(--ISNUMBER(SEARCH("R89",G177)),0)+IFERROR(--ISNUMBER(SEARCH("R90",G177)),0)+IFERROR(--ISNUMBER(SEARCH("R91",G177)),0)+IFERROR(--ISNUMBER(SEARCH("R92",G177)),0)+IFERROR(--ISNUMBER(SEARCH("R93",G177)),0)+IFERROR(--ISNUMBER(SEARCH("R94",G177)),0)+IFERROR(--ISNUMBER(SEARCH("R95",G177)),0)+IFERROR(--ISNUMBER(SEARCH("R96",G177)),0)+IFERROR(--ISNUMBER(SEARCH("R97",G177)),0)+IFERROR(--ISNUMBER(SEARCH("R98",G177)),0)+IFERROR(--ISNUMBER(SEARCH("R99",G177)),0)+IFERROR(--ISNUMBER(SEARCH("R100",G177)),0)+IFERROR(--ISNUMBER(SEARCH("R101",G177)),0)+IFERROR(--ISNUMBER(SEARCH("R102",G177)),0)+IFERROR(--ISNUMBER(SEARCH("R103",G177)),0)+IFERROR(--ISNUMBER(SEARCH("R104",G177)),0)+IFERROR(--ISNUMBER(SEARCH("R105",G177)),0)+IFERROR(--ISNUMBER(SEARCH("R106",G177)),0)+IFERROR(--ISNUMBER(SEARCH("R107",G177)),0)+IFERROR(--ISNUMBER(SEARCH("R108",G177)),0)+IFERROR(--ISNUMBER(SEARCH("R109",G177)),0)+IFERROR(--ISNUMBER(SEARCH("R110",G177)),0)+IFERROR(--ISNUMBER(SEARCH("R111",G177)),0)+IFERROR(--ISNUMBER(SEARCH("R112",G177)),0)+IFERROR(--ISNUMBER(SEARCH("R113",G177)),0)+IFERROR(--ISNUMBER(SEARCH("R114",G177)),0)+IFERROR(--ISNUMBER(SEARCH("R115",G177)),0)+IFERROR(--ISNUMBER(SEARCH("R116",G177)),0)+IFERROR(--ISNUMBER(SEARCH("R117",G177)),0)+IFERROR(--ISNUMBER(SEARCH("R118",G177)),0)+IFERROR(--ISNUMBER(SEARCH("R119",G177)),0)+IFERROR(--ISNUMBER(SEARCH("R120",G177)),0)+IFERROR(--ISNUMBER(SEARCH("R121",G177)),0)+IFERROR(--ISNUMBER(SEARCH("R122",G177)),0)+IFERROR(--ISNUMBER(SEARCH("R123",G177)),0)+IFERROR(--ISNUMBER(SEARCH("R124",G177)),0)+IFERROR(--ISNUMBER(SEARCH("R125",G177)),0)+IFERROR(--ISNUMBER(SEARCH("R126",G177)),0)+IFERROR(--ISNUMBER(SEARCH("R127",G177)),0)+IFERROR(--ISNUMBER(SEARCH("R128",G177)),0)+IFERROR(--ISNUMBER(SEARCH("R129",G177)),0)+IFERROR(--ISNUMBER(SEARCH("R130",G177)),0)+IFERROR(--ISNUMBER(SEARCH("R131",G177)),0)+IFERROR(--ISNUMBER(SEARCH("R132",G177)),0)+IFERROR(--ISNUMBER(SEARCH("R133",G177)),0)+IFERROR(--ISNUMBER(SEARCH("R134",G177)),0)+IFERROR(--ISNUMBER(SEARCH("R135",G177)),0)+IFERROR(--ISNUMBER(SEARCH("R136",G177)),0)+IFERROR(--ISNUMBER(SEARCH("R137",G177)),0)+IFERROR(--ISNUMBER(SEARCH("R138",G177)),0)+IFERROR(--ISNUMBER(SEARCH("R139",G177)),0)+IFERROR(--ISNUMBER(SEARCH("R140",G177)),0)+IFERROR(--ISNUMBER(SEARCH("R141",G177)),0))</f>
        <v/>
      </c>
      <c r="T177" s="58">
        <f>IF(A177="","",IFERROR(--ISNUMBER(SEARCH("R28",G177)),0)+IFERROR(--ISNUMBER(SEARCH("R29",G177)),0)+IFERROR(--ISNUMBER(SEARCH("R30",G177)),0)+IFERROR(--ISNUMBER(SEARCH("R32",G177)),0)+IFERROR(--ISNUMBER(SEARCH("R33",G177)),0)+IFERROR(--ISNUMBER(SEARCH("R35",G177)),0)+IFERROR(--ISNUMBER(SEARCH("R36",G177)),0)+IFERROR(--ISNUMBER(SEARCH("R38",G177)),0)+IFERROR(--ISNUMBER(SEARCH("R39",G177)),0)+IFERROR(--ISNUMBER(SEARCH("R43",G177)),0)+IFERROR(--ISNUMBER(SEARCH("R44",G177)),0)+IFERROR(--ISNUMBER(SEARCH("R45",G177)),0)+IFERROR(--ISNUMBER(SEARCH("R47",G177)),0)+IFERROR(--ISNUMBER(SEARCH("R48",G177)),0)+IFERROR(--ISNUMBER(SEARCH("R50",G177)),0)+IFERROR(--ISNUMBER(SEARCH("R51",G177)),0)+IFERROR(--ISNUMBER(SEARCH("R56",G177)),0)+IFERROR(--ISNUMBER(SEARCH("R58",G177)),0)+IFERROR(--ISNUMBER(SEARCH("R59",G177)),0)+IFERROR(--ISNUMBER(SEARCH("R60",G177)),0)+IFERROR(--ISNUMBER(SEARCH("R62",G177)),0)+IFERROR(--ISNUMBER(SEARCH("R63",G177)),0)+IFERROR(--ISNUMBER(SEARCH("R64",G177)),0)+IFERROR(--ISNUMBER(SEARCH("R66",G177)),0)+IFERROR(--ISNUMBER(SEARCH("R67",G177)),0)+IFERROR(--ISNUMBER(SEARCH("R72",G177)),0)+IFERROR(--ISNUMBER(SEARCH("R74",G177)),0)+IFERROR(--ISNUMBER(SEARCH("R75",G177)),0)+IFERROR(--ISNUMBER(SEARCH("R76",G177)),0)+IFERROR(--ISNUMBER(SEARCH("R77",G177)),0)+IFERROR(--ISNUMBER(SEARCH("R79",G177)),0)+IFERROR(--ISNUMBER(SEARCH("R80",G177)),0)+IFERROR(--ISNUMBER(SEARCH("R81",G177)),0)+IFERROR(--ISNUMBER(SEARCH("R83",G177)),0)+IFERROR(--ISNUMBER(SEARCH("R84",G177)),0)+IFERROR(--ISNUMBER(SEARCH("R89",G177)),0)+IFERROR(--ISNUMBER(SEARCH("R94",G177)),0)+IFERROR(--ISNUMBER(SEARCH("R95",G177)),0)+IFERROR(--ISNUMBER(SEARCH("R96",G177)),0)+IFERROR(--ISNUMBER(SEARCH("R98",G177)),0)+IFERROR(--ISNUMBER(SEARCH("R99",G177)),0)+IFERROR(--ISNUMBER(SEARCH("R100",G177)),0)+IFERROR(--ISNUMBER(SEARCH("R104",G177)),0)+IFERROR(--ISNUMBER(SEARCH("R105",G177)),0)+IFERROR(--ISNUMBER(SEARCH("R107",G177)),0)+IFERROR(--ISNUMBER(SEARCH("R108",G177)),0)+IFERROR(--ISNUMBER(SEARCH("R109",G177)),0)+IFERROR(--ISNUMBER(SEARCH("R110",G177)),0)+IFERROR(--ISNUMBER(SEARCH("R112",G177)),0)+IFERROR(--ISNUMBER(SEARCH("R113",G177)),0)+IFERROR(--ISNUMBER(SEARCH("R114",G177)),0)+IFERROR(--ISNUMBER(SEARCH("R118",G177)),0)+IFERROR(--ISNUMBER(SEARCH("R119",G177)),0)+IFERROR(--ISNUMBER(SEARCH("R120",G177)),0)+IFERROR(--ISNUMBER(SEARCH("R122",G177)),0)+IFERROR(--ISNUMBER(SEARCH("R123",G177)),0)+IFERROR(--ISNUMBER(SEARCH("R124",G177)),0)+IFERROR(--ISNUMBER(SEARCH("R128",G177)),0)+IFERROR(--ISNUMBER(SEARCH("R130",G177)),0)+IFERROR(--ISNUMBER(SEARCH("R131",G177)),0)+IFERROR(--ISNUMBER(SEARCH("R132",G177)),0)+IFERROR(--ISNUMBER(SEARCH("R135",G177)),0)+IFERROR(--ISNUMBER(SEARCH("R138",G177)),0)+IFERROR(--ISNUMBER(SEARCH("R141",G177)),0))</f>
        <v/>
      </c>
      <c r="U177" s="58">
        <f>IF(A177="","",IFERROR(--ISNUMBER(SEARCH("R28",G177))*28,0)+IFERROR(--ISNUMBER(SEARCH("R29",G177))*29,0)+IFERROR(--ISNUMBER(SEARCH("R30",G177))*30,0)+IFERROR(--ISNUMBER(SEARCH("R31",G177))*31,0)+IFERROR(--ISNUMBER(SEARCH("R32",G177))*32,0)+IFERROR(--ISNUMBER(SEARCH("R33",G177))*33,0)+IFERROR(--ISNUMBER(SEARCH("R34",G177))*34,0)+IFERROR(--ISNUMBER(SEARCH("R35",G177))*35,0)+IFERROR(--ISNUMBER(SEARCH("R36",G177))*36,0)+IFERROR(--ISNUMBER(SEARCH("R37",G177))*37,0)+IFERROR(--ISNUMBER(SEARCH("R38",G177))*38,0)+IFERROR(--ISNUMBER(SEARCH("R39",G177))*39,0)+IFERROR(--ISNUMBER(SEARCH("R40",G177))*40,0)+IFERROR(--ISNUMBER(SEARCH("R41",G177))*41,0)+IFERROR(--ISNUMBER(SEARCH("R42",G177))*42,0)+IFERROR(--ISNUMBER(SEARCH("R43",G177))*43,0)+IFERROR(--ISNUMBER(SEARCH("R44",G177))*44,0)+IFERROR(--ISNUMBER(SEARCH("R45",G177))*45,0)+IFERROR(--ISNUMBER(SEARCH("R46",G177))*46,0)+IFERROR(--ISNUMBER(SEARCH("R47",G177))*47,0)+IFERROR(--ISNUMBER(SEARCH("R48",G177))*48,0)+IFERROR(--ISNUMBER(SEARCH("R49",G177))*49,0)+IFERROR(--ISNUMBER(SEARCH("R50",G177))*50,0)+IFERROR(--ISNUMBER(SEARCH("R51",G177))*51,0)+IFERROR(--ISNUMBER(SEARCH("R52",G177))*52,0)+IFERROR(--ISNUMBER(SEARCH("R53",G177))*53,0)+IFERROR(--ISNUMBER(SEARCH("R54",G177))*54,0)+IFERROR(--ISNUMBER(SEARCH("R55",G177))*55,0)+IFERROR(--ISNUMBER(SEARCH("R56",G177))*56,0)+IFERROR(--ISNUMBER(SEARCH("R57",G177))*57,0)+IFERROR(--ISNUMBER(SEARCH("R58",G177))*58,0)+IFERROR(--ISNUMBER(SEARCH("R59",G177))*59,0)+IFERROR(--ISNUMBER(SEARCH("R60",G177))*60,0)+IFERROR(--ISNUMBER(SEARCH("R61",G177))*61,0)+IFERROR(--ISNUMBER(SEARCH("R62",G177))*62,0)+IFERROR(--ISNUMBER(SEARCH("R63",G177))*63,0)+IFERROR(--ISNUMBER(SEARCH("R64",G177))*64,0)+IFERROR(--ISNUMBER(SEARCH("R65",G177))*65,0)+IFERROR(--ISNUMBER(SEARCH("R66",G177))*66,0)+IFERROR(--ISNUMBER(SEARCH("R67",G177))*67,0)+IFERROR(--ISNUMBER(SEARCH("R68",G177))*68,0)+IFERROR(--ISNUMBER(SEARCH("R69",G177))*69,0)+IFERROR(--ISNUMBER(SEARCH("R70",G177))*70,0)+IFERROR(--ISNUMBER(SEARCH("R71",G177))*71,0)+IFERROR(--ISNUMBER(SEARCH("R72",G177))*72,0)+IFERROR(--ISNUMBER(SEARCH("R73",G177))*73,0)+IFERROR(--ISNUMBER(SEARCH("R74",G177))*74,0)+IFERROR(--ISNUMBER(SEARCH("R75",G177))*75,0)+IFERROR(--ISNUMBER(SEARCH("R76",G177))*76,0)+IFERROR(--ISNUMBER(SEARCH("R77",G177))*77,0)+IFERROR(--ISNUMBER(SEARCH("R78",G177))*78,0)+IFERROR(--ISNUMBER(SEARCH("R79",G177))*79,0)+IFERROR(--ISNUMBER(SEARCH("R80",G177))*80,0)+IFERROR(--ISNUMBER(SEARCH("R81",G177))*81,0)+IFERROR(--ISNUMBER(SEARCH("R82",G177))*82,0)+IFERROR(--ISNUMBER(SEARCH("R83",G177))*83,0)+IFERROR(--ISNUMBER(SEARCH("R84",G177))*84,0)+IFERROR(--ISNUMBER(SEARCH("R85",G177))*85,0)+IFERROR(--ISNUMBER(SEARCH("R86",G177))*86,0)+IFERROR(--ISNUMBER(SEARCH("R87",G177))*87,0)+IFERROR(--ISNUMBER(SEARCH("R88",G177))*88,0)+IFERROR(--ISNUMBER(SEARCH("R89",G177))*89,0)+IFERROR(--ISNUMBER(SEARCH("R90",G177))*90,0)+IFERROR(--ISNUMBER(SEARCH("R91",G177))*91,0)+IFERROR(--ISNUMBER(SEARCH("R92",G177))*92,0)+IFERROR(--ISNUMBER(SEARCH("R93",G177))*93,0)+IFERROR(--ISNUMBER(SEARCH("R94",G177))*94,0)+IFERROR(--ISNUMBER(SEARCH("R95",G177))*95,0)+IFERROR(--ISNUMBER(SEARCH("R96",G177))*96,0)+IFERROR(--ISNUMBER(SEARCH("R97",G177))*97,0)+IFERROR(--ISNUMBER(SEARCH("R98",G177))*98,0)+IFERROR(--ISNUMBER(SEARCH("R99",G177))*99,0)+IFERROR(--ISNUMBER(SEARCH("R100",G177))*100,0)+IFERROR(--ISNUMBER(SEARCH("R101",G177))*101,0)+IFERROR(--ISNUMBER(SEARCH("R102",G177))*102,0)+IFERROR(--ISNUMBER(SEARCH("R103",G177))*103,0)+IFERROR(--ISNUMBER(SEARCH("R104",G177))*104,0)+IFERROR(--ISNUMBER(SEARCH("R105",G177))*105,0)+IFERROR(--ISNUMBER(SEARCH("R106",G177))*106,0)+IFERROR(--ISNUMBER(SEARCH("R107",G177))*107,0)+IFERROR(--ISNUMBER(SEARCH("R108",G177))*108,0)+IFERROR(--ISNUMBER(SEARCH("R109",G177))*109,0)+IFERROR(--ISNUMBER(SEARCH("R110",G177))*110,0)+IFERROR(--ISNUMBER(SEARCH("R111",G177))*111,0)+IFERROR(--ISNUMBER(SEARCH("R112",G177))*112,0)+IFERROR(--ISNUMBER(SEARCH("R113",G177))*113,0)+IFERROR(--ISNUMBER(SEARCH("R114",G177))*114,0)+IFERROR(--ISNUMBER(SEARCH("R115",G177))*115,0)+IFERROR(--ISNUMBER(SEARCH("R116",G177))*116,0)+IFERROR(--ISNUMBER(SEARCH("R117",G177))*117,0)+IFERROR(--ISNUMBER(SEARCH("R118",G177))*118,0)+IFERROR(--ISNUMBER(SEARCH("R119",G177))*119,0)+IFERROR(--ISNUMBER(SEARCH("R120",G177))*120,0)+IFERROR(--ISNUMBER(SEARCH("R121",G177))*121,0)+IFERROR(--ISNUMBER(SEARCH("R122",G177))*122,0)+IFERROR(--ISNUMBER(SEARCH("R123",G177))*123,0)+IFERROR(--ISNUMBER(SEARCH("R124",G177))*124,0)+IFERROR(--ISNUMBER(SEARCH("R125",G177))*125,0)+IFERROR(--ISNUMBER(SEARCH("R126",G177))*126,0)+IFERROR(--ISNUMBER(SEARCH("R127",G177))*127,0)+IFERROR(--ISNUMBER(SEARCH("R128",G177))*128,0)+IFERROR(--ISNUMBER(SEARCH("R129",G177))*129,0)+IFERROR(--ISNUMBER(SEARCH("R130",G177))*130,0)+IFERROR(--ISNUMBER(SEARCH("R131",G177))*131,0)+IFERROR(--ISNUMBER(SEARCH("R132",G177))*132,0)+IFERROR(--ISNUMBER(SEARCH("R133",G177))*133,0)+IFERROR(--ISNUMBER(SEARCH("R134",G177))*134,0)+IFERROR(--ISNUMBER(SEARCH("R135",G177))*135,0)+IFERROR(--ISNUMBER(SEARCH("R136",G177))*136,0)+IFERROR(--ISNUMBER(SEARCH("R137",G177))*137,0)+IFERROR(--ISNUMBER(SEARCH("R138",G177))*138,0)+IFERROR(--ISNUMBER(SEARCH("R139",G177))*139,0)+IFERROR(--ISNUMBER(SEARCH("R140",G177))*140,0)+IFERROR(--ISNUMBER(SEARCH("R141",G177))*141,0))</f>
        <v/>
      </c>
      <c r="V177" s="59">
        <f>IF(A177="","",IF(K177&lt;&gt;"",K177,J177))</f>
        <v/>
      </c>
      <c r="W177" s="59">
        <f>IF(A177="","",IF(AND(V177=29,O177&lt;&gt;"",COUNTIFS($V$6:$V$505,29,$F$6:$F$505,F177,$C$6:$C$505,C177,$O$6:$O$505,"&lt;&gt;")&gt;1),IF(COUNTIFS($V$6:V177,29,$F$6:F177,F177,$C$6:C177,C177,$O$6:O177,"&lt;&gt;")=1,"Esta es la fila que se debe CONSERVAR (aparición 1 de "&amp;COUNTIFS($V$6:$V$505,29,$F$6:$F$505,F177,$C$6:$C$505,C177,$O$6:$O$505,"&lt;&gt;")&amp;" con el mismo tercero y valor, casilla 29). Si hay más filas iguales, bórreles el valor a ELLAS, no a esta.","DUPLICADO — ya existe otra fila con el mismo tercero y valor para casilla 29 (aparición "&amp;COUNTIFS($V$6:V177,29,$F$6:F177,F177,$C$6:C177,C177,$O$6:O177,"&lt;&gt;")&amp;" de "&amp;COUNTIFS($V$6:$V$505,29,$F$6:$F$505,F177,$C$6:$C$505,C177,$O$6:$O$505,"&lt;&gt;")&amp;"). Para resolverlo: seleccione la celda O"&amp;ROW()&amp;" (columna Valor a declarar de ESTA fila) y presione Supr."),""))</f>
        <v/>
      </c>
      <c r="X177" s="463">
        <f>IF(A177="","",F177)</f>
        <v/>
      </c>
      <c r="Y177" s="463">
        <f>IF(A177="","",SUMIF(Entrada_Manual!$I$88:$I$187,A177,Entrada_Manual!$F$88:$F$187))</f>
        <v/>
      </c>
      <c r="Z177" s="463">
        <f>IF(A177="","",X177-Y177)</f>
        <v/>
      </c>
      <c r="AA177">
        <f>IF(A177="","",SUMPRODUCT((Entrada_Manual!$I$88:$I$187=A177)*1))</f>
        <v/>
      </c>
      <c r="AB177">
        <f>IF(A177="","",IF(S177&lt;=1,"",IF(AA177=0,"PENDIENTE — SIN ASIGNAR",IF(Z177=0,"RESUELTO","PARCIAL — DIFERENCIA "&amp;TEXT(Z177,"#,##0")))))</f>
        <v/>
      </c>
    </row>
    <row r="178" ht="14.25" customHeight="1" s="235">
      <c r="A178" s="47">
        <f>IF(Exogena_RAW!E187&lt;&gt;"",ROW()-5,"")</f>
        <v/>
      </c>
      <c r="B178" s="48">
        <f>IF(A178="","",187)</f>
        <v/>
      </c>
      <c r="C178" s="48">
        <f>IF(A178="","",IFERROR(Exogena_RAW!A187,""))</f>
        <v/>
      </c>
      <c r="D178" s="48">
        <f>IF(A178="","",IFERROR(Exogena_RAW!B187,""))</f>
        <v/>
      </c>
      <c r="E178" s="48">
        <f>IF(A178="","",Exogena_RAW!E187)</f>
        <v/>
      </c>
      <c r="F178" s="461">
        <f>IF(A178="","",Exogena_RAW!F187)</f>
        <v/>
      </c>
      <c r="G178" s="48">
        <f>IF(A178="","",IFERROR(Exogena_RAW!G187,""))</f>
        <v/>
      </c>
      <c r="H178" s="48">
        <f>IF(A178="","",IFERROR(Exogena_RAW!H187,""))</f>
        <v/>
      </c>
      <c r="I178" s="48">
        <f>IF(A178="","",IFERROR(IF(S178&gt;1,"VARIAS CASILLAS",IF(S178=1,IF(T178=1,"PROPUESTA DE CASILLA","REVISIÓN: CASILLA NO DIRECTA"),IF(OR(ISNUMBER(SEARCH("TOPE",UPPER(E178))),ISNUMBER(SEARCH("TOPE",UPPER(G178)))),"SOLO CONTROL",IF(ISNUMBER(SEARCH("RETEN",UPPER(E178))),"RETENCIÓN","REVISAR")))),"REVISAR"))</f>
        <v/>
      </c>
      <c r="J178" s="48">
        <f>IF(A178="","",IF(ISNUMBER(SEARCH("ingreso laboral promedio de los últimos seis meses",E178)),"",IFERROR(IF(AND(S178=1,T178=1),U178,""),"")))</f>
        <v/>
      </c>
      <c r="K178" s="216" t="n"/>
      <c r="L178" s="48">
        <f>IF(A178="","",IFERROR(IF(K178&lt;&gt;"","Casilla elegida por usuario",IF(S178&gt;1,"Varias casillas — elegir en K",IF(J178&lt;&gt;"","Sugerencia directa",IF(S178=1,"No trasladar directo — revisar",IF(OR(ISNUMBER(SEARCH("TOPE",UPPER(E178))),ISNUMBER(SEARCH("TOPE",UPPER(G178)))),"Solo control","Revisar manualmente"))))),"Revisar manualmente"))</f>
        <v/>
      </c>
      <c r="M178" s="461">
        <f>IF(A178="","",IF(IF(K178&lt;&gt;"",K178,J178)="",0,IF(COUNTIFS(Reglas!$I$5:$I$118,IF(K178&lt;&gt;"",K178,J178),Reglas!$J$5:$J$118,"Sí")=1,F178,0)))</f>
        <v/>
      </c>
      <c r="N178" s="56" t="n"/>
      <c r="O178" s="462">
        <f>IF(A178="","",IF(M178=0,"",M178))</f>
        <v/>
      </c>
      <c r="P178" s="461">
        <f>IF(A178="","",IF(O178="",0,IF(ISNUMBER(O178),O178,0)))</f>
        <v/>
      </c>
      <c r="Q178" s="48">
        <f>IF(A178="","",IF(Exogena_RAW!$C$4="","BLOQUEADO: FALTA AÑO",IF(Exogena_RAW!$K$10&lt;&gt;Reglas!$B$5,"BLOQUEADO: AÑO",IF(IF(K178&lt;&gt;"",K178,J178)="",IF(S178&gt;1,"REQUIERE ASIGNACIÓN MANUAL (VARIAS CASILLAS)","INFORMATIVO (sin casilla — no se declara)"),IF(COUNTIFS(Reglas!$I$5:$I$118,IF(K178&lt;&gt;"",K178,J178),Reglas!$J$5:$J$118,"Sí")=0,"BLOQUEADO: CASILLA NO DIRECTA",IF(O178="","EXCLUIDO (valor borrado por el usuario)",IF(_xlfn.ISFORMULA(O178),IF(W178&lt;&gt;"","BORRADOR — VALOR SUGERIDO DIAN ⚠ VER ALERTA","BORRADOR — VALOR SUGERIDO DIAN"),IF(W178&lt;&gt;"","ACEPTADO ⚠ VER ALERTA","ACEPTADO"))))))))</f>
        <v/>
      </c>
      <c r="R178" s="218" t="n"/>
      <c r="S178" s="58">
        <f>IF(A178="","",IFERROR(--ISNUMBER(SEARCH("R28",G178)),0)+IFERROR(--ISNUMBER(SEARCH("R29",G178)),0)+IFERROR(--ISNUMBER(SEARCH("R30",G178)),0)+IFERROR(--ISNUMBER(SEARCH("R31",G178)),0)+IFERROR(--ISNUMBER(SEARCH("R32",G178)),0)+IFERROR(--ISNUMBER(SEARCH("R33",G178)),0)+IFERROR(--ISNUMBER(SEARCH("R34",G178)),0)+IFERROR(--ISNUMBER(SEARCH("R35",G178)),0)+IFERROR(--ISNUMBER(SEARCH("R36",G178)),0)+IFERROR(--ISNUMBER(SEARCH("R37",G178)),0)+IFERROR(--ISNUMBER(SEARCH("R38",G178)),0)+IFERROR(--ISNUMBER(SEARCH("R39",G178)),0)+IFERROR(--ISNUMBER(SEARCH("R40",G178)),0)+IFERROR(--ISNUMBER(SEARCH("R41",G178)),0)+IFERROR(--ISNUMBER(SEARCH("R42",G178)),0)+IFERROR(--ISNUMBER(SEARCH("R43",G178)),0)+IFERROR(--ISNUMBER(SEARCH("R44",G178)),0)+IFERROR(--ISNUMBER(SEARCH("R45",G178)),0)+IFERROR(--ISNUMBER(SEARCH("R46",G178)),0)+IFERROR(--ISNUMBER(SEARCH("R47",G178)),0)+IFERROR(--ISNUMBER(SEARCH("R48",G178)),0)+IFERROR(--ISNUMBER(SEARCH("R49",G178)),0)+IFERROR(--ISNUMBER(SEARCH("R50",G178)),0)+IFERROR(--ISNUMBER(SEARCH("R51",G178)),0)+IFERROR(--ISNUMBER(SEARCH("R52",G178)),0)+IFERROR(--ISNUMBER(SEARCH("R53",G178)),0)+IFERROR(--ISNUMBER(SEARCH("R54",G178)),0)+IFERROR(--ISNUMBER(SEARCH("R55",G178)),0)+IFERROR(--ISNUMBER(SEARCH("R56",G178)),0)+IFERROR(--ISNUMBER(SEARCH("R57",G178)),0)+IFERROR(--ISNUMBER(SEARCH("R58",G178)),0)+IFERROR(--ISNUMBER(SEARCH("R59",G178)),0)+IFERROR(--ISNUMBER(SEARCH("R60",G178)),0)+IFERROR(--ISNUMBER(SEARCH("R61",G178)),0)+IFERROR(--ISNUMBER(SEARCH("R62",G178)),0)+IFERROR(--ISNUMBER(SEARCH("R63",G178)),0)+IFERROR(--ISNUMBER(SEARCH("R64",G178)),0)+IFERROR(--ISNUMBER(SEARCH("R65",G178)),0)+IFERROR(--ISNUMBER(SEARCH("R66",G178)),0)+IFERROR(--ISNUMBER(SEARCH("R67",G178)),0)+IFERROR(--ISNUMBER(SEARCH("R68",G178)),0)+IFERROR(--ISNUMBER(SEARCH("R69",G178)),0)+IFERROR(--ISNUMBER(SEARCH("R70",G178)),0)+IFERROR(--ISNUMBER(SEARCH("R71",G178)),0)+IFERROR(--ISNUMBER(SEARCH("R72",G178)),0)+IFERROR(--ISNUMBER(SEARCH("R73",G178)),0)+IFERROR(--ISNUMBER(SEARCH("R74",G178)),0)+IFERROR(--ISNUMBER(SEARCH("R75",G178)),0)+IFERROR(--ISNUMBER(SEARCH("R76",G178)),0)+IFERROR(--ISNUMBER(SEARCH("R77",G178)),0)+IFERROR(--ISNUMBER(SEARCH("R78",G178)),0)+IFERROR(--ISNUMBER(SEARCH("R79",G178)),0)+IFERROR(--ISNUMBER(SEARCH("R80",G178)),0)+IFERROR(--ISNUMBER(SEARCH("R81",G178)),0)+IFERROR(--ISNUMBER(SEARCH("R82",G178)),0)+IFERROR(--ISNUMBER(SEARCH("R83",G178)),0)+IFERROR(--ISNUMBER(SEARCH("R84",G178)),0)+IFERROR(--ISNUMBER(SEARCH("R85",G178)),0)+IFERROR(--ISNUMBER(SEARCH("R86",G178)),0)+IFERROR(--ISNUMBER(SEARCH("R87",G178)),0)+IFERROR(--ISNUMBER(SEARCH("R88",G178)),0)+IFERROR(--ISNUMBER(SEARCH("R89",G178)),0)+IFERROR(--ISNUMBER(SEARCH("R90",G178)),0)+IFERROR(--ISNUMBER(SEARCH("R91",G178)),0)+IFERROR(--ISNUMBER(SEARCH("R92",G178)),0)+IFERROR(--ISNUMBER(SEARCH("R93",G178)),0)+IFERROR(--ISNUMBER(SEARCH("R94",G178)),0)+IFERROR(--ISNUMBER(SEARCH("R95",G178)),0)+IFERROR(--ISNUMBER(SEARCH("R96",G178)),0)+IFERROR(--ISNUMBER(SEARCH("R97",G178)),0)+IFERROR(--ISNUMBER(SEARCH("R98",G178)),0)+IFERROR(--ISNUMBER(SEARCH("R99",G178)),0)+IFERROR(--ISNUMBER(SEARCH("R100",G178)),0)+IFERROR(--ISNUMBER(SEARCH("R101",G178)),0)+IFERROR(--ISNUMBER(SEARCH("R102",G178)),0)+IFERROR(--ISNUMBER(SEARCH("R103",G178)),0)+IFERROR(--ISNUMBER(SEARCH("R104",G178)),0)+IFERROR(--ISNUMBER(SEARCH("R105",G178)),0)+IFERROR(--ISNUMBER(SEARCH("R106",G178)),0)+IFERROR(--ISNUMBER(SEARCH("R107",G178)),0)+IFERROR(--ISNUMBER(SEARCH("R108",G178)),0)+IFERROR(--ISNUMBER(SEARCH("R109",G178)),0)+IFERROR(--ISNUMBER(SEARCH("R110",G178)),0)+IFERROR(--ISNUMBER(SEARCH("R111",G178)),0)+IFERROR(--ISNUMBER(SEARCH("R112",G178)),0)+IFERROR(--ISNUMBER(SEARCH("R113",G178)),0)+IFERROR(--ISNUMBER(SEARCH("R114",G178)),0)+IFERROR(--ISNUMBER(SEARCH("R115",G178)),0)+IFERROR(--ISNUMBER(SEARCH("R116",G178)),0)+IFERROR(--ISNUMBER(SEARCH("R117",G178)),0)+IFERROR(--ISNUMBER(SEARCH("R118",G178)),0)+IFERROR(--ISNUMBER(SEARCH("R119",G178)),0)+IFERROR(--ISNUMBER(SEARCH("R120",G178)),0)+IFERROR(--ISNUMBER(SEARCH("R121",G178)),0)+IFERROR(--ISNUMBER(SEARCH("R122",G178)),0)+IFERROR(--ISNUMBER(SEARCH("R123",G178)),0)+IFERROR(--ISNUMBER(SEARCH("R124",G178)),0)+IFERROR(--ISNUMBER(SEARCH("R125",G178)),0)+IFERROR(--ISNUMBER(SEARCH("R126",G178)),0)+IFERROR(--ISNUMBER(SEARCH("R127",G178)),0)+IFERROR(--ISNUMBER(SEARCH("R128",G178)),0)+IFERROR(--ISNUMBER(SEARCH("R129",G178)),0)+IFERROR(--ISNUMBER(SEARCH("R130",G178)),0)+IFERROR(--ISNUMBER(SEARCH("R131",G178)),0)+IFERROR(--ISNUMBER(SEARCH("R132",G178)),0)+IFERROR(--ISNUMBER(SEARCH("R133",G178)),0)+IFERROR(--ISNUMBER(SEARCH("R134",G178)),0)+IFERROR(--ISNUMBER(SEARCH("R135",G178)),0)+IFERROR(--ISNUMBER(SEARCH("R136",G178)),0)+IFERROR(--ISNUMBER(SEARCH("R137",G178)),0)+IFERROR(--ISNUMBER(SEARCH("R138",G178)),0)+IFERROR(--ISNUMBER(SEARCH("R139",G178)),0)+IFERROR(--ISNUMBER(SEARCH("R140",G178)),0)+IFERROR(--ISNUMBER(SEARCH("R141",G178)),0))</f>
        <v/>
      </c>
      <c r="T178" s="58">
        <f>IF(A178="","",IFERROR(--ISNUMBER(SEARCH("R28",G178)),0)+IFERROR(--ISNUMBER(SEARCH("R29",G178)),0)+IFERROR(--ISNUMBER(SEARCH("R30",G178)),0)+IFERROR(--ISNUMBER(SEARCH("R32",G178)),0)+IFERROR(--ISNUMBER(SEARCH("R33",G178)),0)+IFERROR(--ISNUMBER(SEARCH("R35",G178)),0)+IFERROR(--ISNUMBER(SEARCH("R36",G178)),0)+IFERROR(--ISNUMBER(SEARCH("R38",G178)),0)+IFERROR(--ISNUMBER(SEARCH("R39",G178)),0)+IFERROR(--ISNUMBER(SEARCH("R43",G178)),0)+IFERROR(--ISNUMBER(SEARCH("R44",G178)),0)+IFERROR(--ISNUMBER(SEARCH("R45",G178)),0)+IFERROR(--ISNUMBER(SEARCH("R47",G178)),0)+IFERROR(--ISNUMBER(SEARCH("R48",G178)),0)+IFERROR(--ISNUMBER(SEARCH("R50",G178)),0)+IFERROR(--ISNUMBER(SEARCH("R51",G178)),0)+IFERROR(--ISNUMBER(SEARCH("R56",G178)),0)+IFERROR(--ISNUMBER(SEARCH("R58",G178)),0)+IFERROR(--ISNUMBER(SEARCH("R59",G178)),0)+IFERROR(--ISNUMBER(SEARCH("R60",G178)),0)+IFERROR(--ISNUMBER(SEARCH("R62",G178)),0)+IFERROR(--ISNUMBER(SEARCH("R63",G178)),0)+IFERROR(--ISNUMBER(SEARCH("R64",G178)),0)+IFERROR(--ISNUMBER(SEARCH("R66",G178)),0)+IFERROR(--ISNUMBER(SEARCH("R67",G178)),0)+IFERROR(--ISNUMBER(SEARCH("R72",G178)),0)+IFERROR(--ISNUMBER(SEARCH("R74",G178)),0)+IFERROR(--ISNUMBER(SEARCH("R75",G178)),0)+IFERROR(--ISNUMBER(SEARCH("R76",G178)),0)+IFERROR(--ISNUMBER(SEARCH("R77",G178)),0)+IFERROR(--ISNUMBER(SEARCH("R79",G178)),0)+IFERROR(--ISNUMBER(SEARCH("R80",G178)),0)+IFERROR(--ISNUMBER(SEARCH("R81",G178)),0)+IFERROR(--ISNUMBER(SEARCH("R83",G178)),0)+IFERROR(--ISNUMBER(SEARCH("R84",G178)),0)+IFERROR(--ISNUMBER(SEARCH("R89",G178)),0)+IFERROR(--ISNUMBER(SEARCH("R94",G178)),0)+IFERROR(--ISNUMBER(SEARCH("R95",G178)),0)+IFERROR(--ISNUMBER(SEARCH("R96",G178)),0)+IFERROR(--ISNUMBER(SEARCH("R98",G178)),0)+IFERROR(--ISNUMBER(SEARCH("R99",G178)),0)+IFERROR(--ISNUMBER(SEARCH("R100",G178)),0)+IFERROR(--ISNUMBER(SEARCH("R104",G178)),0)+IFERROR(--ISNUMBER(SEARCH("R105",G178)),0)+IFERROR(--ISNUMBER(SEARCH("R107",G178)),0)+IFERROR(--ISNUMBER(SEARCH("R108",G178)),0)+IFERROR(--ISNUMBER(SEARCH("R109",G178)),0)+IFERROR(--ISNUMBER(SEARCH("R110",G178)),0)+IFERROR(--ISNUMBER(SEARCH("R112",G178)),0)+IFERROR(--ISNUMBER(SEARCH("R113",G178)),0)+IFERROR(--ISNUMBER(SEARCH("R114",G178)),0)+IFERROR(--ISNUMBER(SEARCH("R118",G178)),0)+IFERROR(--ISNUMBER(SEARCH("R119",G178)),0)+IFERROR(--ISNUMBER(SEARCH("R120",G178)),0)+IFERROR(--ISNUMBER(SEARCH("R122",G178)),0)+IFERROR(--ISNUMBER(SEARCH("R123",G178)),0)+IFERROR(--ISNUMBER(SEARCH("R124",G178)),0)+IFERROR(--ISNUMBER(SEARCH("R128",G178)),0)+IFERROR(--ISNUMBER(SEARCH("R130",G178)),0)+IFERROR(--ISNUMBER(SEARCH("R131",G178)),0)+IFERROR(--ISNUMBER(SEARCH("R132",G178)),0)+IFERROR(--ISNUMBER(SEARCH("R135",G178)),0)+IFERROR(--ISNUMBER(SEARCH("R138",G178)),0)+IFERROR(--ISNUMBER(SEARCH("R141",G178)),0))</f>
        <v/>
      </c>
      <c r="U178" s="58">
        <f>IF(A178="","",IFERROR(--ISNUMBER(SEARCH("R28",G178))*28,0)+IFERROR(--ISNUMBER(SEARCH("R29",G178))*29,0)+IFERROR(--ISNUMBER(SEARCH("R30",G178))*30,0)+IFERROR(--ISNUMBER(SEARCH("R31",G178))*31,0)+IFERROR(--ISNUMBER(SEARCH("R32",G178))*32,0)+IFERROR(--ISNUMBER(SEARCH("R33",G178))*33,0)+IFERROR(--ISNUMBER(SEARCH("R34",G178))*34,0)+IFERROR(--ISNUMBER(SEARCH("R35",G178))*35,0)+IFERROR(--ISNUMBER(SEARCH("R36",G178))*36,0)+IFERROR(--ISNUMBER(SEARCH("R37",G178))*37,0)+IFERROR(--ISNUMBER(SEARCH("R38",G178))*38,0)+IFERROR(--ISNUMBER(SEARCH("R39",G178))*39,0)+IFERROR(--ISNUMBER(SEARCH("R40",G178))*40,0)+IFERROR(--ISNUMBER(SEARCH("R41",G178))*41,0)+IFERROR(--ISNUMBER(SEARCH("R42",G178))*42,0)+IFERROR(--ISNUMBER(SEARCH("R43",G178))*43,0)+IFERROR(--ISNUMBER(SEARCH("R44",G178))*44,0)+IFERROR(--ISNUMBER(SEARCH("R45",G178))*45,0)+IFERROR(--ISNUMBER(SEARCH("R46",G178))*46,0)+IFERROR(--ISNUMBER(SEARCH("R47",G178))*47,0)+IFERROR(--ISNUMBER(SEARCH("R48",G178))*48,0)+IFERROR(--ISNUMBER(SEARCH("R49",G178))*49,0)+IFERROR(--ISNUMBER(SEARCH("R50",G178))*50,0)+IFERROR(--ISNUMBER(SEARCH("R51",G178))*51,0)+IFERROR(--ISNUMBER(SEARCH("R52",G178))*52,0)+IFERROR(--ISNUMBER(SEARCH("R53",G178))*53,0)+IFERROR(--ISNUMBER(SEARCH("R54",G178))*54,0)+IFERROR(--ISNUMBER(SEARCH("R55",G178))*55,0)+IFERROR(--ISNUMBER(SEARCH("R56",G178))*56,0)+IFERROR(--ISNUMBER(SEARCH("R57",G178))*57,0)+IFERROR(--ISNUMBER(SEARCH("R58",G178))*58,0)+IFERROR(--ISNUMBER(SEARCH("R59",G178))*59,0)+IFERROR(--ISNUMBER(SEARCH("R60",G178))*60,0)+IFERROR(--ISNUMBER(SEARCH("R61",G178))*61,0)+IFERROR(--ISNUMBER(SEARCH("R62",G178))*62,0)+IFERROR(--ISNUMBER(SEARCH("R63",G178))*63,0)+IFERROR(--ISNUMBER(SEARCH("R64",G178))*64,0)+IFERROR(--ISNUMBER(SEARCH("R65",G178))*65,0)+IFERROR(--ISNUMBER(SEARCH("R66",G178))*66,0)+IFERROR(--ISNUMBER(SEARCH("R67",G178))*67,0)+IFERROR(--ISNUMBER(SEARCH("R68",G178))*68,0)+IFERROR(--ISNUMBER(SEARCH("R69",G178))*69,0)+IFERROR(--ISNUMBER(SEARCH("R70",G178))*70,0)+IFERROR(--ISNUMBER(SEARCH("R71",G178))*71,0)+IFERROR(--ISNUMBER(SEARCH("R72",G178))*72,0)+IFERROR(--ISNUMBER(SEARCH("R73",G178))*73,0)+IFERROR(--ISNUMBER(SEARCH("R74",G178))*74,0)+IFERROR(--ISNUMBER(SEARCH("R75",G178))*75,0)+IFERROR(--ISNUMBER(SEARCH("R76",G178))*76,0)+IFERROR(--ISNUMBER(SEARCH("R77",G178))*77,0)+IFERROR(--ISNUMBER(SEARCH("R78",G178))*78,0)+IFERROR(--ISNUMBER(SEARCH("R79",G178))*79,0)+IFERROR(--ISNUMBER(SEARCH("R80",G178))*80,0)+IFERROR(--ISNUMBER(SEARCH("R81",G178))*81,0)+IFERROR(--ISNUMBER(SEARCH("R82",G178))*82,0)+IFERROR(--ISNUMBER(SEARCH("R83",G178))*83,0)+IFERROR(--ISNUMBER(SEARCH("R84",G178))*84,0)+IFERROR(--ISNUMBER(SEARCH("R85",G178))*85,0)+IFERROR(--ISNUMBER(SEARCH("R86",G178))*86,0)+IFERROR(--ISNUMBER(SEARCH("R87",G178))*87,0)+IFERROR(--ISNUMBER(SEARCH("R88",G178))*88,0)+IFERROR(--ISNUMBER(SEARCH("R89",G178))*89,0)+IFERROR(--ISNUMBER(SEARCH("R90",G178))*90,0)+IFERROR(--ISNUMBER(SEARCH("R91",G178))*91,0)+IFERROR(--ISNUMBER(SEARCH("R92",G178))*92,0)+IFERROR(--ISNUMBER(SEARCH("R93",G178))*93,0)+IFERROR(--ISNUMBER(SEARCH("R94",G178))*94,0)+IFERROR(--ISNUMBER(SEARCH("R95",G178))*95,0)+IFERROR(--ISNUMBER(SEARCH("R96",G178))*96,0)+IFERROR(--ISNUMBER(SEARCH("R97",G178))*97,0)+IFERROR(--ISNUMBER(SEARCH("R98",G178))*98,0)+IFERROR(--ISNUMBER(SEARCH("R99",G178))*99,0)+IFERROR(--ISNUMBER(SEARCH("R100",G178))*100,0)+IFERROR(--ISNUMBER(SEARCH("R101",G178))*101,0)+IFERROR(--ISNUMBER(SEARCH("R102",G178))*102,0)+IFERROR(--ISNUMBER(SEARCH("R103",G178))*103,0)+IFERROR(--ISNUMBER(SEARCH("R104",G178))*104,0)+IFERROR(--ISNUMBER(SEARCH("R105",G178))*105,0)+IFERROR(--ISNUMBER(SEARCH("R106",G178))*106,0)+IFERROR(--ISNUMBER(SEARCH("R107",G178))*107,0)+IFERROR(--ISNUMBER(SEARCH("R108",G178))*108,0)+IFERROR(--ISNUMBER(SEARCH("R109",G178))*109,0)+IFERROR(--ISNUMBER(SEARCH("R110",G178))*110,0)+IFERROR(--ISNUMBER(SEARCH("R111",G178))*111,0)+IFERROR(--ISNUMBER(SEARCH("R112",G178))*112,0)+IFERROR(--ISNUMBER(SEARCH("R113",G178))*113,0)+IFERROR(--ISNUMBER(SEARCH("R114",G178))*114,0)+IFERROR(--ISNUMBER(SEARCH("R115",G178))*115,0)+IFERROR(--ISNUMBER(SEARCH("R116",G178))*116,0)+IFERROR(--ISNUMBER(SEARCH("R117",G178))*117,0)+IFERROR(--ISNUMBER(SEARCH("R118",G178))*118,0)+IFERROR(--ISNUMBER(SEARCH("R119",G178))*119,0)+IFERROR(--ISNUMBER(SEARCH("R120",G178))*120,0)+IFERROR(--ISNUMBER(SEARCH("R121",G178))*121,0)+IFERROR(--ISNUMBER(SEARCH("R122",G178))*122,0)+IFERROR(--ISNUMBER(SEARCH("R123",G178))*123,0)+IFERROR(--ISNUMBER(SEARCH("R124",G178))*124,0)+IFERROR(--ISNUMBER(SEARCH("R125",G178))*125,0)+IFERROR(--ISNUMBER(SEARCH("R126",G178))*126,0)+IFERROR(--ISNUMBER(SEARCH("R127",G178))*127,0)+IFERROR(--ISNUMBER(SEARCH("R128",G178))*128,0)+IFERROR(--ISNUMBER(SEARCH("R129",G178))*129,0)+IFERROR(--ISNUMBER(SEARCH("R130",G178))*130,0)+IFERROR(--ISNUMBER(SEARCH("R131",G178))*131,0)+IFERROR(--ISNUMBER(SEARCH("R132",G178))*132,0)+IFERROR(--ISNUMBER(SEARCH("R133",G178))*133,0)+IFERROR(--ISNUMBER(SEARCH("R134",G178))*134,0)+IFERROR(--ISNUMBER(SEARCH("R135",G178))*135,0)+IFERROR(--ISNUMBER(SEARCH("R136",G178))*136,0)+IFERROR(--ISNUMBER(SEARCH("R137",G178))*137,0)+IFERROR(--ISNUMBER(SEARCH("R138",G178))*138,0)+IFERROR(--ISNUMBER(SEARCH("R139",G178))*139,0)+IFERROR(--ISNUMBER(SEARCH("R140",G178))*140,0)+IFERROR(--ISNUMBER(SEARCH("R141",G178))*141,0))</f>
        <v/>
      </c>
      <c r="V178" s="59">
        <f>IF(A178="","",IF(K178&lt;&gt;"",K178,J178))</f>
        <v/>
      </c>
      <c r="W178" s="59">
        <f>IF(A178="","",IF(AND(V178=29,O178&lt;&gt;"",COUNTIFS($V$6:$V$505,29,$F$6:$F$505,F178,$C$6:$C$505,C178,$O$6:$O$505,"&lt;&gt;")&gt;1),IF(COUNTIFS($V$6:V178,29,$F$6:F178,F178,$C$6:C178,C178,$O$6:O178,"&lt;&gt;")=1,"Esta es la fila que se debe CONSERVAR (aparición 1 de "&amp;COUNTIFS($V$6:$V$505,29,$F$6:$F$505,F178,$C$6:$C$505,C178,$O$6:$O$505,"&lt;&gt;")&amp;" con el mismo tercero y valor, casilla 29). Si hay más filas iguales, bórreles el valor a ELLAS, no a esta.","DUPLICADO — ya existe otra fila con el mismo tercero y valor para casilla 29 (aparición "&amp;COUNTIFS($V$6:V178,29,$F$6:F178,F178,$C$6:C178,C178,$O$6:O178,"&lt;&gt;")&amp;" de "&amp;COUNTIFS($V$6:$V$505,29,$F$6:$F$505,F178,$C$6:$C$505,C178,$O$6:$O$505,"&lt;&gt;")&amp;"). Para resolverlo: seleccione la celda O"&amp;ROW()&amp;" (columna Valor a declarar de ESTA fila) y presione Supr."),""))</f>
        <v/>
      </c>
      <c r="X178" s="463">
        <f>IF(A178="","",F178)</f>
        <v/>
      </c>
      <c r="Y178" s="463">
        <f>IF(A178="","",SUMIF(Entrada_Manual!$I$88:$I$187,A178,Entrada_Manual!$F$88:$F$187))</f>
        <v/>
      </c>
      <c r="Z178" s="463">
        <f>IF(A178="","",X178-Y178)</f>
        <v/>
      </c>
      <c r="AA178">
        <f>IF(A178="","",SUMPRODUCT((Entrada_Manual!$I$88:$I$187=A178)*1))</f>
        <v/>
      </c>
      <c r="AB178">
        <f>IF(A178="","",IF(S178&lt;=1,"",IF(AA178=0,"PENDIENTE — SIN ASIGNAR",IF(Z178=0,"RESUELTO","PARCIAL — DIFERENCIA "&amp;TEXT(Z178,"#,##0")))))</f>
        <v/>
      </c>
    </row>
    <row r="179" ht="14.25" customHeight="1" s="235">
      <c r="A179" s="47">
        <f>IF(Exogena_RAW!E188&lt;&gt;"",ROW()-5,"")</f>
        <v/>
      </c>
      <c r="B179" s="48">
        <f>IF(A179="","",188)</f>
        <v/>
      </c>
      <c r="C179" s="48">
        <f>IF(A179="","",IFERROR(Exogena_RAW!A188,""))</f>
        <v/>
      </c>
      <c r="D179" s="48">
        <f>IF(A179="","",IFERROR(Exogena_RAW!B188,""))</f>
        <v/>
      </c>
      <c r="E179" s="48">
        <f>IF(A179="","",Exogena_RAW!E188)</f>
        <v/>
      </c>
      <c r="F179" s="461">
        <f>IF(A179="","",Exogena_RAW!F188)</f>
        <v/>
      </c>
      <c r="G179" s="48">
        <f>IF(A179="","",IFERROR(Exogena_RAW!G188,""))</f>
        <v/>
      </c>
      <c r="H179" s="48">
        <f>IF(A179="","",IFERROR(Exogena_RAW!H188,""))</f>
        <v/>
      </c>
      <c r="I179" s="48">
        <f>IF(A179="","",IFERROR(IF(S179&gt;1,"VARIAS CASILLAS",IF(S179=1,IF(T179=1,"PROPUESTA DE CASILLA","REVISIÓN: CASILLA NO DIRECTA"),IF(OR(ISNUMBER(SEARCH("TOPE",UPPER(E179))),ISNUMBER(SEARCH("TOPE",UPPER(G179)))),"SOLO CONTROL",IF(ISNUMBER(SEARCH("RETEN",UPPER(E179))),"RETENCIÓN","REVISAR")))),"REVISAR"))</f>
        <v/>
      </c>
      <c r="J179" s="48">
        <f>IF(A179="","",IF(ISNUMBER(SEARCH("ingreso laboral promedio de los últimos seis meses",E179)),"",IFERROR(IF(AND(S179=1,T179=1),U179,""),"")))</f>
        <v/>
      </c>
      <c r="K179" s="216" t="n"/>
      <c r="L179" s="48">
        <f>IF(A179="","",IFERROR(IF(K179&lt;&gt;"","Casilla elegida por usuario",IF(S179&gt;1,"Varias casillas — elegir en K",IF(J179&lt;&gt;"","Sugerencia directa",IF(S179=1,"No trasladar directo — revisar",IF(OR(ISNUMBER(SEARCH("TOPE",UPPER(E179))),ISNUMBER(SEARCH("TOPE",UPPER(G179)))),"Solo control","Revisar manualmente"))))),"Revisar manualmente"))</f>
        <v/>
      </c>
      <c r="M179" s="461">
        <f>IF(A179="","",IF(IF(K179&lt;&gt;"",K179,J179)="",0,IF(COUNTIFS(Reglas!$I$5:$I$118,IF(K179&lt;&gt;"",K179,J179),Reglas!$J$5:$J$118,"Sí")=1,F179,0)))</f>
        <v/>
      </c>
      <c r="N179" s="56" t="n"/>
      <c r="O179" s="462">
        <f>IF(A179="","",IF(M179=0,"",M179))</f>
        <v/>
      </c>
      <c r="P179" s="461">
        <f>IF(A179="","",IF(O179="",0,IF(ISNUMBER(O179),O179,0)))</f>
        <v/>
      </c>
      <c r="Q179" s="48">
        <f>IF(A179="","",IF(Exogena_RAW!$C$4="","BLOQUEADO: FALTA AÑO",IF(Exogena_RAW!$K$10&lt;&gt;Reglas!$B$5,"BLOQUEADO: AÑO",IF(IF(K179&lt;&gt;"",K179,J179)="",IF(S179&gt;1,"REQUIERE ASIGNACIÓN MANUAL (VARIAS CASILLAS)","INFORMATIVO (sin casilla — no se declara)"),IF(COUNTIFS(Reglas!$I$5:$I$118,IF(K179&lt;&gt;"",K179,J179),Reglas!$J$5:$J$118,"Sí")=0,"BLOQUEADO: CASILLA NO DIRECTA",IF(O179="","EXCLUIDO (valor borrado por el usuario)",IF(_xlfn.ISFORMULA(O179),IF(W179&lt;&gt;"","BORRADOR — VALOR SUGERIDO DIAN ⚠ VER ALERTA","BORRADOR — VALOR SUGERIDO DIAN"),IF(W179&lt;&gt;"","ACEPTADO ⚠ VER ALERTA","ACEPTADO"))))))))</f>
        <v/>
      </c>
      <c r="R179" s="218" t="n"/>
      <c r="S179" s="58">
        <f>IF(A179="","",IFERROR(--ISNUMBER(SEARCH("R28",G179)),0)+IFERROR(--ISNUMBER(SEARCH("R29",G179)),0)+IFERROR(--ISNUMBER(SEARCH("R30",G179)),0)+IFERROR(--ISNUMBER(SEARCH("R31",G179)),0)+IFERROR(--ISNUMBER(SEARCH("R32",G179)),0)+IFERROR(--ISNUMBER(SEARCH("R33",G179)),0)+IFERROR(--ISNUMBER(SEARCH("R34",G179)),0)+IFERROR(--ISNUMBER(SEARCH("R35",G179)),0)+IFERROR(--ISNUMBER(SEARCH("R36",G179)),0)+IFERROR(--ISNUMBER(SEARCH("R37",G179)),0)+IFERROR(--ISNUMBER(SEARCH("R38",G179)),0)+IFERROR(--ISNUMBER(SEARCH("R39",G179)),0)+IFERROR(--ISNUMBER(SEARCH("R40",G179)),0)+IFERROR(--ISNUMBER(SEARCH("R41",G179)),0)+IFERROR(--ISNUMBER(SEARCH("R42",G179)),0)+IFERROR(--ISNUMBER(SEARCH("R43",G179)),0)+IFERROR(--ISNUMBER(SEARCH("R44",G179)),0)+IFERROR(--ISNUMBER(SEARCH("R45",G179)),0)+IFERROR(--ISNUMBER(SEARCH("R46",G179)),0)+IFERROR(--ISNUMBER(SEARCH("R47",G179)),0)+IFERROR(--ISNUMBER(SEARCH("R48",G179)),0)+IFERROR(--ISNUMBER(SEARCH("R49",G179)),0)+IFERROR(--ISNUMBER(SEARCH("R50",G179)),0)+IFERROR(--ISNUMBER(SEARCH("R51",G179)),0)+IFERROR(--ISNUMBER(SEARCH("R52",G179)),0)+IFERROR(--ISNUMBER(SEARCH("R53",G179)),0)+IFERROR(--ISNUMBER(SEARCH("R54",G179)),0)+IFERROR(--ISNUMBER(SEARCH("R55",G179)),0)+IFERROR(--ISNUMBER(SEARCH("R56",G179)),0)+IFERROR(--ISNUMBER(SEARCH("R57",G179)),0)+IFERROR(--ISNUMBER(SEARCH("R58",G179)),0)+IFERROR(--ISNUMBER(SEARCH("R59",G179)),0)+IFERROR(--ISNUMBER(SEARCH("R60",G179)),0)+IFERROR(--ISNUMBER(SEARCH("R61",G179)),0)+IFERROR(--ISNUMBER(SEARCH("R62",G179)),0)+IFERROR(--ISNUMBER(SEARCH("R63",G179)),0)+IFERROR(--ISNUMBER(SEARCH("R64",G179)),0)+IFERROR(--ISNUMBER(SEARCH("R65",G179)),0)+IFERROR(--ISNUMBER(SEARCH("R66",G179)),0)+IFERROR(--ISNUMBER(SEARCH("R67",G179)),0)+IFERROR(--ISNUMBER(SEARCH("R68",G179)),0)+IFERROR(--ISNUMBER(SEARCH("R69",G179)),0)+IFERROR(--ISNUMBER(SEARCH("R70",G179)),0)+IFERROR(--ISNUMBER(SEARCH("R71",G179)),0)+IFERROR(--ISNUMBER(SEARCH("R72",G179)),0)+IFERROR(--ISNUMBER(SEARCH("R73",G179)),0)+IFERROR(--ISNUMBER(SEARCH("R74",G179)),0)+IFERROR(--ISNUMBER(SEARCH("R75",G179)),0)+IFERROR(--ISNUMBER(SEARCH("R76",G179)),0)+IFERROR(--ISNUMBER(SEARCH("R77",G179)),0)+IFERROR(--ISNUMBER(SEARCH("R78",G179)),0)+IFERROR(--ISNUMBER(SEARCH("R79",G179)),0)+IFERROR(--ISNUMBER(SEARCH("R80",G179)),0)+IFERROR(--ISNUMBER(SEARCH("R81",G179)),0)+IFERROR(--ISNUMBER(SEARCH("R82",G179)),0)+IFERROR(--ISNUMBER(SEARCH("R83",G179)),0)+IFERROR(--ISNUMBER(SEARCH("R84",G179)),0)+IFERROR(--ISNUMBER(SEARCH("R85",G179)),0)+IFERROR(--ISNUMBER(SEARCH("R86",G179)),0)+IFERROR(--ISNUMBER(SEARCH("R87",G179)),0)+IFERROR(--ISNUMBER(SEARCH("R88",G179)),0)+IFERROR(--ISNUMBER(SEARCH("R89",G179)),0)+IFERROR(--ISNUMBER(SEARCH("R90",G179)),0)+IFERROR(--ISNUMBER(SEARCH("R91",G179)),0)+IFERROR(--ISNUMBER(SEARCH("R92",G179)),0)+IFERROR(--ISNUMBER(SEARCH("R93",G179)),0)+IFERROR(--ISNUMBER(SEARCH("R94",G179)),0)+IFERROR(--ISNUMBER(SEARCH("R95",G179)),0)+IFERROR(--ISNUMBER(SEARCH("R96",G179)),0)+IFERROR(--ISNUMBER(SEARCH("R97",G179)),0)+IFERROR(--ISNUMBER(SEARCH("R98",G179)),0)+IFERROR(--ISNUMBER(SEARCH("R99",G179)),0)+IFERROR(--ISNUMBER(SEARCH("R100",G179)),0)+IFERROR(--ISNUMBER(SEARCH("R101",G179)),0)+IFERROR(--ISNUMBER(SEARCH("R102",G179)),0)+IFERROR(--ISNUMBER(SEARCH("R103",G179)),0)+IFERROR(--ISNUMBER(SEARCH("R104",G179)),0)+IFERROR(--ISNUMBER(SEARCH("R105",G179)),0)+IFERROR(--ISNUMBER(SEARCH("R106",G179)),0)+IFERROR(--ISNUMBER(SEARCH("R107",G179)),0)+IFERROR(--ISNUMBER(SEARCH("R108",G179)),0)+IFERROR(--ISNUMBER(SEARCH("R109",G179)),0)+IFERROR(--ISNUMBER(SEARCH("R110",G179)),0)+IFERROR(--ISNUMBER(SEARCH("R111",G179)),0)+IFERROR(--ISNUMBER(SEARCH("R112",G179)),0)+IFERROR(--ISNUMBER(SEARCH("R113",G179)),0)+IFERROR(--ISNUMBER(SEARCH("R114",G179)),0)+IFERROR(--ISNUMBER(SEARCH("R115",G179)),0)+IFERROR(--ISNUMBER(SEARCH("R116",G179)),0)+IFERROR(--ISNUMBER(SEARCH("R117",G179)),0)+IFERROR(--ISNUMBER(SEARCH("R118",G179)),0)+IFERROR(--ISNUMBER(SEARCH("R119",G179)),0)+IFERROR(--ISNUMBER(SEARCH("R120",G179)),0)+IFERROR(--ISNUMBER(SEARCH("R121",G179)),0)+IFERROR(--ISNUMBER(SEARCH("R122",G179)),0)+IFERROR(--ISNUMBER(SEARCH("R123",G179)),0)+IFERROR(--ISNUMBER(SEARCH("R124",G179)),0)+IFERROR(--ISNUMBER(SEARCH("R125",G179)),0)+IFERROR(--ISNUMBER(SEARCH("R126",G179)),0)+IFERROR(--ISNUMBER(SEARCH("R127",G179)),0)+IFERROR(--ISNUMBER(SEARCH("R128",G179)),0)+IFERROR(--ISNUMBER(SEARCH("R129",G179)),0)+IFERROR(--ISNUMBER(SEARCH("R130",G179)),0)+IFERROR(--ISNUMBER(SEARCH("R131",G179)),0)+IFERROR(--ISNUMBER(SEARCH("R132",G179)),0)+IFERROR(--ISNUMBER(SEARCH("R133",G179)),0)+IFERROR(--ISNUMBER(SEARCH("R134",G179)),0)+IFERROR(--ISNUMBER(SEARCH("R135",G179)),0)+IFERROR(--ISNUMBER(SEARCH("R136",G179)),0)+IFERROR(--ISNUMBER(SEARCH("R137",G179)),0)+IFERROR(--ISNUMBER(SEARCH("R138",G179)),0)+IFERROR(--ISNUMBER(SEARCH("R139",G179)),0)+IFERROR(--ISNUMBER(SEARCH("R140",G179)),0)+IFERROR(--ISNUMBER(SEARCH("R141",G179)),0))</f>
        <v/>
      </c>
      <c r="T179" s="58">
        <f>IF(A179="","",IFERROR(--ISNUMBER(SEARCH("R28",G179)),0)+IFERROR(--ISNUMBER(SEARCH("R29",G179)),0)+IFERROR(--ISNUMBER(SEARCH("R30",G179)),0)+IFERROR(--ISNUMBER(SEARCH("R32",G179)),0)+IFERROR(--ISNUMBER(SEARCH("R33",G179)),0)+IFERROR(--ISNUMBER(SEARCH("R35",G179)),0)+IFERROR(--ISNUMBER(SEARCH("R36",G179)),0)+IFERROR(--ISNUMBER(SEARCH("R38",G179)),0)+IFERROR(--ISNUMBER(SEARCH("R39",G179)),0)+IFERROR(--ISNUMBER(SEARCH("R43",G179)),0)+IFERROR(--ISNUMBER(SEARCH("R44",G179)),0)+IFERROR(--ISNUMBER(SEARCH("R45",G179)),0)+IFERROR(--ISNUMBER(SEARCH("R47",G179)),0)+IFERROR(--ISNUMBER(SEARCH("R48",G179)),0)+IFERROR(--ISNUMBER(SEARCH("R50",G179)),0)+IFERROR(--ISNUMBER(SEARCH("R51",G179)),0)+IFERROR(--ISNUMBER(SEARCH("R56",G179)),0)+IFERROR(--ISNUMBER(SEARCH("R58",G179)),0)+IFERROR(--ISNUMBER(SEARCH("R59",G179)),0)+IFERROR(--ISNUMBER(SEARCH("R60",G179)),0)+IFERROR(--ISNUMBER(SEARCH("R62",G179)),0)+IFERROR(--ISNUMBER(SEARCH("R63",G179)),0)+IFERROR(--ISNUMBER(SEARCH("R64",G179)),0)+IFERROR(--ISNUMBER(SEARCH("R66",G179)),0)+IFERROR(--ISNUMBER(SEARCH("R67",G179)),0)+IFERROR(--ISNUMBER(SEARCH("R72",G179)),0)+IFERROR(--ISNUMBER(SEARCH("R74",G179)),0)+IFERROR(--ISNUMBER(SEARCH("R75",G179)),0)+IFERROR(--ISNUMBER(SEARCH("R76",G179)),0)+IFERROR(--ISNUMBER(SEARCH("R77",G179)),0)+IFERROR(--ISNUMBER(SEARCH("R79",G179)),0)+IFERROR(--ISNUMBER(SEARCH("R80",G179)),0)+IFERROR(--ISNUMBER(SEARCH("R81",G179)),0)+IFERROR(--ISNUMBER(SEARCH("R83",G179)),0)+IFERROR(--ISNUMBER(SEARCH("R84",G179)),0)+IFERROR(--ISNUMBER(SEARCH("R89",G179)),0)+IFERROR(--ISNUMBER(SEARCH("R94",G179)),0)+IFERROR(--ISNUMBER(SEARCH("R95",G179)),0)+IFERROR(--ISNUMBER(SEARCH("R96",G179)),0)+IFERROR(--ISNUMBER(SEARCH("R98",G179)),0)+IFERROR(--ISNUMBER(SEARCH("R99",G179)),0)+IFERROR(--ISNUMBER(SEARCH("R100",G179)),0)+IFERROR(--ISNUMBER(SEARCH("R104",G179)),0)+IFERROR(--ISNUMBER(SEARCH("R105",G179)),0)+IFERROR(--ISNUMBER(SEARCH("R107",G179)),0)+IFERROR(--ISNUMBER(SEARCH("R108",G179)),0)+IFERROR(--ISNUMBER(SEARCH("R109",G179)),0)+IFERROR(--ISNUMBER(SEARCH("R110",G179)),0)+IFERROR(--ISNUMBER(SEARCH("R112",G179)),0)+IFERROR(--ISNUMBER(SEARCH("R113",G179)),0)+IFERROR(--ISNUMBER(SEARCH("R114",G179)),0)+IFERROR(--ISNUMBER(SEARCH("R118",G179)),0)+IFERROR(--ISNUMBER(SEARCH("R119",G179)),0)+IFERROR(--ISNUMBER(SEARCH("R120",G179)),0)+IFERROR(--ISNUMBER(SEARCH("R122",G179)),0)+IFERROR(--ISNUMBER(SEARCH("R123",G179)),0)+IFERROR(--ISNUMBER(SEARCH("R124",G179)),0)+IFERROR(--ISNUMBER(SEARCH("R128",G179)),0)+IFERROR(--ISNUMBER(SEARCH("R130",G179)),0)+IFERROR(--ISNUMBER(SEARCH("R131",G179)),0)+IFERROR(--ISNUMBER(SEARCH("R132",G179)),0)+IFERROR(--ISNUMBER(SEARCH("R135",G179)),0)+IFERROR(--ISNUMBER(SEARCH("R138",G179)),0)+IFERROR(--ISNUMBER(SEARCH("R141",G179)),0))</f>
        <v/>
      </c>
      <c r="U179" s="58">
        <f>IF(A179="","",IFERROR(--ISNUMBER(SEARCH("R28",G179))*28,0)+IFERROR(--ISNUMBER(SEARCH("R29",G179))*29,0)+IFERROR(--ISNUMBER(SEARCH("R30",G179))*30,0)+IFERROR(--ISNUMBER(SEARCH("R31",G179))*31,0)+IFERROR(--ISNUMBER(SEARCH("R32",G179))*32,0)+IFERROR(--ISNUMBER(SEARCH("R33",G179))*33,0)+IFERROR(--ISNUMBER(SEARCH("R34",G179))*34,0)+IFERROR(--ISNUMBER(SEARCH("R35",G179))*35,0)+IFERROR(--ISNUMBER(SEARCH("R36",G179))*36,0)+IFERROR(--ISNUMBER(SEARCH("R37",G179))*37,0)+IFERROR(--ISNUMBER(SEARCH("R38",G179))*38,0)+IFERROR(--ISNUMBER(SEARCH("R39",G179))*39,0)+IFERROR(--ISNUMBER(SEARCH("R40",G179))*40,0)+IFERROR(--ISNUMBER(SEARCH("R41",G179))*41,0)+IFERROR(--ISNUMBER(SEARCH("R42",G179))*42,0)+IFERROR(--ISNUMBER(SEARCH("R43",G179))*43,0)+IFERROR(--ISNUMBER(SEARCH("R44",G179))*44,0)+IFERROR(--ISNUMBER(SEARCH("R45",G179))*45,0)+IFERROR(--ISNUMBER(SEARCH("R46",G179))*46,0)+IFERROR(--ISNUMBER(SEARCH("R47",G179))*47,0)+IFERROR(--ISNUMBER(SEARCH("R48",G179))*48,0)+IFERROR(--ISNUMBER(SEARCH("R49",G179))*49,0)+IFERROR(--ISNUMBER(SEARCH("R50",G179))*50,0)+IFERROR(--ISNUMBER(SEARCH("R51",G179))*51,0)+IFERROR(--ISNUMBER(SEARCH("R52",G179))*52,0)+IFERROR(--ISNUMBER(SEARCH("R53",G179))*53,0)+IFERROR(--ISNUMBER(SEARCH("R54",G179))*54,0)+IFERROR(--ISNUMBER(SEARCH("R55",G179))*55,0)+IFERROR(--ISNUMBER(SEARCH("R56",G179))*56,0)+IFERROR(--ISNUMBER(SEARCH("R57",G179))*57,0)+IFERROR(--ISNUMBER(SEARCH("R58",G179))*58,0)+IFERROR(--ISNUMBER(SEARCH("R59",G179))*59,0)+IFERROR(--ISNUMBER(SEARCH("R60",G179))*60,0)+IFERROR(--ISNUMBER(SEARCH("R61",G179))*61,0)+IFERROR(--ISNUMBER(SEARCH("R62",G179))*62,0)+IFERROR(--ISNUMBER(SEARCH("R63",G179))*63,0)+IFERROR(--ISNUMBER(SEARCH("R64",G179))*64,0)+IFERROR(--ISNUMBER(SEARCH("R65",G179))*65,0)+IFERROR(--ISNUMBER(SEARCH("R66",G179))*66,0)+IFERROR(--ISNUMBER(SEARCH("R67",G179))*67,0)+IFERROR(--ISNUMBER(SEARCH("R68",G179))*68,0)+IFERROR(--ISNUMBER(SEARCH("R69",G179))*69,0)+IFERROR(--ISNUMBER(SEARCH("R70",G179))*70,0)+IFERROR(--ISNUMBER(SEARCH("R71",G179))*71,0)+IFERROR(--ISNUMBER(SEARCH("R72",G179))*72,0)+IFERROR(--ISNUMBER(SEARCH("R73",G179))*73,0)+IFERROR(--ISNUMBER(SEARCH("R74",G179))*74,0)+IFERROR(--ISNUMBER(SEARCH("R75",G179))*75,0)+IFERROR(--ISNUMBER(SEARCH("R76",G179))*76,0)+IFERROR(--ISNUMBER(SEARCH("R77",G179))*77,0)+IFERROR(--ISNUMBER(SEARCH("R78",G179))*78,0)+IFERROR(--ISNUMBER(SEARCH("R79",G179))*79,0)+IFERROR(--ISNUMBER(SEARCH("R80",G179))*80,0)+IFERROR(--ISNUMBER(SEARCH("R81",G179))*81,0)+IFERROR(--ISNUMBER(SEARCH("R82",G179))*82,0)+IFERROR(--ISNUMBER(SEARCH("R83",G179))*83,0)+IFERROR(--ISNUMBER(SEARCH("R84",G179))*84,0)+IFERROR(--ISNUMBER(SEARCH("R85",G179))*85,0)+IFERROR(--ISNUMBER(SEARCH("R86",G179))*86,0)+IFERROR(--ISNUMBER(SEARCH("R87",G179))*87,0)+IFERROR(--ISNUMBER(SEARCH("R88",G179))*88,0)+IFERROR(--ISNUMBER(SEARCH("R89",G179))*89,0)+IFERROR(--ISNUMBER(SEARCH("R90",G179))*90,0)+IFERROR(--ISNUMBER(SEARCH("R91",G179))*91,0)+IFERROR(--ISNUMBER(SEARCH("R92",G179))*92,0)+IFERROR(--ISNUMBER(SEARCH("R93",G179))*93,0)+IFERROR(--ISNUMBER(SEARCH("R94",G179))*94,0)+IFERROR(--ISNUMBER(SEARCH("R95",G179))*95,0)+IFERROR(--ISNUMBER(SEARCH("R96",G179))*96,0)+IFERROR(--ISNUMBER(SEARCH("R97",G179))*97,0)+IFERROR(--ISNUMBER(SEARCH("R98",G179))*98,0)+IFERROR(--ISNUMBER(SEARCH("R99",G179))*99,0)+IFERROR(--ISNUMBER(SEARCH("R100",G179))*100,0)+IFERROR(--ISNUMBER(SEARCH("R101",G179))*101,0)+IFERROR(--ISNUMBER(SEARCH("R102",G179))*102,0)+IFERROR(--ISNUMBER(SEARCH("R103",G179))*103,0)+IFERROR(--ISNUMBER(SEARCH("R104",G179))*104,0)+IFERROR(--ISNUMBER(SEARCH("R105",G179))*105,0)+IFERROR(--ISNUMBER(SEARCH("R106",G179))*106,0)+IFERROR(--ISNUMBER(SEARCH("R107",G179))*107,0)+IFERROR(--ISNUMBER(SEARCH("R108",G179))*108,0)+IFERROR(--ISNUMBER(SEARCH("R109",G179))*109,0)+IFERROR(--ISNUMBER(SEARCH("R110",G179))*110,0)+IFERROR(--ISNUMBER(SEARCH("R111",G179))*111,0)+IFERROR(--ISNUMBER(SEARCH("R112",G179))*112,0)+IFERROR(--ISNUMBER(SEARCH("R113",G179))*113,0)+IFERROR(--ISNUMBER(SEARCH("R114",G179))*114,0)+IFERROR(--ISNUMBER(SEARCH("R115",G179))*115,0)+IFERROR(--ISNUMBER(SEARCH("R116",G179))*116,0)+IFERROR(--ISNUMBER(SEARCH("R117",G179))*117,0)+IFERROR(--ISNUMBER(SEARCH("R118",G179))*118,0)+IFERROR(--ISNUMBER(SEARCH("R119",G179))*119,0)+IFERROR(--ISNUMBER(SEARCH("R120",G179))*120,0)+IFERROR(--ISNUMBER(SEARCH("R121",G179))*121,0)+IFERROR(--ISNUMBER(SEARCH("R122",G179))*122,0)+IFERROR(--ISNUMBER(SEARCH("R123",G179))*123,0)+IFERROR(--ISNUMBER(SEARCH("R124",G179))*124,0)+IFERROR(--ISNUMBER(SEARCH("R125",G179))*125,0)+IFERROR(--ISNUMBER(SEARCH("R126",G179))*126,0)+IFERROR(--ISNUMBER(SEARCH("R127",G179))*127,0)+IFERROR(--ISNUMBER(SEARCH("R128",G179))*128,0)+IFERROR(--ISNUMBER(SEARCH("R129",G179))*129,0)+IFERROR(--ISNUMBER(SEARCH("R130",G179))*130,0)+IFERROR(--ISNUMBER(SEARCH("R131",G179))*131,0)+IFERROR(--ISNUMBER(SEARCH("R132",G179))*132,0)+IFERROR(--ISNUMBER(SEARCH("R133",G179))*133,0)+IFERROR(--ISNUMBER(SEARCH("R134",G179))*134,0)+IFERROR(--ISNUMBER(SEARCH("R135",G179))*135,0)+IFERROR(--ISNUMBER(SEARCH("R136",G179))*136,0)+IFERROR(--ISNUMBER(SEARCH("R137",G179))*137,0)+IFERROR(--ISNUMBER(SEARCH("R138",G179))*138,0)+IFERROR(--ISNUMBER(SEARCH("R139",G179))*139,0)+IFERROR(--ISNUMBER(SEARCH("R140",G179))*140,0)+IFERROR(--ISNUMBER(SEARCH("R141",G179))*141,0))</f>
        <v/>
      </c>
      <c r="V179" s="59">
        <f>IF(A179="","",IF(K179&lt;&gt;"",K179,J179))</f>
        <v/>
      </c>
      <c r="W179" s="59">
        <f>IF(A179="","",IF(AND(V179=29,O179&lt;&gt;"",COUNTIFS($V$6:$V$505,29,$F$6:$F$505,F179,$C$6:$C$505,C179,$O$6:$O$505,"&lt;&gt;")&gt;1),IF(COUNTIFS($V$6:V179,29,$F$6:F179,F179,$C$6:C179,C179,$O$6:O179,"&lt;&gt;")=1,"Esta es la fila que se debe CONSERVAR (aparición 1 de "&amp;COUNTIFS($V$6:$V$505,29,$F$6:$F$505,F179,$C$6:$C$505,C179,$O$6:$O$505,"&lt;&gt;")&amp;" con el mismo tercero y valor, casilla 29). Si hay más filas iguales, bórreles el valor a ELLAS, no a esta.","DUPLICADO — ya existe otra fila con el mismo tercero y valor para casilla 29 (aparición "&amp;COUNTIFS($V$6:V179,29,$F$6:F179,F179,$C$6:C179,C179,$O$6:O179,"&lt;&gt;")&amp;" de "&amp;COUNTIFS($V$6:$V$505,29,$F$6:$F$505,F179,$C$6:$C$505,C179,$O$6:$O$505,"&lt;&gt;")&amp;"). Para resolverlo: seleccione la celda O"&amp;ROW()&amp;" (columna Valor a declarar de ESTA fila) y presione Supr."),""))</f>
        <v/>
      </c>
      <c r="X179" s="463">
        <f>IF(A179="","",F179)</f>
        <v/>
      </c>
      <c r="Y179" s="463">
        <f>IF(A179="","",SUMIF(Entrada_Manual!$I$88:$I$187,A179,Entrada_Manual!$F$88:$F$187))</f>
        <v/>
      </c>
      <c r="Z179" s="463">
        <f>IF(A179="","",X179-Y179)</f>
        <v/>
      </c>
      <c r="AA179">
        <f>IF(A179="","",SUMPRODUCT((Entrada_Manual!$I$88:$I$187=A179)*1))</f>
        <v/>
      </c>
      <c r="AB179">
        <f>IF(A179="","",IF(S179&lt;=1,"",IF(AA179=0,"PENDIENTE — SIN ASIGNAR",IF(Z179=0,"RESUELTO","PARCIAL — DIFERENCIA "&amp;TEXT(Z179,"#,##0")))))</f>
        <v/>
      </c>
    </row>
    <row r="180" ht="14.25" customHeight="1" s="235">
      <c r="A180" s="47">
        <f>IF(Exogena_RAW!E189&lt;&gt;"",ROW()-5,"")</f>
        <v/>
      </c>
      <c r="B180" s="48">
        <f>IF(A180="","",189)</f>
        <v/>
      </c>
      <c r="C180" s="48">
        <f>IF(A180="","",IFERROR(Exogena_RAW!A189,""))</f>
        <v/>
      </c>
      <c r="D180" s="48">
        <f>IF(A180="","",IFERROR(Exogena_RAW!B189,""))</f>
        <v/>
      </c>
      <c r="E180" s="48">
        <f>IF(A180="","",Exogena_RAW!E189)</f>
        <v/>
      </c>
      <c r="F180" s="461">
        <f>IF(A180="","",Exogena_RAW!F189)</f>
        <v/>
      </c>
      <c r="G180" s="48">
        <f>IF(A180="","",IFERROR(Exogena_RAW!G189,""))</f>
        <v/>
      </c>
      <c r="H180" s="48">
        <f>IF(A180="","",IFERROR(Exogena_RAW!H189,""))</f>
        <v/>
      </c>
      <c r="I180" s="48">
        <f>IF(A180="","",IFERROR(IF(S180&gt;1,"VARIAS CASILLAS",IF(S180=1,IF(T180=1,"PROPUESTA DE CASILLA","REVISIÓN: CASILLA NO DIRECTA"),IF(OR(ISNUMBER(SEARCH("TOPE",UPPER(E180))),ISNUMBER(SEARCH("TOPE",UPPER(G180)))),"SOLO CONTROL",IF(ISNUMBER(SEARCH("RETEN",UPPER(E180))),"RETENCIÓN","REVISAR")))),"REVISAR"))</f>
        <v/>
      </c>
      <c r="J180" s="48">
        <f>IF(A180="","",IF(ISNUMBER(SEARCH("ingreso laboral promedio de los últimos seis meses",E180)),"",IFERROR(IF(AND(S180=1,T180=1),U180,""),"")))</f>
        <v/>
      </c>
      <c r="K180" s="216" t="n"/>
      <c r="L180" s="48">
        <f>IF(A180="","",IFERROR(IF(K180&lt;&gt;"","Casilla elegida por usuario",IF(S180&gt;1,"Varias casillas — elegir en K",IF(J180&lt;&gt;"","Sugerencia directa",IF(S180=1,"No trasladar directo — revisar",IF(OR(ISNUMBER(SEARCH("TOPE",UPPER(E180))),ISNUMBER(SEARCH("TOPE",UPPER(G180)))),"Solo control","Revisar manualmente"))))),"Revisar manualmente"))</f>
        <v/>
      </c>
      <c r="M180" s="461">
        <f>IF(A180="","",IF(IF(K180&lt;&gt;"",K180,J180)="",0,IF(COUNTIFS(Reglas!$I$5:$I$118,IF(K180&lt;&gt;"",K180,J180),Reglas!$J$5:$J$118,"Sí")=1,F180,0)))</f>
        <v/>
      </c>
      <c r="N180" s="56" t="n"/>
      <c r="O180" s="462">
        <f>IF(A180="","",IF(M180=0,"",M180))</f>
        <v/>
      </c>
      <c r="P180" s="461">
        <f>IF(A180="","",IF(O180="",0,IF(ISNUMBER(O180),O180,0)))</f>
        <v/>
      </c>
      <c r="Q180" s="48">
        <f>IF(A180="","",IF(Exogena_RAW!$C$4="","BLOQUEADO: FALTA AÑO",IF(Exogena_RAW!$K$10&lt;&gt;Reglas!$B$5,"BLOQUEADO: AÑO",IF(IF(K180&lt;&gt;"",K180,J180)="",IF(S180&gt;1,"REQUIERE ASIGNACIÓN MANUAL (VARIAS CASILLAS)","INFORMATIVO (sin casilla — no se declara)"),IF(COUNTIFS(Reglas!$I$5:$I$118,IF(K180&lt;&gt;"",K180,J180),Reglas!$J$5:$J$118,"Sí")=0,"BLOQUEADO: CASILLA NO DIRECTA",IF(O180="","EXCLUIDO (valor borrado por el usuario)",IF(_xlfn.ISFORMULA(O180),IF(W180&lt;&gt;"","BORRADOR — VALOR SUGERIDO DIAN ⚠ VER ALERTA","BORRADOR — VALOR SUGERIDO DIAN"),IF(W180&lt;&gt;"","ACEPTADO ⚠ VER ALERTA","ACEPTADO"))))))))</f>
        <v/>
      </c>
      <c r="R180" s="218" t="n"/>
      <c r="S180" s="58">
        <f>IF(A180="","",IFERROR(--ISNUMBER(SEARCH("R28",G180)),0)+IFERROR(--ISNUMBER(SEARCH("R29",G180)),0)+IFERROR(--ISNUMBER(SEARCH("R30",G180)),0)+IFERROR(--ISNUMBER(SEARCH("R31",G180)),0)+IFERROR(--ISNUMBER(SEARCH("R32",G180)),0)+IFERROR(--ISNUMBER(SEARCH("R33",G180)),0)+IFERROR(--ISNUMBER(SEARCH("R34",G180)),0)+IFERROR(--ISNUMBER(SEARCH("R35",G180)),0)+IFERROR(--ISNUMBER(SEARCH("R36",G180)),0)+IFERROR(--ISNUMBER(SEARCH("R37",G180)),0)+IFERROR(--ISNUMBER(SEARCH("R38",G180)),0)+IFERROR(--ISNUMBER(SEARCH("R39",G180)),0)+IFERROR(--ISNUMBER(SEARCH("R40",G180)),0)+IFERROR(--ISNUMBER(SEARCH("R41",G180)),0)+IFERROR(--ISNUMBER(SEARCH("R42",G180)),0)+IFERROR(--ISNUMBER(SEARCH("R43",G180)),0)+IFERROR(--ISNUMBER(SEARCH("R44",G180)),0)+IFERROR(--ISNUMBER(SEARCH("R45",G180)),0)+IFERROR(--ISNUMBER(SEARCH("R46",G180)),0)+IFERROR(--ISNUMBER(SEARCH("R47",G180)),0)+IFERROR(--ISNUMBER(SEARCH("R48",G180)),0)+IFERROR(--ISNUMBER(SEARCH("R49",G180)),0)+IFERROR(--ISNUMBER(SEARCH("R50",G180)),0)+IFERROR(--ISNUMBER(SEARCH("R51",G180)),0)+IFERROR(--ISNUMBER(SEARCH("R52",G180)),0)+IFERROR(--ISNUMBER(SEARCH("R53",G180)),0)+IFERROR(--ISNUMBER(SEARCH("R54",G180)),0)+IFERROR(--ISNUMBER(SEARCH("R55",G180)),0)+IFERROR(--ISNUMBER(SEARCH("R56",G180)),0)+IFERROR(--ISNUMBER(SEARCH("R57",G180)),0)+IFERROR(--ISNUMBER(SEARCH("R58",G180)),0)+IFERROR(--ISNUMBER(SEARCH("R59",G180)),0)+IFERROR(--ISNUMBER(SEARCH("R60",G180)),0)+IFERROR(--ISNUMBER(SEARCH("R61",G180)),0)+IFERROR(--ISNUMBER(SEARCH("R62",G180)),0)+IFERROR(--ISNUMBER(SEARCH("R63",G180)),0)+IFERROR(--ISNUMBER(SEARCH("R64",G180)),0)+IFERROR(--ISNUMBER(SEARCH("R65",G180)),0)+IFERROR(--ISNUMBER(SEARCH("R66",G180)),0)+IFERROR(--ISNUMBER(SEARCH("R67",G180)),0)+IFERROR(--ISNUMBER(SEARCH("R68",G180)),0)+IFERROR(--ISNUMBER(SEARCH("R69",G180)),0)+IFERROR(--ISNUMBER(SEARCH("R70",G180)),0)+IFERROR(--ISNUMBER(SEARCH("R71",G180)),0)+IFERROR(--ISNUMBER(SEARCH("R72",G180)),0)+IFERROR(--ISNUMBER(SEARCH("R73",G180)),0)+IFERROR(--ISNUMBER(SEARCH("R74",G180)),0)+IFERROR(--ISNUMBER(SEARCH("R75",G180)),0)+IFERROR(--ISNUMBER(SEARCH("R76",G180)),0)+IFERROR(--ISNUMBER(SEARCH("R77",G180)),0)+IFERROR(--ISNUMBER(SEARCH("R78",G180)),0)+IFERROR(--ISNUMBER(SEARCH("R79",G180)),0)+IFERROR(--ISNUMBER(SEARCH("R80",G180)),0)+IFERROR(--ISNUMBER(SEARCH("R81",G180)),0)+IFERROR(--ISNUMBER(SEARCH("R82",G180)),0)+IFERROR(--ISNUMBER(SEARCH("R83",G180)),0)+IFERROR(--ISNUMBER(SEARCH("R84",G180)),0)+IFERROR(--ISNUMBER(SEARCH("R85",G180)),0)+IFERROR(--ISNUMBER(SEARCH("R86",G180)),0)+IFERROR(--ISNUMBER(SEARCH("R87",G180)),0)+IFERROR(--ISNUMBER(SEARCH("R88",G180)),0)+IFERROR(--ISNUMBER(SEARCH("R89",G180)),0)+IFERROR(--ISNUMBER(SEARCH("R90",G180)),0)+IFERROR(--ISNUMBER(SEARCH("R91",G180)),0)+IFERROR(--ISNUMBER(SEARCH("R92",G180)),0)+IFERROR(--ISNUMBER(SEARCH("R93",G180)),0)+IFERROR(--ISNUMBER(SEARCH("R94",G180)),0)+IFERROR(--ISNUMBER(SEARCH("R95",G180)),0)+IFERROR(--ISNUMBER(SEARCH("R96",G180)),0)+IFERROR(--ISNUMBER(SEARCH("R97",G180)),0)+IFERROR(--ISNUMBER(SEARCH("R98",G180)),0)+IFERROR(--ISNUMBER(SEARCH("R99",G180)),0)+IFERROR(--ISNUMBER(SEARCH("R100",G180)),0)+IFERROR(--ISNUMBER(SEARCH("R101",G180)),0)+IFERROR(--ISNUMBER(SEARCH("R102",G180)),0)+IFERROR(--ISNUMBER(SEARCH("R103",G180)),0)+IFERROR(--ISNUMBER(SEARCH("R104",G180)),0)+IFERROR(--ISNUMBER(SEARCH("R105",G180)),0)+IFERROR(--ISNUMBER(SEARCH("R106",G180)),0)+IFERROR(--ISNUMBER(SEARCH("R107",G180)),0)+IFERROR(--ISNUMBER(SEARCH("R108",G180)),0)+IFERROR(--ISNUMBER(SEARCH("R109",G180)),0)+IFERROR(--ISNUMBER(SEARCH("R110",G180)),0)+IFERROR(--ISNUMBER(SEARCH("R111",G180)),0)+IFERROR(--ISNUMBER(SEARCH("R112",G180)),0)+IFERROR(--ISNUMBER(SEARCH("R113",G180)),0)+IFERROR(--ISNUMBER(SEARCH("R114",G180)),0)+IFERROR(--ISNUMBER(SEARCH("R115",G180)),0)+IFERROR(--ISNUMBER(SEARCH("R116",G180)),0)+IFERROR(--ISNUMBER(SEARCH("R117",G180)),0)+IFERROR(--ISNUMBER(SEARCH("R118",G180)),0)+IFERROR(--ISNUMBER(SEARCH("R119",G180)),0)+IFERROR(--ISNUMBER(SEARCH("R120",G180)),0)+IFERROR(--ISNUMBER(SEARCH("R121",G180)),0)+IFERROR(--ISNUMBER(SEARCH("R122",G180)),0)+IFERROR(--ISNUMBER(SEARCH("R123",G180)),0)+IFERROR(--ISNUMBER(SEARCH("R124",G180)),0)+IFERROR(--ISNUMBER(SEARCH("R125",G180)),0)+IFERROR(--ISNUMBER(SEARCH("R126",G180)),0)+IFERROR(--ISNUMBER(SEARCH("R127",G180)),0)+IFERROR(--ISNUMBER(SEARCH("R128",G180)),0)+IFERROR(--ISNUMBER(SEARCH("R129",G180)),0)+IFERROR(--ISNUMBER(SEARCH("R130",G180)),0)+IFERROR(--ISNUMBER(SEARCH("R131",G180)),0)+IFERROR(--ISNUMBER(SEARCH("R132",G180)),0)+IFERROR(--ISNUMBER(SEARCH("R133",G180)),0)+IFERROR(--ISNUMBER(SEARCH("R134",G180)),0)+IFERROR(--ISNUMBER(SEARCH("R135",G180)),0)+IFERROR(--ISNUMBER(SEARCH("R136",G180)),0)+IFERROR(--ISNUMBER(SEARCH("R137",G180)),0)+IFERROR(--ISNUMBER(SEARCH("R138",G180)),0)+IFERROR(--ISNUMBER(SEARCH("R139",G180)),0)+IFERROR(--ISNUMBER(SEARCH("R140",G180)),0)+IFERROR(--ISNUMBER(SEARCH("R141",G180)),0))</f>
        <v/>
      </c>
      <c r="T180" s="58">
        <f>IF(A180="","",IFERROR(--ISNUMBER(SEARCH("R28",G180)),0)+IFERROR(--ISNUMBER(SEARCH("R29",G180)),0)+IFERROR(--ISNUMBER(SEARCH("R30",G180)),0)+IFERROR(--ISNUMBER(SEARCH("R32",G180)),0)+IFERROR(--ISNUMBER(SEARCH("R33",G180)),0)+IFERROR(--ISNUMBER(SEARCH("R35",G180)),0)+IFERROR(--ISNUMBER(SEARCH("R36",G180)),0)+IFERROR(--ISNUMBER(SEARCH("R38",G180)),0)+IFERROR(--ISNUMBER(SEARCH("R39",G180)),0)+IFERROR(--ISNUMBER(SEARCH("R43",G180)),0)+IFERROR(--ISNUMBER(SEARCH("R44",G180)),0)+IFERROR(--ISNUMBER(SEARCH("R45",G180)),0)+IFERROR(--ISNUMBER(SEARCH("R47",G180)),0)+IFERROR(--ISNUMBER(SEARCH("R48",G180)),0)+IFERROR(--ISNUMBER(SEARCH("R50",G180)),0)+IFERROR(--ISNUMBER(SEARCH("R51",G180)),0)+IFERROR(--ISNUMBER(SEARCH("R56",G180)),0)+IFERROR(--ISNUMBER(SEARCH("R58",G180)),0)+IFERROR(--ISNUMBER(SEARCH("R59",G180)),0)+IFERROR(--ISNUMBER(SEARCH("R60",G180)),0)+IFERROR(--ISNUMBER(SEARCH("R62",G180)),0)+IFERROR(--ISNUMBER(SEARCH("R63",G180)),0)+IFERROR(--ISNUMBER(SEARCH("R64",G180)),0)+IFERROR(--ISNUMBER(SEARCH("R66",G180)),0)+IFERROR(--ISNUMBER(SEARCH("R67",G180)),0)+IFERROR(--ISNUMBER(SEARCH("R72",G180)),0)+IFERROR(--ISNUMBER(SEARCH("R74",G180)),0)+IFERROR(--ISNUMBER(SEARCH("R75",G180)),0)+IFERROR(--ISNUMBER(SEARCH("R76",G180)),0)+IFERROR(--ISNUMBER(SEARCH("R77",G180)),0)+IFERROR(--ISNUMBER(SEARCH("R79",G180)),0)+IFERROR(--ISNUMBER(SEARCH("R80",G180)),0)+IFERROR(--ISNUMBER(SEARCH("R81",G180)),0)+IFERROR(--ISNUMBER(SEARCH("R83",G180)),0)+IFERROR(--ISNUMBER(SEARCH("R84",G180)),0)+IFERROR(--ISNUMBER(SEARCH("R89",G180)),0)+IFERROR(--ISNUMBER(SEARCH("R94",G180)),0)+IFERROR(--ISNUMBER(SEARCH("R95",G180)),0)+IFERROR(--ISNUMBER(SEARCH("R96",G180)),0)+IFERROR(--ISNUMBER(SEARCH("R98",G180)),0)+IFERROR(--ISNUMBER(SEARCH("R99",G180)),0)+IFERROR(--ISNUMBER(SEARCH("R100",G180)),0)+IFERROR(--ISNUMBER(SEARCH("R104",G180)),0)+IFERROR(--ISNUMBER(SEARCH("R105",G180)),0)+IFERROR(--ISNUMBER(SEARCH("R107",G180)),0)+IFERROR(--ISNUMBER(SEARCH("R108",G180)),0)+IFERROR(--ISNUMBER(SEARCH("R109",G180)),0)+IFERROR(--ISNUMBER(SEARCH("R110",G180)),0)+IFERROR(--ISNUMBER(SEARCH("R112",G180)),0)+IFERROR(--ISNUMBER(SEARCH("R113",G180)),0)+IFERROR(--ISNUMBER(SEARCH("R114",G180)),0)+IFERROR(--ISNUMBER(SEARCH("R118",G180)),0)+IFERROR(--ISNUMBER(SEARCH("R119",G180)),0)+IFERROR(--ISNUMBER(SEARCH("R120",G180)),0)+IFERROR(--ISNUMBER(SEARCH("R122",G180)),0)+IFERROR(--ISNUMBER(SEARCH("R123",G180)),0)+IFERROR(--ISNUMBER(SEARCH("R124",G180)),0)+IFERROR(--ISNUMBER(SEARCH("R128",G180)),0)+IFERROR(--ISNUMBER(SEARCH("R130",G180)),0)+IFERROR(--ISNUMBER(SEARCH("R131",G180)),0)+IFERROR(--ISNUMBER(SEARCH("R132",G180)),0)+IFERROR(--ISNUMBER(SEARCH("R135",G180)),0)+IFERROR(--ISNUMBER(SEARCH("R138",G180)),0)+IFERROR(--ISNUMBER(SEARCH("R141",G180)),0))</f>
        <v/>
      </c>
      <c r="U180" s="58">
        <f>IF(A180="","",IFERROR(--ISNUMBER(SEARCH("R28",G180))*28,0)+IFERROR(--ISNUMBER(SEARCH("R29",G180))*29,0)+IFERROR(--ISNUMBER(SEARCH("R30",G180))*30,0)+IFERROR(--ISNUMBER(SEARCH("R31",G180))*31,0)+IFERROR(--ISNUMBER(SEARCH("R32",G180))*32,0)+IFERROR(--ISNUMBER(SEARCH("R33",G180))*33,0)+IFERROR(--ISNUMBER(SEARCH("R34",G180))*34,0)+IFERROR(--ISNUMBER(SEARCH("R35",G180))*35,0)+IFERROR(--ISNUMBER(SEARCH("R36",G180))*36,0)+IFERROR(--ISNUMBER(SEARCH("R37",G180))*37,0)+IFERROR(--ISNUMBER(SEARCH("R38",G180))*38,0)+IFERROR(--ISNUMBER(SEARCH("R39",G180))*39,0)+IFERROR(--ISNUMBER(SEARCH("R40",G180))*40,0)+IFERROR(--ISNUMBER(SEARCH("R41",G180))*41,0)+IFERROR(--ISNUMBER(SEARCH("R42",G180))*42,0)+IFERROR(--ISNUMBER(SEARCH("R43",G180))*43,0)+IFERROR(--ISNUMBER(SEARCH("R44",G180))*44,0)+IFERROR(--ISNUMBER(SEARCH("R45",G180))*45,0)+IFERROR(--ISNUMBER(SEARCH("R46",G180))*46,0)+IFERROR(--ISNUMBER(SEARCH("R47",G180))*47,0)+IFERROR(--ISNUMBER(SEARCH("R48",G180))*48,0)+IFERROR(--ISNUMBER(SEARCH("R49",G180))*49,0)+IFERROR(--ISNUMBER(SEARCH("R50",G180))*50,0)+IFERROR(--ISNUMBER(SEARCH("R51",G180))*51,0)+IFERROR(--ISNUMBER(SEARCH("R52",G180))*52,0)+IFERROR(--ISNUMBER(SEARCH("R53",G180))*53,0)+IFERROR(--ISNUMBER(SEARCH("R54",G180))*54,0)+IFERROR(--ISNUMBER(SEARCH("R55",G180))*55,0)+IFERROR(--ISNUMBER(SEARCH("R56",G180))*56,0)+IFERROR(--ISNUMBER(SEARCH("R57",G180))*57,0)+IFERROR(--ISNUMBER(SEARCH("R58",G180))*58,0)+IFERROR(--ISNUMBER(SEARCH("R59",G180))*59,0)+IFERROR(--ISNUMBER(SEARCH("R60",G180))*60,0)+IFERROR(--ISNUMBER(SEARCH("R61",G180))*61,0)+IFERROR(--ISNUMBER(SEARCH("R62",G180))*62,0)+IFERROR(--ISNUMBER(SEARCH("R63",G180))*63,0)+IFERROR(--ISNUMBER(SEARCH("R64",G180))*64,0)+IFERROR(--ISNUMBER(SEARCH("R65",G180))*65,0)+IFERROR(--ISNUMBER(SEARCH("R66",G180))*66,0)+IFERROR(--ISNUMBER(SEARCH("R67",G180))*67,0)+IFERROR(--ISNUMBER(SEARCH("R68",G180))*68,0)+IFERROR(--ISNUMBER(SEARCH("R69",G180))*69,0)+IFERROR(--ISNUMBER(SEARCH("R70",G180))*70,0)+IFERROR(--ISNUMBER(SEARCH("R71",G180))*71,0)+IFERROR(--ISNUMBER(SEARCH("R72",G180))*72,0)+IFERROR(--ISNUMBER(SEARCH("R73",G180))*73,0)+IFERROR(--ISNUMBER(SEARCH("R74",G180))*74,0)+IFERROR(--ISNUMBER(SEARCH("R75",G180))*75,0)+IFERROR(--ISNUMBER(SEARCH("R76",G180))*76,0)+IFERROR(--ISNUMBER(SEARCH("R77",G180))*77,0)+IFERROR(--ISNUMBER(SEARCH("R78",G180))*78,0)+IFERROR(--ISNUMBER(SEARCH("R79",G180))*79,0)+IFERROR(--ISNUMBER(SEARCH("R80",G180))*80,0)+IFERROR(--ISNUMBER(SEARCH("R81",G180))*81,0)+IFERROR(--ISNUMBER(SEARCH("R82",G180))*82,0)+IFERROR(--ISNUMBER(SEARCH("R83",G180))*83,0)+IFERROR(--ISNUMBER(SEARCH("R84",G180))*84,0)+IFERROR(--ISNUMBER(SEARCH("R85",G180))*85,0)+IFERROR(--ISNUMBER(SEARCH("R86",G180))*86,0)+IFERROR(--ISNUMBER(SEARCH("R87",G180))*87,0)+IFERROR(--ISNUMBER(SEARCH("R88",G180))*88,0)+IFERROR(--ISNUMBER(SEARCH("R89",G180))*89,0)+IFERROR(--ISNUMBER(SEARCH("R90",G180))*90,0)+IFERROR(--ISNUMBER(SEARCH("R91",G180))*91,0)+IFERROR(--ISNUMBER(SEARCH("R92",G180))*92,0)+IFERROR(--ISNUMBER(SEARCH("R93",G180))*93,0)+IFERROR(--ISNUMBER(SEARCH("R94",G180))*94,0)+IFERROR(--ISNUMBER(SEARCH("R95",G180))*95,0)+IFERROR(--ISNUMBER(SEARCH("R96",G180))*96,0)+IFERROR(--ISNUMBER(SEARCH("R97",G180))*97,0)+IFERROR(--ISNUMBER(SEARCH("R98",G180))*98,0)+IFERROR(--ISNUMBER(SEARCH("R99",G180))*99,0)+IFERROR(--ISNUMBER(SEARCH("R100",G180))*100,0)+IFERROR(--ISNUMBER(SEARCH("R101",G180))*101,0)+IFERROR(--ISNUMBER(SEARCH("R102",G180))*102,0)+IFERROR(--ISNUMBER(SEARCH("R103",G180))*103,0)+IFERROR(--ISNUMBER(SEARCH("R104",G180))*104,0)+IFERROR(--ISNUMBER(SEARCH("R105",G180))*105,0)+IFERROR(--ISNUMBER(SEARCH("R106",G180))*106,0)+IFERROR(--ISNUMBER(SEARCH("R107",G180))*107,0)+IFERROR(--ISNUMBER(SEARCH("R108",G180))*108,0)+IFERROR(--ISNUMBER(SEARCH("R109",G180))*109,0)+IFERROR(--ISNUMBER(SEARCH("R110",G180))*110,0)+IFERROR(--ISNUMBER(SEARCH("R111",G180))*111,0)+IFERROR(--ISNUMBER(SEARCH("R112",G180))*112,0)+IFERROR(--ISNUMBER(SEARCH("R113",G180))*113,0)+IFERROR(--ISNUMBER(SEARCH("R114",G180))*114,0)+IFERROR(--ISNUMBER(SEARCH("R115",G180))*115,0)+IFERROR(--ISNUMBER(SEARCH("R116",G180))*116,0)+IFERROR(--ISNUMBER(SEARCH("R117",G180))*117,0)+IFERROR(--ISNUMBER(SEARCH("R118",G180))*118,0)+IFERROR(--ISNUMBER(SEARCH("R119",G180))*119,0)+IFERROR(--ISNUMBER(SEARCH("R120",G180))*120,0)+IFERROR(--ISNUMBER(SEARCH("R121",G180))*121,0)+IFERROR(--ISNUMBER(SEARCH("R122",G180))*122,0)+IFERROR(--ISNUMBER(SEARCH("R123",G180))*123,0)+IFERROR(--ISNUMBER(SEARCH("R124",G180))*124,0)+IFERROR(--ISNUMBER(SEARCH("R125",G180))*125,0)+IFERROR(--ISNUMBER(SEARCH("R126",G180))*126,0)+IFERROR(--ISNUMBER(SEARCH("R127",G180))*127,0)+IFERROR(--ISNUMBER(SEARCH("R128",G180))*128,0)+IFERROR(--ISNUMBER(SEARCH("R129",G180))*129,0)+IFERROR(--ISNUMBER(SEARCH("R130",G180))*130,0)+IFERROR(--ISNUMBER(SEARCH("R131",G180))*131,0)+IFERROR(--ISNUMBER(SEARCH("R132",G180))*132,0)+IFERROR(--ISNUMBER(SEARCH("R133",G180))*133,0)+IFERROR(--ISNUMBER(SEARCH("R134",G180))*134,0)+IFERROR(--ISNUMBER(SEARCH("R135",G180))*135,0)+IFERROR(--ISNUMBER(SEARCH("R136",G180))*136,0)+IFERROR(--ISNUMBER(SEARCH("R137",G180))*137,0)+IFERROR(--ISNUMBER(SEARCH("R138",G180))*138,0)+IFERROR(--ISNUMBER(SEARCH("R139",G180))*139,0)+IFERROR(--ISNUMBER(SEARCH("R140",G180))*140,0)+IFERROR(--ISNUMBER(SEARCH("R141",G180))*141,0))</f>
        <v/>
      </c>
      <c r="V180" s="59">
        <f>IF(A180="","",IF(K180&lt;&gt;"",K180,J180))</f>
        <v/>
      </c>
      <c r="W180" s="59">
        <f>IF(A180="","",IF(AND(V180=29,O180&lt;&gt;"",COUNTIFS($V$6:$V$505,29,$F$6:$F$505,F180,$C$6:$C$505,C180,$O$6:$O$505,"&lt;&gt;")&gt;1),IF(COUNTIFS($V$6:V180,29,$F$6:F180,F180,$C$6:C180,C180,$O$6:O180,"&lt;&gt;")=1,"Esta es la fila que se debe CONSERVAR (aparición 1 de "&amp;COUNTIFS($V$6:$V$505,29,$F$6:$F$505,F180,$C$6:$C$505,C180,$O$6:$O$505,"&lt;&gt;")&amp;" con el mismo tercero y valor, casilla 29). Si hay más filas iguales, bórreles el valor a ELLAS, no a esta.","DUPLICADO — ya existe otra fila con el mismo tercero y valor para casilla 29 (aparición "&amp;COUNTIFS($V$6:V180,29,$F$6:F180,F180,$C$6:C180,C180,$O$6:O180,"&lt;&gt;")&amp;" de "&amp;COUNTIFS($V$6:$V$505,29,$F$6:$F$505,F180,$C$6:$C$505,C180,$O$6:$O$505,"&lt;&gt;")&amp;"). Para resolverlo: seleccione la celda O"&amp;ROW()&amp;" (columna Valor a declarar de ESTA fila) y presione Supr."),""))</f>
        <v/>
      </c>
      <c r="X180" s="463">
        <f>IF(A180="","",F180)</f>
        <v/>
      </c>
      <c r="Y180" s="463">
        <f>IF(A180="","",SUMIF(Entrada_Manual!$I$88:$I$187,A180,Entrada_Manual!$F$88:$F$187))</f>
        <v/>
      </c>
      <c r="Z180" s="463">
        <f>IF(A180="","",X180-Y180)</f>
        <v/>
      </c>
      <c r="AA180">
        <f>IF(A180="","",SUMPRODUCT((Entrada_Manual!$I$88:$I$187=A180)*1))</f>
        <v/>
      </c>
      <c r="AB180">
        <f>IF(A180="","",IF(S180&lt;=1,"",IF(AA180=0,"PENDIENTE — SIN ASIGNAR",IF(Z180=0,"RESUELTO","PARCIAL — DIFERENCIA "&amp;TEXT(Z180,"#,##0")))))</f>
        <v/>
      </c>
    </row>
    <row r="181" ht="14.25" customHeight="1" s="235">
      <c r="A181" s="47">
        <f>IF(Exogena_RAW!E190&lt;&gt;"",ROW()-5,"")</f>
        <v/>
      </c>
      <c r="B181" s="48">
        <f>IF(A181="","",190)</f>
        <v/>
      </c>
      <c r="C181" s="48">
        <f>IF(A181="","",IFERROR(Exogena_RAW!A190,""))</f>
        <v/>
      </c>
      <c r="D181" s="48">
        <f>IF(A181="","",IFERROR(Exogena_RAW!B190,""))</f>
        <v/>
      </c>
      <c r="E181" s="48">
        <f>IF(A181="","",Exogena_RAW!E190)</f>
        <v/>
      </c>
      <c r="F181" s="461">
        <f>IF(A181="","",Exogena_RAW!F190)</f>
        <v/>
      </c>
      <c r="G181" s="48">
        <f>IF(A181="","",IFERROR(Exogena_RAW!G190,""))</f>
        <v/>
      </c>
      <c r="H181" s="48">
        <f>IF(A181="","",IFERROR(Exogena_RAW!H190,""))</f>
        <v/>
      </c>
      <c r="I181" s="48">
        <f>IF(A181="","",IFERROR(IF(S181&gt;1,"VARIAS CASILLAS",IF(S181=1,IF(T181=1,"PROPUESTA DE CASILLA","REVISIÓN: CASILLA NO DIRECTA"),IF(OR(ISNUMBER(SEARCH("TOPE",UPPER(E181))),ISNUMBER(SEARCH("TOPE",UPPER(G181)))),"SOLO CONTROL",IF(ISNUMBER(SEARCH("RETEN",UPPER(E181))),"RETENCIÓN","REVISAR")))),"REVISAR"))</f>
        <v/>
      </c>
      <c r="J181" s="48">
        <f>IF(A181="","",IF(ISNUMBER(SEARCH("ingreso laboral promedio de los últimos seis meses",E181)),"",IFERROR(IF(AND(S181=1,T181=1),U181,""),"")))</f>
        <v/>
      </c>
      <c r="K181" s="216" t="n"/>
      <c r="L181" s="48">
        <f>IF(A181="","",IFERROR(IF(K181&lt;&gt;"","Casilla elegida por usuario",IF(S181&gt;1,"Varias casillas — elegir en K",IF(J181&lt;&gt;"","Sugerencia directa",IF(S181=1,"No trasladar directo — revisar",IF(OR(ISNUMBER(SEARCH("TOPE",UPPER(E181))),ISNUMBER(SEARCH("TOPE",UPPER(G181)))),"Solo control","Revisar manualmente"))))),"Revisar manualmente"))</f>
        <v/>
      </c>
      <c r="M181" s="461">
        <f>IF(A181="","",IF(IF(K181&lt;&gt;"",K181,J181)="",0,IF(COUNTIFS(Reglas!$I$5:$I$118,IF(K181&lt;&gt;"",K181,J181),Reglas!$J$5:$J$118,"Sí")=1,F181,0)))</f>
        <v/>
      </c>
      <c r="N181" s="56" t="n"/>
      <c r="O181" s="462">
        <f>IF(A181="","",IF(M181=0,"",M181))</f>
        <v/>
      </c>
      <c r="P181" s="461">
        <f>IF(A181="","",IF(O181="",0,IF(ISNUMBER(O181),O181,0)))</f>
        <v/>
      </c>
      <c r="Q181" s="48">
        <f>IF(A181="","",IF(Exogena_RAW!$C$4="","BLOQUEADO: FALTA AÑO",IF(Exogena_RAW!$K$10&lt;&gt;Reglas!$B$5,"BLOQUEADO: AÑO",IF(IF(K181&lt;&gt;"",K181,J181)="",IF(S181&gt;1,"REQUIERE ASIGNACIÓN MANUAL (VARIAS CASILLAS)","INFORMATIVO (sin casilla — no se declara)"),IF(COUNTIFS(Reglas!$I$5:$I$118,IF(K181&lt;&gt;"",K181,J181),Reglas!$J$5:$J$118,"Sí")=0,"BLOQUEADO: CASILLA NO DIRECTA",IF(O181="","EXCLUIDO (valor borrado por el usuario)",IF(_xlfn.ISFORMULA(O181),IF(W181&lt;&gt;"","BORRADOR — VALOR SUGERIDO DIAN ⚠ VER ALERTA","BORRADOR — VALOR SUGERIDO DIAN"),IF(W181&lt;&gt;"","ACEPTADO ⚠ VER ALERTA","ACEPTADO"))))))))</f>
        <v/>
      </c>
      <c r="R181" s="218" t="n"/>
      <c r="S181" s="58">
        <f>IF(A181="","",IFERROR(--ISNUMBER(SEARCH("R28",G181)),0)+IFERROR(--ISNUMBER(SEARCH("R29",G181)),0)+IFERROR(--ISNUMBER(SEARCH("R30",G181)),0)+IFERROR(--ISNUMBER(SEARCH("R31",G181)),0)+IFERROR(--ISNUMBER(SEARCH("R32",G181)),0)+IFERROR(--ISNUMBER(SEARCH("R33",G181)),0)+IFERROR(--ISNUMBER(SEARCH("R34",G181)),0)+IFERROR(--ISNUMBER(SEARCH("R35",G181)),0)+IFERROR(--ISNUMBER(SEARCH("R36",G181)),0)+IFERROR(--ISNUMBER(SEARCH("R37",G181)),0)+IFERROR(--ISNUMBER(SEARCH("R38",G181)),0)+IFERROR(--ISNUMBER(SEARCH("R39",G181)),0)+IFERROR(--ISNUMBER(SEARCH("R40",G181)),0)+IFERROR(--ISNUMBER(SEARCH("R41",G181)),0)+IFERROR(--ISNUMBER(SEARCH("R42",G181)),0)+IFERROR(--ISNUMBER(SEARCH("R43",G181)),0)+IFERROR(--ISNUMBER(SEARCH("R44",G181)),0)+IFERROR(--ISNUMBER(SEARCH("R45",G181)),0)+IFERROR(--ISNUMBER(SEARCH("R46",G181)),0)+IFERROR(--ISNUMBER(SEARCH("R47",G181)),0)+IFERROR(--ISNUMBER(SEARCH("R48",G181)),0)+IFERROR(--ISNUMBER(SEARCH("R49",G181)),0)+IFERROR(--ISNUMBER(SEARCH("R50",G181)),0)+IFERROR(--ISNUMBER(SEARCH("R51",G181)),0)+IFERROR(--ISNUMBER(SEARCH("R52",G181)),0)+IFERROR(--ISNUMBER(SEARCH("R53",G181)),0)+IFERROR(--ISNUMBER(SEARCH("R54",G181)),0)+IFERROR(--ISNUMBER(SEARCH("R55",G181)),0)+IFERROR(--ISNUMBER(SEARCH("R56",G181)),0)+IFERROR(--ISNUMBER(SEARCH("R57",G181)),0)+IFERROR(--ISNUMBER(SEARCH("R58",G181)),0)+IFERROR(--ISNUMBER(SEARCH("R59",G181)),0)+IFERROR(--ISNUMBER(SEARCH("R60",G181)),0)+IFERROR(--ISNUMBER(SEARCH("R61",G181)),0)+IFERROR(--ISNUMBER(SEARCH("R62",G181)),0)+IFERROR(--ISNUMBER(SEARCH("R63",G181)),0)+IFERROR(--ISNUMBER(SEARCH("R64",G181)),0)+IFERROR(--ISNUMBER(SEARCH("R65",G181)),0)+IFERROR(--ISNUMBER(SEARCH("R66",G181)),0)+IFERROR(--ISNUMBER(SEARCH("R67",G181)),0)+IFERROR(--ISNUMBER(SEARCH("R68",G181)),0)+IFERROR(--ISNUMBER(SEARCH("R69",G181)),0)+IFERROR(--ISNUMBER(SEARCH("R70",G181)),0)+IFERROR(--ISNUMBER(SEARCH("R71",G181)),0)+IFERROR(--ISNUMBER(SEARCH("R72",G181)),0)+IFERROR(--ISNUMBER(SEARCH("R73",G181)),0)+IFERROR(--ISNUMBER(SEARCH("R74",G181)),0)+IFERROR(--ISNUMBER(SEARCH("R75",G181)),0)+IFERROR(--ISNUMBER(SEARCH("R76",G181)),0)+IFERROR(--ISNUMBER(SEARCH("R77",G181)),0)+IFERROR(--ISNUMBER(SEARCH("R78",G181)),0)+IFERROR(--ISNUMBER(SEARCH("R79",G181)),0)+IFERROR(--ISNUMBER(SEARCH("R80",G181)),0)+IFERROR(--ISNUMBER(SEARCH("R81",G181)),0)+IFERROR(--ISNUMBER(SEARCH("R82",G181)),0)+IFERROR(--ISNUMBER(SEARCH("R83",G181)),0)+IFERROR(--ISNUMBER(SEARCH("R84",G181)),0)+IFERROR(--ISNUMBER(SEARCH("R85",G181)),0)+IFERROR(--ISNUMBER(SEARCH("R86",G181)),0)+IFERROR(--ISNUMBER(SEARCH("R87",G181)),0)+IFERROR(--ISNUMBER(SEARCH("R88",G181)),0)+IFERROR(--ISNUMBER(SEARCH("R89",G181)),0)+IFERROR(--ISNUMBER(SEARCH("R90",G181)),0)+IFERROR(--ISNUMBER(SEARCH("R91",G181)),0)+IFERROR(--ISNUMBER(SEARCH("R92",G181)),0)+IFERROR(--ISNUMBER(SEARCH("R93",G181)),0)+IFERROR(--ISNUMBER(SEARCH("R94",G181)),0)+IFERROR(--ISNUMBER(SEARCH("R95",G181)),0)+IFERROR(--ISNUMBER(SEARCH("R96",G181)),0)+IFERROR(--ISNUMBER(SEARCH("R97",G181)),0)+IFERROR(--ISNUMBER(SEARCH("R98",G181)),0)+IFERROR(--ISNUMBER(SEARCH("R99",G181)),0)+IFERROR(--ISNUMBER(SEARCH("R100",G181)),0)+IFERROR(--ISNUMBER(SEARCH("R101",G181)),0)+IFERROR(--ISNUMBER(SEARCH("R102",G181)),0)+IFERROR(--ISNUMBER(SEARCH("R103",G181)),0)+IFERROR(--ISNUMBER(SEARCH("R104",G181)),0)+IFERROR(--ISNUMBER(SEARCH("R105",G181)),0)+IFERROR(--ISNUMBER(SEARCH("R106",G181)),0)+IFERROR(--ISNUMBER(SEARCH("R107",G181)),0)+IFERROR(--ISNUMBER(SEARCH("R108",G181)),0)+IFERROR(--ISNUMBER(SEARCH("R109",G181)),0)+IFERROR(--ISNUMBER(SEARCH("R110",G181)),0)+IFERROR(--ISNUMBER(SEARCH("R111",G181)),0)+IFERROR(--ISNUMBER(SEARCH("R112",G181)),0)+IFERROR(--ISNUMBER(SEARCH("R113",G181)),0)+IFERROR(--ISNUMBER(SEARCH("R114",G181)),0)+IFERROR(--ISNUMBER(SEARCH("R115",G181)),0)+IFERROR(--ISNUMBER(SEARCH("R116",G181)),0)+IFERROR(--ISNUMBER(SEARCH("R117",G181)),0)+IFERROR(--ISNUMBER(SEARCH("R118",G181)),0)+IFERROR(--ISNUMBER(SEARCH("R119",G181)),0)+IFERROR(--ISNUMBER(SEARCH("R120",G181)),0)+IFERROR(--ISNUMBER(SEARCH("R121",G181)),0)+IFERROR(--ISNUMBER(SEARCH("R122",G181)),0)+IFERROR(--ISNUMBER(SEARCH("R123",G181)),0)+IFERROR(--ISNUMBER(SEARCH("R124",G181)),0)+IFERROR(--ISNUMBER(SEARCH("R125",G181)),0)+IFERROR(--ISNUMBER(SEARCH("R126",G181)),0)+IFERROR(--ISNUMBER(SEARCH("R127",G181)),0)+IFERROR(--ISNUMBER(SEARCH("R128",G181)),0)+IFERROR(--ISNUMBER(SEARCH("R129",G181)),0)+IFERROR(--ISNUMBER(SEARCH("R130",G181)),0)+IFERROR(--ISNUMBER(SEARCH("R131",G181)),0)+IFERROR(--ISNUMBER(SEARCH("R132",G181)),0)+IFERROR(--ISNUMBER(SEARCH("R133",G181)),0)+IFERROR(--ISNUMBER(SEARCH("R134",G181)),0)+IFERROR(--ISNUMBER(SEARCH("R135",G181)),0)+IFERROR(--ISNUMBER(SEARCH("R136",G181)),0)+IFERROR(--ISNUMBER(SEARCH("R137",G181)),0)+IFERROR(--ISNUMBER(SEARCH("R138",G181)),0)+IFERROR(--ISNUMBER(SEARCH("R139",G181)),0)+IFERROR(--ISNUMBER(SEARCH("R140",G181)),0)+IFERROR(--ISNUMBER(SEARCH("R141",G181)),0))</f>
        <v/>
      </c>
      <c r="T181" s="58">
        <f>IF(A181="","",IFERROR(--ISNUMBER(SEARCH("R28",G181)),0)+IFERROR(--ISNUMBER(SEARCH("R29",G181)),0)+IFERROR(--ISNUMBER(SEARCH("R30",G181)),0)+IFERROR(--ISNUMBER(SEARCH("R32",G181)),0)+IFERROR(--ISNUMBER(SEARCH("R33",G181)),0)+IFERROR(--ISNUMBER(SEARCH("R35",G181)),0)+IFERROR(--ISNUMBER(SEARCH("R36",G181)),0)+IFERROR(--ISNUMBER(SEARCH("R38",G181)),0)+IFERROR(--ISNUMBER(SEARCH("R39",G181)),0)+IFERROR(--ISNUMBER(SEARCH("R43",G181)),0)+IFERROR(--ISNUMBER(SEARCH("R44",G181)),0)+IFERROR(--ISNUMBER(SEARCH("R45",G181)),0)+IFERROR(--ISNUMBER(SEARCH("R47",G181)),0)+IFERROR(--ISNUMBER(SEARCH("R48",G181)),0)+IFERROR(--ISNUMBER(SEARCH("R50",G181)),0)+IFERROR(--ISNUMBER(SEARCH("R51",G181)),0)+IFERROR(--ISNUMBER(SEARCH("R56",G181)),0)+IFERROR(--ISNUMBER(SEARCH("R58",G181)),0)+IFERROR(--ISNUMBER(SEARCH("R59",G181)),0)+IFERROR(--ISNUMBER(SEARCH("R60",G181)),0)+IFERROR(--ISNUMBER(SEARCH("R62",G181)),0)+IFERROR(--ISNUMBER(SEARCH("R63",G181)),0)+IFERROR(--ISNUMBER(SEARCH("R64",G181)),0)+IFERROR(--ISNUMBER(SEARCH("R66",G181)),0)+IFERROR(--ISNUMBER(SEARCH("R67",G181)),0)+IFERROR(--ISNUMBER(SEARCH("R72",G181)),0)+IFERROR(--ISNUMBER(SEARCH("R74",G181)),0)+IFERROR(--ISNUMBER(SEARCH("R75",G181)),0)+IFERROR(--ISNUMBER(SEARCH("R76",G181)),0)+IFERROR(--ISNUMBER(SEARCH("R77",G181)),0)+IFERROR(--ISNUMBER(SEARCH("R79",G181)),0)+IFERROR(--ISNUMBER(SEARCH("R80",G181)),0)+IFERROR(--ISNUMBER(SEARCH("R81",G181)),0)+IFERROR(--ISNUMBER(SEARCH("R83",G181)),0)+IFERROR(--ISNUMBER(SEARCH("R84",G181)),0)+IFERROR(--ISNUMBER(SEARCH("R89",G181)),0)+IFERROR(--ISNUMBER(SEARCH("R94",G181)),0)+IFERROR(--ISNUMBER(SEARCH("R95",G181)),0)+IFERROR(--ISNUMBER(SEARCH("R96",G181)),0)+IFERROR(--ISNUMBER(SEARCH("R98",G181)),0)+IFERROR(--ISNUMBER(SEARCH("R99",G181)),0)+IFERROR(--ISNUMBER(SEARCH("R100",G181)),0)+IFERROR(--ISNUMBER(SEARCH("R104",G181)),0)+IFERROR(--ISNUMBER(SEARCH("R105",G181)),0)+IFERROR(--ISNUMBER(SEARCH("R107",G181)),0)+IFERROR(--ISNUMBER(SEARCH("R108",G181)),0)+IFERROR(--ISNUMBER(SEARCH("R109",G181)),0)+IFERROR(--ISNUMBER(SEARCH("R110",G181)),0)+IFERROR(--ISNUMBER(SEARCH("R112",G181)),0)+IFERROR(--ISNUMBER(SEARCH("R113",G181)),0)+IFERROR(--ISNUMBER(SEARCH("R114",G181)),0)+IFERROR(--ISNUMBER(SEARCH("R118",G181)),0)+IFERROR(--ISNUMBER(SEARCH("R119",G181)),0)+IFERROR(--ISNUMBER(SEARCH("R120",G181)),0)+IFERROR(--ISNUMBER(SEARCH("R122",G181)),0)+IFERROR(--ISNUMBER(SEARCH("R123",G181)),0)+IFERROR(--ISNUMBER(SEARCH("R124",G181)),0)+IFERROR(--ISNUMBER(SEARCH("R128",G181)),0)+IFERROR(--ISNUMBER(SEARCH("R130",G181)),0)+IFERROR(--ISNUMBER(SEARCH("R131",G181)),0)+IFERROR(--ISNUMBER(SEARCH("R132",G181)),0)+IFERROR(--ISNUMBER(SEARCH("R135",G181)),0)+IFERROR(--ISNUMBER(SEARCH("R138",G181)),0)+IFERROR(--ISNUMBER(SEARCH("R141",G181)),0))</f>
        <v/>
      </c>
      <c r="U181" s="58">
        <f>IF(A181="","",IFERROR(--ISNUMBER(SEARCH("R28",G181))*28,0)+IFERROR(--ISNUMBER(SEARCH("R29",G181))*29,0)+IFERROR(--ISNUMBER(SEARCH("R30",G181))*30,0)+IFERROR(--ISNUMBER(SEARCH("R31",G181))*31,0)+IFERROR(--ISNUMBER(SEARCH("R32",G181))*32,0)+IFERROR(--ISNUMBER(SEARCH("R33",G181))*33,0)+IFERROR(--ISNUMBER(SEARCH("R34",G181))*34,0)+IFERROR(--ISNUMBER(SEARCH("R35",G181))*35,0)+IFERROR(--ISNUMBER(SEARCH("R36",G181))*36,0)+IFERROR(--ISNUMBER(SEARCH("R37",G181))*37,0)+IFERROR(--ISNUMBER(SEARCH("R38",G181))*38,0)+IFERROR(--ISNUMBER(SEARCH("R39",G181))*39,0)+IFERROR(--ISNUMBER(SEARCH("R40",G181))*40,0)+IFERROR(--ISNUMBER(SEARCH("R41",G181))*41,0)+IFERROR(--ISNUMBER(SEARCH("R42",G181))*42,0)+IFERROR(--ISNUMBER(SEARCH("R43",G181))*43,0)+IFERROR(--ISNUMBER(SEARCH("R44",G181))*44,0)+IFERROR(--ISNUMBER(SEARCH("R45",G181))*45,0)+IFERROR(--ISNUMBER(SEARCH("R46",G181))*46,0)+IFERROR(--ISNUMBER(SEARCH("R47",G181))*47,0)+IFERROR(--ISNUMBER(SEARCH("R48",G181))*48,0)+IFERROR(--ISNUMBER(SEARCH("R49",G181))*49,0)+IFERROR(--ISNUMBER(SEARCH("R50",G181))*50,0)+IFERROR(--ISNUMBER(SEARCH("R51",G181))*51,0)+IFERROR(--ISNUMBER(SEARCH("R52",G181))*52,0)+IFERROR(--ISNUMBER(SEARCH("R53",G181))*53,0)+IFERROR(--ISNUMBER(SEARCH("R54",G181))*54,0)+IFERROR(--ISNUMBER(SEARCH("R55",G181))*55,0)+IFERROR(--ISNUMBER(SEARCH("R56",G181))*56,0)+IFERROR(--ISNUMBER(SEARCH("R57",G181))*57,0)+IFERROR(--ISNUMBER(SEARCH("R58",G181))*58,0)+IFERROR(--ISNUMBER(SEARCH("R59",G181))*59,0)+IFERROR(--ISNUMBER(SEARCH("R60",G181))*60,0)+IFERROR(--ISNUMBER(SEARCH("R61",G181))*61,0)+IFERROR(--ISNUMBER(SEARCH("R62",G181))*62,0)+IFERROR(--ISNUMBER(SEARCH("R63",G181))*63,0)+IFERROR(--ISNUMBER(SEARCH("R64",G181))*64,0)+IFERROR(--ISNUMBER(SEARCH("R65",G181))*65,0)+IFERROR(--ISNUMBER(SEARCH("R66",G181))*66,0)+IFERROR(--ISNUMBER(SEARCH("R67",G181))*67,0)+IFERROR(--ISNUMBER(SEARCH("R68",G181))*68,0)+IFERROR(--ISNUMBER(SEARCH("R69",G181))*69,0)+IFERROR(--ISNUMBER(SEARCH("R70",G181))*70,0)+IFERROR(--ISNUMBER(SEARCH("R71",G181))*71,0)+IFERROR(--ISNUMBER(SEARCH("R72",G181))*72,0)+IFERROR(--ISNUMBER(SEARCH("R73",G181))*73,0)+IFERROR(--ISNUMBER(SEARCH("R74",G181))*74,0)+IFERROR(--ISNUMBER(SEARCH("R75",G181))*75,0)+IFERROR(--ISNUMBER(SEARCH("R76",G181))*76,0)+IFERROR(--ISNUMBER(SEARCH("R77",G181))*77,0)+IFERROR(--ISNUMBER(SEARCH("R78",G181))*78,0)+IFERROR(--ISNUMBER(SEARCH("R79",G181))*79,0)+IFERROR(--ISNUMBER(SEARCH("R80",G181))*80,0)+IFERROR(--ISNUMBER(SEARCH("R81",G181))*81,0)+IFERROR(--ISNUMBER(SEARCH("R82",G181))*82,0)+IFERROR(--ISNUMBER(SEARCH("R83",G181))*83,0)+IFERROR(--ISNUMBER(SEARCH("R84",G181))*84,0)+IFERROR(--ISNUMBER(SEARCH("R85",G181))*85,0)+IFERROR(--ISNUMBER(SEARCH("R86",G181))*86,0)+IFERROR(--ISNUMBER(SEARCH("R87",G181))*87,0)+IFERROR(--ISNUMBER(SEARCH("R88",G181))*88,0)+IFERROR(--ISNUMBER(SEARCH("R89",G181))*89,0)+IFERROR(--ISNUMBER(SEARCH("R90",G181))*90,0)+IFERROR(--ISNUMBER(SEARCH("R91",G181))*91,0)+IFERROR(--ISNUMBER(SEARCH("R92",G181))*92,0)+IFERROR(--ISNUMBER(SEARCH("R93",G181))*93,0)+IFERROR(--ISNUMBER(SEARCH("R94",G181))*94,0)+IFERROR(--ISNUMBER(SEARCH("R95",G181))*95,0)+IFERROR(--ISNUMBER(SEARCH("R96",G181))*96,0)+IFERROR(--ISNUMBER(SEARCH("R97",G181))*97,0)+IFERROR(--ISNUMBER(SEARCH("R98",G181))*98,0)+IFERROR(--ISNUMBER(SEARCH("R99",G181))*99,0)+IFERROR(--ISNUMBER(SEARCH("R100",G181))*100,0)+IFERROR(--ISNUMBER(SEARCH("R101",G181))*101,0)+IFERROR(--ISNUMBER(SEARCH("R102",G181))*102,0)+IFERROR(--ISNUMBER(SEARCH("R103",G181))*103,0)+IFERROR(--ISNUMBER(SEARCH("R104",G181))*104,0)+IFERROR(--ISNUMBER(SEARCH("R105",G181))*105,0)+IFERROR(--ISNUMBER(SEARCH("R106",G181))*106,0)+IFERROR(--ISNUMBER(SEARCH("R107",G181))*107,0)+IFERROR(--ISNUMBER(SEARCH("R108",G181))*108,0)+IFERROR(--ISNUMBER(SEARCH("R109",G181))*109,0)+IFERROR(--ISNUMBER(SEARCH("R110",G181))*110,0)+IFERROR(--ISNUMBER(SEARCH("R111",G181))*111,0)+IFERROR(--ISNUMBER(SEARCH("R112",G181))*112,0)+IFERROR(--ISNUMBER(SEARCH("R113",G181))*113,0)+IFERROR(--ISNUMBER(SEARCH("R114",G181))*114,0)+IFERROR(--ISNUMBER(SEARCH("R115",G181))*115,0)+IFERROR(--ISNUMBER(SEARCH("R116",G181))*116,0)+IFERROR(--ISNUMBER(SEARCH("R117",G181))*117,0)+IFERROR(--ISNUMBER(SEARCH("R118",G181))*118,0)+IFERROR(--ISNUMBER(SEARCH("R119",G181))*119,0)+IFERROR(--ISNUMBER(SEARCH("R120",G181))*120,0)+IFERROR(--ISNUMBER(SEARCH("R121",G181))*121,0)+IFERROR(--ISNUMBER(SEARCH("R122",G181))*122,0)+IFERROR(--ISNUMBER(SEARCH("R123",G181))*123,0)+IFERROR(--ISNUMBER(SEARCH("R124",G181))*124,0)+IFERROR(--ISNUMBER(SEARCH("R125",G181))*125,0)+IFERROR(--ISNUMBER(SEARCH("R126",G181))*126,0)+IFERROR(--ISNUMBER(SEARCH("R127",G181))*127,0)+IFERROR(--ISNUMBER(SEARCH("R128",G181))*128,0)+IFERROR(--ISNUMBER(SEARCH("R129",G181))*129,0)+IFERROR(--ISNUMBER(SEARCH("R130",G181))*130,0)+IFERROR(--ISNUMBER(SEARCH("R131",G181))*131,0)+IFERROR(--ISNUMBER(SEARCH("R132",G181))*132,0)+IFERROR(--ISNUMBER(SEARCH("R133",G181))*133,0)+IFERROR(--ISNUMBER(SEARCH("R134",G181))*134,0)+IFERROR(--ISNUMBER(SEARCH("R135",G181))*135,0)+IFERROR(--ISNUMBER(SEARCH("R136",G181))*136,0)+IFERROR(--ISNUMBER(SEARCH("R137",G181))*137,0)+IFERROR(--ISNUMBER(SEARCH("R138",G181))*138,0)+IFERROR(--ISNUMBER(SEARCH("R139",G181))*139,0)+IFERROR(--ISNUMBER(SEARCH("R140",G181))*140,0)+IFERROR(--ISNUMBER(SEARCH("R141",G181))*141,0))</f>
        <v/>
      </c>
      <c r="V181" s="59">
        <f>IF(A181="","",IF(K181&lt;&gt;"",K181,J181))</f>
        <v/>
      </c>
      <c r="W181" s="59">
        <f>IF(A181="","",IF(AND(V181=29,O181&lt;&gt;"",COUNTIFS($V$6:$V$505,29,$F$6:$F$505,F181,$C$6:$C$505,C181,$O$6:$O$505,"&lt;&gt;")&gt;1),IF(COUNTIFS($V$6:V181,29,$F$6:F181,F181,$C$6:C181,C181,$O$6:O181,"&lt;&gt;")=1,"Esta es la fila que se debe CONSERVAR (aparición 1 de "&amp;COUNTIFS($V$6:$V$505,29,$F$6:$F$505,F181,$C$6:$C$505,C181,$O$6:$O$505,"&lt;&gt;")&amp;" con el mismo tercero y valor, casilla 29). Si hay más filas iguales, bórreles el valor a ELLAS, no a esta.","DUPLICADO — ya existe otra fila con el mismo tercero y valor para casilla 29 (aparición "&amp;COUNTIFS($V$6:V181,29,$F$6:F181,F181,$C$6:C181,C181,$O$6:O181,"&lt;&gt;")&amp;" de "&amp;COUNTIFS($V$6:$V$505,29,$F$6:$F$505,F181,$C$6:$C$505,C181,$O$6:$O$505,"&lt;&gt;")&amp;"). Para resolverlo: seleccione la celda O"&amp;ROW()&amp;" (columna Valor a declarar de ESTA fila) y presione Supr."),""))</f>
        <v/>
      </c>
      <c r="X181" s="463">
        <f>IF(A181="","",F181)</f>
        <v/>
      </c>
      <c r="Y181" s="463">
        <f>IF(A181="","",SUMIF(Entrada_Manual!$I$88:$I$187,A181,Entrada_Manual!$F$88:$F$187))</f>
        <v/>
      </c>
      <c r="Z181" s="463">
        <f>IF(A181="","",X181-Y181)</f>
        <v/>
      </c>
      <c r="AA181">
        <f>IF(A181="","",SUMPRODUCT((Entrada_Manual!$I$88:$I$187=A181)*1))</f>
        <v/>
      </c>
      <c r="AB181">
        <f>IF(A181="","",IF(S181&lt;=1,"",IF(AA181=0,"PENDIENTE — SIN ASIGNAR",IF(Z181=0,"RESUELTO","PARCIAL — DIFERENCIA "&amp;TEXT(Z181,"#,##0")))))</f>
        <v/>
      </c>
    </row>
    <row r="182" ht="14.25" customHeight="1" s="235">
      <c r="A182" s="47">
        <f>IF(Exogena_RAW!E191&lt;&gt;"",ROW()-5,"")</f>
        <v/>
      </c>
      <c r="B182" s="48">
        <f>IF(A182="","",191)</f>
        <v/>
      </c>
      <c r="C182" s="48">
        <f>IF(A182="","",IFERROR(Exogena_RAW!A191,""))</f>
        <v/>
      </c>
      <c r="D182" s="48">
        <f>IF(A182="","",IFERROR(Exogena_RAW!B191,""))</f>
        <v/>
      </c>
      <c r="E182" s="48">
        <f>IF(A182="","",Exogena_RAW!E191)</f>
        <v/>
      </c>
      <c r="F182" s="461">
        <f>IF(A182="","",Exogena_RAW!F191)</f>
        <v/>
      </c>
      <c r="G182" s="48">
        <f>IF(A182="","",IFERROR(Exogena_RAW!G191,""))</f>
        <v/>
      </c>
      <c r="H182" s="48">
        <f>IF(A182="","",IFERROR(Exogena_RAW!H191,""))</f>
        <v/>
      </c>
      <c r="I182" s="48">
        <f>IF(A182="","",IFERROR(IF(S182&gt;1,"VARIAS CASILLAS",IF(S182=1,IF(T182=1,"PROPUESTA DE CASILLA","REVISIÓN: CASILLA NO DIRECTA"),IF(OR(ISNUMBER(SEARCH("TOPE",UPPER(E182))),ISNUMBER(SEARCH("TOPE",UPPER(G182)))),"SOLO CONTROL",IF(ISNUMBER(SEARCH("RETEN",UPPER(E182))),"RETENCIÓN","REVISAR")))),"REVISAR"))</f>
        <v/>
      </c>
      <c r="J182" s="48">
        <f>IF(A182="","",IF(ISNUMBER(SEARCH("ingreso laboral promedio de los últimos seis meses",E182)),"",IFERROR(IF(AND(S182=1,T182=1),U182,""),"")))</f>
        <v/>
      </c>
      <c r="K182" s="216" t="n"/>
      <c r="L182" s="48">
        <f>IF(A182="","",IFERROR(IF(K182&lt;&gt;"","Casilla elegida por usuario",IF(S182&gt;1,"Varias casillas — elegir en K",IF(J182&lt;&gt;"","Sugerencia directa",IF(S182=1,"No trasladar directo — revisar",IF(OR(ISNUMBER(SEARCH("TOPE",UPPER(E182))),ISNUMBER(SEARCH("TOPE",UPPER(G182)))),"Solo control","Revisar manualmente"))))),"Revisar manualmente"))</f>
        <v/>
      </c>
      <c r="M182" s="461">
        <f>IF(A182="","",IF(IF(K182&lt;&gt;"",K182,J182)="",0,IF(COUNTIFS(Reglas!$I$5:$I$118,IF(K182&lt;&gt;"",K182,J182),Reglas!$J$5:$J$118,"Sí")=1,F182,0)))</f>
        <v/>
      </c>
      <c r="N182" s="56" t="n"/>
      <c r="O182" s="462">
        <f>IF(A182="","",IF(M182=0,"",M182))</f>
        <v/>
      </c>
      <c r="P182" s="461">
        <f>IF(A182="","",IF(O182="",0,IF(ISNUMBER(O182),O182,0)))</f>
        <v/>
      </c>
      <c r="Q182" s="48">
        <f>IF(A182="","",IF(Exogena_RAW!$C$4="","BLOQUEADO: FALTA AÑO",IF(Exogena_RAW!$K$10&lt;&gt;Reglas!$B$5,"BLOQUEADO: AÑO",IF(IF(K182&lt;&gt;"",K182,J182)="",IF(S182&gt;1,"REQUIERE ASIGNACIÓN MANUAL (VARIAS CASILLAS)","INFORMATIVO (sin casilla — no se declara)"),IF(COUNTIFS(Reglas!$I$5:$I$118,IF(K182&lt;&gt;"",K182,J182),Reglas!$J$5:$J$118,"Sí")=0,"BLOQUEADO: CASILLA NO DIRECTA",IF(O182="","EXCLUIDO (valor borrado por el usuario)",IF(_xlfn.ISFORMULA(O182),IF(W182&lt;&gt;"","BORRADOR — VALOR SUGERIDO DIAN ⚠ VER ALERTA","BORRADOR — VALOR SUGERIDO DIAN"),IF(W182&lt;&gt;"","ACEPTADO ⚠ VER ALERTA","ACEPTADO"))))))))</f>
        <v/>
      </c>
      <c r="R182" s="218" t="n"/>
      <c r="S182" s="58">
        <f>IF(A182="","",IFERROR(--ISNUMBER(SEARCH("R28",G182)),0)+IFERROR(--ISNUMBER(SEARCH("R29",G182)),0)+IFERROR(--ISNUMBER(SEARCH("R30",G182)),0)+IFERROR(--ISNUMBER(SEARCH("R31",G182)),0)+IFERROR(--ISNUMBER(SEARCH("R32",G182)),0)+IFERROR(--ISNUMBER(SEARCH("R33",G182)),0)+IFERROR(--ISNUMBER(SEARCH("R34",G182)),0)+IFERROR(--ISNUMBER(SEARCH("R35",G182)),0)+IFERROR(--ISNUMBER(SEARCH("R36",G182)),0)+IFERROR(--ISNUMBER(SEARCH("R37",G182)),0)+IFERROR(--ISNUMBER(SEARCH("R38",G182)),0)+IFERROR(--ISNUMBER(SEARCH("R39",G182)),0)+IFERROR(--ISNUMBER(SEARCH("R40",G182)),0)+IFERROR(--ISNUMBER(SEARCH("R41",G182)),0)+IFERROR(--ISNUMBER(SEARCH("R42",G182)),0)+IFERROR(--ISNUMBER(SEARCH("R43",G182)),0)+IFERROR(--ISNUMBER(SEARCH("R44",G182)),0)+IFERROR(--ISNUMBER(SEARCH("R45",G182)),0)+IFERROR(--ISNUMBER(SEARCH("R46",G182)),0)+IFERROR(--ISNUMBER(SEARCH("R47",G182)),0)+IFERROR(--ISNUMBER(SEARCH("R48",G182)),0)+IFERROR(--ISNUMBER(SEARCH("R49",G182)),0)+IFERROR(--ISNUMBER(SEARCH("R50",G182)),0)+IFERROR(--ISNUMBER(SEARCH("R51",G182)),0)+IFERROR(--ISNUMBER(SEARCH("R52",G182)),0)+IFERROR(--ISNUMBER(SEARCH("R53",G182)),0)+IFERROR(--ISNUMBER(SEARCH("R54",G182)),0)+IFERROR(--ISNUMBER(SEARCH("R55",G182)),0)+IFERROR(--ISNUMBER(SEARCH("R56",G182)),0)+IFERROR(--ISNUMBER(SEARCH("R57",G182)),0)+IFERROR(--ISNUMBER(SEARCH("R58",G182)),0)+IFERROR(--ISNUMBER(SEARCH("R59",G182)),0)+IFERROR(--ISNUMBER(SEARCH("R60",G182)),0)+IFERROR(--ISNUMBER(SEARCH("R61",G182)),0)+IFERROR(--ISNUMBER(SEARCH("R62",G182)),0)+IFERROR(--ISNUMBER(SEARCH("R63",G182)),0)+IFERROR(--ISNUMBER(SEARCH("R64",G182)),0)+IFERROR(--ISNUMBER(SEARCH("R65",G182)),0)+IFERROR(--ISNUMBER(SEARCH("R66",G182)),0)+IFERROR(--ISNUMBER(SEARCH("R67",G182)),0)+IFERROR(--ISNUMBER(SEARCH("R68",G182)),0)+IFERROR(--ISNUMBER(SEARCH("R69",G182)),0)+IFERROR(--ISNUMBER(SEARCH("R70",G182)),0)+IFERROR(--ISNUMBER(SEARCH("R71",G182)),0)+IFERROR(--ISNUMBER(SEARCH("R72",G182)),0)+IFERROR(--ISNUMBER(SEARCH("R73",G182)),0)+IFERROR(--ISNUMBER(SEARCH("R74",G182)),0)+IFERROR(--ISNUMBER(SEARCH("R75",G182)),0)+IFERROR(--ISNUMBER(SEARCH("R76",G182)),0)+IFERROR(--ISNUMBER(SEARCH("R77",G182)),0)+IFERROR(--ISNUMBER(SEARCH("R78",G182)),0)+IFERROR(--ISNUMBER(SEARCH("R79",G182)),0)+IFERROR(--ISNUMBER(SEARCH("R80",G182)),0)+IFERROR(--ISNUMBER(SEARCH("R81",G182)),0)+IFERROR(--ISNUMBER(SEARCH("R82",G182)),0)+IFERROR(--ISNUMBER(SEARCH("R83",G182)),0)+IFERROR(--ISNUMBER(SEARCH("R84",G182)),0)+IFERROR(--ISNUMBER(SEARCH("R85",G182)),0)+IFERROR(--ISNUMBER(SEARCH("R86",G182)),0)+IFERROR(--ISNUMBER(SEARCH("R87",G182)),0)+IFERROR(--ISNUMBER(SEARCH("R88",G182)),0)+IFERROR(--ISNUMBER(SEARCH("R89",G182)),0)+IFERROR(--ISNUMBER(SEARCH("R90",G182)),0)+IFERROR(--ISNUMBER(SEARCH("R91",G182)),0)+IFERROR(--ISNUMBER(SEARCH("R92",G182)),0)+IFERROR(--ISNUMBER(SEARCH("R93",G182)),0)+IFERROR(--ISNUMBER(SEARCH("R94",G182)),0)+IFERROR(--ISNUMBER(SEARCH("R95",G182)),0)+IFERROR(--ISNUMBER(SEARCH("R96",G182)),0)+IFERROR(--ISNUMBER(SEARCH("R97",G182)),0)+IFERROR(--ISNUMBER(SEARCH("R98",G182)),0)+IFERROR(--ISNUMBER(SEARCH("R99",G182)),0)+IFERROR(--ISNUMBER(SEARCH("R100",G182)),0)+IFERROR(--ISNUMBER(SEARCH("R101",G182)),0)+IFERROR(--ISNUMBER(SEARCH("R102",G182)),0)+IFERROR(--ISNUMBER(SEARCH("R103",G182)),0)+IFERROR(--ISNUMBER(SEARCH("R104",G182)),0)+IFERROR(--ISNUMBER(SEARCH("R105",G182)),0)+IFERROR(--ISNUMBER(SEARCH("R106",G182)),0)+IFERROR(--ISNUMBER(SEARCH("R107",G182)),0)+IFERROR(--ISNUMBER(SEARCH("R108",G182)),0)+IFERROR(--ISNUMBER(SEARCH("R109",G182)),0)+IFERROR(--ISNUMBER(SEARCH("R110",G182)),0)+IFERROR(--ISNUMBER(SEARCH("R111",G182)),0)+IFERROR(--ISNUMBER(SEARCH("R112",G182)),0)+IFERROR(--ISNUMBER(SEARCH("R113",G182)),0)+IFERROR(--ISNUMBER(SEARCH("R114",G182)),0)+IFERROR(--ISNUMBER(SEARCH("R115",G182)),0)+IFERROR(--ISNUMBER(SEARCH("R116",G182)),0)+IFERROR(--ISNUMBER(SEARCH("R117",G182)),0)+IFERROR(--ISNUMBER(SEARCH("R118",G182)),0)+IFERROR(--ISNUMBER(SEARCH("R119",G182)),0)+IFERROR(--ISNUMBER(SEARCH("R120",G182)),0)+IFERROR(--ISNUMBER(SEARCH("R121",G182)),0)+IFERROR(--ISNUMBER(SEARCH("R122",G182)),0)+IFERROR(--ISNUMBER(SEARCH("R123",G182)),0)+IFERROR(--ISNUMBER(SEARCH("R124",G182)),0)+IFERROR(--ISNUMBER(SEARCH("R125",G182)),0)+IFERROR(--ISNUMBER(SEARCH("R126",G182)),0)+IFERROR(--ISNUMBER(SEARCH("R127",G182)),0)+IFERROR(--ISNUMBER(SEARCH("R128",G182)),0)+IFERROR(--ISNUMBER(SEARCH("R129",G182)),0)+IFERROR(--ISNUMBER(SEARCH("R130",G182)),0)+IFERROR(--ISNUMBER(SEARCH("R131",G182)),0)+IFERROR(--ISNUMBER(SEARCH("R132",G182)),0)+IFERROR(--ISNUMBER(SEARCH("R133",G182)),0)+IFERROR(--ISNUMBER(SEARCH("R134",G182)),0)+IFERROR(--ISNUMBER(SEARCH("R135",G182)),0)+IFERROR(--ISNUMBER(SEARCH("R136",G182)),0)+IFERROR(--ISNUMBER(SEARCH("R137",G182)),0)+IFERROR(--ISNUMBER(SEARCH("R138",G182)),0)+IFERROR(--ISNUMBER(SEARCH("R139",G182)),0)+IFERROR(--ISNUMBER(SEARCH("R140",G182)),0)+IFERROR(--ISNUMBER(SEARCH("R141",G182)),0))</f>
        <v/>
      </c>
      <c r="T182" s="58">
        <f>IF(A182="","",IFERROR(--ISNUMBER(SEARCH("R28",G182)),0)+IFERROR(--ISNUMBER(SEARCH("R29",G182)),0)+IFERROR(--ISNUMBER(SEARCH("R30",G182)),0)+IFERROR(--ISNUMBER(SEARCH("R32",G182)),0)+IFERROR(--ISNUMBER(SEARCH("R33",G182)),0)+IFERROR(--ISNUMBER(SEARCH("R35",G182)),0)+IFERROR(--ISNUMBER(SEARCH("R36",G182)),0)+IFERROR(--ISNUMBER(SEARCH("R38",G182)),0)+IFERROR(--ISNUMBER(SEARCH("R39",G182)),0)+IFERROR(--ISNUMBER(SEARCH("R43",G182)),0)+IFERROR(--ISNUMBER(SEARCH("R44",G182)),0)+IFERROR(--ISNUMBER(SEARCH("R45",G182)),0)+IFERROR(--ISNUMBER(SEARCH("R47",G182)),0)+IFERROR(--ISNUMBER(SEARCH("R48",G182)),0)+IFERROR(--ISNUMBER(SEARCH("R50",G182)),0)+IFERROR(--ISNUMBER(SEARCH("R51",G182)),0)+IFERROR(--ISNUMBER(SEARCH("R56",G182)),0)+IFERROR(--ISNUMBER(SEARCH("R58",G182)),0)+IFERROR(--ISNUMBER(SEARCH("R59",G182)),0)+IFERROR(--ISNUMBER(SEARCH("R60",G182)),0)+IFERROR(--ISNUMBER(SEARCH("R62",G182)),0)+IFERROR(--ISNUMBER(SEARCH("R63",G182)),0)+IFERROR(--ISNUMBER(SEARCH("R64",G182)),0)+IFERROR(--ISNUMBER(SEARCH("R66",G182)),0)+IFERROR(--ISNUMBER(SEARCH("R67",G182)),0)+IFERROR(--ISNUMBER(SEARCH("R72",G182)),0)+IFERROR(--ISNUMBER(SEARCH("R74",G182)),0)+IFERROR(--ISNUMBER(SEARCH("R75",G182)),0)+IFERROR(--ISNUMBER(SEARCH("R76",G182)),0)+IFERROR(--ISNUMBER(SEARCH("R77",G182)),0)+IFERROR(--ISNUMBER(SEARCH("R79",G182)),0)+IFERROR(--ISNUMBER(SEARCH("R80",G182)),0)+IFERROR(--ISNUMBER(SEARCH("R81",G182)),0)+IFERROR(--ISNUMBER(SEARCH("R83",G182)),0)+IFERROR(--ISNUMBER(SEARCH("R84",G182)),0)+IFERROR(--ISNUMBER(SEARCH("R89",G182)),0)+IFERROR(--ISNUMBER(SEARCH("R94",G182)),0)+IFERROR(--ISNUMBER(SEARCH("R95",G182)),0)+IFERROR(--ISNUMBER(SEARCH("R96",G182)),0)+IFERROR(--ISNUMBER(SEARCH("R98",G182)),0)+IFERROR(--ISNUMBER(SEARCH("R99",G182)),0)+IFERROR(--ISNUMBER(SEARCH("R100",G182)),0)+IFERROR(--ISNUMBER(SEARCH("R104",G182)),0)+IFERROR(--ISNUMBER(SEARCH("R105",G182)),0)+IFERROR(--ISNUMBER(SEARCH("R107",G182)),0)+IFERROR(--ISNUMBER(SEARCH("R108",G182)),0)+IFERROR(--ISNUMBER(SEARCH("R109",G182)),0)+IFERROR(--ISNUMBER(SEARCH("R110",G182)),0)+IFERROR(--ISNUMBER(SEARCH("R112",G182)),0)+IFERROR(--ISNUMBER(SEARCH("R113",G182)),0)+IFERROR(--ISNUMBER(SEARCH("R114",G182)),0)+IFERROR(--ISNUMBER(SEARCH("R118",G182)),0)+IFERROR(--ISNUMBER(SEARCH("R119",G182)),0)+IFERROR(--ISNUMBER(SEARCH("R120",G182)),0)+IFERROR(--ISNUMBER(SEARCH("R122",G182)),0)+IFERROR(--ISNUMBER(SEARCH("R123",G182)),0)+IFERROR(--ISNUMBER(SEARCH("R124",G182)),0)+IFERROR(--ISNUMBER(SEARCH("R128",G182)),0)+IFERROR(--ISNUMBER(SEARCH("R130",G182)),0)+IFERROR(--ISNUMBER(SEARCH("R131",G182)),0)+IFERROR(--ISNUMBER(SEARCH("R132",G182)),0)+IFERROR(--ISNUMBER(SEARCH("R135",G182)),0)+IFERROR(--ISNUMBER(SEARCH("R138",G182)),0)+IFERROR(--ISNUMBER(SEARCH("R141",G182)),0))</f>
        <v/>
      </c>
      <c r="U182" s="58">
        <f>IF(A182="","",IFERROR(--ISNUMBER(SEARCH("R28",G182))*28,0)+IFERROR(--ISNUMBER(SEARCH("R29",G182))*29,0)+IFERROR(--ISNUMBER(SEARCH("R30",G182))*30,0)+IFERROR(--ISNUMBER(SEARCH("R31",G182))*31,0)+IFERROR(--ISNUMBER(SEARCH("R32",G182))*32,0)+IFERROR(--ISNUMBER(SEARCH("R33",G182))*33,0)+IFERROR(--ISNUMBER(SEARCH("R34",G182))*34,0)+IFERROR(--ISNUMBER(SEARCH("R35",G182))*35,0)+IFERROR(--ISNUMBER(SEARCH("R36",G182))*36,0)+IFERROR(--ISNUMBER(SEARCH("R37",G182))*37,0)+IFERROR(--ISNUMBER(SEARCH("R38",G182))*38,0)+IFERROR(--ISNUMBER(SEARCH("R39",G182))*39,0)+IFERROR(--ISNUMBER(SEARCH("R40",G182))*40,0)+IFERROR(--ISNUMBER(SEARCH("R41",G182))*41,0)+IFERROR(--ISNUMBER(SEARCH("R42",G182))*42,0)+IFERROR(--ISNUMBER(SEARCH("R43",G182))*43,0)+IFERROR(--ISNUMBER(SEARCH("R44",G182))*44,0)+IFERROR(--ISNUMBER(SEARCH("R45",G182))*45,0)+IFERROR(--ISNUMBER(SEARCH("R46",G182))*46,0)+IFERROR(--ISNUMBER(SEARCH("R47",G182))*47,0)+IFERROR(--ISNUMBER(SEARCH("R48",G182))*48,0)+IFERROR(--ISNUMBER(SEARCH("R49",G182))*49,0)+IFERROR(--ISNUMBER(SEARCH("R50",G182))*50,0)+IFERROR(--ISNUMBER(SEARCH("R51",G182))*51,0)+IFERROR(--ISNUMBER(SEARCH("R52",G182))*52,0)+IFERROR(--ISNUMBER(SEARCH("R53",G182))*53,0)+IFERROR(--ISNUMBER(SEARCH("R54",G182))*54,0)+IFERROR(--ISNUMBER(SEARCH("R55",G182))*55,0)+IFERROR(--ISNUMBER(SEARCH("R56",G182))*56,0)+IFERROR(--ISNUMBER(SEARCH("R57",G182))*57,0)+IFERROR(--ISNUMBER(SEARCH("R58",G182))*58,0)+IFERROR(--ISNUMBER(SEARCH("R59",G182))*59,0)+IFERROR(--ISNUMBER(SEARCH("R60",G182))*60,0)+IFERROR(--ISNUMBER(SEARCH("R61",G182))*61,0)+IFERROR(--ISNUMBER(SEARCH("R62",G182))*62,0)+IFERROR(--ISNUMBER(SEARCH("R63",G182))*63,0)+IFERROR(--ISNUMBER(SEARCH("R64",G182))*64,0)+IFERROR(--ISNUMBER(SEARCH("R65",G182))*65,0)+IFERROR(--ISNUMBER(SEARCH("R66",G182))*66,0)+IFERROR(--ISNUMBER(SEARCH("R67",G182))*67,0)+IFERROR(--ISNUMBER(SEARCH("R68",G182))*68,0)+IFERROR(--ISNUMBER(SEARCH("R69",G182))*69,0)+IFERROR(--ISNUMBER(SEARCH("R70",G182))*70,0)+IFERROR(--ISNUMBER(SEARCH("R71",G182))*71,0)+IFERROR(--ISNUMBER(SEARCH("R72",G182))*72,0)+IFERROR(--ISNUMBER(SEARCH("R73",G182))*73,0)+IFERROR(--ISNUMBER(SEARCH("R74",G182))*74,0)+IFERROR(--ISNUMBER(SEARCH("R75",G182))*75,0)+IFERROR(--ISNUMBER(SEARCH("R76",G182))*76,0)+IFERROR(--ISNUMBER(SEARCH("R77",G182))*77,0)+IFERROR(--ISNUMBER(SEARCH("R78",G182))*78,0)+IFERROR(--ISNUMBER(SEARCH("R79",G182))*79,0)+IFERROR(--ISNUMBER(SEARCH("R80",G182))*80,0)+IFERROR(--ISNUMBER(SEARCH("R81",G182))*81,0)+IFERROR(--ISNUMBER(SEARCH("R82",G182))*82,0)+IFERROR(--ISNUMBER(SEARCH("R83",G182))*83,0)+IFERROR(--ISNUMBER(SEARCH("R84",G182))*84,0)+IFERROR(--ISNUMBER(SEARCH("R85",G182))*85,0)+IFERROR(--ISNUMBER(SEARCH("R86",G182))*86,0)+IFERROR(--ISNUMBER(SEARCH("R87",G182))*87,0)+IFERROR(--ISNUMBER(SEARCH("R88",G182))*88,0)+IFERROR(--ISNUMBER(SEARCH("R89",G182))*89,0)+IFERROR(--ISNUMBER(SEARCH("R90",G182))*90,0)+IFERROR(--ISNUMBER(SEARCH("R91",G182))*91,0)+IFERROR(--ISNUMBER(SEARCH("R92",G182))*92,0)+IFERROR(--ISNUMBER(SEARCH("R93",G182))*93,0)+IFERROR(--ISNUMBER(SEARCH("R94",G182))*94,0)+IFERROR(--ISNUMBER(SEARCH("R95",G182))*95,0)+IFERROR(--ISNUMBER(SEARCH("R96",G182))*96,0)+IFERROR(--ISNUMBER(SEARCH("R97",G182))*97,0)+IFERROR(--ISNUMBER(SEARCH("R98",G182))*98,0)+IFERROR(--ISNUMBER(SEARCH("R99",G182))*99,0)+IFERROR(--ISNUMBER(SEARCH("R100",G182))*100,0)+IFERROR(--ISNUMBER(SEARCH("R101",G182))*101,0)+IFERROR(--ISNUMBER(SEARCH("R102",G182))*102,0)+IFERROR(--ISNUMBER(SEARCH("R103",G182))*103,0)+IFERROR(--ISNUMBER(SEARCH("R104",G182))*104,0)+IFERROR(--ISNUMBER(SEARCH("R105",G182))*105,0)+IFERROR(--ISNUMBER(SEARCH("R106",G182))*106,0)+IFERROR(--ISNUMBER(SEARCH("R107",G182))*107,0)+IFERROR(--ISNUMBER(SEARCH("R108",G182))*108,0)+IFERROR(--ISNUMBER(SEARCH("R109",G182))*109,0)+IFERROR(--ISNUMBER(SEARCH("R110",G182))*110,0)+IFERROR(--ISNUMBER(SEARCH("R111",G182))*111,0)+IFERROR(--ISNUMBER(SEARCH("R112",G182))*112,0)+IFERROR(--ISNUMBER(SEARCH("R113",G182))*113,0)+IFERROR(--ISNUMBER(SEARCH("R114",G182))*114,0)+IFERROR(--ISNUMBER(SEARCH("R115",G182))*115,0)+IFERROR(--ISNUMBER(SEARCH("R116",G182))*116,0)+IFERROR(--ISNUMBER(SEARCH("R117",G182))*117,0)+IFERROR(--ISNUMBER(SEARCH("R118",G182))*118,0)+IFERROR(--ISNUMBER(SEARCH("R119",G182))*119,0)+IFERROR(--ISNUMBER(SEARCH("R120",G182))*120,0)+IFERROR(--ISNUMBER(SEARCH("R121",G182))*121,0)+IFERROR(--ISNUMBER(SEARCH("R122",G182))*122,0)+IFERROR(--ISNUMBER(SEARCH("R123",G182))*123,0)+IFERROR(--ISNUMBER(SEARCH("R124",G182))*124,0)+IFERROR(--ISNUMBER(SEARCH("R125",G182))*125,0)+IFERROR(--ISNUMBER(SEARCH("R126",G182))*126,0)+IFERROR(--ISNUMBER(SEARCH("R127",G182))*127,0)+IFERROR(--ISNUMBER(SEARCH("R128",G182))*128,0)+IFERROR(--ISNUMBER(SEARCH("R129",G182))*129,0)+IFERROR(--ISNUMBER(SEARCH("R130",G182))*130,0)+IFERROR(--ISNUMBER(SEARCH("R131",G182))*131,0)+IFERROR(--ISNUMBER(SEARCH("R132",G182))*132,0)+IFERROR(--ISNUMBER(SEARCH("R133",G182))*133,0)+IFERROR(--ISNUMBER(SEARCH("R134",G182))*134,0)+IFERROR(--ISNUMBER(SEARCH("R135",G182))*135,0)+IFERROR(--ISNUMBER(SEARCH("R136",G182))*136,0)+IFERROR(--ISNUMBER(SEARCH("R137",G182))*137,0)+IFERROR(--ISNUMBER(SEARCH("R138",G182))*138,0)+IFERROR(--ISNUMBER(SEARCH("R139",G182))*139,0)+IFERROR(--ISNUMBER(SEARCH("R140",G182))*140,0)+IFERROR(--ISNUMBER(SEARCH("R141",G182))*141,0))</f>
        <v/>
      </c>
      <c r="V182" s="59">
        <f>IF(A182="","",IF(K182&lt;&gt;"",K182,J182))</f>
        <v/>
      </c>
      <c r="W182" s="59">
        <f>IF(A182="","",IF(AND(V182=29,O182&lt;&gt;"",COUNTIFS($V$6:$V$505,29,$F$6:$F$505,F182,$C$6:$C$505,C182,$O$6:$O$505,"&lt;&gt;")&gt;1),IF(COUNTIFS($V$6:V182,29,$F$6:F182,F182,$C$6:C182,C182,$O$6:O182,"&lt;&gt;")=1,"Esta es la fila que se debe CONSERVAR (aparición 1 de "&amp;COUNTIFS($V$6:$V$505,29,$F$6:$F$505,F182,$C$6:$C$505,C182,$O$6:$O$505,"&lt;&gt;")&amp;" con el mismo tercero y valor, casilla 29). Si hay más filas iguales, bórreles el valor a ELLAS, no a esta.","DUPLICADO — ya existe otra fila con el mismo tercero y valor para casilla 29 (aparición "&amp;COUNTIFS($V$6:V182,29,$F$6:F182,F182,$C$6:C182,C182,$O$6:O182,"&lt;&gt;")&amp;" de "&amp;COUNTIFS($V$6:$V$505,29,$F$6:$F$505,F182,$C$6:$C$505,C182,$O$6:$O$505,"&lt;&gt;")&amp;"). Para resolverlo: seleccione la celda O"&amp;ROW()&amp;" (columna Valor a declarar de ESTA fila) y presione Supr."),""))</f>
        <v/>
      </c>
      <c r="X182" s="463">
        <f>IF(A182="","",F182)</f>
        <v/>
      </c>
      <c r="Y182" s="463">
        <f>IF(A182="","",SUMIF(Entrada_Manual!$I$88:$I$187,A182,Entrada_Manual!$F$88:$F$187))</f>
        <v/>
      </c>
      <c r="Z182" s="463">
        <f>IF(A182="","",X182-Y182)</f>
        <v/>
      </c>
      <c r="AA182">
        <f>IF(A182="","",SUMPRODUCT((Entrada_Manual!$I$88:$I$187=A182)*1))</f>
        <v/>
      </c>
      <c r="AB182">
        <f>IF(A182="","",IF(S182&lt;=1,"",IF(AA182=0,"PENDIENTE — SIN ASIGNAR",IF(Z182=0,"RESUELTO","PARCIAL — DIFERENCIA "&amp;TEXT(Z182,"#,##0")))))</f>
        <v/>
      </c>
    </row>
    <row r="183" ht="14.25" customHeight="1" s="235">
      <c r="A183" s="47">
        <f>IF(Exogena_RAW!E192&lt;&gt;"",ROW()-5,"")</f>
        <v/>
      </c>
      <c r="B183" s="48">
        <f>IF(A183="","",192)</f>
        <v/>
      </c>
      <c r="C183" s="48">
        <f>IF(A183="","",IFERROR(Exogena_RAW!A192,""))</f>
        <v/>
      </c>
      <c r="D183" s="48">
        <f>IF(A183="","",IFERROR(Exogena_RAW!B192,""))</f>
        <v/>
      </c>
      <c r="E183" s="48">
        <f>IF(A183="","",Exogena_RAW!E192)</f>
        <v/>
      </c>
      <c r="F183" s="461">
        <f>IF(A183="","",Exogena_RAW!F192)</f>
        <v/>
      </c>
      <c r="G183" s="48">
        <f>IF(A183="","",IFERROR(Exogena_RAW!G192,""))</f>
        <v/>
      </c>
      <c r="H183" s="48">
        <f>IF(A183="","",IFERROR(Exogena_RAW!H192,""))</f>
        <v/>
      </c>
      <c r="I183" s="48">
        <f>IF(A183="","",IFERROR(IF(S183&gt;1,"VARIAS CASILLAS",IF(S183=1,IF(T183=1,"PROPUESTA DE CASILLA","REVISIÓN: CASILLA NO DIRECTA"),IF(OR(ISNUMBER(SEARCH("TOPE",UPPER(E183))),ISNUMBER(SEARCH("TOPE",UPPER(G183)))),"SOLO CONTROL",IF(ISNUMBER(SEARCH("RETEN",UPPER(E183))),"RETENCIÓN","REVISAR")))),"REVISAR"))</f>
        <v/>
      </c>
      <c r="J183" s="48">
        <f>IF(A183="","",IF(ISNUMBER(SEARCH("ingreso laboral promedio de los últimos seis meses",E183)),"",IFERROR(IF(AND(S183=1,T183=1),U183,""),"")))</f>
        <v/>
      </c>
      <c r="K183" s="216" t="n"/>
      <c r="L183" s="48">
        <f>IF(A183="","",IFERROR(IF(K183&lt;&gt;"","Casilla elegida por usuario",IF(S183&gt;1,"Varias casillas — elegir en K",IF(J183&lt;&gt;"","Sugerencia directa",IF(S183=1,"No trasladar directo — revisar",IF(OR(ISNUMBER(SEARCH("TOPE",UPPER(E183))),ISNUMBER(SEARCH("TOPE",UPPER(G183)))),"Solo control","Revisar manualmente"))))),"Revisar manualmente"))</f>
        <v/>
      </c>
      <c r="M183" s="461">
        <f>IF(A183="","",IF(IF(K183&lt;&gt;"",K183,J183)="",0,IF(COUNTIFS(Reglas!$I$5:$I$118,IF(K183&lt;&gt;"",K183,J183),Reglas!$J$5:$J$118,"Sí")=1,F183,0)))</f>
        <v/>
      </c>
      <c r="N183" s="56" t="n"/>
      <c r="O183" s="462">
        <f>IF(A183="","",IF(M183=0,"",M183))</f>
        <v/>
      </c>
      <c r="P183" s="461">
        <f>IF(A183="","",IF(O183="",0,IF(ISNUMBER(O183),O183,0)))</f>
        <v/>
      </c>
      <c r="Q183" s="48">
        <f>IF(A183="","",IF(Exogena_RAW!$C$4="","BLOQUEADO: FALTA AÑO",IF(Exogena_RAW!$K$10&lt;&gt;Reglas!$B$5,"BLOQUEADO: AÑO",IF(IF(K183&lt;&gt;"",K183,J183)="",IF(S183&gt;1,"REQUIERE ASIGNACIÓN MANUAL (VARIAS CASILLAS)","INFORMATIVO (sin casilla — no se declara)"),IF(COUNTIFS(Reglas!$I$5:$I$118,IF(K183&lt;&gt;"",K183,J183),Reglas!$J$5:$J$118,"Sí")=0,"BLOQUEADO: CASILLA NO DIRECTA",IF(O183="","EXCLUIDO (valor borrado por el usuario)",IF(_xlfn.ISFORMULA(O183),IF(W183&lt;&gt;"","BORRADOR — VALOR SUGERIDO DIAN ⚠ VER ALERTA","BORRADOR — VALOR SUGERIDO DIAN"),IF(W183&lt;&gt;"","ACEPTADO ⚠ VER ALERTA","ACEPTADO"))))))))</f>
        <v/>
      </c>
      <c r="R183" s="218" t="n"/>
      <c r="S183" s="58">
        <f>IF(A183="","",IFERROR(--ISNUMBER(SEARCH("R28",G183)),0)+IFERROR(--ISNUMBER(SEARCH("R29",G183)),0)+IFERROR(--ISNUMBER(SEARCH("R30",G183)),0)+IFERROR(--ISNUMBER(SEARCH("R31",G183)),0)+IFERROR(--ISNUMBER(SEARCH("R32",G183)),0)+IFERROR(--ISNUMBER(SEARCH("R33",G183)),0)+IFERROR(--ISNUMBER(SEARCH("R34",G183)),0)+IFERROR(--ISNUMBER(SEARCH("R35",G183)),0)+IFERROR(--ISNUMBER(SEARCH("R36",G183)),0)+IFERROR(--ISNUMBER(SEARCH("R37",G183)),0)+IFERROR(--ISNUMBER(SEARCH("R38",G183)),0)+IFERROR(--ISNUMBER(SEARCH("R39",G183)),0)+IFERROR(--ISNUMBER(SEARCH("R40",G183)),0)+IFERROR(--ISNUMBER(SEARCH("R41",G183)),0)+IFERROR(--ISNUMBER(SEARCH("R42",G183)),0)+IFERROR(--ISNUMBER(SEARCH("R43",G183)),0)+IFERROR(--ISNUMBER(SEARCH("R44",G183)),0)+IFERROR(--ISNUMBER(SEARCH("R45",G183)),0)+IFERROR(--ISNUMBER(SEARCH("R46",G183)),0)+IFERROR(--ISNUMBER(SEARCH("R47",G183)),0)+IFERROR(--ISNUMBER(SEARCH("R48",G183)),0)+IFERROR(--ISNUMBER(SEARCH("R49",G183)),0)+IFERROR(--ISNUMBER(SEARCH("R50",G183)),0)+IFERROR(--ISNUMBER(SEARCH("R51",G183)),0)+IFERROR(--ISNUMBER(SEARCH("R52",G183)),0)+IFERROR(--ISNUMBER(SEARCH("R53",G183)),0)+IFERROR(--ISNUMBER(SEARCH("R54",G183)),0)+IFERROR(--ISNUMBER(SEARCH("R55",G183)),0)+IFERROR(--ISNUMBER(SEARCH("R56",G183)),0)+IFERROR(--ISNUMBER(SEARCH("R57",G183)),0)+IFERROR(--ISNUMBER(SEARCH("R58",G183)),0)+IFERROR(--ISNUMBER(SEARCH("R59",G183)),0)+IFERROR(--ISNUMBER(SEARCH("R60",G183)),0)+IFERROR(--ISNUMBER(SEARCH("R61",G183)),0)+IFERROR(--ISNUMBER(SEARCH("R62",G183)),0)+IFERROR(--ISNUMBER(SEARCH("R63",G183)),0)+IFERROR(--ISNUMBER(SEARCH("R64",G183)),0)+IFERROR(--ISNUMBER(SEARCH("R65",G183)),0)+IFERROR(--ISNUMBER(SEARCH("R66",G183)),0)+IFERROR(--ISNUMBER(SEARCH("R67",G183)),0)+IFERROR(--ISNUMBER(SEARCH("R68",G183)),0)+IFERROR(--ISNUMBER(SEARCH("R69",G183)),0)+IFERROR(--ISNUMBER(SEARCH("R70",G183)),0)+IFERROR(--ISNUMBER(SEARCH("R71",G183)),0)+IFERROR(--ISNUMBER(SEARCH("R72",G183)),0)+IFERROR(--ISNUMBER(SEARCH("R73",G183)),0)+IFERROR(--ISNUMBER(SEARCH("R74",G183)),0)+IFERROR(--ISNUMBER(SEARCH("R75",G183)),0)+IFERROR(--ISNUMBER(SEARCH("R76",G183)),0)+IFERROR(--ISNUMBER(SEARCH("R77",G183)),0)+IFERROR(--ISNUMBER(SEARCH("R78",G183)),0)+IFERROR(--ISNUMBER(SEARCH("R79",G183)),0)+IFERROR(--ISNUMBER(SEARCH("R80",G183)),0)+IFERROR(--ISNUMBER(SEARCH("R81",G183)),0)+IFERROR(--ISNUMBER(SEARCH("R82",G183)),0)+IFERROR(--ISNUMBER(SEARCH("R83",G183)),0)+IFERROR(--ISNUMBER(SEARCH("R84",G183)),0)+IFERROR(--ISNUMBER(SEARCH("R85",G183)),0)+IFERROR(--ISNUMBER(SEARCH("R86",G183)),0)+IFERROR(--ISNUMBER(SEARCH("R87",G183)),0)+IFERROR(--ISNUMBER(SEARCH("R88",G183)),0)+IFERROR(--ISNUMBER(SEARCH("R89",G183)),0)+IFERROR(--ISNUMBER(SEARCH("R90",G183)),0)+IFERROR(--ISNUMBER(SEARCH("R91",G183)),0)+IFERROR(--ISNUMBER(SEARCH("R92",G183)),0)+IFERROR(--ISNUMBER(SEARCH("R93",G183)),0)+IFERROR(--ISNUMBER(SEARCH("R94",G183)),0)+IFERROR(--ISNUMBER(SEARCH("R95",G183)),0)+IFERROR(--ISNUMBER(SEARCH("R96",G183)),0)+IFERROR(--ISNUMBER(SEARCH("R97",G183)),0)+IFERROR(--ISNUMBER(SEARCH("R98",G183)),0)+IFERROR(--ISNUMBER(SEARCH("R99",G183)),0)+IFERROR(--ISNUMBER(SEARCH("R100",G183)),0)+IFERROR(--ISNUMBER(SEARCH("R101",G183)),0)+IFERROR(--ISNUMBER(SEARCH("R102",G183)),0)+IFERROR(--ISNUMBER(SEARCH("R103",G183)),0)+IFERROR(--ISNUMBER(SEARCH("R104",G183)),0)+IFERROR(--ISNUMBER(SEARCH("R105",G183)),0)+IFERROR(--ISNUMBER(SEARCH("R106",G183)),0)+IFERROR(--ISNUMBER(SEARCH("R107",G183)),0)+IFERROR(--ISNUMBER(SEARCH("R108",G183)),0)+IFERROR(--ISNUMBER(SEARCH("R109",G183)),0)+IFERROR(--ISNUMBER(SEARCH("R110",G183)),0)+IFERROR(--ISNUMBER(SEARCH("R111",G183)),0)+IFERROR(--ISNUMBER(SEARCH("R112",G183)),0)+IFERROR(--ISNUMBER(SEARCH("R113",G183)),0)+IFERROR(--ISNUMBER(SEARCH("R114",G183)),0)+IFERROR(--ISNUMBER(SEARCH("R115",G183)),0)+IFERROR(--ISNUMBER(SEARCH("R116",G183)),0)+IFERROR(--ISNUMBER(SEARCH("R117",G183)),0)+IFERROR(--ISNUMBER(SEARCH("R118",G183)),0)+IFERROR(--ISNUMBER(SEARCH("R119",G183)),0)+IFERROR(--ISNUMBER(SEARCH("R120",G183)),0)+IFERROR(--ISNUMBER(SEARCH("R121",G183)),0)+IFERROR(--ISNUMBER(SEARCH("R122",G183)),0)+IFERROR(--ISNUMBER(SEARCH("R123",G183)),0)+IFERROR(--ISNUMBER(SEARCH("R124",G183)),0)+IFERROR(--ISNUMBER(SEARCH("R125",G183)),0)+IFERROR(--ISNUMBER(SEARCH("R126",G183)),0)+IFERROR(--ISNUMBER(SEARCH("R127",G183)),0)+IFERROR(--ISNUMBER(SEARCH("R128",G183)),0)+IFERROR(--ISNUMBER(SEARCH("R129",G183)),0)+IFERROR(--ISNUMBER(SEARCH("R130",G183)),0)+IFERROR(--ISNUMBER(SEARCH("R131",G183)),0)+IFERROR(--ISNUMBER(SEARCH("R132",G183)),0)+IFERROR(--ISNUMBER(SEARCH("R133",G183)),0)+IFERROR(--ISNUMBER(SEARCH("R134",G183)),0)+IFERROR(--ISNUMBER(SEARCH("R135",G183)),0)+IFERROR(--ISNUMBER(SEARCH("R136",G183)),0)+IFERROR(--ISNUMBER(SEARCH("R137",G183)),0)+IFERROR(--ISNUMBER(SEARCH("R138",G183)),0)+IFERROR(--ISNUMBER(SEARCH("R139",G183)),0)+IFERROR(--ISNUMBER(SEARCH("R140",G183)),0)+IFERROR(--ISNUMBER(SEARCH("R141",G183)),0))</f>
        <v/>
      </c>
      <c r="T183" s="58">
        <f>IF(A183="","",IFERROR(--ISNUMBER(SEARCH("R28",G183)),0)+IFERROR(--ISNUMBER(SEARCH("R29",G183)),0)+IFERROR(--ISNUMBER(SEARCH("R30",G183)),0)+IFERROR(--ISNUMBER(SEARCH("R32",G183)),0)+IFERROR(--ISNUMBER(SEARCH("R33",G183)),0)+IFERROR(--ISNUMBER(SEARCH("R35",G183)),0)+IFERROR(--ISNUMBER(SEARCH("R36",G183)),0)+IFERROR(--ISNUMBER(SEARCH("R38",G183)),0)+IFERROR(--ISNUMBER(SEARCH("R39",G183)),0)+IFERROR(--ISNUMBER(SEARCH("R43",G183)),0)+IFERROR(--ISNUMBER(SEARCH("R44",G183)),0)+IFERROR(--ISNUMBER(SEARCH("R45",G183)),0)+IFERROR(--ISNUMBER(SEARCH("R47",G183)),0)+IFERROR(--ISNUMBER(SEARCH("R48",G183)),0)+IFERROR(--ISNUMBER(SEARCH("R50",G183)),0)+IFERROR(--ISNUMBER(SEARCH("R51",G183)),0)+IFERROR(--ISNUMBER(SEARCH("R56",G183)),0)+IFERROR(--ISNUMBER(SEARCH("R58",G183)),0)+IFERROR(--ISNUMBER(SEARCH("R59",G183)),0)+IFERROR(--ISNUMBER(SEARCH("R60",G183)),0)+IFERROR(--ISNUMBER(SEARCH("R62",G183)),0)+IFERROR(--ISNUMBER(SEARCH("R63",G183)),0)+IFERROR(--ISNUMBER(SEARCH("R64",G183)),0)+IFERROR(--ISNUMBER(SEARCH("R66",G183)),0)+IFERROR(--ISNUMBER(SEARCH("R67",G183)),0)+IFERROR(--ISNUMBER(SEARCH("R72",G183)),0)+IFERROR(--ISNUMBER(SEARCH("R74",G183)),0)+IFERROR(--ISNUMBER(SEARCH("R75",G183)),0)+IFERROR(--ISNUMBER(SEARCH("R76",G183)),0)+IFERROR(--ISNUMBER(SEARCH("R77",G183)),0)+IFERROR(--ISNUMBER(SEARCH("R79",G183)),0)+IFERROR(--ISNUMBER(SEARCH("R80",G183)),0)+IFERROR(--ISNUMBER(SEARCH("R81",G183)),0)+IFERROR(--ISNUMBER(SEARCH("R83",G183)),0)+IFERROR(--ISNUMBER(SEARCH("R84",G183)),0)+IFERROR(--ISNUMBER(SEARCH("R89",G183)),0)+IFERROR(--ISNUMBER(SEARCH("R94",G183)),0)+IFERROR(--ISNUMBER(SEARCH("R95",G183)),0)+IFERROR(--ISNUMBER(SEARCH("R96",G183)),0)+IFERROR(--ISNUMBER(SEARCH("R98",G183)),0)+IFERROR(--ISNUMBER(SEARCH("R99",G183)),0)+IFERROR(--ISNUMBER(SEARCH("R100",G183)),0)+IFERROR(--ISNUMBER(SEARCH("R104",G183)),0)+IFERROR(--ISNUMBER(SEARCH("R105",G183)),0)+IFERROR(--ISNUMBER(SEARCH("R107",G183)),0)+IFERROR(--ISNUMBER(SEARCH("R108",G183)),0)+IFERROR(--ISNUMBER(SEARCH("R109",G183)),0)+IFERROR(--ISNUMBER(SEARCH("R110",G183)),0)+IFERROR(--ISNUMBER(SEARCH("R112",G183)),0)+IFERROR(--ISNUMBER(SEARCH("R113",G183)),0)+IFERROR(--ISNUMBER(SEARCH("R114",G183)),0)+IFERROR(--ISNUMBER(SEARCH("R118",G183)),0)+IFERROR(--ISNUMBER(SEARCH("R119",G183)),0)+IFERROR(--ISNUMBER(SEARCH("R120",G183)),0)+IFERROR(--ISNUMBER(SEARCH("R122",G183)),0)+IFERROR(--ISNUMBER(SEARCH("R123",G183)),0)+IFERROR(--ISNUMBER(SEARCH("R124",G183)),0)+IFERROR(--ISNUMBER(SEARCH("R128",G183)),0)+IFERROR(--ISNUMBER(SEARCH("R130",G183)),0)+IFERROR(--ISNUMBER(SEARCH("R131",G183)),0)+IFERROR(--ISNUMBER(SEARCH("R132",G183)),0)+IFERROR(--ISNUMBER(SEARCH("R135",G183)),0)+IFERROR(--ISNUMBER(SEARCH("R138",G183)),0)+IFERROR(--ISNUMBER(SEARCH("R141",G183)),0))</f>
        <v/>
      </c>
      <c r="U183" s="58">
        <f>IF(A183="","",IFERROR(--ISNUMBER(SEARCH("R28",G183))*28,0)+IFERROR(--ISNUMBER(SEARCH("R29",G183))*29,0)+IFERROR(--ISNUMBER(SEARCH("R30",G183))*30,0)+IFERROR(--ISNUMBER(SEARCH("R31",G183))*31,0)+IFERROR(--ISNUMBER(SEARCH("R32",G183))*32,0)+IFERROR(--ISNUMBER(SEARCH("R33",G183))*33,0)+IFERROR(--ISNUMBER(SEARCH("R34",G183))*34,0)+IFERROR(--ISNUMBER(SEARCH("R35",G183))*35,0)+IFERROR(--ISNUMBER(SEARCH("R36",G183))*36,0)+IFERROR(--ISNUMBER(SEARCH("R37",G183))*37,0)+IFERROR(--ISNUMBER(SEARCH("R38",G183))*38,0)+IFERROR(--ISNUMBER(SEARCH("R39",G183))*39,0)+IFERROR(--ISNUMBER(SEARCH("R40",G183))*40,0)+IFERROR(--ISNUMBER(SEARCH("R41",G183))*41,0)+IFERROR(--ISNUMBER(SEARCH("R42",G183))*42,0)+IFERROR(--ISNUMBER(SEARCH("R43",G183))*43,0)+IFERROR(--ISNUMBER(SEARCH("R44",G183))*44,0)+IFERROR(--ISNUMBER(SEARCH("R45",G183))*45,0)+IFERROR(--ISNUMBER(SEARCH("R46",G183))*46,0)+IFERROR(--ISNUMBER(SEARCH("R47",G183))*47,0)+IFERROR(--ISNUMBER(SEARCH("R48",G183))*48,0)+IFERROR(--ISNUMBER(SEARCH("R49",G183))*49,0)+IFERROR(--ISNUMBER(SEARCH("R50",G183))*50,0)+IFERROR(--ISNUMBER(SEARCH("R51",G183))*51,0)+IFERROR(--ISNUMBER(SEARCH("R52",G183))*52,0)+IFERROR(--ISNUMBER(SEARCH("R53",G183))*53,0)+IFERROR(--ISNUMBER(SEARCH("R54",G183))*54,0)+IFERROR(--ISNUMBER(SEARCH("R55",G183))*55,0)+IFERROR(--ISNUMBER(SEARCH("R56",G183))*56,0)+IFERROR(--ISNUMBER(SEARCH("R57",G183))*57,0)+IFERROR(--ISNUMBER(SEARCH("R58",G183))*58,0)+IFERROR(--ISNUMBER(SEARCH("R59",G183))*59,0)+IFERROR(--ISNUMBER(SEARCH("R60",G183))*60,0)+IFERROR(--ISNUMBER(SEARCH("R61",G183))*61,0)+IFERROR(--ISNUMBER(SEARCH("R62",G183))*62,0)+IFERROR(--ISNUMBER(SEARCH("R63",G183))*63,0)+IFERROR(--ISNUMBER(SEARCH("R64",G183))*64,0)+IFERROR(--ISNUMBER(SEARCH("R65",G183))*65,0)+IFERROR(--ISNUMBER(SEARCH("R66",G183))*66,0)+IFERROR(--ISNUMBER(SEARCH("R67",G183))*67,0)+IFERROR(--ISNUMBER(SEARCH("R68",G183))*68,0)+IFERROR(--ISNUMBER(SEARCH("R69",G183))*69,0)+IFERROR(--ISNUMBER(SEARCH("R70",G183))*70,0)+IFERROR(--ISNUMBER(SEARCH("R71",G183))*71,0)+IFERROR(--ISNUMBER(SEARCH("R72",G183))*72,0)+IFERROR(--ISNUMBER(SEARCH("R73",G183))*73,0)+IFERROR(--ISNUMBER(SEARCH("R74",G183))*74,0)+IFERROR(--ISNUMBER(SEARCH("R75",G183))*75,0)+IFERROR(--ISNUMBER(SEARCH("R76",G183))*76,0)+IFERROR(--ISNUMBER(SEARCH("R77",G183))*77,0)+IFERROR(--ISNUMBER(SEARCH("R78",G183))*78,0)+IFERROR(--ISNUMBER(SEARCH("R79",G183))*79,0)+IFERROR(--ISNUMBER(SEARCH("R80",G183))*80,0)+IFERROR(--ISNUMBER(SEARCH("R81",G183))*81,0)+IFERROR(--ISNUMBER(SEARCH("R82",G183))*82,0)+IFERROR(--ISNUMBER(SEARCH("R83",G183))*83,0)+IFERROR(--ISNUMBER(SEARCH("R84",G183))*84,0)+IFERROR(--ISNUMBER(SEARCH("R85",G183))*85,0)+IFERROR(--ISNUMBER(SEARCH("R86",G183))*86,0)+IFERROR(--ISNUMBER(SEARCH("R87",G183))*87,0)+IFERROR(--ISNUMBER(SEARCH("R88",G183))*88,0)+IFERROR(--ISNUMBER(SEARCH("R89",G183))*89,0)+IFERROR(--ISNUMBER(SEARCH("R90",G183))*90,0)+IFERROR(--ISNUMBER(SEARCH("R91",G183))*91,0)+IFERROR(--ISNUMBER(SEARCH("R92",G183))*92,0)+IFERROR(--ISNUMBER(SEARCH("R93",G183))*93,0)+IFERROR(--ISNUMBER(SEARCH("R94",G183))*94,0)+IFERROR(--ISNUMBER(SEARCH("R95",G183))*95,0)+IFERROR(--ISNUMBER(SEARCH("R96",G183))*96,0)+IFERROR(--ISNUMBER(SEARCH("R97",G183))*97,0)+IFERROR(--ISNUMBER(SEARCH("R98",G183))*98,0)+IFERROR(--ISNUMBER(SEARCH("R99",G183))*99,0)+IFERROR(--ISNUMBER(SEARCH("R100",G183))*100,0)+IFERROR(--ISNUMBER(SEARCH("R101",G183))*101,0)+IFERROR(--ISNUMBER(SEARCH("R102",G183))*102,0)+IFERROR(--ISNUMBER(SEARCH("R103",G183))*103,0)+IFERROR(--ISNUMBER(SEARCH("R104",G183))*104,0)+IFERROR(--ISNUMBER(SEARCH("R105",G183))*105,0)+IFERROR(--ISNUMBER(SEARCH("R106",G183))*106,0)+IFERROR(--ISNUMBER(SEARCH("R107",G183))*107,0)+IFERROR(--ISNUMBER(SEARCH("R108",G183))*108,0)+IFERROR(--ISNUMBER(SEARCH("R109",G183))*109,0)+IFERROR(--ISNUMBER(SEARCH("R110",G183))*110,0)+IFERROR(--ISNUMBER(SEARCH("R111",G183))*111,0)+IFERROR(--ISNUMBER(SEARCH("R112",G183))*112,0)+IFERROR(--ISNUMBER(SEARCH("R113",G183))*113,0)+IFERROR(--ISNUMBER(SEARCH("R114",G183))*114,0)+IFERROR(--ISNUMBER(SEARCH("R115",G183))*115,0)+IFERROR(--ISNUMBER(SEARCH("R116",G183))*116,0)+IFERROR(--ISNUMBER(SEARCH("R117",G183))*117,0)+IFERROR(--ISNUMBER(SEARCH("R118",G183))*118,0)+IFERROR(--ISNUMBER(SEARCH("R119",G183))*119,0)+IFERROR(--ISNUMBER(SEARCH("R120",G183))*120,0)+IFERROR(--ISNUMBER(SEARCH("R121",G183))*121,0)+IFERROR(--ISNUMBER(SEARCH("R122",G183))*122,0)+IFERROR(--ISNUMBER(SEARCH("R123",G183))*123,0)+IFERROR(--ISNUMBER(SEARCH("R124",G183))*124,0)+IFERROR(--ISNUMBER(SEARCH("R125",G183))*125,0)+IFERROR(--ISNUMBER(SEARCH("R126",G183))*126,0)+IFERROR(--ISNUMBER(SEARCH("R127",G183))*127,0)+IFERROR(--ISNUMBER(SEARCH("R128",G183))*128,0)+IFERROR(--ISNUMBER(SEARCH("R129",G183))*129,0)+IFERROR(--ISNUMBER(SEARCH("R130",G183))*130,0)+IFERROR(--ISNUMBER(SEARCH("R131",G183))*131,0)+IFERROR(--ISNUMBER(SEARCH("R132",G183))*132,0)+IFERROR(--ISNUMBER(SEARCH("R133",G183))*133,0)+IFERROR(--ISNUMBER(SEARCH("R134",G183))*134,0)+IFERROR(--ISNUMBER(SEARCH("R135",G183))*135,0)+IFERROR(--ISNUMBER(SEARCH("R136",G183))*136,0)+IFERROR(--ISNUMBER(SEARCH("R137",G183))*137,0)+IFERROR(--ISNUMBER(SEARCH("R138",G183))*138,0)+IFERROR(--ISNUMBER(SEARCH("R139",G183))*139,0)+IFERROR(--ISNUMBER(SEARCH("R140",G183))*140,0)+IFERROR(--ISNUMBER(SEARCH("R141",G183))*141,0))</f>
        <v/>
      </c>
      <c r="V183" s="59">
        <f>IF(A183="","",IF(K183&lt;&gt;"",K183,J183))</f>
        <v/>
      </c>
      <c r="W183" s="59">
        <f>IF(A183="","",IF(AND(V183=29,O183&lt;&gt;"",COUNTIFS($V$6:$V$505,29,$F$6:$F$505,F183,$C$6:$C$505,C183,$O$6:$O$505,"&lt;&gt;")&gt;1),IF(COUNTIFS($V$6:V183,29,$F$6:F183,F183,$C$6:C183,C183,$O$6:O183,"&lt;&gt;")=1,"Esta es la fila que se debe CONSERVAR (aparición 1 de "&amp;COUNTIFS($V$6:$V$505,29,$F$6:$F$505,F183,$C$6:$C$505,C183,$O$6:$O$505,"&lt;&gt;")&amp;" con el mismo tercero y valor, casilla 29). Si hay más filas iguales, bórreles el valor a ELLAS, no a esta.","DUPLICADO — ya existe otra fila con el mismo tercero y valor para casilla 29 (aparición "&amp;COUNTIFS($V$6:V183,29,$F$6:F183,F183,$C$6:C183,C183,$O$6:O183,"&lt;&gt;")&amp;" de "&amp;COUNTIFS($V$6:$V$505,29,$F$6:$F$505,F183,$C$6:$C$505,C183,$O$6:$O$505,"&lt;&gt;")&amp;"). Para resolverlo: seleccione la celda O"&amp;ROW()&amp;" (columna Valor a declarar de ESTA fila) y presione Supr."),""))</f>
        <v/>
      </c>
      <c r="X183" s="463">
        <f>IF(A183="","",F183)</f>
        <v/>
      </c>
      <c r="Y183" s="463">
        <f>IF(A183="","",SUMIF(Entrada_Manual!$I$88:$I$187,A183,Entrada_Manual!$F$88:$F$187))</f>
        <v/>
      </c>
      <c r="Z183" s="463">
        <f>IF(A183="","",X183-Y183)</f>
        <v/>
      </c>
      <c r="AA183">
        <f>IF(A183="","",SUMPRODUCT((Entrada_Manual!$I$88:$I$187=A183)*1))</f>
        <v/>
      </c>
      <c r="AB183">
        <f>IF(A183="","",IF(S183&lt;=1,"",IF(AA183=0,"PENDIENTE — SIN ASIGNAR",IF(Z183=0,"RESUELTO","PARCIAL — DIFERENCIA "&amp;TEXT(Z183,"#,##0")))))</f>
        <v/>
      </c>
    </row>
    <row r="184" ht="14.25" customHeight="1" s="235">
      <c r="A184" s="47">
        <f>IF(Exogena_RAW!E193&lt;&gt;"",ROW()-5,"")</f>
        <v/>
      </c>
      <c r="B184" s="48">
        <f>IF(A184="","",193)</f>
        <v/>
      </c>
      <c r="C184" s="48">
        <f>IF(A184="","",IFERROR(Exogena_RAW!A193,""))</f>
        <v/>
      </c>
      <c r="D184" s="48">
        <f>IF(A184="","",IFERROR(Exogena_RAW!B193,""))</f>
        <v/>
      </c>
      <c r="E184" s="48">
        <f>IF(A184="","",Exogena_RAW!E193)</f>
        <v/>
      </c>
      <c r="F184" s="461">
        <f>IF(A184="","",Exogena_RAW!F193)</f>
        <v/>
      </c>
      <c r="G184" s="48">
        <f>IF(A184="","",IFERROR(Exogena_RAW!G193,""))</f>
        <v/>
      </c>
      <c r="H184" s="48">
        <f>IF(A184="","",IFERROR(Exogena_RAW!H193,""))</f>
        <v/>
      </c>
      <c r="I184" s="48">
        <f>IF(A184="","",IFERROR(IF(S184&gt;1,"VARIAS CASILLAS",IF(S184=1,IF(T184=1,"PROPUESTA DE CASILLA","REVISIÓN: CASILLA NO DIRECTA"),IF(OR(ISNUMBER(SEARCH("TOPE",UPPER(E184))),ISNUMBER(SEARCH("TOPE",UPPER(G184)))),"SOLO CONTROL",IF(ISNUMBER(SEARCH("RETEN",UPPER(E184))),"RETENCIÓN","REVISAR")))),"REVISAR"))</f>
        <v/>
      </c>
      <c r="J184" s="48">
        <f>IF(A184="","",IF(ISNUMBER(SEARCH("ingreso laboral promedio de los últimos seis meses",E184)),"",IFERROR(IF(AND(S184=1,T184=1),U184,""),"")))</f>
        <v/>
      </c>
      <c r="K184" s="216" t="n"/>
      <c r="L184" s="48">
        <f>IF(A184="","",IFERROR(IF(K184&lt;&gt;"","Casilla elegida por usuario",IF(S184&gt;1,"Varias casillas — elegir en K",IF(J184&lt;&gt;"","Sugerencia directa",IF(S184=1,"No trasladar directo — revisar",IF(OR(ISNUMBER(SEARCH("TOPE",UPPER(E184))),ISNUMBER(SEARCH("TOPE",UPPER(G184)))),"Solo control","Revisar manualmente"))))),"Revisar manualmente"))</f>
        <v/>
      </c>
      <c r="M184" s="461">
        <f>IF(A184="","",IF(IF(K184&lt;&gt;"",K184,J184)="",0,IF(COUNTIFS(Reglas!$I$5:$I$118,IF(K184&lt;&gt;"",K184,J184),Reglas!$J$5:$J$118,"Sí")=1,F184,0)))</f>
        <v/>
      </c>
      <c r="N184" s="56" t="n"/>
      <c r="O184" s="462">
        <f>IF(A184="","",IF(M184=0,"",M184))</f>
        <v/>
      </c>
      <c r="P184" s="461">
        <f>IF(A184="","",IF(O184="",0,IF(ISNUMBER(O184),O184,0)))</f>
        <v/>
      </c>
      <c r="Q184" s="48">
        <f>IF(A184="","",IF(Exogena_RAW!$C$4="","BLOQUEADO: FALTA AÑO",IF(Exogena_RAW!$K$10&lt;&gt;Reglas!$B$5,"BLOQUEADO: AÑO",IF(IF(K184&lt;&gt;"",K184,J184)="",IF(S184&gt;1,"REQUIERE ASIGNACIÓN MANUAL (VARIAS CASILLAS)","INFORMATIVO (sin casilla — no se declara)"),IF(COUNTIFS(Reglas!$I$5:$I$118,IF(K184&lt;&gt;"",K184,J184),Reglas!$J$5:$J$118,"Sí")=0,"BLOQUEADO: CASILLA NO DIRECTA",IF(O184="","EXCLUIDO (valor borrado por el usuario)",IF(_xlfn.ISFORMULA(O184),IF(W184&lt;&gt;"","BORRADOR — VALOR SUGERIDO DIAN ⚠ VER ALERTA","BORRADOR — VALOR SUGERIDO DIAN"),IF(W184&lt;&gt;"","ACEPTADO ⚠ VER ALERTA","ACEPTADO"))))))))</f>
        <v/>
      </c>
      <c r="R184" s="218" t="n"/>
      <c r="S184" s="58">
        <f>IF(A184="","",IFERROR(--ISNUMBER(SEARCH("R28",G184)),0)+IFERROR(--ISNUMBER(SEARCH("R29",G184)),0)+IFERROR(--ISNUMBER(SEARCH("R30",G184)),0)+IFERROR(--ISNUMBER(SEARCH("R31",G184)),0)+IFERROR(--ISNUMBER(SEARCH("R32",G184)),0)+IFERROR(--ISNUMBER(SEARCH("R33",G184)),0)+IFERROR(--ISNUMBER(SEARCH("R34",G184)),0)+IFERROR(--ISNUMBER(SEARCH("R35",G184)),0)+IFERROR(--ISNUMBER(SEARCH("R36",G184)),0)+IFERROR(--ISNUMBER(SEARCH("R37",G184)),0)+IFERROR(--ISNUMBER(SEARCH("R38",G184)),0)+IFERROR(--ISNUMBER(SEARCH("R39",G184)),0)+IFERROR(--ISNUMBER(SEARCH("R40",G184)),0)+IFERROR(--ISNUMBER(SEARCH("R41",G184)),0)+IFERROR(--ISNUMBER(SEARCH("R42",G184)),0)+IFERROR(--ISNUMBER(SEARCH("R43",G184)),0)+IFERROR(--ISNUMBER(SEARCH("R44",G184)),0)+IFERROR(--ISNUMBER(SEARCH("R45",G184)),0)+IFERROR(--ISNUMBER(SEARCH("R46",G184)),0)+IFERROR(--ISNUMBER(SEARCH("R47",G184)),0)+IFERROR(--ISNUMBER(SEARCH("R48",G184)),0)+IFERROR(--ISNUMBER(SEARCH("R49",G184)),0)+IFERROR(--ISNUMBER(SEARCH("R50",G184)),0)+IFERROR(--ISNUMBER(SEARCH("R51",G184)),0)+IFERROR(--ISNUMBER(SEARCH("R52",G184)),0)+IFERROR(--ISNUMBER(SEARCH("R53",G184)),0)+IFERROR(--ISNUMBER(SEARCH("R54",G184)),0)+IFERROR(--ISNUMBER(SEARCH("R55",G184)),0)+IFERROR(--ISNUMBER(SEARCH("R56",G184)),0)+IFERROR(--ISNUMBER(SEARCH("R57",G184)),0)+IFERROR(--ISNUMBER(SEARCH("R58",G184)),0)+IFERROR(--ISNUMBER(SEARCH("R59",G184)),0)+IFERROR(--ISNUMBER(SEARCH("R60",G184)),0)+IFERROR(--ISNUMBER(SEARCH("R61",G184)),0)+IFERROR(--ISNUMBER(SEARCH("R62",G184)),0)+IFERROR(--ISNUMBER(SEARCH("R63",G184)),0)+IFERROR(--ISNUMBER(SEARCH("R64",G184)),0)+IFERROR(--ISNUMBER(SEARCH("R65",G184)),0)+IFERROR(--ISNUMBER(SEARCH("R66",G184)),0)+IFERROR(--ISNUMBER(SEARCH("R67",G184)),0)+IFERROR(--ISNUMBER(SEARCH("R68",G184)),0)+IFERROR(--ISNUMBER(SEARCH("R69",G184)),0)+IFERROR(--ISNUMBER(SEARCH("R70",G184)),0)+IFERROR(--ISNUMBER(SEARCH("R71",G184)),0)+IFERROR(--ISNUMBER(SEARCH("R72",G184)),0)+IFERROR(--ISNUMBER(SEARCH("R73",G184)),0)+IFERROR(--ISNUMBER(SEARCH("R74",G184)),0)+IFERROR(--ISNUMBER(SEARCH("R75",G184)),0)+IFERROR(--ISNUMBER(SEARCH("R76",G184)),0)+IFERROR(--ISNUMBER(SEARCH("R77",G184)),0)+IFERROR(--ISNUMBER(SEARCH("R78",G184)),0)+IFERROR(--ISNUMBER(SEARCH("R79",G184)),0)+IFERROR(--ISNUMBER(SEARCH("R80",G184)),0)+IFERROR(--ISNUMBER(SEARCH("R81",G184)),0)+IFERROR(--ISNUMBER(SEARCH("R82",G184)),0)+IFERROR(--ISNUMBER(SEARCH("R83",G184)),0)+IFERROR(--ISNUMBER(SEARCH("R84",G184)),0)+IFERROR(--ISNUMBER(SEARCH("R85",G184)),0)+IFERROR(--ISNUMBER(SEARCH("R86",G184)),0)+IFERROR(--ISNUMBER(SEARCH("R87",G184)),0)+IFERROR(--ISNUMBER(SEARCH("R88",G184)),0)+IFERROR(--ISNUMBER(SEARCH("R89",G184)),0)+IFERROR(--ISNUMBER(SEARCH("R90",G184)),0)+IFERROR(--ISNUMBER(SEARCH("R91",G184)),0)+IFERROR(--ISNUMBER(SEARCH("R92",G184)),0)+IFERROR(--ISNUMBER(SEARCH("R93",G184)),0)+IFERROR(--ISNUMBER(SEARCH("R94",G184)),0)+IFERROR(--ISNUMBER(SEARCH("R95",G184)),0)+IFERROR(--ISNUMBER(SEARCH("R96",G184)),0)+IFERROR(--ISNUMBER(SEARCH("R97",G184)),0)+IFERROR(--ISNUMBER(SEARCH("R98",G184)),0)+IFERROR(--ISNUMBER(SEARCH("R99",G184)),0)+IFERROR(--ISNUMBER(SEARCH("R100",G184)),0)+IFERROR(--ISNUMBER(SEARCH("R101",G184)),0)+IFERROR(--ISNUMBER(SEARCH("R102",G184)),0)+IFERROR(--ISNUMBER(SEARCH("R103",G184)),0)+IFERROR(--ISNUMBER(SEARCH("R104",G184)),0)+IFERROR(--ISNUMBER(SEARCH("R105",G184)),0)+IFERROR(--ISNUMBER(SEARCH("R106",G184)),0)+IFERROR(--ISNUMBER(SEARCH("R107",G184)),0)+IFERROR(--ISNUMBER(SEARCH("R108",G184)),0)+IFERROR(--ISNUMBER(SEARCH("R109",G184)),0)+IFERROR(--ISNUMBER(SEARCH("R110",G184)),0)+IFERROR(--ISNUMBER(SEARCH("R111",G184)),0)+IFERROR(--ISNUMBER(SEARCH("R112",G184)),0)+IFERROR(--ISNUMBER(SEARCH("R113",G184)),0)+IFERROR(--ISNUMBER(SEARCH("R114",G184)),0)+IFERROR(--ISNUMBER(SEARCH("R115",G184)),0)+IFERROR(--ISNUMBER(SEARCH("R116",G184)),0)+IFERROR(--ISNUMBER(SEARCH("R117",G184)),0)+IFERROR(--ISNUMBER(SEARCH("R118",G184)),0)+IFERROR(--ISNUMBER(SEARCH("R119",G184)),0)+IFERROR(--ISNUMBER(SEARCH("R120",G184)),0)+IFERROR(--ISNUMBER(SEARCH("R121",G184)),0)+IFERROR(--ISNUMBER(SEARCH("R122",G184)),0)+IFERROR(--ISNUMBER(SEARCH("R123",G184)),0)+IFERROR(--ISNUMBER(SEARCH("R124",G184)),0)+IFERROR(--ISNUMBER(SEARCH("R125",G184)),0)+IFERROR(--ISNUMBER(SEARCH("R126",G184)),0)+IFERROR(--ISNUMBER(SEARCH("R127",G184)),0)+IFERROR(--ISNUMBER(SEARCH("R128",G184)),0)+IFERROR(--ISNUMBER(SEARCH("R129",G184)),0)+IFERROR(--ISNUMBER(SEARCH("R130",G184)),0)+IFERROR(--ISNUMBER(SEARCH("R131",G184)),0)+IFERROR(--ISNUMBER(SEARCH("R132",G184)),0)+IFERROR(--ISNUMBER(SEARCH("R133",G184)),0)+IFERROR(--ISNUMBER(SEARCH("R134",G184)),0)+IFERROR(--ISNUMBER(SEARCH("R135",G184)),0)+IFERROR(--ISNUMBER(SEARCH("R136",G184)),0)+IFERROR(--ISNUMBER(SEARCH("R137",G184)),0)+IFERROR(--ISNUMBER(SEARCH("R138",G184)),0)+IFERROR(--ISNUMBER(SEARCH("R139",G184)),0)+IFERROR(--ISNUMBER(SEARCH("R140",G184)),0)+IFERROR(--ISNUMBER(SEARCH("R141",G184)),0))</f>
        <v/>
      </c>
      <c r="T184" s="58">
        <f>IF(A184="","",IFERROR(--ISNUMBER(SEARCH("R28",G184)),0)+IFERROR(--ISNUMBER(SEARCH("R29",G184)),0)+IFERROR(--ISNUMBER(SEARCH("R30",G184)),0)+IFERROR(--ISNUMBER(SEARCH("R32",G184)),0)+IFERROR(--ISNUMBER(SEARCH("R33",G184)),0)+IFERROR(--ISNUMBER(SEARCH("R35",G184)),0)+IFERROR(--ISNUMBER(SEARCH("R36",G184)),0)+IFERROR(--ISNUMBER(SEARCH("R38",G184)),0)+IFERROR(--ISNUMBER(SEARCH("R39",G184)),0)+IFERROR(--ISNUMBER(SEARCH("R43",G184)),0)+IFERROR(--ISNUMBER(SEARCH("R44",G184)),0)+IFERROR(--ISNUMBER(SEARCH("R45",G184)),0)+IFERROR(--ISNUMBER(SEARCH("R47",G184)),0)+IFERROR(--ISNUMBER(SEARCH("R48",G184)),0)+IFERROR(--ISNUMBER(SEARCH("R50",G184)),0)+IFERROR(--ISNUMBER(SEARCH("R51",G184)),0)+IFERROR(--ISNUMBER(SEARCH("R56",G184)),0)+IFERROR(--ISNUMBER(SEARCH("R58",G184)),0)+IFERROR(--ISNUMBER(SEARCH("R59",G184)),0)+IFERROR(--ISNUMBER(SEARCH("R60",G184)),0)+IFERROR(--ISNUMBER(SEARCH("R62",G184)),0)+IFERROR(--ISNUMBER(SEARCH("R63",G184)),0)+IFERROR(--ISNUMBER(SEARCH("R64",G184)),0)+IFERROR(--ISNUMBER(SEARCH("R66",G184)),0)+IFERROR(--ISNUMBER(SEARCH("R67",G184)),0)+IFERROR(--ISNUMBER(SEARCH("R72",G184)),0)+IFERROR(--ISNUMBER(SEARCH("R74",G184)),0)+IFERROR(--ISNUMBER(SEARCH("R75",G184)),0)+IFERROR(--ISNUMBER(SEARCH("R76",G184)),0)+IFERROR(--ISNUMBER(SEARCH("R77",G184)),0)+IFERROR(--ISNUMBER(SEARCH("R79",G184)),0)+IFERROR(--ISNUMBER(SEARCH("R80",G184)),0)+IFERROR(--ISNUMBER(SEARCH("R81",G184)),0)+IFERROR(--ISNUMBER(SEARCH("R83",G184)),0)+IFERROR(--ISNUMBER(SEARCH("R84",G184)),0)+IFERROR(--ISNUMBER(SEARCH("R89",G184)),0)+IFERROR(--ISNUMBER(SEARCH("R94",G184)),0)+IFERROR(--ISNUMBER(SEARCH("R95",G184)),0)+IFERROR(--ISNUMBER(SEARCH("R96",G184)),0)+IFERROR(--ISNUMBER(SEARCH("R98",G184)),0)+IFERROR(--ISNUMBER(SEARCH("R99",G184)),0)+IFERROR(--ISNUMBER(SEARCH("R100",G184)),0)+IFERROR(--ISNUMBER(SEARCH("R104",G184)),0)+IFERROR(--ISNUMBER(SEARCH("R105",G184)),0)+IFERROR(--ISNUMBER(SEARCH("R107",G184)),0)+IFERROR(--ISNUMBER(SEARCH("R108",G184)),0)+IFERROR(--ISNUMBER(SEARCH("R109",G184)),0)+IFERROR(--ISNUMBER(SEARCH("R110",G184)),0)+IFERROR(--ISNUMBER(SEARCH("R112",G184)),0)+IFERROR(--ISNUMBER(SEARCH("R113",G184)),0)+IFERROR(--ISNUMBER(SEARCH("R114",G184)),0)+IFERROR(--ISNUMBER(SEARCH("R118",G184)),0)+IFERROR(--ISNUMBER(SEARCH("R119",G184)),0)+IFERROR(--ISNUMBER(SEARCH("R120",G184)),0)+IFERROR(--ISNUMBER(SEARCH("R122",G184)),0)+IFERROR(--ISNUMBER(SEARCH("R123",G184)),0)+IFERROR(--ISNUMBER(SEARCH("R124",G184)),0)+IFERROR(--ISNUMBER(SEARCH("R128",G184)),0)+IFERROR(--ISNUMBER(SEARCH("R130",G184)),0)+IFERROR(--ISNUMBER(SEARCH("R131",G184)),0)+IFERROR(--ISNUMBER(SEARCH("R132",G184)),0)+IFERROR(--ISNUMBER(SEARCH("R135",G184)),0)+IFERROR(--ISNUMBER(SEARCH("R138",G184)),0)+IFERROR(--ISNUMBER(SEARCH("R141",G184)),0))</f>
        <v/>
      </c>
      <c r="U184" s="58">
        <f>IF(A184="","",IFERROR(--ISNUMBER(SEARCH("R28",G184))*28,0)+IFERROR(--ISNUMBER(SEARCH("R29",G184))*29,0)+IFERROR(--ISNUMBER(SEARCH("R30",G184))*30,0)+IFERROR(--ISNUMBER(SEARCH("R31",G184))*31,0)+IFERROR(--ISNUMBER(SEARCH("R32",G184))*32,0)+IFERROR(--ISNUMBER(SEARCH("R33",G184))*33,0)+IFERROR(--ISNUMBER(SEARCH("R34",G184))*34,0)+IFERROR(--ISNUMBER(SEARCH("R35",G184))*35,0)+IFERROR(--ISNUMBER(SEARCH("R36",G184))*36,0)+IFERROR(--ISNUMBER(SEARCH("R37",G184))*37,0)+IFERROR(--ISNUMBER(SEARCH("R38",G184))*38,0)+IFERROR(--ISNUMBER(SEARCH("R39",G184))*39,0)+IFERROR(--ISNUMBER(SEARCH("R40",G184))*40,0)+IFERROR(--ISNUMBER(SEARCH("R41",G184))*41,0)+IFERROR(--ISNUMBER(SEARCH("R42",G184))*42,0)+IFERROR(--ISNUMBER(SEARCH("R43",G184))*43,0)+IFERROR(--ISNUMBER(SEARCH("R44",G184))*44,0)+IFERROR(--ISNUMBER(SEARCH("R45",G184))*45,0)+IFERROR(--ISNUMBER(SEARCH("R46",G184))*46,0)+IFERROR(--ISNUMBER(SEARCH("R47",G184))*47,0)+IFERROR(--ISNUMBER(SEARCH("R48",G184))*48,0)+IFERROR(--ISNUMBER(SEARCH("R49",G184))*49,0)+IFERROR(--ISNUMBER(SEARCH("R50",G184))*50,0)+IFERROR(--ISNUMBER(SEARCH("R51",G184))*51,0)+IFERROR(--ISNUMBER(SEARCH("R52",G184))*52,0)+IFERROR(--ISNUMBER(SEARCH("R53",G184))*53,0)+IFERROR(--ISNUMBER(SEARCH("R54",G184))*54,0)+IFERROR(--ISNUMBER(SEARCH("R55",G184))*55,0)+IFERROR(--ISNUMBER(SEARCH("R56",G184))*56,0)+IFERROR(--ISNUMBER(SEARCH("R57",G184))*57,0)+IFERROR(--ISNUMBER(SEARCH("R58",G184))*58,0)+IFERROR(--ISNUMBER(SEARCH("R59",G184))*59,0)+IFERROR(--ISNUMBER(SEARCH("R60",G184))*60,0)+IFERROR(--ISNUMBER(SEARCH("R61",G184))*61,0)+IFERROR(--ISNUMBER(SEARCH("R62",G184))*62,0)+IFERROR(--ISNUMBER(SEARCH("R63",G184))*63,0)+IFERROR(--ISNUMBER(SEARCH("R64",G184))*64,0)+IFERROR(--ISNUMBER(SEARCH("R65",G184))*65,0)+IFERROR(--ISNUMBER(SEARCH("R66",G184))*66,0)+IFERROR(--ISNUMBER(SEARCH("R67",G184))*67,0)+IFERROR(--ISNUMBER(SEARCH("R68",G184))*68,0)+IFERROR(--ISNUMBER(SEARCH("R69",G184))*69,0)+IFERROR(--ISNUMBER(SEARCH("R70",G184))*70,0)+IFERROR(--ISNUMBER(SEARCH("R71",G184))*71,0)+IFERROR(--ISNUMBER(SEARCH("R72",G184))*72,0)+IFERROR(--ISNUMBER(SEARCH("R73",G184))*73,0)+IFERROR(--ISNUMBER(SEARCH("R74",G184))*74,0)+IFERROR(--ISNUMBER(SEARCH("R75",G184))*75,0)+IFERROR(--ISNUMBER(SEARCH("R76",G184))*76,0)+IFERROR(--ISNUMBER(SEARCH("R77",G184))*77,0)+IFERROR(--ISNUMBER(SEARCH("R78",G184))*78,0)+IFERROR(--ISNUMBER(SEARCH("R79",G184))*79,0)+IFERROR(--ISNUMBER(SEARCH("R80",G184))*80,0)+IFERROR(--ISNUMBER(SEARCH("R81",G184))*81,0)+IFERROR(--ISNUMBER(SEARCH("R82",G184))*82,0)+IFERROR(--ISNUMBER(SEARCH("R83",G184))*83,0)+IFERROR(--ISNUMBER(SEARCH("R84",G184))*84,0)+IFERROR(--ISNUMBER(SEARCH("R85",G184))*85,0)+IFERROR(--ISNUMBER(SEARCH("R86",G184))*86,0)+IFERROR(--ISNUMBER(SEARCH("R87",G184))*87,0)+IFERROR(--ISNUMBER(SEARCH("R88",G184))*88,0)+IFERROR(--ISNUMBER(SEARCH("R89",G184))*89,0)+IFERROR(--ISNUMBER(SEARCH("R90",G184))*90,0)+IFERROR(--ISNUMBER(SEARCH("R91",G184))*91,0)+IFERROR(--ISNUMBER(SEARCH("R92",G184))*92,0)+IFERROR(--ISNUMBER(SEARCH("R93",G184))*93,0)+IFERROR(--ISNUMBER(SEARCH("R94",G184))*94,0)+IFERROR(--ISNUMBER(SEARCH("R95",G184))*95,0)+IFERROR(--ISNUMBER(SEARCH("R96",G184))*96,0)+IFERROR(--ISNUMBER(SEARCH("R97",G184))*97,0)+IFERROR(--ISNUMBER(SEARCH("R98",G184))*98,0)+IFERROR(--ISNUMBER(SEARCH("R99",G184))*99,0)+IFERROR(--ISNUMBER(SEARCH("R100",G184))*100,0)+IFERROR(--ISNUMBER(SEARCH("R101",G184))*101,0)+IFERROR(--ISNUMBER(SEARCH("R102",G184))*102,0)+IFERROR(--ISNUMBER(SEARCH("R103",G184))*103,0)+IFERROR(--ISNUMBER(SEARCH("R104",G184))*104,0)+IFERROR(--ISNUMBER(SEARCH("R105",G184))*105,0)+IFERROR(--ISNUMBER(SEARCH("R106",G184))*106,0)+IFERROR(--ISNUMBER(SEARCH("R107",G184))*107,0)+IFERROR(--ISNUMBER(SEARCH("R108",G184))*108,0)+IFERROR(--ISNUMBER(SEARCH("R109",G184))*109,0)+IFERROR(--ISNUMBER(SEARCH("R110",G184))*110,0)+IFERROR(--ISNUMBER(SEARCH("R111",G184))*111,0)+IFERROR(--ISNUMBER(SEARCH("R112",G184))*112,0)+IFERROR(--ISNUMBER(SEARCH("R113",G184))*113,0)+IFERROR(--ISNUMBER(SEARCH("R114",G184))*114,0)+IFERROR(--ISNUMBER(SEARCH("R115",G184))*115,0)+IFERROR(--ISNUMBER(SEARCH("R116",G184))*116,0)+IFERROR(--ISNUMBER(SEARCH("R117",G184))*117,0)+IFERROR(--ISNUMBER(SEARCH("R118",G184))*118,0)+IFERROR(--ISNUMBER(SEARCH("R119",G184))*119,0)+IFERROR(--ISNUMBER(SEARCH("R120",G184))*120,0)+IFERROR(--ISNUMBER(SEARCH("R121",G184))*121,0)+IFERROR(--ISNUMBER(SEARCH("R122",G184))*122,0)+IFERROR(--ISNUMBER(SEARCH("R123",G184))*123,0)+IFERROR(--ISNUMBER(SEARCH("R124",G184))*124,0)+IFERROR(--ISNUMBER(SEARCH("R125",G184))*125,0)+IFERROR(--ISNUMBER(SEARCH("R126",G184))*126,0)+IFERROR(--ISNUMBER(SEARCH("R127",G184))*127,0)+IFERROR(--ISNUMBER(SEARCH("R128",G184))*128,0)+IFERROR(--ISNUMBER(SEARCH("R129",G184))*129,0)+IFERROR(--ISNUMBER(SEARCH("R130",G184))*130,0)+IFERROR(--ISNUMBER(SEARCH("R131",G184))*131,0)+IFERROR(--ISNUMBER(SEARCH("R132",G184))*132,0)+IFERROR(--ISNUMBER(SEARCH("R133",G184))*133,0)+IFERROR(--ISNUMBER(SEARCH("R134",G184))*134,0)+IFERROR(--ISNUMBER(SEARCH("R135",G184))*135,0)+IFERROR(--ISNUMBER(SEARCH("R136",G184))*136,0)+IFERROR(--ISNUMBER(SEARCH("R137",G184))*137,0)+IFERROR(--ISNUMBER(SEARCH("R138",G184))*138,0)+IFERROR(--ISNUMBER(SEARCH("R139",G184))*139,0)+IFERROR(--ISNUMBER(SEARCH("R140",G184))*140,0)+IFERROR(--ISNUMBER(SEARCH("R141",G184))*141,0))</f>
        <v/>
      </c>
      <c r="V184" s="59">
        <f>IF(A184="","",IF(K184&lt;&gt;"",K184,J184))</f>
        <v/>
      </c>
      <c r="W184" s="59">
        <f>IF(A184="","",IF(AND(V184=29,O184&lt;&gt;"",COUNTIFS($V$6:$V$505,29,$F$6:$F$505,F184,$C$6:$C$505,C184,$O$6:$O$505,"&lt;&gt;")&gt;1),IF(COUNTIFS($V$6:V184,29,$F$6:F184,F184,$C$6:C184,C184,$O$6:O184,"&lt;&gt;")=1,"Esta es la fila que se debe CONSERVAR (aparición 1 de "&amp;COUNTIFS($V$6:$V$505,29,$F$6:$F$505,F184,$C$6:$C$505,C184,$O$6:$O$505,"&lt;&gt;")&amp;" con el mismo tercero y valor, casilla 29). Si hay más filas iguales, bórreles el valor a ELLAS, no a esta.","DUPLICADO — ya existe otra fila con el mismo tercero y valor para casilla 29 (aparición "&amp;COUNTIFS($V$6:V184,29,$F$6:F184,F184,$C$6:C184,C184,$O$6:O184,"&lt;&gt;")&amp;" de "&amp;COUNTIFS($V$6:$V$505,29,$F$6:$F$505,F184,$C$6:$C$505,C184,$O$6:$O$505,"&lt;&gt;")&amp;"). Para resolverlo: seleccione la celda O"&amp;ROW()&amp;" (columna Valor a declarar de ESTA fila) y presione Supr."),""))</f>
        <v/>
      </c>
      <c r="X184" s="463">
        <f>IF(A184="","",F184)</f>
        <v/>
      </c>
      <c r="Y184" s="463">
        <f>IF(A184="","",SUMIF(Entrada_Manual!$I$88:$I$187,A184,Entrada_Manual!$F$88:$F$187))</f>
        <v/>
      </c>
      <c r="Z184" s="463">
        <f>IF(A184="","",X184-Y184)</f>
        <v/>
      </c>
      <c r="AA184">
        <f>IF(A184="","",SUMPRODUCT((Entrada_Manual!$I$88:$I$187=A184)*1))</f>
        <v/>
      </c>
      <c r="AB184">
        <f>IF(A184="","",IF(S184&lt;=1,"",IF(AA184=0,"PENDIENTE — SIN ASIGNAR",IF(Z184=0,"RESUELTO","PARCIAL — DIFERENCIA "&amp;TEXT(Z184,"#,##0")))))</f>
        <v/>
      </c>
    </row>
    <row r="185" ht="14.25" customHeight="1" s="235">
      <c r="A185" s="47">
        <f>IF(Exogena_RAW!E194&lt;&gt;"",ROW()-5,"")</f>
        <v/>
      </c>
      <c r="B185" s="48">
        <f>IF(A185="","",194)</f>
        <v/>
      </c>
      <c r="C185" s="48">
        <f>IF(A185="","",IFERROR(Exogena_RAW!A194,""))</f>
        <v/>
      </c>
      <c r="D185" s="48">
        <f>IF(A185="","",IFERROR(Exogena_RAW!B194,""))</f>
        <v/>
      </c>
      <c r="E185" s="48">
        <f>IF(A185="","",Exogena_RAW!E194)</f>
        <v/>
      </c>
      <c r="F185" s="461">
        <f>IF(A185="","",Exogena_RAW!F194)</f>
        <v/>
      </c>
      <c r="G185" s="48">
        <f>IF(A185="","",IFERROR(Exogena_RAW!G194,""))</f>
        <v/>
      </c>
      <c r="H185" s="48">
        <f>IF(A185="","",IFERROR(Exogena_RAW!H194,""))</f>
        <v/>
      </c>
      <c r="I185" s="48">
        <f>IF(A185="","",IFERROR(IF(S185&gt;1,"VARIAS CASILLAS",IF(S185=1,IF(T185=1,"PROPUESTA DE CASILLA","REVISIÓN: CASILLA NO DIRECTA"),IF(OR(ISNUMBER(SEARCH("TOPE",UPPER(E185))),ISNUMBER(SEARCH("TOPE",UPPER(G185)))),"SOLO CONTROL",IF(ISNUMBER(SEARCH("RETEN",UPPER(E185))),"RETENCIÓN","REVISAR")))),"REVISAR"))</f>
        <v/>
      </c>
      <c r="J185" s="48">
        <f>IF(A185="","",IF(ISNUMBER(SEARCH("ingreso laboral promedio de los últimos seis meses",E185)),"",IFERROR(IF(AND(S185=1,T185=1),U185,""),"")))</f>
        <v/>
      </c>
      <c r="K185" s="216" t="n"/>
      <c r="L185" s="48">
        <f>IF(A185="","",IFERROR(IF(K185&lt;&gt;"","Casilla elegida por usuario",IF(S185&gt;1,"Varias casillas — elegir en K",IF(J185&lt;&gt;"","Sugerencia directa",IF(S185=1,"No trasladar directo — revisar",IF(OR(ISNUMBER(SEARCH("TOPE",UPPER(E185))),ISNUMBER(SEARCH("TOPE",UPPER(G185)))),"Solo control","Revisar manualmente"))))),"Revisar manualmente"))</f>
        <v/>
      </c>
      <c r="M185" s="461">
        <f>IF(A185="","",IF(IF(K185&lt;&gt;"",K185,J185)="",0,IF(COUNTIFS(Reglas!$I$5:$I$118,IF(K185&lt;&gt;"",K185,J185),Reglas!$J$5:$J$118,"Sí")=1,F185,0)))</f>
        <v/>
      </c>
      <c r="N185" s="56" t="n"/>
      <c r="O185" s="462">
        <f>IF(A185="","",IF(M185=0,"",M185))</f>
        <v/>
      </c>
      <c r="P185" s="461">
        <f>IF(A185="","",IF(O185="",0,IF(ISNUMBER(O185),O185,0)))</f>
        <v/>
      </c>
      <c r="Q185" s="48">
        <f>IF(A185="","",IF(Exogena_RAW!$C$4="","BLOQUEADO: FALTA AÑO",IF(Exogena_RAW!$K$10&lt;&gt;Reglas!$B$5,"BLOQUEADO: AÑO",IF(IF(K185&lt;&gt;"",K185,J185)="",IF(S185&gt;1,"REQUIERE ASIGNACIÓN MANUAL (VARIAS CASILLAS)","INFORMATIVO (sin casilla — no se declara)"),IF(COUNTIFS(Reglas!$I$5:$I$118,IF(K185&lt;&gt;"",K185,J185),Reglas!$J$5:$J$118,"Sí")=0,"BLOQUEADO: CASILLA NO DIRECTA",IF(O185="","EXCLUIDO (valor borrado por el usuario)",IF(_xlfn.ISFORMULA(O185),IF(W185&lt;&gt;"","BORRADOR — VALOR SUGERIDO DIAN ⚠ VER ALERTA","BORRADOR — VALOR SUGERIDO DIAN"),IF(W185&lt;&gt;"","ACEPTADO ⚠ VER ALERTA","ACEPTADO"))))))))</f>
        <v/>
      </c>
      <c r="R185" s="218" t="n"/>
      <c r="S185" s="58">
        <f>IF(A185="","",IFERROR(--ISNUMBER(SEARCH("R28",G185)),0)+IFERROR(--ISNUMBER(SEARCH("R29",G185)),0)+IFERROR(--ISNUMBER(SEARCH("R30",G185)),0)+IFERROR(--ISNUMBER(SEARCH("R31",G185)),0)+IFERROR(--ISNUMBER(SEARCH("R32",G185)),0)+IFERROR(--ISNUMBER(SEARCH("R33",G185)),0)+IFERROR(--ISNUMBER(SEARCH("R34",G185)),0)+IFERROR(--ISNUMBER(SEARCH("R35",G185)),0)+IFERROR(--ISNUMBER(SEARCH("R36",G185)),0)+IFERROR(--ISNUMBER(SEARCH("R37",G185)),0)+IFERROR(--ISNUMBER(SEARCH("R38",G185)),0)+IFERROR(--ISNUMBER(SEARCH("R39",G185)),0)+IFERROR(--ISNUMBER(SEARCH("R40",G185)),0)+IFERROR(--ISNUMBER(SEARCH("R41",G185)),0)+IFERROR(--ISNUMBER(SEARCH("R42",G185)),0)+IFERROR(--ISNUMBER(SEARCH("R43",G185)),0)+IFERROR(--ISNUMBER(SEARCH("R44",G185)),0)+IFERROR(--ISNUMBER(SEARCH("R45",G185)),0)+IFERROR(--ISNUMBER(SEARCH("R46",G185)),0)+IFERROR(--ISNUMBER(SEARCH("R47",G185)),0)+IFERROR(--ISNUMBER(SEARCH("R48",G185)),0)+IFERROR(--ISNUMBER(SEARCH("R49",G185)),0)+IFERROR(--ISNUMBER(SEARCH("R50",G185)),0)+IFERROR(--ISNUMBER(SEARCH("R51",G185)),0)+IFERROR(--ISNUMBER(SEARCH("R52",G185)),0)+IFERROR(--ISNUMBER(SEARCH("R53",G185)),0)+IFERROR(--ISNUMBER(SEARCH("R54",G185)),0)+IFERROR(--ISNUMBER(SEARCH("R55",G185)),0)+IFERROR(--ISNUMBER(SEARCH("R56",G185)),0)+IFERROR(--ISNUMBER(SEARCH("R57",G185)),0)+IFERROR(--ISNUMBER(SEARCH("R58",G185)),0)+IFERROR(--ISNUMBER(SEARCH("R59",G185)),0)+IFERROR(--ISNUMBER(SEARCH("R60",G185)),0)+IFERROR(--ISNUMBER(SEARCH("R61",G185)),0)+IFERROR(--ISNUMBER(SEARCH("R62",G185)),0)+IFERROR(--ISNUMBER(SEARCH("R63",G185)),0)+IFERROR(--ISNUMBER(SEARCH("R64",G185)),0)+IFERROR(--ISNUMBER(SEARCH("R65",G185)),0)+IFERROR(--ISNUMBER(SEARCH("R66",G185)),0)+IFERROR(--ISNUMBER(SEARCH("R67",G185)),0)+IFERROR(--ISNUMBER(SEARCH("R68",G185)),0)+IFERROR(--ISNUMBER(SEARCH("R69",G185)),0)+IFERROR(--ISNUMBER(SEARCH("R70",G185)),0)+IFERROR(--ISNUMBER(SEARCH("R71",G185)),0)+IFERROR(--ISNUMBER(SEARCH("R72",G185)),0)+IFERROR(--ISNUMBER(SEARCH("R73",G185)),0)+IFERROR(--ISNUMBER(SEARCH("R74",G185)),0)+IFERROR(--ISNUMBER(SEARCH("R75",G185)),0)+IFERROR(--ISNUMBER(SEARCH("R76",G185)),0)+IFERROR(--ISNUMBER(SEARCH("R77",G185)),0)+IFERROR(--ISNUMBER(SEARCH("R78",G185)),0)+IFERROR(--ISNUMBER(SEARCH("R79",G185)),0)+IFERROR(--ISNUMBER(SEARCH("R80",G185)),0)+IFERROR(--ISNUMBER(SEARCH("R81",G185)),0)+IFERROR(--ISNUMBER(SEARCH("R82",G185)),0)+IFERROR(--ISNUMBER(SEARCH("R83",G185)),0)+IFERROR(--ISNUMBER(SEARCH("R84",G185)),0)+IFERROR(--ISNUMBER(SEARCH("R85",G185)),0)+IFERROR(--ISNUMBER(SEARCH("R86",G185)),0)+IFERROR(--ISNUMBER(SEARCH("R87",G185)),0)+IFERROR(--ISNUMBER(SEARCH("R88",G185)),0)+IFERROR(--ISNUMBER(SEARCH("R89",G185)),0)+IFERROR(--ISNUMBER(SEARCH("R90",G185)),0)+IFERROR(--ISNUMBER(SEARCH("R91",G185)),0)+IFERROR(--ISNUMBER(SEARCH("R92",G185)),0)+IFERROR(--ISNUMBER(SEARCH("R93",G185)),0)+IFERROR(--ISNUMBER(SEARCH("R94",G185)),0)+IFERROR(--ISNUMBER(SEARCH("R95",G185)),0)+IFERROR(--ISNUMBER(SEARCH("R96",G185)),0)+IFERROR(--ISNUMBER(SEARCH("R97",G185)),0)+IFERROR(--ISNUMBER(SEARCH("R98",G185)),0)+IFERROR(--ISNUMBER(SEARCH("R99",G185)),0)+IFERROR(--ISNUMBER(SEARCH("R100",G185)),0)+IFERROR(--ISNUMBER(SEARCH("R101",G185)),0)+IFERROR(--ISNUMBER(SEARCH("R102",G185)),0)+IFERROR(--ISNUMBER(SEARCH("R103",G185)),0)+IFERROR(--ISNUMBER(SEARCH("R104",G185)),0)+IFERROR(--ISNUMBER(SEARCH("R105",G185)),0)+IFERROR(--ISNUMBER(SEARCH("R106",G185)),0)+IFERROR(--ISNUMBER(SEARCH("R107",G185)),0)+IFERROR(--ISNUMBER(SEARCH("R108",G185)),0)+IFERROR(--ISNUMBER(SEARCH("R109",G185)),0)+IFERROR(--ISNUMBER(SEARCH("R110",G185)),0)+IFERROR(--ISNUMBER(SEARCH("R111",G185)),0)+IFERROR(--ISNUMBER(SEARCH("R112",G185)),0)+IFERROR(--ISNUMBER(SEARCH("R113",G185)),0)+IFERROR(--ISNUMBER(SEARCH("R114",G185)),0)+IFERROR(--ISNUMBER(SEARCH("R115",G185)),0)+IFERROR(--ISNUMBER(SEARCH("R116",G185)),0)+IFERROR(--ISNUMBER(SEARCH("R117",G185)),0)+IFERROR(--ISNUMBER(SEARCH("R118",G185)),0)+IFERROR(--ISNUMBER(SEARCH("R119",G185)),0)+IFERROR(--ISNUMBER(SEARCH("R120",G185)),0)+IFERROR(--ISNUMBER(SEARCH("R121",G185)),0)+IFERROR(--ISNUMBER(SEARCH("R122",G185)),0)+IFERROR(--ISNUMBER(SEARCH("R123",G185)),0)+IFERROR(--ISNUMBER(SEARCH("R124",G185)),0)+IFERROR(--ISNUMBER(SEARCH("R125",G185)),0)+IFERROR(--ISNUMBER(SEARCH("R126",G185)),0)+IFERROR(--ISNUMBER(SEARCH("R127",G185)),0)+IFERROR(--ISNUMBER(SEARCH("R128",G185)),0)+IFERROR(--ISNUMBER(SEARCH("R129",G185)),0)+IFERROR(--ISNUMBER(SEARCH("R130",G185)),0)+IFERROR(--ISNUMBER(SEARCH("R131",G185)),0)+IFERROR(--ISNUMBER(SEARCH("R132",G185)),0)+IFERROR(--ISNUMBER(SEARCH("R133",G185)),0)+IFERROR(--ISNUMBER(SEARCH("R134",G185)),0)+IFERROR(--ISNUMBER(SEARCH("R135",G185)),0)+IFERROR(--ISNUMBER(SEARCH("R136",G185)),0)+IFERROR(--ISNUMBER(SEARCH("R137",G185)),0)+IFERROR(--ISNUMBER(SEARCH("R138",G185)),0)+IFERROR(--ISNUMBER(SEARCH("R139",G185)),0)+IFERROR(--ISNUMBER(SEARCH("R140",G185)),0)+IFERROR(--ISNUMBER(SEARCH("R141",G185)),0))</f>
        <v/>
      </c>
      <c r="T185" s="58">
        <f>IF(A185="","",IFERROR(--ISNUMBER(SEARCH("R28",G185)),0)+IFERROR(--ISNUMBER(SEARCH("R29",G185)),0)+IFERROR(--ISNUMBER(SEARCH("R30",G185)),0)+IFERROR(--ISNUMBER(SEARCH("R32",G185)),0)+IFERROR(--ISNUMBER(SEARCH("R33",G185)),0)+IFERROR(--ISNUMBER(SEARCH("R35",G185)),0)+IFERROR(--ISNUMBER(SEARCH("R36",G185)),0)+IFERROR(--ISNUMBER(SEARCH("R38",G185)),0)+IFERROR(--ISNUMBER(SEARCH("R39",G185)),0)+IFERROR(--ISNUMBER(SEARCH("R43",G185)),0)+IFERROR(--ISNUMBER(SEARCH("R44",G185)),0)+IFERROR(--ISNUMBER(SEARCH("R45",G185)),0)+IFERROR(--ISNUMBER(SEARCH("R47",G185)),0)+IFERROR(--ISNUMBER(SEARCH("R48",G185)),0)+IFERROR(--ISNUMBER(SEARCH("R50",G185)),0)+IFERROR(--ISNUMBER(SEARCH("R51",G185)),0)+IFERROR(--ISNUMBER(SEARCH("R56",G185)),0)+IFERROR(--ISNUMBER(SEARCH("R58",G185)),0)+IFERROR(--ISNUMBER(SEARCH("R59",G185)),0)+IFERROR(--ISNUMBER(SEARCH("R60",G185)),0)+IFERROR(--ISNUMBER(SEARCH("R62",G185)),0)+IFERROR(--ISNUMBER(SEARCH("R63",G185)),0)+IFERROR(--ISNUMBER(SEARCH("R64",G185)),0)+IFERROR(--ISNUMBER(SEARCH("R66",G185)),0)+IFERROR(--ISNUMBER(SEARCH("R67",G185)),0)+IFERROR(--ISNUMBER(SEARCH("R72",G185)),0)+IFERROR(--ISNUMBER(SEARCH("R74",G185)),0)+IFERROR(--ISNUMBER(SEARCH("R75",G185)),0)+IFERROR(--ISNUMBER(SEARCH("R76",G185)),0)+IFERROR(--ISNUMBER(SEARCH("R77",G185)),0)+IFERROR(--ISNUMBER(SEARCH("R79",G185)),0)+IFERROR(--ISNUMBER(SEARCH("R80",G185)),0)+IFERROR(--ISNUMBER(SEARCH("R81",G185)),0)+IFERROR(--ISNUMBER(SEARCH("R83",G185)),0)+IFERROR(--ISNUMBER(SEARCH("R84",G185)),0)+IFERROR(--ISNUMBER(SEARCH("R89",G185)),0)+IFERROR(--ISNUMBER(SEARCH("R94",G185)),0)+IFERROR(--ISNUMBER(SEARCH("R95",G185)),0)+IFERROR(--ISNUMBER(SEARCH("R96",G185)),0)+IFERROR(--ISNUMBER(SEARCH("R98",G185)),0)+IFERROR(--ISNUMBER(SEARCH("R99",G185)),0)+IFERROR(--ISNUMBER(SEARCH("R100",G185)),0)+IFERROR(--ISNUMBER(SEARCH("R104",G185)),0)+IFERROR(--ISNUMBER(SEARCH("R105",G185)),0)+IFERROR(--ISNUMBER(SEARCH("R107",G185)),0)+IFERROR(--ISNUMBER(SEARCH("R108",G185)),0)+IFERROR(--ISNUMBER(SEARCH("R109",G185)),0)+IFERROR(--ISNUMBER(SEARCH("R110",G185)),0)+IFERROR(--ISNUMBER(SEARCH("R112",G185)),0)+IFERROR(--ISNUMBER(SEARCH("R113",G185)),0)+IFERROR(--ISNUMBER(SEARCH("R114",G185)),0)+IFERROR(--ISNUMBER(SEARCH("R118",G185)),0)+IFERROR(--ISNUMBER(SEARCH("R119",G185)),0)+IFERROR(--ISNUMBER(SEARCH("R120",G185)),0)+IFERROR(--ISNUMBER(SEARCH("R122",G185)),0)+IFERROR(--ISNUMBER(SEARCH("R123",G185)),0)+IFERROR(--ISNUMBER(SEARCH("R124",G185)),0)+IFERROR(--ISNUMBER(SEARCH("R128",G185)),0)+IFERROR(--ISNUMBER(SEARCH("R130",G185)),0)+IFERROR(--ISNUMBER(SEARCH("R131",G185)),0)+IFERROR(--ISNUMBER(SEARCH("R132",G185)),0)+IFERROR(--ISNUMBER(SEARCH("R135",G185)),0)+IFERROR(--ISNUMBER(SEARCH("R138",G185)),0)+IFERROR(--ISNUMBER(SEARCH("R141",G185)),0))</f>
        <v/>
      </c>
      <c r="U185" s="58">
        <f>IF(A185="","",IFERROR(--ISNUMBER(SEARCH("R28",G185))*28,0)+IFERROR(--ISNUMBER(SEARCH("R29",G185))*29,0)+IFERROR(--ISNUMBER(SEARCH("R30",G185))*30,0)+IFERROR(--ISNUMBER(SEARCH("R31",G185))*31,0)+IFERROR(--ISNUMBER(SEARCH("R32",G185))*32,0)+IFERROR(--ISNUMBER(SEARCH("R33",G185))*33,0)+IFERROR(--ISNUMBER(SEARCH("R34",G185))*34,0)+IFERROR(--ISNUMBER(SEARCH("R35",G185))*35,0)+IFERROR(--ISNUMBER(SEARCH("R36",G185))*36,0)+IFERROR(--ISNUMBER(SEARCH("R37",G185))*37,0)+IFERROR(--ISNUMBER(SEARCH("R38",G185))*38,0)+IFERROR(--ISNUMBER(SEARCH("R39",G185))*39,0)+IFERROR(--ISNUMBER(SEARCH("R40",G185))*40,0)+IFERROR(--ISNUMBER(SEARCH("R41",G185))*41,0)+IFERROR(--ISNUMBER(SEARCH("R42",G185))*42,0)+IFERROR(--ISNUMBER(SEARCH("R43",G185))*43,0)+IFERROR(--ISNUMBER(SEARCH("R44",G185))*44,0)+IFERROR(--ISNUMBER(SEARCH("R45",G185))*45,0)+IFERROR(--ISNUMBER(SEARCH("R46",G185))*46,0)+IFERROR(--ISNUMBER(SEARCH("R47",G185))*47,0)+IFERROR(--ISNUMBER(SEARCH("R48",G185))*48,0)+IFERROR(--ISNUMBER(SEARCH("R49",G185))*49,0)+IFERROR(--ISNUMBER(SEARCH("R50",G185))*50,0)+IFERROR(--ISNUMBER(SEARCH("R51",G185))*51,0)+IFERROR(--ISNUMBER(SEARCH("R52",G185))*52,0)+IFERROR(--ISNUMBER(SEARCH("R53",G185))*53,0)+IFERROR(--ISNUMBER(SEARCH("R54",G185))*54,0)+IFERROR(--ISNUMBER(SEARCH("R55",G185))*55,0)+IFERROR(--ISNUMBER(SEARCH("R56",G185))*56,0)+IFERROR(--ISNUMBER(SEARCH("R57",G185))*57,0)+IFERROR(--ISNUMBER(SEARCH("R58",G185))*58,0)+IFERROR(--ISNUMBER(SEARCH("R59",G185))*59,0)+IFERROR(--ISNUMBER(SEARCH("R60",G185))*60,0)+IFERROR(--ISNUMBER(SEARCH("R61",G185))*61,0)+IFERROR(--ISNUMBER(SEARCH("R62",G185))*62,0)+IFERROR(--ISNUMBER(SEARCH("R63",G185))*63,0)+IFERROR(--ISNUMBER(SEARCH("R64",G185))*64,0)+IFERROR(--ISNUMBER(SEARCH("R65",G185))*65,0)+IFERROR(--ISNUMBER(SEARCH("R66",G185))*66,0)+IFERROR(--ISNUMBER(SEARCH("R67",G185))*67,0)+IFERROR(--ISNUMBER(SEARCH("R68",G185))*68,0)+IFERROR(--ISNUMBER(SEARCH("R69",G185))*69,0)+IFERROR(--ISNUMBER(SEARCH("R70",G185))*70,0)+IFERROR(--ISNUMBER(SEARCH("R71",G185))*71,0)+IFERROR(--ISNUMBER(SEARCH("R72",G185))*72,0)+IFERROR(--ISNUMBER(SEARCH("R73",G185))*73,0)+IFERROR(--ISNUMBER(SEARCH("R74",G185))*74,0)+IFERROR(--ISNUMBER(SEARCH("R75",G185))*75,0)+IFERROR(--ISNUMBER(SEARCH("R76",G185))*76,0)+IFERROR(--ISNUMBER(SEARCH("R77",G185))*77,0)+IFERROR(--ISNUMBER(SEARCH("R78",G185))*78,0)+IFERROR(--ISNUMBER(SEARCH("R79",G185))*79,0)+IFERROR(--ISNUMBER(SEARCH("R80",G185))*80,0)+IFERROR(--ISNUMBER(SEARCH("R81",G185))*81,0)+IFERROR(--ISNUMBER(SEARCH("R82",G185))*82,0)+IFERROR(--ISNUMBER(SEARCH("R83",G185))*83,0)+IFERROR(--ISNUMBER(SEARCH("R84",G185))*84,0)+IFERROR(--ISNUMBER(SEARCH("R85",G185))*85,0)+IFERROR(--ISNUMBER(SEARCH("R86",G185))*86,0)+IFERROR(--ISNUMBER(SEARCH("R87",G185))*87,0)+IFERROR(--ISNUMBER(SEARCH("R88",G185))*88,0)+IFERROR(--ISNUMBER(SEARCH("R89",G185))*89,0)+IFERROR(--ISNUMBER(SEARCH("R90",G185))*90,0)+IFERROR(--ISNUMBER(SEARCH("R91",G185))*91,0)+IFERROR(--ISNUMBER(SEARCH("R92",G185))*92,0)+IFERROR(--ISNUMBER(SEARCH("R93",G185))*93,0)+IFERROR(--ISNUMBER(SEARCH("R94",G185))*94,0)+IFERROR(--ISNUMBER(SEARCH("R95",G185))*95,0)+IFERROR(--ISNUMBER(SEARCH("R96",G185))*96,0)+IFERROR(--ISNUMBER(SEARCH("R97",G185))*97,0)+IFERROR(--ISNUMBER(SEARCH("R98",G185))*98,0)+IFERROR(--ISNUMBER(SEARCH("R99",G185))*99,0)+IFERROR(--ISNUMBER(SEARCH("R100",G185))*100,0)+IFERROR(--ISNUMBER(SEARCH("R101",G185))*101,0)+IFERROR(--ISNUMBER(SEARCH("R102",G185))*102,0)+IFERROR(--ISNUMBER(SEARCH("R103",G185))*103,0)+IFERROR(--ISNUMBER(SEARCH("R104",G185))*104,0)+IFERROR(--ISNUMBER(SEARCH("R105",G185))*105,0)+IFERROR(--ISNUMBER(SEARCH("R106",G185))*106,0)+IFERROR(--ISNUMBER(SEARCH("R107",G185))*107,0)+IFERROR(--ISNUMBER(SEARCH("R108",G185))*108,0)+IFERROR(--ISNUMBER(SEARCH("R109",G185))*109,0)+IFERROR(--ISNUMBER(SEARCH("R110",G185))*110,0)+IFERROR(--ISNUMBER(SEARCH("R111",G185))*111,0)+IFERROR(--ISNUMBER(SEARCH("R112",G185))*112,0)+IFERROR(--ISNUMBER(SEARCH("R113",G185))*113,0)+IFERROR(--ISNUMBER(SEARCH("R114",G185))*114,0)+IFERROR(--ISNUMBER(SEARCH("R115",G185))*115,0)+IFERROR(--ISNUMBER(SEARCH("R116",G185))*116,0)+IFERROR(--ISNUMBER(SEARCH("R117",G185))*117,0)+IFERROR(--ISNUMBER(SEARCH("R118",G185))*118,0)+IFERROR(--ISNUMBER(SEARCH("R119",G185))*119,0)+IFERROR(--ISNUMBER(SEARCH("R120",G185))*120,0)+IFERROR(--ISNUMBER(SEARCH("R121",G185))*121,0)+IFERROR(--ISNUMBER(SEARCH("R122",G185))*122,0)+IFERROR(--ISNUMBER(SEARCH("R123",G185))*123,0)+IFERROR(--ISNUMBER(SEARCH("R124",G185))*124,0)+IFERROR(--ISNUMBER(SEARCH("R125",G185))*125,0)+IFERROR(--ISNUMBER(SEARCH("R126",G185))*126,0)+IFERROR(--ISNUMBER(SEARCH("R127",G185))*127,0)+IFERROR(--ISNUMBER(SEARCH("R128",G185))*128,0)+IFERROR(--ISNUMBER(SEARCH("R129",G185))*129,0)+IFERROR(--ISNUMBER(SEARCH("R130",G185))*130,0)+IFERROR(--ISNUMBER(SEARCH("R131",G185))*131,0)+IFERROR(--ISNUMBER(SEARCH("R132",G185))*132,0)+IFERROR(--ISNUMBER(SEARCH("R133",G185))*133,0)+IFERROR(--ISNUMBER(SEARCH("R134",G185))*134,0)+IFERROR(--ISNUMBER(SEARCH("R135",G185))*135,0)+IFERROR(--ISNUMBER(SEARCH("R136",G185))*136,0)+IFERROR(--ISNUMBER(SEARCH("R137",G185))*137,0)+IFERROR(--ISNUMBER(SEARCH("R138",G185))*138,0)+IFERROR(--ISNUMBER(SEARCH("R139",G185))*139,0)+IFERROR(--ISNUMBER(SEARCH("R140",G185))*140,0)+IFERROR(--ISNUMBER(SEARCH("R141",G185))*141,0))</f>
        <v/>
      </c>
      <c r="V185" s="59">
        <f>IF(A185="","",IF(K185&lt;&gt;"",K185,J185))</f>
        <v/>
      </c>
      <c r="W185" s="59">
        <f>IF(A185="","",IF(AND(V185=29,O185&lt;&gt;"",COUNTIFS($V$6:$V$505,29,$F$6:$F$505,F185,$C$6:$C$505,C185,$O$6:$O$505,"&lt;&gt;")&gt;1),IF(COUNTIFS($V$6:V185,29,$F$6:F185,F185,$C$6:C185,C185,$O$6:O185,"&lt;&gt;")=1,"Esta es la fila que se debe CONSERVAR (aparición 1 de "&amp;COUNTIFS($V$6:$V$505,29,$F$6:$F$505,F185,$C$6:$C$505,C185,$O$6:$O$505,"&lt;&gt;")&amp;" con el mismo tercero y valor, casilla 29). Si hay más filas iguales, bórreles el valor a ELLAS, no a esta.","DUPLICADO — ya existe otra fila con el mismo tercero y valor para casilla 29 (aparición "&amp;COUNTIFS($V$6:V185,29,$F$6:F185,F185,$C$6:C185,C185,$O$6:O185,"&lt;&gt;")&amp;" de "&amp;COUNTIFS($V$6:$V$505,29,$F$6:$F$505,F185,$C$6:$C$505,C185,$O$6:$O$505,"&lt;&gt;")&amp;"). Para resolverlo: seleccione la celda O"&amp;ROW()&amp;" (columna Valor a declarar de ESTA fila) y presione Supr."),""))</f>
        <v/>
      </c>
      <c r="X185" s="463">
        <f>IF(A185="","",F185)</f>
        <v/>
      </c>
      <c r="Y185" s="463">
        <f>IF(A185="","",SUMIF(Entrada_Manual!$I$88:$I$187,A185,Entrada_Manual!$F$88:$F$187))</f>
        <v/>
      </c>
      <c r="Z185" s="463">
        <f>IF(A185="","",X185-Y185)</f>
        <v/>
      </c>
      <c r="AA185">
        <f>IF(A185="","",SUMPRODUCT((Entrada_Manual!$I$88:$I$187=A185)*1))</f>
        <v/>
      </c>
      <c r="AB185">
        <f>IF(A185="","",IF(S185&lt;=1,"",IF(AA185=0,"PENDIENTE — SIN ASIGNAR",IF(Z185=0,"RESUELTO","PARCIAL — DIFERENCIA "&amp;TEXT(Z185,"#,##0")))))</f>
        <v/>
      </c>
    </row>
    <row r="186" ht="14.25" customHeight="1" s="235">
      <c r="A186" s="47">
        <f>IF(Exogena_RAW!E195&lt;&gt;"",ROW()-5,"")</f>
        <v/>
      </c>
      <c r="B186" s="48">
        <f>IF(A186="","",195)</f>
        <v/>
      </c>
      <c r="C186" s="48">
        <f>IF(A186="","",IFERROR(Exogena_RAW!A195,""))</f>
        <v/>
      </c>
      <c r="D186" s="48">
        <f>IF(A186="","",IFERROR(Exogena_RAW!B195,""))</f>
        <v/>
      </c>
      <c r="E186" s="48">
        <f>IF(A186="","",Exogena_RAW!E195)</f>
        <v/>
      </c>
      <c r="F186" s="461">
        <f>IF(A186="","",Exogena_RAW!F195)</f>
        <v/>
      </c>
      <c r="G186" s="48">
        <f>IF(A186="","",IFERROR(Exogena_RAW!G195,""))</f>
        <v/>
      </c>
      <c r="H186" s="48">
        <f>IF(A186="","",IFERROR(Exogena_RAW!H195,""))</f>
        <v/>
      </c>
      <c r="I186" s="48">
        <f>IF(A186="","",IFERROR(IF(S186&gt;1,"VARIAS CASILLAS",IF(S186=1,IF(T186=1,"PROPUESTA DE CASILLA","REVISIÓN: CASILLA NO DIRECTA"),IF(OR(ISNUMBER(SEARCH("TOPE",UPPER(E186))),ISNUMBER(SEARCH("TOPE",UPPER(G186)))),"SOLO CONTROL",IF(ISNUMBER(SEARCH("RETEN",UPPER(E186))),"RETENCIÓN","REVISAR")))),"REVISAR"))</f>
        <v/>
      </c>
      <c r="J186" s="48">
        <f>IF(A186="","",IF(ISNUMBER(SEARCH("ingreso laboral promedio de los últimos seis meses",E186)),"",IFERROR(IF(AND(S186=1,T186=1),U186,""),"")))</f>
        <v/>
      </c>
      <c r="K186" s="216" t="n"/>
      <c r="L186" s="48">
        <f>IF(A186="","",IFERROR(IF(K186&lt;&gt;"","Casilla elegida por usuario",IF(S186&gt;1,"Varias casillas — elegir en K",IF(J186&lt;&gt;"","Sugerencia directa",IF(S186=1,"No trasladar directo — revisar",IF(OR(ISNUMBER(SEARCH("TOPE",UPPER(E186))),ISNUMBER(SEARCH("TOPE",UPPER(G186)))),"Solo control","Revisar manualmente"))))),"Revisar manualmente"))</f>
        <v/>
      </c>
      <c r="M186" s="461">
        <f>IF(A186="","",IF(IF(K186&lt;&gt;"",K186,J186)="",0,IF(COUNTIFS(Reglas!$I$5:$I$118,IF(K186&lt;&gt;"",K186,J186),Reglas!$J$5:$J$118,"Sí")=1,F186,0)))</f>
        <v/>
      </c>
      <c r="N186" s="56" t="n"/>
      <c r="O186" s="462">
        <f>IF(A186="","",IF(M186=0,"",M186))</f>
        <v/>
      </c>
      <c r="P186" s="461">
        <f>IF(A186="","",IF(O186="",0,IF(ISNUMBER(O186),O186,0)))</f>
        <v/>
      </c>
      <c r="Q186" s="48">
        <f>IF(A186="","",IF(Exogena_RAW!$C$4="","BLOQUEADO: FALTA AÑO",IF(Exogena_RAW!$K$10&lt;&gt;Reglas!$B$5,"BLOQUEADO: AÑO",IF(IF(K186&lt;&gt;"",K186,J186)="",IF(S186&gt;1,"REQUIERE ASIGNACIÓN MANUAL (VARIAS CASILLAS)","INFORMATIVO (sin casilla — no se declara)"),IF(COUNTIFS(Reglas!$I$5:$I$118,IF(K186&lt;&gt;"",K186,J186),Reglas!$J$5:$J$118,"Sí")=0,"BLOQUEADO: CASILLA NO DIRECTA",IF(O186="","EXCLUIDO (valor borrado por el usuario)",IF(_xlfn.ISFORMULA(O186),IF(W186&lt;&gt;"","BORRADOR — VALOR SUGERIDO DIAN ⚠ VER ALERTA","BORRADOR — VALOR SUGERIDO DIAN"),IF(W186&lt;&gt;"","ACEPTADO ⚠ VER ALERTA","ACEPTADO"))))))))</f>
        <v/>
      </c>
      <c r="R186" s="218" t="n"/>
      <c r="S186" s="58">
        <f>IF(A186="","",IFERROR(--ISNUMBER(SEARCH("R28",G186)),0)+IFERROR(--ISNUMBER(SEARCH("R29",G186)),0)+IFERROR(--ISNUMBER(SEARCH("R30",G186)),0)+IFERROR(--ISNUMBER(SEARCH("R31",G186)),0)+IFERROR(--ISNUMBER(SEARCH("R32",G186)),0)+IFERROR(--ISNUMBER(SEARCH("R33",G186)),0)+IFERROR(--ISNUMBER(SEARCH("R34",G186)),0)+IFERROR(--ISNUMBER(SEARCH("R35",G186)),0)+IFERROR(--ISNUMBER(SEARCH("R36",G186)),0)+IFERROR(--ISNUMBER(SEARCH("R37",G186)),0)+IFERROR(--ISNUMBER(SEARCH("R38",G186)),0)+IFERROR(--ISNUMBER(SEARCH("R39",G186)),0)+IFERROR(--ISNUMBER(SEARCH("R40",G186)),0)+IFERROR(--ISNUMBER(SEARCH("R41",G186)),0)+IFERROR(--ISNUMBER(SEARCH("R42",G186)),0)+IFERROR(--ISNUMBER(SEARCH("R43",G186)),0)+IFERROR(--ISNUMBER(SEARCH("R44",G186)),0)+IFERROR(--ISNUMBER(SEARCH("R45",G186)),0)+IFERROR(--ISNUMBER(SEARCH("R46",G186)),0)+IFERROR(--ISNUMBER(SEARCH("R47",G186)),0)+IFERROR(--ISNUMBER(SEARCH("R48",G186)),0)+IFERROR(--ISNUMBER(SEARCH("R49",G186)),0)+IFERROR(--ISNUMBER(SEARCH("R50",G186)),0)+IFERROR(--ISNUMBER(SEARCH("R51",G186)),0)+IFERROR(--ISNUMBER(SEARCH("R52",G186)),0)+IFERROR(--ISNUMBER(SEARCH("R53",G186)),0)+IFERROR(--ISNUMBER(SEARCH("R54",G186)),0)+IFERROR(--ISNUMBER(SEARCH("R55",G186)),0)+IFERROR(--ISNUMBER(SEARCH("R56",G186)),0)+IFERROR(--ISNUMBER(SEARCH("R57",G186)),0)+IFERROR(--ISNUMBER(SEARCH("R58",G186)),0)+IFERROR(--ISNUMBER(SEARCH("R59",G186)),0)+IFERROR(--ISNUMBER(SEARCH("R60",G186)),0)+IFERROR(--ISNUMBER(SEARCH("R61",G186)),0)+IFERROR(--ISNUMBER(SEARCH("R62",G186)),0)+IFERROR(--ISNUMBER(SEARCH("R63",G186)),0)+IFERROR(--ISNUMBER(SEARCH("R64",G186)),0)+IFERROR(--ISNUMBER(SEARCH("R65",G186)),0)+IFERROR(--ISNUMBER(SEARCH("R66",G186)),0)+IFERROR(--ISNUMBER(SEARCH("R67",G186)),0)+IFERROR(--ISNUMBER(SEARCH("R68",G186)),0)+IFERROR(--ISNUMBER(SEARCH("R69",G186)),0)+IFERROR(--ISNUMBER(SEARCH("R70",G186)),0)+IFERROR(--ISNUMBER(SEARCH("R71",G186)),0)+IFERROR(--ISNUMBER(SEARCH("R72",G186)),0)+IFERROR(--ISNUMBER(SEARCH("R73",G186)),0)+IFERROR(--ISNUMBER(SEARCH("R74",G186)),0)+IFERROR(--ISNUMBER(SEARCH("R75",G186)),0)+IFERROR(--ISNUMBER(SEARCH("R76",G186)),0)+IFERROR(--ISNUMBER(SEARCH("R77",G186)),0)+IFERROR(--ISNUMBER(SEARCH("R78",G186)),0)+IFERROR(--ISNUMBER(SEARCH("R79",G186)),0)+IFERROR(--ISNUMBER(SEARCH("R80",G186)),0)+IFERROR(--ISNUMBER(SEARCH("R81",G186)),0)+IFERROR(--ISNUMBER(SEARCH("R82",G186)),0)+IFERROR(--ISNUMBER(SEARCH("R83",G186)),0)+IFERROR(--ISNUMBER(SEARCH("R84",G186)),0)+IFERROR(--ISNUMBER(SEARCH("R85",G186)),0)+IFERROR(--ISNUMBER(SEARCH("R86",G186)),0)+IFERROR(--ISNUMBER(SEARCH("R87",G186)),0)+IFERROR(--ISNUMBER(SEARCH("R88",G186)),0)+IFERROR(--ISNUMBER(SEARCH("R89",G186)),0)+IFERROR(--ISNUMBER(SEARCH("R90",G186)),0)+IFERROR(--ISNUMBER(SEARCH("R91",G186)),0)+IFERROR(--ISNUMBER(SEARCH("R92",G186)),0)+IFERROR(--ISNUMBER(SEARCH("R93",G186)),0)+IFERROR(--ISNUMBER(SEARCH("R94",G186)),0)+IFERROR(--ISNUMBER(SEARCH("R95",G186)),0)+IFERROR(--ISNUMBER(SEARCH("R96",G186)),0)+IFERROR(--ISNUMBER(SEARCH("R97",G186)),0)+IFERROR(--ISNUMBER(SEARCH("R98",G186)),0)+IFERROR(--ISNUMBER(SEARCH("R99",G186)),0)+IFERROR(--ISNUMBER(SEARCH("R100",G186)),0)+IFERROR(--ISNUMBER(SEARCH("R101",G186)),0)+IFERROR(--ISNUMBER(SEARCH("R102",G186)),0)+IFERROR(--ISNUMBER(SEARCH("R103",G186)),0)+IFERROR(--ISNUMBER(SEARCH("R104",G186)),0)+IFERROR(--ISNUMBER(SEARCH("R105",G186)),0)+IFERROR(--ISNUMBER(SEARCH("R106",G186)),0)+IFERROR(--ISNUMBER(SEARCH("R107",G186)),0)+IFERROR(--ISNUMBER(SEARCH("R108",G186)),0)+IFERROR(--ISNUMBER(SEARCH("R109",G186)),0)+IFERROR(--ISNUMBER(SEARCH("R110",G186)),0)+IFERROR(--ISNUMBER(SEARCH("R111",G186)),0)+IFERROR(--ISNUMBER(SEARCH("R112",G186)),0)+IFERROR(--ISNUMBER(SEARCH("R113",G186)),0)+IFERROR(--ISNUMBER(SEARCH("R114",G186)),0)+IFERROR(--ISNUMBER(SEARCH("R115",G186)),0)+IFERROR(--ISNUMBER(SEARCH("R116",G186)),0)+IFERROR(--ISNUMBER(SEARCH("R117",G186)),0)+IFERROR(--ISNUMBER(SEARCH("R118",G186)),0)+IFERROR(--ISNUMBER(SEARCH("R119",G186)),0)+IFERROR(--ISNUMBER(SEARCH("R120",G186)),0)+IFERROR(--ISNUMBER(SEARCH("R121",G186)),0)+IFERROR(--ISNUMBER(SEARCH("R122",G186)),0)+IFERROR(--ISNUMBER(SEARCH("R123",G186)),0)+IFERROR(--ISNUMBER(SEARCH("R124",G186)),0)+IFERROR(--ISNUMBER(SEARCH("R125",G186)),0)+IFERROR(--ISNUMBER(SEARCH("R126",G186)),0)+IFERROR(--ISNUMBER(SEARCH("R127",G186)),0)+IFERROR(--ISNUMBER(SEARCH("R128",G186)),0)+IFERROR(--ISNUMBER(SEARCH("R129",G186)),0)+IFERROR(--ISNUMBER(SEARCH("R130",G186)),0)+IFERROR(--ISNUMBER(SEARCH("R131",G186)),0)+IFERROR(--ISNUMBER(SEARCH("R132",G186)),0)+IFERROR(--ISNUMBER(SEARCH("R133",G186)),0)+IFERROR(--ISNUMBER(SEARCH("R134",G186)),0)+IFERROR(--ISNUMBER(SEARCH("R135",G186)),0)+IFERROR(--ISNUMBER(SEARCH("R136",G186)),0)+IFERROR(--ISNUMBER(SEARCH("R137",G186)),0)+IFERROR(--ISNUMBER(SEARCH("R138",G186)),0)+IFERROR(--ISNUMBER(SEARCH("R139",G186)),0)+IFERROR(--ISNUMBER(SEARCH("R140",G186)),0)+IFERROR(--ISNUMBER(SEARCH("R141",G186)),0))</f>
        <v/>
      </c>
      <c r="T186" s="58">
        <f>IF(A186="","",IFERROR(--ISNUMBER(SEARCH("R28",G186)),0)+IFERROR(--ISNUMBER(SEARCH("R29",G186)),0)+IFERROR(--ISNUMBER(SEARCH("R30",G186)),0)+IFERROR(--ISNUMBER(SEARCH("R32",G186)),0)+IFERROR(--ISNUMBER(SEARCH("R33",G186)),0)+IFERROR(--ISNUMBER(SEARCH("R35",G186)),0)+IFERROR(--ISNUMBER(SEARCH("R36",G186)),0)+IFERROR(--ISNUMBER(SEARCH("R38",G186)),0)+IFERROR(--ISNUMBER(SEARCH("R39",G186)),0)+IFERROR(--ISNUMBER(SEARCH("R43",G186)),0)+IFERROR(--ISNUMBER(SEARCH("R44",G186)),0)+IFERROR(--ISNUMBER(SEARCH("R45",G186)),0)+IFERROR(--ISNUMBER(SEARCH("R47",G186)),0)+IFERROR(--ISNUMBER(SEARCH("R48",G186)),0)+IFERROR(--ISNUMBER(SEARCH("R50",G186)),0)+IFERROR(--ISNUMBER(SEARCH("R51",G186)),0)+IFERROR(--ISNUMBER(SEARCH("R56",G186)),0)+IFERROR(--ISNUMBER(SEARCH("R58",G186)),0)+IFERROR(--ISNUMBER(SEARCH("R59",G186)),0)+IFERROR(--ISNUMBER(SEARCH("R60",G186)),0)+IFERROR(--ISNUMBER(SEARCH("R62",G186)),0)+IFERROR(--ISNUMBER(SEARCH("R63",G186)),0)+IFERROR(--ISNUMBER(SEARCH("R64",G186)),0)+IFERROR(--ISNUMBER(SEARCH("R66",G186)),0)+IFERROR(--ISNUMBER(SEARCH("R67",G186)),0)+IFERROR(--ISNUMBER(SEARCH("R72",G186)),0)+IFERROR(--ISNUMBER(SEARCH("R74",G186)),0)+IFERROR(--ISNUMBER(SEARCH("R75",G186)),0)+IFERROR(--ISNUMBER(SEARCH("R76",G186)),0)+IFERROR(--ISNUMBER(SEARCH("R77",G186)),0)+IFERROR(--ISNUMBER(SEARCH("R79",G186)),0)+IFERROR(--ISNUMBER(SEARCH("R80",G186)),0)+IFERROR(--ISNUMBER(SEARCH("R81",G186)),0)+IFERROR(--ISNUMBER(SEARCH("R83",G186)),0)+IFERROR(--ISNUMBER(SEARCH("R84",G186)),0)+IFERROR(--ISNUMBER(SEARCH("R89",G186)),0)+IFERROR(--ISNUMBER(SEARCH("R94",G186)),0)+IFERROR(--ISNUMBER(SEARCH("R95",G186)),0)+IFERROR(--ISNUMBER(SEARCH("R96",G186)),0)+IFERROR(--ISNUMBER(SEARCH("R98",G186)),0)+IFERROR(--ISNUMBER(SEARCH("R99",G186)),0)+IFERROR(--ISNUMBER(SEARCH("R100",G186)),0)+IFERROR(--ISNUMBER(SEARCH("R104",G186)),0)+IFERROR(--ISNUMBER(SEARCH("R105",G186)),0)+IFERROR(--ISNUMBER(SEARCH("R107",G186)),0)+IFERROR(--ISNUMBER(SEARCH("R108",G186)),0)+IFERROR(--ISNUMBER(SEARCH("R109",G186)),0)+IFERROR(--ISNUMBER(SEARCH("R110",G186)),0)+IFERROR(--ISNUMBER(SEARCH("R112",G186)),0)+IFERROR(--ISNUMBER(SEARCH("R113",G186)),0)+IFERROR(--ISNUMBER(SEARCH("R114",G186)),0)+IFERROR(--ISNUMBER(SEARCH("R118",G186)),0)+IFERROR(--ISNUMBER(SEARCH("R119",G186)),0)+IFERROR(--ISNUMBER(SEARCH("R120",G186)),0)+IFERROR(--ISNUMBER(SEARCH("R122",G186)),0)+IFERROR(--ISNUMBER(SEARCH("R123",G186)),0)+IFERROR(--ISNUMBER(SEARCH("R124",G186)),0)+IFERROR(--ISNUMBER(SEARCH("R128",G186)),0)+IFERROR(--ISNUMBER(SEARCH("R130",G186)),0)+IFERROR(--ISNUMBER(SEARCH("R131",G186)),0)+IFERROR(--ISNUMBER(SEARCH("R132",G186)),0)+IFERROR(--ISNUMBER(SEARCH("R135",G186)),0)+IFERROR(--ISNUMBER(SEARCH("R138",G186)),0)+IFERROR(--ISNUMBER(SEARCH("R141",G186)),0))</f>
        <v/>
      </c>
      <c r="U186" s="58">
        <f>IF(A186="","",IFERROR(--ISNUMBER(SEARCH("R28",G186))*28,0)+IFERROR(--ISNUMBER(SEARCH("R29",G186))*29,0)+IFERROR(--ISNUMBER(SEARCH("R30",G186))*30,0)+IFERROR(--ISNUMBER(SEARCH("R31",G186))*31,0)+IFERROR(--ISNUMBER(SEARCH("R32",G186))*32,0)+IFERROR(--ISNUMBER(SEARCH("R33",G186))*33,0)+IFERROR(--ISNUMBER(SEARCH("R34",G186))*34,0)+IFERROR(--ISNUMBER(SEARCH("R35",G186))*35,0)+IFERROR(--ISNUMBER(SEARCH("R36",G186))*36,0)+IFERROR(--ISNUMBER(SEARCH("R37",G186))*37,0)+IFERROR(--ISNUMBER(SEARCH("R38",G186))*38,0)+IFERROR(--ISNUMBER(SEARCH("R39",G186))*39,0)+IFERROR(--ISNUMBER(SEARCH("R40",G186))*40,0)+IFERROR(--ISNUMBER(SEARCH("R41",G186))*41,0)+IFERROR(--ISNUMBER(SEARCH("R42",G186))*42,0)+IFERROR(--ISNUMBER(SEARCH("R43",G186))*43,0)+IFERROR(--ISNUMBER(SEARCH("R44",G186))*44,0)+IFERROR(--ISNUMBER(SEARCH("R45",G186))*45,0)+IFERROR(--ISNUMBER(SEARCH("R46",G186))*46,0)+IFERROR(--ISNUMBER(SEARCH("R47",G186))*47,0)+IFERROR(--ISNUMBER(SEARCH("R48",G186))*48,0)+IFERROR(--ISNUMBER(SEARCH("R49",G186))*49,0)+IFERROR(--ISNUMBER(SEARCH("R50",G186))*50,0)+IFERROR(--ISNUMBER(SEARCH("R51",G186))*51,0)+IFERROR(--ISNUMBER(SEARCH("R52",G186))*52,0)+IFERROR(--ISNUMBER(SEARCH("R53",G186))*53,0)+IFERROR(--ISNUMBER(SEARCH("R54",G186))*54,0)+IFERROR(--ISNUMBER(SEARCH("R55",G186))*55,0)+IFERROR(--ISNUMBER(SEARCH("R56",G186))*56,0)+IFERROR(--ISNUMBER(SEARCH("R57",G186))*57,0)+IFERROR(--ISNUMBER(SEARCH("R58",G186))*58,0)+IFERROR(--ISNUMBER(SEARCH("R59",G186))*59,0)+IFERROR(--ISNUMBER(SEARCH("R60",G186))*60,0)+IFERROR(--ISNUMBER(SEARCH("R61",G186))*61,0)+IFERROR(--ISNUMBER(SEARCH("R62",G186))*62,0)+IFERROR(--ISNUMBER(SEARCH("R63",G186))*63,0)+IFERROR(--ISNUMBER(SEARCH("R64",G186))*64,0)+IFERROR(--ISNUMBER(SEARCH("R65",G186))*65,0)+IFERROR(--ISNUMBER(SEARCH("R66",G186))*66,0)+IFERROR(--ISNUMBER(SEARCH("R67",G186))*67,0)+IFERROR(--ISNUMBER(SEARCH("R68",G186))*68,0)+IFERROR(--ISNUMBER(SEARCH("R69",G186))*69,0)+IFERROR(--ISNUMBER(SEARCH("R70",G186))*70,0)+IFERROR(--ISNUMBER(SEARCH("R71",G186))*71,0)+IFERROR(--ISNUMBER(SEARCH("R72",G186))*72,0)+IFERROR(--ISNUMBER(SEARCH("R73",G186))*73,0)+IFERROR(--ISNUMBER(SEARCH("R74",G186))*74,0)+IFERROR(--ISNUMBER(SEARCH("R75",G186))*75,0)+IFERROR(--ISNUMBER(SEARCH("R76",G186))*76,0)+IFERROR(--ISNUMBER(SEARCH("R77",G186))*77,0)+IFERROR(--ISNUMBER(SEARCH("R78",G186))*78,0)+IFERROR(--ISNUMBER(SEARCH("R79",G186))*79,0)+IFERROR(--ISNUMBER(SEARCH("R80",G186))*80,0)+IFERROR(--ISNUMBER(SEARCH("R81",G186))*81,0)+IFERROR(--ISNUMBER(SEARCH("R82",G186))*82,0)+IFERROR(--ISNUMBER(SEARCH("R83",G186))*83,0)+IFERROR(--ISNUMBER(SEARCH("R84",G186))*84,0)+IFERROR(--ISNUMBER(SEARCH("R85",G186))*85,0)+IFERROR(--ISNUMBER(SEARCH("R86",G186))*86,0)+IFERROR(--ISNUMBER(SEARCH("R87",G186))*87,0)+IFERROR(--ISNUMBER(SEARCH("R88",G186))*88,0)+IFERROR(--ISNUMBER(SEARCH("R89",G186))*89,0)+IFERROR(--ISNUMBER(SEARCH("R90",G186))*90,0)+IFERROR(--ISNUMBER(SEARCH("R91",G186))*91,0)+IFERROR(--ISNUMBER(SEARCH("R92",G186))*92,0)+IFERROR(--ISNUMBER(SEARCH("R93",G186))*93,0)+IFERROR(--ISNUMBER(SEARCH("R94",G186))*94,0)+IFERROR(--ISNUMBER(SEARCH("R95",G186))*95,0)+IFERROR(--ISNUMBER(SEARCH("R96",G186))*96,0)+IFERROR(--ISNUMBER(SEARCH("R97",G186))*97,0)+IFERROR(--ISNUMBER(SEARCH("R98",G186))*98,0)+IFERROR(--ISNUMBER(SEARCH("R99",G186))*99,0)+IFERROR(--ISNUMBER(SEARCH("R100",G186))*100,0)+IFERROR(--ISNUMBER(SEARCH("R101",G186))*101,0)+IFERROR(--ISNUMBER(SEARCH("R102",G186))*102,0)+IFERROR(--ISNUMBER(SEARCH("R103",G186))*103,0)+IFERROR(--ISNUMBER(SEARCH("R104",G186))*104,0)+IFERROR(--ISNUMBER(SEARCH("R105",G186))*105,0)+IFERROR(--ISNUMBER(SEARCH("R106",G186))*106,0)+IFERROR(--ISNUMBER(SEARCH("R107",G186))*107,0)+IFERROR(--ISNUMBER(SEARCH("R108",G186))*108,0)+IFERROR(--ISNUMBER(SEARCH("R109",G186))*109,0)+IFERROR(--ISNUMBER(SEARCH("R110",G186))*110,0)+IFERROR(--ISNUMBER(SEARCH("R111",G186))*111,0)+IFERROR(--ISNUMBER(SEARCH("R112",G186))*112,0)+IFERROR(--ISNUMBER(SEARCH("R113",G186))*113,0)+IFERROR(--ISNUMBER(SEARCH("R114",G186))*114,0)+IFERROR(--ISNUMBER(SEARCH("R115",G186))*115,0)+IFERROR(--ISNUMBER(SEARCH("R116",G186))*116,0)+IFERROR(--ISNUMBER(SEARCH("R117",G186))*117,0)+IFERROR(--ISNUMBER(SEARCH("R118",G186))*118,0)+IFERROR(--ISNUMBER(SEARCH("R119",G186))*119,0)+IFERROR(--ISNUMBER(SEARCH("R120",G186))*120,0)+IFERROR(--ISNUMBER(SEARCH("R121",G186))*121,0)+IFERROR(--ISNUMBER(SEARCH("R122",G186))*122,0)+IFERROR(--ISNUMBER(SEARCH("R123",G186))*123,0)+IFERROR(--ISNUMBER(SEARCH("R124",G186))*124,0)+IFERROR(--ISNUMBER(SEARCH("R125",G186))*125,0)+IFERROR(--ISNUMBER(SEARCH("R126",G186))*126,0)+IFERROR(--ISNUMBER(SEARCH("R127",G186))*127,0)+IFERROR(--ISNUMBER(SEARCH("R128",G186))*128,0)+IFERROR(--ISNUMBER(SEARCH("R129",G186))*129,0)+IFERROR(--ISNUMBER(SEARCH("R130",G186))*130,0)+IFERROR(--ISNUMBER(SEARCH("R131",G186))*131,0)+IFERROR(--ISNUMBER(SEARCH("R132",G186))*132,0)+IFERROR(--ISNUMBER(SEARCH("R133",G186))*133,0)+IFERROR(--ISNUMBER(SEARCH("R134",G186))*134,0)+IFERROR(--ISNUMBER(SEARCH("R135",G186))*135,0)+IFERROR(--ISNUMBER(SEARCH("R136",G186))*136,0)+IFERROR(--ISNUMBER(SEARCH("R137",G186))*137,0)+IFERROR(--ISNUMBER(SEARCH("R138",G186))*138,0)+IFERROR(--ISNUMBER(SEARCH("R139",G186))*139,0)+IFERROR(--ISNUMBER(SEARCH("R140",G186))*140,0)+IFERROR(--ISNUMBER(SEARCH("R141",G186))*141,0))</f>
        <v/>
      </c>
      <c r="V186" s="59">
        <f>IF(A186="","",IF(K186&lt;&gt;"",K186,J186))</f>
        <v/>
      </c>
      <c r="W186" s="59">
        <f>IF(A186="","",IF(AND(V186=29,O186&lt;&gt;"",COUNTIFS($V$6:$V$505,29,$F$6:$F$505,F186,$C$6:$C$505,C186,$O$6:$O$505,"&lt;&gt;")&gt;1),IF(COUNTIFS($V$6:V186,29,$F$6:F186,F186,$C$6:C186,C186,$O$6:O186,"&lt;&gt;")=1,"Esta es la fila que se debe CONSERVAR (aparición 1 de "&amp;COUNTIFS($V$6:$V$505,29,$F$6:$F$505,F186,$C$6:$C$505,C186,$O$6:$O$505,"&lt;&gt;")&amp;" con el mismo tercero y valor, casilla 29). Si hay más filas iguales, bórreles el valor a ELLAS, no a esta.","DUPLICADO — ya existe otra fila con el mismo tercero y valor para casilla 29 (aparición "&amp;COUNTIFS($V$6:V186,29,$F$6:F186,F186,$C$6:C186,C186,$O$6:O186,"&lt;&gt;")&amp;" de "&amp;COUNTIFS($V$6:$V$505,29,$F$6:$F$505,F186,$C$6:$C$505,C186,$O$6:$O$505,"&lt;&gt;")&amp;"). Para resolverlo: seleccione la celda O"&amp;ROW()&amp;" (columna Valor a declarar de ESTA fila) y presione Supr."),""))</f>
        <v/>
      </c>
      <c r="X186" s="463">
        <f>IF(A186="","",F186)</f>
        <v/>
      </c>
      <c r="Y186" s="463">
        <f>IF(A186="","",SUMIF(Entrada_Manual!$I$88:$I$187,A186,Entrada_Manual!$F$88:$F$187))</f>
        <v/>
      </c>
      <c r="Z186" s="463">
        <f>IF(A186="","",X186-Y186)</f>
        <v/>
      </c>
      <c r="AA186">
        <f>IF(A186="","",SUMPRODUCT((Entrada_Manual!$I$88:$I$187=A186)*1))</f>
        <v/>
      </c>
      <c r="AB186">
        <f>IF(A186="","",IF(S186&lt;=1,"",IF(AA186=0,"PENDIENTE — SIN ASIGNAR",IF(Z186=0,"RESUELTO","PARCIAL — DIFERENCIA "&amp;TEXT(Z186,"#,##0")))))</f>
        <v/>
      </c>
    </row>
    <row r="187" ht="14.25" customHeight="1" s="235">
      <c r="A187" s="47">
        <f>IF(Exogena_RAW!E196&lt;&gt;"",ROW()-5,"")</f>
        <v/>
      </c>
      <c r="B187" s="48">
        <f>IF(A187="","",196)</f>
        <v/>
      </c>
      <c r="C187" s="48">
        <f>IF(A187="","",IFERROR(Exogena_RAW!A196,""))</f>
        <v/>
      </c>
      <c r="D187" s="48">
        <f>IF(A187="","",IFERROR(Exogena_RAW!B196,""))</f>
        <v/>
      </c>
      <c r="E187" s="48">
        <f>IF(A187="","",Exogena_RAW!E196)</f>
        <v/>
      </c>
      <c r="F187" s="461">
        <f>IF(A187="","",Exogena_RAW!F196)</f>
        <v/>
      </c>
      <c r="G187" s="48">
        <f>IF(A187="","",IFERROR(Exogena_RAW!G196,""))</f>
        <v/>
      </c>
      <c r="H187" s="48">
        <f>IF(A187="","",IFERROR(Exogena_RAW!H196,""))</f>
        <v/>
      </c>
      <c r="I187" s="48">
        <f>IF(A187="","",IFERROR(IF(S187&gt;1,"VARIAS CASILLAS",IF(S187=1,IF(T187=1,"PROPUESTA DE CASILLA","REVISIÓN: CASILLA NO DIRECTA"),IF(OR(ISNUMBER(SEARCH("TOPE",UPPER(E187))),ISNUMBER(SEARCH("TOPE",UPPER(G187)))),"SOLO CONTROL",IF(ISNUMBER(SEARCH("RETEN",UPPER(E187))),"RETENCIÓN","REVISAR")))),"REVISAR"))</f>
        <v/>
      </c>
      <c r="J187" s="48">
        <f>IF(A187="","",IF(ISNUMBER(SEARCH("ingreso laboral promedio de los últimos seis meses",E187)),"",IFERROR(IF(AND(S187=1,T187=1),U187,""),"")))</f>
        <v/>
      </c>
      <c r="K187" s="216" t="n"/>
      <c r="L187" s="48">
        <f>IF(A187="","",IFERROR(IF(K187&lt;&gt;"","Casilla elegida por usuario",IF(S187&gt;1,"Varias casillas — elegir en K",IF(J187&lt;&gt;"","Sugerencia directa",IF(S187=1,"No trasladar directo — revisar",IF(OR(ISNUMBER(SEARCH("TOPE",UPPER(E187))),ISNUMBER(SEARCH("TOPE",UPPER(G187)))),"Solo control","Revisar manualmente"))))),"Revisar manualmente"))</f>
        <v/>
      </c>
      <c r="M187" s="461">
        <f>IF(A187="","",IF(IF(K187&lt;&gt;"",K187,J187)="",0,IF(COUNTIFS(Reglas!$I$5:$I$118,IF(K187&lt;&gt;"",K187,J187),Reglas!$J$5:$J$118,"Sí")=1,F187,0)))</f>
        <v/>
      </c>
      <c r="N187" s="56" t="n"/>
      <c r="O187" s="462">
        <f>IF(A187="","",IF(M187=0,"",M187))</f>
        <v/>
      </c>
      <c r="P187" s="461">
        <f>IF(A187="","",IF(O187="",0,IF(ISNUMBER(O187),O187,0)))</f>
        <v/>
      </c>
      <c r="Q187" s="48">
        <f>IF(A187="","",IF(Exogena_RAW!$C$4="","BLOQUEADO: FALTA AÑO",IF(Exogena_RAW!$K$10&lt;&gt;Reglas!$B$5,"BLOQUEADO: AÑO",IF(IF(K187&lt;&gt;"",K187,J187)="",IF(S187&gt;1,"REQUIERE ASIGNACIÓN MANUAL (VARIAS CASILLAS)","INFORMATIVO (sin casilla — no se declara)"),IF(COUNTIFS(Reglas!$I$5:$I$118,IF(K187&lt;&gt;"",K187,J187),Reglas!$J$5:$J$118,"Sí")=0,"BLOQUEADO: CASILLA NO DIRECTA",IF(O187="","EXCLUIDO (valor borrado por el usuario)",IF(_xlfn.ISFORMULA(O187),IF(W187&lt;&gt;"","BORRADOR — VALOR SUGERIDO DIAN ⚠ VER ALERTA","BORRADOR — VALOR SUGERIDO DIAN"),IF(W187&lt;&gt;"","ACEPTADO ⚠ VER ALERTA","ACEPTADO"))))))))</f>
        <v/>
      </c>
      <c r="R187" s="218" t="n"/>
      <c r="S187" s="58">
        <f>IF(A187="","",IFERROR(--ISNUMBER(SEARCH("R28",G187)),0)+IFERROR(--ISNUMBER(SEARCH("R29",G187)),0)+IFERROR(--ISNUMBER(SEARCH("R30",G187)),0)+IFERROR(--ISNUMBER(SEARCH("R31",G187)),0)+IFERROR(--ISNUMBER(SEARCH("R32",G187)),0)+IFERROR(--ISNUMBER(SEARCH("R33",G187)),0)+IFERROR(--ISNUMBER(SEARCH("R34",G187)),0)+IFERROR(--ISNUMBER(SEARCH("R35",G187)),0)+IFERROR(--ISNUMBER(SEARCH("R36",G187)),0)+IFERROR(--ISNUMBER(SEARCH("R37",G187)),0)+IFERROR(--ISNUMBER(SEARCH("R38",G187)),0)+IFERROR(--ISNUMBER(SEARCH("R39",G187)),0)+IFERROR(--ISNUMBER(SEARCH("R40",G187)),0)+IFERROR(--ISNUMBER(SEARCH("R41",G187)),0)+IFERROR(--ISNUMBER(SEARCH("R42",G187)),0)+IFERROR(--ISNUMBER(SEARCH("R43",G187)),0)+IFERROR(--ISNUMBER(SEARCH("R44",G187)),0)+IFERROR(--ISNUMBER(SEARCH("R45",G187)),0)+IFERROR(--ISNUMBER(SEARCH("R46",G187)),0)+IFERROR(--ISNUMBER(SEARCH("R47",G187)),0)+IFERROR(--ISNUMBER(SEARCH("R48",G187)),0)+IFERROR(--ISNUMBER(SEARCH("R49",G187)),0)+IFERROR(--ISNUMBER(SEARCH("R50",G187)),0)+IFERROR(--ISNUMBER(SEARCH("R51",G187)),0)+IFERROR(--ISNUMBER(SEARCH("R52",G187)),0)+IFERROR(--ISNUMBER(SEARCH("R53",G187)),0)+IFERROR(--ISNUMBER(SEARCH("R54",G187)),0)+IFERROR(--ISNUMBER(SEARCH("R55",G187)),0)+IFERROR(--ISNUMBER(SEARCH("R56",G187)),0)+IFERROR(--ISNUMBER(SEARCH("R57",G187)),0)+IFERROR(--ISNUMBER(SEARCH("R58",G187)),0)+IFERROR(--ISNUMBER(SEARCH("R59",G187)),0)+IFERROR(--ISNUMBER(SEARCH("R60",G187)),0)+IFERROR(--ISNUMBER(SEARCH("R61",G187)),0)+IFERROR(--ISNUMBER(SEARCH("R62",G187)),0)+IFERROR(--ISNUMBER(SEARCH("R63",G187)),0)+IFERROR(--ISNUMBER(SEARCH("R64",G187)),0)+IFERROR(--ISNUMBER(SEARCH("R65",G187)),0)+IFERROR(--ISNUMBER(SEARCH("R66",G187)),0)+IFERROR(--ISNUMBER(SEARCH("R67",G187)),0)+IFERROR(--ISNUMBER(SEARCH("R68",G187)),0)+IFERROR(--ISNUMBER(SEARCH("R69",G187)),0)+IFERROR(--ISNUMBER(SEARCH("R70",G187)),0)+IFERROR(--ISNUMBER(SEARCH("R71",G187)),0)+IFERROR(--ISNUMBER(SEARCH("R72",G187)),0)+IFERROR(--ISNUMBER(SEARCH("R73",G187)),0)+IFERROR(--ISNUMBER(SEARCH("R74",G187)),0)+IFERROR(--ISNUMBER(SEARCH("R75",G187)),0)+IFERROR(--ISNUMBER(SEARCH("R76",G187)),0)+IFERROR(--ISNUMBER(SEARCH("R77",G187)),0)+IFERROR(--ISNUMBER(SEARCH("R78",G187)),0)+IFERROR(--ISNUMBER(SEARCH("R79",G187)),0)+IFERROR(--ISNUMBER(SEARCH("R80",G187)),0)+IFERROR(--ISNUMBER(SEARCH("R81",G187)),0)+IFERROR(--ISNUMBER(SEARCH("R82",G187)),0)+IFERROR(--ISNUMBER(SEARCH("R83",G187)),0)+IFERROR(--ISNUMBER(SEARCH("R84",G187)),0)+IFERROR(--ISNUMBER(SEARCH("R85",G187)),0)+IFERROR(--ISNUMBER(SEARCH("R86",G187)),0)+IFERROR(--ISNUMBER(SEARCH("R87",G187)),0)+IFERROR(--ISNUMBER(SEARCH("R88",G187)),0)+IFERROR(--ISNUMBER(SEARCH("R89",G187)),0)+IFERROR(--ISNUMBER(SEARCH("R90",G187)),0)+IFERROR(--ISNUMBER(SEARCH("R91",G187)),0)+IFERROR(--ISNUMBER(SEARCH("R92",G187)),0)+IFERROR(--ISNUMBER(SEARCH("R93",G187)),0)+IFERROR(--ISNUMBER(SEARCH("R94",G187)),0)+IFERROR(--ISNUMBER(SEARCH("R95",G187)),0)+IFERROR(--ISNUMBER(SEARCH("R96",G187)),0)+IFERROR(--ISNUMBER(SEARCH("R97",G187)),0)+IFERROR(--ISNUMBER(SEARCH("R98",G187)),0)+IFERROR(--ISNUMBER(SEARCH("R99",G187)),0)+IFERROR(--ISNUMBER(SEARCH("R100",G187)),0)+IFERROR(--ISNUMBER(SEARCH("R101",G187)),0)+IFERROR(--ISNUMBER(SEARCH("R102",G187)),0)+IFERROR(--ISNUMBER(SEARCH("R103",G187)),0)+IFERROR(--ISNUMBER(SEARCH("R104",G187)),0)+IFERROR(--ISNUMBER(SEARCH("R105",G187)),0)+IFERROR(--ISNUMBER(SEARCH("R106",G187)),0)+IFERROR(--ISNUMBER(SEARCH("R107",G187)),0)+IFERROR(--ISNUMBER(SEARCH("R108",G187)),0)+IFERROR(--ISNUMBER(SEARCH("R109",G187)),0)+IFERROR(--ISNUMBER(SEARCH("R110",G187)),0)+IFERROR(--ISNUMBER(SEARCH("R111",G187)),0)+IFERROR(--ISNUMBER(SEARCH("R112",G187)),0)+IFERROR(--ISNUMBER(SEARCH("R113",G187)),0)+IFERROR(--ISNUMBER(SEARCH("R114",G187)),0)+IFERROR(--ISNUMBER(SEARCH("R115",G187)),0)+IFERROR(--ISNUMBER(SEARCH("R116",G187)),0)+IFERROR(--ISNUMBER(SEARCH("R117",G187)),0)+IFERROR(--ISNUMBER(SEARCH("R118",G187)),0)+IFERROR(--ISNUMBER(SEARCH("R119",G187)),0)+IFERROR(--ISNUMBER(SEARCH("R120",G187)),0)+IFERROR(--ISNUMBER(SEARCH("R121",G187)),0)+IFERROR(--ISNUMBER(SEARCH("R122",G187)),0)+IFERROR(--ISNUMBER(SEARCH("R123",G187)),0)+IFERROR(--ISNUMBER(SEARCH("R124",G187)),0)+IFERROR(--ISNUMBER(SEARCH("R125",G187)),0)+IFERROR(--ISNUMBER(SEARCH("R126",G187)),0)+IFERROR(--ISNUMBER(SEARCH("R127",G187)),0)+IFERROR(--ISNUMBER(SEARCH("R128",G187)),0)+IFERROR(--ISNUMBER(SEARCH("R129",G187)),0)+IFERROR(--ISNUMBER(SEARCH("R130",G187)),0)+IFERROR(--ISNUMBER(SEARCH("R131",G187)),0)+IFERROR(--ISNUMBER(SEARCH("R132",G187)),0)+IFERROR(--ISNUMBER(SEARCH("R133",G187)),0)+IFERROR(--ISNUMBER(SEARCH("R134",G187)),0)+IFERROR(--ISNUMBER(SEARCH("R135",G187)),0)+IFERROR(--ISNUMBER(SEARCH("R136",G187)),0)+IFERROR(--ISNUMBER(SEARCH("R137",G187)),0)+IFERROR(--ISNUMBER(SEARCH("R138",G187)),0)+IFERROR(--ISNUMBER(SEARCH("R139",G187)),0)+IFERROR(--ISNUMBER(SEARCH("R140",G187)),0)+IFERROR(--ISNUMBER(SEARCH("R141",G187)),0))</f>
        <v/>
      </c>
      <c r="T187" s="58">
        <f>IF(A187="","",IFERROR(--ISNUMBER(SEARCH("R28",G187)),0)+IFERROR(--ISNUMBER(SEARCH("R29",G187)),0)+IFERROR(--ISNUMBER(SEARCH("R30",G187)),0)+IFERROR(--ISNUMBER(SEARCH("R32",G187)),0)+IFERROR(--ISNUMBER(SEARCH("R33",G187)),0)+IFERROR(--ISNUMBER(SEARCH("R35",G187)),0)+IFERROR(--ISNUMBER(SEARCH("R36",G187)),0)+IFERROR(--ISNUMBER(SEARCH("R38",G187)),0)+IFERROR(--ISNUMBER(SEARCH("R39",G187)),0)+IFERROR(--ISNUMBER(SEARCH("R43",G187)),0)+IFERROR(--ISNUMBER(SEARCH("R44",G187)),0)+IFERROR(--ISNUMBER(SEARCH("R45",G187)),0)+IFERROR(--ISNUMBER(SEARCH("R47",G187)),0)+IFERROR(--ISNUMBER(SEARCH("R48",G187)),0)+IFERROR(--ISNUMBER(SEARCH("R50",G187)),0)+IFERROR(--ISNUMBER(SEARCH("R51",G187)),0)+IFERROR(--ISNUMBER(SEARCH("R56",G187)),0)+IFERROR(--ISNUMBER(SEARCH("R58",G187)),0)+IFERROR(--ISNUMBER(SEARCH("R59",G187)),0)+IFERROR(--ISNUMBER(SEARCH("R60",G187)),0)+IFERROR(--ISNUMBER(SEARCH("R62",G187)),0)+IFERROR(--ISNUMBER(SEARCH("R63",G187)),0)+IFERROR(--ISNUMBER(SEARCH("R64",G187)),0)+IFERROR(--ISNUMBER(SEARCH("R66",G187)),0)+IFERROR(--ISNUMBER(SEARCH("R67",G187)),0)+IFERROR(--ISNUMBER(SEARCH("R72",G187)),0)+IFERROR(--ISNUMBER(SEARCH("R74",G187)),0)+IFERROR(--ISNUMBER(SEARCH("R75",G187)),0)+IFERROR(--ISNUMBER(SEARCH("R76",G187)),0)+IFERROR(--ISNUMBER(SEARCH("R77",G187)),0)+IFERROR(--ISNUMBER(SEARCH("R79",G187)),0)+IFERROR(--ISNUMBER(SEARCH("R80",G187)),0)+IFERROR(--ISNUMBER(SEARCH("R81",G187)),0)+IFERROR(--ISNUMBER(SEARCH("R83",G187)),0)+IFERROR(--ISNUMBER(SEARCH("R84",G187)),0)+IFERROR(--ISNUMBER(SEARCH("R89",G187)),0)+IFERROR(--ISNUMBER(SEARCH("R94",G187)),0)+IFERROR(--ISNUMBER(SEARCH("R95",G187)),0)+IFERROR(--ISNUMBER(SEARCH("R96",G187)),0)+IFERROR(--ISNUMBER(SEARCH("R98",G187)),0)+IFERROR(--ISNUMBER(SEARCH("R99",G187)),0)+IFERROR(--ISNUMBER(SEARCH("R100",G187)),0)+IFERROR(--ISNUMBER(SEARCH("R104",G187)),0)+IFERROR(--ISNUMBER(SEARCH("R105",G187)),0)+IFERROR(--ISNUMBER(SEARCH("R107",G187)),0)+IFERROR(--ISNUMBER(SEARCH("R108",G187)),0)+IFERROR(--ISNUMBER(SEARCH("R109",G187)),0)+IFERROR(--ISNUMBER(SEARCH("R110",G187)),0)+IFERROR(--ISNUMBER(SEARCH("R112",G187)),0)+IFERROR(--ISNUMBER(SEARCH("R113",G187)),0)+IFERROR(--ISNUMBER(SEARCH("R114",G187)),0)+IFERROR(--ISNUMBER(SEARCH("R118",G187)),0)+IFERROR(--ISNUMBER(SEARCH("R119",G187)),0)+IFERROR(--ISNUMBER(SEARCH("R120",G187)),0)+IFERROR(--ISNUMBER(SEARCH("R122",G187)),0)+IFERROR(--ISNUMBER(SEARCH("R123",G187)),0)+IFERROR(--ISNUMBER(SEARCH("R124",G187)),0)+IFERROR(--ISNUMBER(SEARCH("R128",G187)),0)+IFERROR(--ISNUMBER(SEARCH("R130",G187)),0)+IFERROR(--ISNUMBER(SEARCH("R131",G187)),0)+IFERROR(--ISNUMBER(SEARCH("R132",G187)),0)+IFERROR(--ISNUMBER(SEARCH("R135",G187)),0)+IFERROR(--ISNUMBER(SEARCH("R138",G187)),0)+IFERROR(--ISNUMBER(SEARCH("R141",G187)),0))</f>
        <v/>
      </c>
      <c r="U187" s="58">
        <f>IF(A187="","",IFERROR(--ISNUMBER(SEARCH("R28",G187))*28,0)+IFERROR(--ISNUMBER(SEARCH("R29",G187))*29,0)+IFERROR(--ISNUMBER(SEARCH("R30",G187))*30,0)+IFERROR(--ISNUMBER(SEARCH("R31",G187))*31,0)+IFERROR(--ISNUMBER(SEARCH("R32",G187))*32,0)+IFERROR(--ISNUMBER(SEARCH("R33",G187))*33,0)+IFERROR(--ISNUMBER(SEARCH("R34",G187))*34,0)+IFERROR(--ISNUMBER(SEARCH("R35",G187))*35,0)+IFERROR(--ISNUMBER(SEARCH("R36",G187))*36,0)+IFERROR(--ISNUMBER(SEARCH("R37",G187))*37,0)+IFERROR(--ISNUMBER(SEARCH("R38",G187))*38,0)+IFERROR(--ISNUMBER(SEARCH("R39",G187))*39,0)+IFERROR(--ISNUMBER(SEARCH("R40",G187))*40,0)+IFERROR(--ISNUMBER(SEARCH("R41",G187))*41,0)+IFERROR(--ISNUMBER(SEARCH("R42",G187))*42,0)+IFERROR(--ISNUMBER(SEARCH("R43",G187))*43,0)+IFERROR(--ISNUMBER(SEARCH("R44",G187))*44,0)+IFERROR(--ISNUMBER(SEARCH("R45",G187))*45,0)+IFERROR(--ISNUMBER(SEARCH("R46",G187))*46,0)+IFERROR(--ISNUMBER(SEARCH("R47",G187))*47,0)+IFERROR(--ISNUMBER(SEARCH("R48",G187))*48,0)+IFERROR(--ISNUMBER(SEARCH("R49",G187))*49,0)+IFERROR(--ISNUMBER(SEARCH("R50",G187))*50,0)+IFERROR(--ISNUMBER(SEARCH("R51",G187))*51,0)+IFERROR(--ISNUMBER(SEARCH("R52",G187))*52,0)+IFERROR(--ISNUMBER(SEARCH("R53",G187))*53,0)+IFERROR(--ISNUMBER(SEARCH("R54",G187))*54,0)+IFERROR(--ISNUMBER(SEARCH("R55",G187))*55,0)+IFERROR(--ISNUMBER(SEARCH("R56",G187))*56,0)+IFERROR(--ISNUMBER(SEARCH("R57",G187))*57,0)+IFERROR(--ISNUMBER(SEARCH("R58",G187))*58,0)+IFERROR(--ISNUMBER(SEARCH("R59",G187))*59,0)+IFERROR(--ISNUMBER(SEARCH("R60",G187))*60,0)+IFERROR(--ISNUMBER(SEARCH("R61",G187))*61,0)+IFERROR(--ISNUMBER(SEARCH("R62",G187))*62,0)+IFERROR(--ISNUMBER(SEARCH("R63",G187))*63,0)+IFERROR(--ISNUMBER(SEARCH("R64",G187))*64,0)+IFERROR(--ISNUMBER(SEARCH("R65",G187))*65,0)+IFERROR(--ISNUMBER(SEARCH("R66",G187))*66,0)+IFERROR(--ISNUMBER(SEARCH("R67",G187))*67,0)+IFERROR(--ISNUMBER(SEARCH("R68",G187))*68,0)+IFERROR(--ISNUMBER(SEARCH("R69",G187))*69,0)+IFERROR(--ISNUMBER(SEARCH("R70",G187))*70,0)+IFERROR(--ISNUMBER(SEARCH("R71",G187))*71,0)+IFERROR(--ISNUMBER(SEARCH("R72",G187))*72,0)+IFERROR(--ISNUMBER(SEARCH("R73",G187))*73,0)+IFERROR(--ISNUMBER(SEARCH("R74",G187))*74,0)+IFERROR(--ISNUMBER(SEARCH("R75",G187))*75,0)+IFERROR(--ISNUMBER(SEARCH("R76",G187))*76,0)+IFERROR(--ISNUMBER(SEARCH("R77",G187))*77,0)+IFERROR(--ISNUMBER(SEARCH("R78",G187))*78,0)+IFERROR(--ISNUMBER(SEARCH("R79",G187))*79,0)+IFERROR(--ISNUMBER(SEARCH("R80",G187))*80,0)+IFERROR(--ISNUMBER(SEARCH("R81",G187))*81,0)+IFERROR(--ISNUMBER(SEARCH("R82",G187))*82,0)+IFERROR(--ISNUMBER(SEARCH("R83",G187))*83,0)+IFERROR(--ISNUMBER(SEARCH("R84",G187))*84,0)+IFERROR(--ISNUMBER(SEARCH("R85",G187))*85,0)+IFERROR(--ISNUMBER(SEARCH("R86",G187))*86,0)+IFERROR(--ISNUMBER(SEARCH("R87",G187))*87,0)+IFERROR(--ISNUMBER(SEARCH("R88",G187))*88,0)+IFERROR(--ISNUMBER(SEARCH("R89",G187))*89,0)+IFERROR(--ISNUMBER(SEARCH("R90",G187))*90,0)+IFERROR(--ISNUMBER(SEARCH("R91",G187))*91,0)+IFERROR(--ISNUMBER(SEARCH("R92",G187))*92,0)+IFERROR(--ISNUMBER(SEARCH("R93",G187))*93,0)+IFERROR(--ISNUMBER(SEARCH("R94",G187))*94,0)+IFERROR(--ISNUMBER(SEARCH("R95",G187))*95,0)+IFERROR(--ISNUMBER(SEARCH("R96",G187))*96,0)+IFERROR(--ISNUMBER(SEARCH("R97",G187))*97,0)+IFERROR(--ISNUMBER(SEARCH("R98",G187))*98,0)+IFERROR(--ISNUMBER(SEARCH("R99",G187))*99,0)+IFERROR(--ISNUMBER(SEARCH("R100",G187))*100,0)+IFERROR(--ISNUMBER(SEARCH("R101",G187))*101,0)+IFERROR(--ISNUMBER(SEARCH("R102",G187))*102,0)+IFERROR(--ISNUMBER(SEARCH("R103",G187))*103,0)+IFERROR(--ISNUMBER(SEARCH("R104",G187))*104,0)+IFERROR(--ISNUMBER(SEARCH("R105",G187))*105,0)+IFERROR(--ISNUMBER(SEARCH("R106",G187))*106,0)+IFERROR(--ISNUMBER(SEARCH("R107",G187))*107,0)+IFERROR(--ISNUMBER(SEARCH("R108",G187))*108,0)+IFERROR(--ISNUMBER(SEARCH("R109",G187))*109,0)+IFERROR(--ISNUMBER(SEARCH("R110",G187))*110,0)+IFERROR(--ISNUMBER(SEARCH("R111",G187))*111,0)+IFERROR(--ISNUMBER(SEARCH("R112",G187))*112,0)+IFERROR(--ISNUMBER(SEARCH("R113",G187))*113,0)+IFERROR(--ISNUMBER(SEARCH("R114",G187))*114,0)+IFERROR(--ISNUMBER(SEARCH("R115",G187))*115,0)+IFERROR(--ISNUMBER(SEARCH("R116",G187))*116,0)+IFERROR(--ISNUMBER(SEARCH("R117",G187))*117,0)+IFERROR(--ISNUMBER(SEARCH("R118",G187))*118,0)+IFERROR(--ISNUMBER(SEARCH("R119",G187))*119,0)+IFERROR(--ISNUMBER(SEARCH("R120",G187))*120,0)+IFERROR(--ISNUMBER(SEARCH("R121",G187))*121,0)+IFERROR(--ISNUMBER(SEARCH("R122",G187))*122,0)+IFERROR(--ISNUMBER(SEARCH("R123",G187))*123,0)+IFERROR(--ISNUMBER(SEARCH("R124",G187))*124,0)+IFERROR(--ISNUMBER(SEARCH("R125",G187))*125,0)+IFERROR(--ISNUMBER(SEARCH("R126",G187))*126,0)+IFERROR(--ISNUMBER(SEARCH("R127",G187))*127,0)+IFERROR(--ISNUMBER(SEARCH("R128",G187))*128,0)+IFERROR(--ISNUMBER(SEARCH("R129",G187))*129,0)+IFERROR(--ISNUMBER(SEARCH("R130",G187))*130,0)+IFERROR(--ISNUMBER(SEARCH("R131",G187))*131,0)+IFERROR(--ISNUMBER(SEARCH("R132",G187))*132,0)+IFERROR(--ISNUMBER(SEARCH("R133",G187))*133,0)+IFERROR(--ISNUMBER(SEARCH("R134",G187))*134,0)+IFERROR(--ISNUMBER(SEARCH("R135",G187))*135,0)+IFERROR(--ISNUMBER(SEARCH("R136",G187))*136,0)+IFERROR(--ISNUMBER(SEARCH("R137",G187))*137,0)+IFERROR(--ISNUMBER(SEARCH("R138",G187))*138,0)+IFERROR(--ISNUMBER(SEARCH("R139",G187))*139,0)+IFERROR(--ISNUMBER(SEARCH("R140",G187))*140,0)+IFERROR(--ISNUMBER(SEARCH("R141",G187))*141,0))</f>
        <v/>
      </c>
      <c r="V187" s="59">
        <f>IF(A187="","",IF(K187&lt;&gt;"",K187,J187))</f>
        <v/>
      </c>
      <c r="W187" s="59">
        <f>IF(A187="","",IF(AND(V187=29,O187&lt;&gt;"",COUNTIFS($V$6:$V$505,29,$F$6:$F$505,F187,$C$6:$C$505,C187,$O$6:$O$505,"&lt;&gt;")&gt;1),IF(COUNTIFS($V$6:V187,29,$F$6:F187,F187,$C$6:C187,C187,$O$6:O187,"&lt;&gt;")=1,"Esta es la fila que se debe CONSERVAR (aparición 1 de "&amp;COUNTIFS($V$6:$V$505,29,$F$6:$F$505,F187,$C$6:$C$505,C187,$O$6:$O$505,"&lt;&gt;")&amp;" con el mismo tercero y valor, casilla 29). Si hay más filas iguales, bórreles el valor a ELLAS, no a esta.","DUPLICADO — ya existe otra fila con el mismo tercero y valor para casilla 29 (aparición "&amp;COUNTIFS($V$6:V187,29,$F$6:F187,F187,$C$6:C187,C187,$O$6:O187,"&lt;&gt;")&amp;" de "&amp;COUNTIFS($V$6:$V$505,29,$F$6:$F$505,F187,$C$6:$C$505,C187,$O$6:$O$505,"&lt;&gt;")&amp;"). Para resolverlo: seleccione la celda O"&amp;ROW()&amp;" (columna Valor a declarar de ESTA fila) y presione Supr."),""))</f>
        <v/>
      </c>
      <c r="X187" s="463">
        <f>IF(A187="","",F187)</f>
        <v/>
      </c>
      <c r="Y187" s="463">
        <f>IF(A187="","",SUMIF(Entrada_Manual!$I$88:$I$187,A187,Entrada_Manual!$F$88:$F$187))</f>
        <v/>
      </c>
      <c r="Z187" s="463">
        <f>IF(A187="","",X187-Y187)</f>
        <v/>
      </c>
      <c r="AA187">
        <f>IF(A187="","",SUMPRODUCT((Entrada_Manual!$I$88:$I$187=A187)*1))</f>
        <v/>
      </c>
      <c r="AB187">
        <f>IF(A187="","",IF(S187&lt;=1,"",IF(AA187=0,"PENDIENTE — SIN ASIGNAR",IF(Z187=0,"RESUELTO","PARCIAL — DIFERENCIA "&amp;TEXT(Z187,"#,##0")))))</f>
        <v/>
      </c>
    </row>
    <row r="188" ht="14.25" customHeight="1" s="235">
      <c r="A188" s="47">
        <f>IF(Exogena_RAW!E197&lt;&gt;"",ROW()-5,"")</f>
        <v/>
      </c>
      <c r="B188" s="48">
        <f>IF(A188="","",197)</f>
        <v/>
      </c>
      <c r="C188" s="48">
        <f>IF(A188="","",IFERROR(Exogena_RAW!A197,""))</f>
        <v/>
      </c>
      <c r="D188" s="48">
        <f>IF(A188="","",IFERROR(Exogena_RAW!B197,""))</f>
        <v/>
      </c>
      <c r="E188" s="48">
        <f>IF(A188="","",Exogena_RAW!E197)</f>
        <v/>
      </c>
      <c r="F188" s="461">
        <f>IF(A188="","",Exogena_RAW!F197)</f>
        <v/>
      </c>
      <c r="G188" s="48">
        <f>IF(A188="","",IFERROR(Exogena_RAW!G197,""))</f>
        <v/>
      </c>
      <c r="H188" s="48">
        <f>IF(A188="","",IFERROR(Exogena_RAW!H197,""))</f>
        <v/>
      </c>
      <c r="I188" s="48">
        <f>IF(A188="","",IFERROR(IF(S188&gt;1,"VARIAS CASILLAS",IF(S188=1,IF(T188=1,"PROPUESTA DE CASILLA","REVISIÓN: CASILLA NO DIRECTA"),IF(OR(ISNUMBER(SEARCH("TOPE",UPPER(E188))),ISNUMBER(SEARCH("TOPE",UPPER(G188)))),"SOLO CONTROL",IF(ISNUMBER(SEARCH("RETEN",UPPER(E188))),"RETENCIÓN","REVISAR")))),"REVISAR"))</f>
        <v/>
      </c>
      <c r="J188" s="48">
        <f>IF(A188="","",IF(ISNUMBER(SEARCH("ingreso laboral promedio de los últimos seis meses",E188)),"",IFERROR(IF(AND(S188=1,T188=1),U188,""),"")))</f>
        <v/>
      </c>
      <c r="K188" s="216" t="n"/>
      <c r="L188" s="48">
        <f>IF(A188="","",IFERROR(IF(K188&lt;&gt;"","Casilla elegida por usuario",IF(S188&gt;1,"Varias casillas — elegir en K",IF(J188&lt;&gt;"","Sugerencia directa",IF(S188=1,"No trasladar directo — revisar",IF(OR(ISNUMBER(SEARCH("TOPE",UPPER(E188))),ISNUMBER(SEARCH("TOPE",UPPER(G188)))),"Solo control","Revisar manualmente"))))),"Revisar manualmente"))</f>
        <v/>
      </c>
      <c r="M188" s="461">
        <f>IF(A188="","",IF(IF(K188&lt;&gt;"",K188,J188)="",0,IF(COUNTIFS(Reglas!$I$5:$I$118,IF(K188&lt;&gt;"",K188,J188),Reglas!$J$5:$J$118,"Sí")=1,F188,0)))</f>
        <v/>
      </c>
      <c r="N188" s="56" t="n"/>
      <c r="O188" s="462">
        <f>IF(A188="","",IF(M188=0,"",M188))</f>
        <v/>
      </c>
      <c r="P188" s="461">
        <f>IF(A188="","",IF(O188="",0,IF(ISNUMBER(O188),O188,0)))</f>
        <v/>
      </c>
      <c r="Q188" s="48">
        <f>IF(A188="","",IF(Exogena_RAW!$C$4="","BLOQUEADO: FALTA AÑO",IF(Exogena_RAW!$K$10&lt;&gt;Reglas!$B$5,"BLOQUEADO: AÑO",IF(IF(K188&lt;&gt;"",K188,J188)="",IF(S188&gt;1,"REQUIERE ASIGNACIÓN MANUAL (VARIAS CASILLAS)","INFORMATIVO (sin casilla — no se declara)"),IF(COUNTIFS(Reglas!$I$5:$I$118,IF(K188&lt;&gt;"",K188,J188),Reglas!$J$5:$J$118,"Sí")=0,"BLOQUEADO: CASILLA NO DIRECTA",IF(O188="","EXCLUIDO (valor borrado por el usuario)",IF(_xlfn.ISFORMULA(O188),IF(W188&lt;&gt;"","BORRADOR — VALOR SUGERIDO DIAN ⚠ VER ALERTA","BORRADOR — VALOR SUGERIDO DIAN"),IF(W188&lt;&gt;"","ACEPTADO ⚠ VER ALERTA","ACEPTADO"))))))))</f>
        <v/>
      </c>
      <c r="R188" s="218" t="n"/>
      <c r="S188" s="58">
        <f>IF(A188="","",IFERROR(--ISNUMBER(SEARCH("R28",G188)),0)+IFERROR(--ISNUMBER(SEARCH("R29",G188)),0)+IFERROR(--ISNUMBER(SEARCH("R30",G188)),0)+IFERROR(--ISNUMBER(SEARCH("R31",G188)),0)+IFERROR(--ISNUMBER(SEARCH("R32",G188)),0)+IFERROR(--ISNUMBER(SEARCH("R33",G188)),0)+IFERROR(--ISNUMBER(SEARCH("R34",G188)),0)+IFERROR(--ISNUMBER(SEARCH("R35",G188)),0)+IFERROR(--ISNUMBER(SEARCH("R36",G188)),0)+IFERROR(--ISNUMBER(SEARCH("R37",G188)),0)+IFERROR(--ISNUMBER(SEARCH("R38",G188)),0)+IFERROR(--ISNUMBER(SEARCH("R39",G188)),0)+IFERROR(--ISNUMBER(SEARCH("R40",G188)),0)+IFERROR(--ISNUMBER(SEARCH("R41",G188)),0)+IFERROR(--ISNUMBER(SEARCH("R42",G188)),0)+IFERROR(--ISNUMBER(SEARCH("R43",G188)),0)+IFERROR(--ISNUMBER(SEARCH("R44",G188)),0)+IFERROR(--ISNUMBER(SEARCH("R45",G188)),0)+IFERROR(--ISNUMBER(SEARCH("R46",G188)),0)+IFERROR(--ISNUMBER(SEARCH("R47",G188)),0)+IFERROR(--ISNUMBER(SEARCH("R48",G188)),0)+IFERROR(--ISNUMBER(SEARCH("R49",G188)),0)+IFERROR(--ISNUMBER(SEARCH("R50",G188)),0)+IFERROR(--ISNUMBER(SEARCH("R51",G188)),0)+IFERROR(--ISNUMBER(SEARCH("R52",G188)),0)+IFERROR(--ISNUMBER(SEARCH("R53",G188)),0)+IFERROR(--ISNUMBER(SEARCH("R54",G188)),0)+IFERROR(--ISNUMBER(SEARCH("R55",G188)),0)+IFERROR(--ISNUMBER(SEARCH("R56",G188)),0)+IFERROR(--ISNUMBER(SEARCH("R57",G188)),0)+IFERROR(--ISNUMBER(SEARCH("R58",G188)),0)+IFERROR(--ISNUMBER(SEARCH("R59",G188)),0)+IFERROR(--ISNUMBER(SEARCH("R60",G188)),0)+IFERROR(--ISNUMBER(SEARCH("R61",G188)),0)+IFERROR(--ISNUMBER(SEARCH("R62",G188)),0)+IFERROR(--ISNUMBER(SEARCH("R63",G188)),0)+IFERROR(--ISNUMBER(SEARCH("R64",G188)),0)+IFERROR(--ISNUMBER(SEARCH("R65",G188)),0)+IFERROR(--ISNUMBER(SEARCH("R66",G188)),0)+IFERROR(--ISNUMBER(SEARCH("R67",G188)),0)+IFERROR(--ISNUMBER(SEARCH("R68",G188)),0)+IFERROR(--ISNUMBER(SEARCH("R69",G188)),0)+IFERROR(--ISNUMBER(SEARCH("R70",G188)),0)+IFERROR(--ISNUMBER(SEARCH("R71",G188)),0)+IFERROR(--ISNUMBER(SEARCH("R72",G188)),0)+IFERROR(--ISNUMBER(SEARCH("R73",G188)),0)+IFERROR(--ISNUMBER(SEARCH("R74",G188)),0)+IFERROR(--ISNUMBER(SEARCH("R75",G188)),0)+IFERROR(--ISNUMBER(SEARCH("R76",G188)),0)+IFERROR(--ISNUMBER(SEARCH("R77",G188)),0)+IFERROR(--ISNUMBER(SEARCH("R78",G188)),0)+IFERROR(--ISNUMBER(SEARCH("R79",G188)),0)+IFERROR(--ISNUMBER(SEARCH("R80",G188)),0)+IFERROR(--ISNUMBER(SEARCH("R81",G188)),0)+IFERROR(--ISNUMBER(SEARCH("R82",G188)),0)+IFERROR(--ISNUMBER(SEARCH("R83",G188)),0)+IFERROR(--ISNUMBER(SEARCH("R84",G188)),0)+IFERROR(--ISNUMBER(SEARCH("R85",G188)),0)+IFERROR(--ISNUMBER(SEARCH("R86",G188)),0)+IFERROR(--ISNUMBER(SEARCH("R87",G188)),0)+IFERROR(--ISNUMBER(SEARCH("R88",G188)),0)+IFERROR(--ISNUMBER(SEARCH("R89",G188)),0)+IFERROR(--ISNUMBER(SEARCH("R90",G188)),0)+IFERROR(--ISNUMBER(SEARCH("R91",G188)),0)+IFERROR(--ISNUMBER(SEARCH("R92",G188)),0)+IFERROR(--ISNUMBER(SEARCH("R93",G188)),0)+IFERROR(--ISNUMBER(SEARCH("R94",G188)),0)+IFERROR(--ISNUMBER(SEARCH("R95",G188)),0)+IFERROR(--ISNUMBER(SEARCH("R96",G188)),0)+IFERROR(--ISNUMBER(SEARCH("R97",G188)),0)+IFERROR(--ISNUMBER(SEARCH("R98",G188)),0)+IFERROR(--ISNUMBER(SEARCH("R99",G188)),0)+IFERROR(--ISNUMBER(SEARCH("R100",G188)),0)+IFERROR(--ISNUMBER(SEARCH("R101",G188)),0)+IFERROR(--ISNUMBER(SEARCH("R102",G188)),0)+IFERROR(--ISNUMBER(SEARCH("R103",G188)),0)+IFERROR(--ISNUMBER(SEARCH("R104",G188)),0)+IFERROR(--ISNUMBER(SEARCH("R105",G188)),0)+IFERROR(--ISNUMBER(SEARCH("R106",G188)),0)+IFERROR(--ISNUMBER(SEARCH("R107",G188)),0)+IFERROR(--ISNUMBER(SEARCH("R108",G188)),0)+IFERROR(--ISNUMBER(SEARCH("R109",G188)),0)+IFERROR(--ISNUMBER(SEARCH("R110",G188)),0)+IFERROR(--ISNUMBER(SEARCH("R111",G188)),0)+IFERROR(--ISNUMBER(SEARCH("R112",G188)),0)+IFERROR(--ISNUMBER(SEARCH("R113",G188)),0)+IFERROR(--ISNUMBER(SEARCH("R114",G188)),0)+IFERROR(--ISNUMBER(SEARCH("R115",G188)),0)+IFERROR(--ISNUMBER(SEARCH("R116",G188)),0)+IFERROR(--ISNUMBER(SEARCH("R117",G188)),0)+IFERROR(--ISNUMBER(SEARCH("R118",G188)),0)+IFERROR(--ISNUMBER(SEARCH("R119",G188)),0)+IFERROR(--ISNUMBER(SEARCH("R120",G188)),0)+IFERROR(--ISNUMBER(SEARCH("R121",G188)),0)+IFERROR(--ISNUMBER(SEARCH("R122",G188)),0)+IFERROR(--ISNUMBER(SEARCH("R123",G188)),0)+IFERROR(--ISNUMBER(SEARCH("R124",G188)),0)+IFERROR(--ISNUMBER(SEARCH("R125",G188)),0)+IFERROR(--ISNUMBER(SEARCH("R126",G188)),0)+IFERROR(--ISNUMBER(SEARCH("R127",G188)),0)+IFERROR(--ISNUMBER(SEARCH("R128",G188)),0)+IFERROR(--ISNUMBER(SEARCH("R129",G188)),0)+IFERROR(--ISNUMBER(SEARCH("R130",G188)),0)+IFERROR(--ISNUMBER(SEARCH("R131",G188)),0)+IFERROR(--ISNUMBER(SEARCH("R132",G188)),0)+IFERROR(--ISNUMBER(SEARCH("R133",G188)),0)+IFERROR(--ISNUMBER(SEARCH("R134",G188)),0)+IFERROR(--ISNUMBER(SEARCH("R135",G188)),0)+IFERROR(--ISNUMBER(SEARCH("R136",G188)),0)+IFERROR(--ISNUMBER(SEARCH("R137",G188)),0)+IFERROR(--ISNUMBER(SEARCH("R138",G188)),0)+IFERROR(--ISNUMBER(SEARCH("R139",G188)),0)+IFERROR(--ISNUMBER(SEARCH("R140",G188)),0)+IFERROR(--ISNUMBER(SEARCH("R141",G188)),0))</f>
        <v/>
      </c>
      <c r="T188" s="58">
        <f>IF(A188="","",IFERROR(--ISNUMBER(SEARCH("R28",G188)),0)+IFERROR(--ISNUMBER(SEARCH("R29",G188)),0)+IFERROR(--ISNUMBER(SEARCH("R30",G188)),0)+IFERROR(--ISNUMBER(SEARCH("R32",G188)),0)+IFERROR(--ISNUMBER(SEARCH("R33",G188)),0)+IFERROR(--ISNUMBER(SEARCH("R35",G188)),0)+IFERROR(--ISNUMBER(SEARCH("R36",G188)),0)+IFERROR(--ISNUMBER(SEARCH("R38",G188)),0)+IFERROR(--ISNUMBER(SEARCH("R39",G188)),0)+IFERROR(--ISNUMBER(SEARCH("R43",G188)),0)+IFERROR(--ISNUMBER(SEARCH("R44",G188)),0)+IFERROR(--ISNUMBER(SEARCH("R45",G188)),0)+IFERROR(--ISNUMBER(SEARCH("R47",G188)),0)+IFERROR(--ISNUMBER(SEARCH("R48",G188)),0)+IFERROR(--ISNUMBER(SEARCH("R50",G188)),0)+IFERROR(--ISNUMBER(SEARCH("R51",G188)),0)+IFERROR(--ISNUMBER(SEARCH("R56",G188)),0)+IFERROR(--ISNUMBER(SEARCH("R58",G188)),0)+IFERROR(--ISNUMBER(SEARCH("R59",G188)),0)+IFERROR(--ISNUMBER(SEARCH("R60",G188)),0)+IFERROR(--ISNUMBER(SEARCH("R62",G188)),0)+IFERROR(--ISNUMBER(SEARCH("R63",G188)),0)+IFERROR(--ISNUMBER(SEARCH("R64",G188)),0)+IFERROR(--ISNUMBER(SEARCH("R66",G188)),0)+IFERROR(--ISNUMBER(SEARCH("R67",G188)),0)+IFERROR(--ISNUMBER(SEARCH("R72",G188)),0)+IFERROR(--ISNUMBER(SEARCH("R74",G188)),0)+IFERROR(--ISNUMBER(SEARCH("R75",G188)),0)+IFERROR(--ISNUMBER(SEARCH("R76",G188)),0)+IFERROR(--ISNUMBER(SEARCH("R77",G188)),0)+IFERROR(--ISNUMBER(SEARCH("R79",G188)),0)+IFERROR(--ISNUMBER(SEARCH("R80",G188)),0)+IFERROR(--ISNUMBER(SEARCH("R81",G188)),0)+IFERROR(--ISNUMBER(SEARCH("R83",G188)),0)+IFERROR(--ISNUMBER(SEARCH("R84",G188)),0)+IFERROR(--ISNUMBER(SEARCH("R89",G188)),0)+IFERROR(--ISNUMBER(SEARCH("R94",G188)),0)+IFERROR(--ISNUMBER(SEARCH("R95",G188)),0)+IFERROR(--ISNUMBER(SEARCH("R96",G188)),0)+IFERROR(--ISNUMBER(SEARCH("R98",G188)),0)+IFERROR(--ISNUMBER(SEARCH("R99",G188)),0)+IFERROR(--ISNUMBER(SEARCH("R100",G188)),0)+IFERROR(--ISNUMBER(SEARCH("R104",G188)),0)+IFERROR(--ISNUMBER(SEARCH("R105",G188)),0)+IFERROR(--ISNUMBER(SEARCH("R107",G188)),0)+IFERROR(--ISNUMBER(SEARCH("R108",G188)),0)+IFERROR(--ISNUMBER(SEARCH("R109",G188)),0)+IFERROR(--ISNUMBER(SEARCH("R110",G188)),0)+IFERROR(--ISNUMBER(SEARCH("R112",G188)),0)+IFERROR(--ISNUMBER(SEARCH("R113",G188)),0)+IFERROR(--ISNUMBER(SEARCH("R114",G188)),0)+IFERROR(--ISNUMBER(SEARCH("R118",G188)),0)+IFERROR(--ISNUMBER(SEARCH("R119",G188)),0)+IFERROR(--ISNUMBER(SEARCH("R120",G188)),0)+IFERROR(--ISNUMBER(SEARCH("R122",G188)),0)+IFERROR(--ISNUMBER(SEARCH("R123",G188)),0)+IFERROR(--ISNUMBER(SEARCH("R124",G188)),0)+IFERROR(--ISNUMBER(SEARCH("R128",G188)),0)+IFERROR(--ISNUMBER(SEARCH("R130",G188)),0)+IFERROR(--ISNUMBER(SEARCH("R131",G188)),0)+IFERROR(--ISNUMBER(SEARCH("R132",G188)),0)+IFERROR(--ISNUMBER(SEARCH("R135",G188)),0)+IFERROR(--ISNUMBER(SEARCH("R138",G188)),0)+IFERROR(--ISNUMBER(SEARCH("R141",G188)),0))</f>
        <v/>
      </c>
      <c r="U188" s="58">
        <f>IF(A188="","",IFERROR(--ISNUMBER(SEARCH("R28",G188))*28,0)+IFERROR(--ISNUMBER(SEARCH("R29",G188))*29,0)+IFERROR(--ISNUMBER(SEARCH("R30",G188))*30,0)+IFERROR(--ISNUMBER(SEARCH("R31",G188))*31,0)+IFERROR(--ISNUMBER(SEARCH("R32",G188))*32,0)+IFERROR(--ISNUMBER(SEARCH("R33",G188))*33,0)+IFERROR(--ISNUMBER(SEARCH("R34",G188))*34,0)+IFERROR(--ISNUMBER(SEARCH("R35",G188))*35,0)+IFERROR(--ISNUMBER(SEARCH("R36",G188))*36,0)+IFERROR(--ISNUMBER(SEARCH("R37",G188))*37,0)+IFERROR(--ISNUMBER(SEARCH("R38",G188))*38,0)+IFERROR(--ISNUMBER(SEARCH("R39",G188))*39,0)+IFERROR(--ISNUMBER(SEARCH("R40",G188))*40,0)+IFERROR(--ISNUMBER(SEARCH("R41",G188))*41,0)+IFERROR(--ISNUMBER(SEARCH("R42",G188))*42,0)+IFERROR(--ISNUMBER(SEARCH("R43",G188))*43,0)+IFERROR(--ISNUMBER(SEARCH("R44",G188))*44,0)+IFERROR(--ISNUMBER(SEARCH("R45",G188))*45,0)+IFERROR(--ISNUMBER(SEARCH("R46",G188))*46,0)+IFERROR(--ISNUMBER(SEARCH("R47",G188))*47,0)+IFERROR(--ISNUMBER(SEARCH("R48",G188))*48,0)+IFERROR(--ISNUMBER(SEARCH("R49",G188))*49,0)+IFERROR(--ISNUMBER(SEARCH("R50",G188))*50,0)+IFERROR(--ISNUMBER(SEARCH("R51",G188))*51,0)+IFERROR(--ISNUMBER(SEARCH("R52",G188))*52,0)+IFERROR(--ISNUMBER(SEARCH("R53",G188))*53,0)+IFERROR(--ISNUMBER(SEARCH("R54",G188))*54,0)+IFERROR(--ISNUMBER(SEARCH("R55",G188))*55,0)+IFERROR(--ISNUMBER(SEARCH("R56",G188))*56,0)+IFERROR(--ISNUMBER(SEARCH("R57",G188))*57,0)+IFERROR(--ISNUMBER(SEARCH("R58",G188))*58,0)+IFERROR(--ISNUMBER(SEARCH("R59",G188))*59,0)+IFERROR(--ISNUMBER(SEARCH("R60",G188))*60,0)+IFERROR(--ISNUMBER(SEARCH("R61",G188))*61,0)+IFERROR(--ISNUMBER(SEARCH("R62",G188))*62,0)+IFERROR(--ISNUMBER(SEARCH("R63",G188))*63,0)+IFERROR(--ISNUMBER(SEARCH("R64",G188))*64,0)+IFERROR(--ISNUMBER(SEARCH("R65",G188))*65,0)+IFERROR(--ISNUMBER(SEARCH("R66",G188))*66,0)+IFERROR(--ISNUMBER(SEARCH("R67",G188))*67,0)+IFERROR(--ISNUMBER(SEARCH("R68",G188))*68,0)+IFERROR(--ISNUMBER(SEARCH("R69",G188))*69,0)+IFERROR(--ISNUMBER(SEARCH("R70",G188))*70,0)+IFERROR(--ISNUMBER(SEARCH("R71",G188))*71,0)+IFERROR(--ISNUMBER(SEARCH("R72",G188))*72,0)+IFERROR(--ISNUMBER(SEARCH("R73",G188))*73,0)+IFERROR(--ISNUMBER(SEARCH("R74",G188))*74,0)+IFERROR(--ISNUMBER(SEARCH("R75",G188))*75,0)+IFERROR(--ISNUMBER(SEARCH("R76",G188))*76,0)+IFERROR(--ISNUMBER(SEARCH("R77",G188))*77,0)+IFERROR(--ISNUMBER(SEARCH("R78",G188))*78,0)+IFERROR(--ISNUMBER(SEARCH("R79",G188))*79,0)+IFERROR(--ISNUMBER(SEARCH("R80",G188))*80,0)+IFERROR(--ISNUMBER(SEARCH("R81",G188))*81,0)+IFERROR(--ISNUMBER(SEARCH("R82",G188))*82,0)+IFERROR(--ISNUMBER(SEARCH("R83",G188))*83,0)+IFERROR(--ISNUMBER(SEARCH("R84",G188))*84,0)+IFERROR(--ISNUMBER(SEARCH("R85",G188))*85,0)+IFERROR(--ISNUMBER(SEARCH("R86",G188))*86,0)+IFERROR(--ISNUMBER(SEARCH("R87",G188))*87,0)+IFERROR(--ISNUMBER(SEARCH("R88",G188))*88,0)+IFERROR(--ISNUMBER(SEARCH("R89",G188))*89,0)+IFERROR(--ISNUMBER(SEARCH("R90",G188))*90,0)+IFERROR(--ISNUMBER(SEARCH("R91",G188))*91,0)+IFERROR(--ISNUMBER(SEARCH("R92",G188))*92,0)+IFERROR(--ISNUMBER(SEARCH("R93",G188))*93,0)+IFERROR(--ISNUMBER(SEARCH("R94",G188))*94,0)+IFERROR(--ISNUMBER(SEARCH("R95",G188))*95,0)+IFERROR(--ISNUMBER(SEARCH("R96",G188))*96,0)+IFERROR(--ISNUMBER(SEARCH("R97",G188))*97,0)+IFERROR(--ISNUMBER(SEARCH("R98",G188))*98,0)+IFERROR(--ISNUMBER(SEARCH("R99",G188))*99,0)+IFERROR(--ISNUMBER(SEARCH("R100",G188))*100,0)+IFERROR(--ISNUMBER(SEARCH("R101",G188))*101,0)+IFERROR(--ISNUMBER(SEARCH("R102",G188))*102,0)+IFERROR(--ISNUMBER(SEARCH("R103",G188))*103,0)+IFERROR(--ISNUMBER(SEARCH("R104",G188))*104,0)+IFERROR(--ISNUMBER(SEARCH("R105",G188))*105,0)+IFERROR(--ISNUMBER(SEARCH("R106",G188))*106,0)+IFERROR(--ISNUMBER(SEARCH("R107",G188))*107,0)+IFERROR(--ISNUMBER(SEARCH("R108",G188))*108,0)+IFERROR(--ISNUMBER(SEARCH("R109",G188))*109,0)+IFERROR(--ISNUMBER(SEARCH("R110",G188))*110,0)+IFERROR(--ISNUMBER(SEARCH("R111",G188))*111,0)+IFERROR(--ISNUMBER(SEARCH("R112",G188))*112,0)+IFERROR(--ISNUMBER(SEARCH("R113",G188))*113,0)+IFERROR(--ISNUMBER(SEARCH("R114",G188))*114,0)+IFERROR(--ISNUMBER(SEARCH("R115",G188))*115,0)+IFERROR(--ISNUMBER(SEARCH("R116",G188))*116,0)+IFERROR(--ISNUMBER(SEARCH("R117",G188))*117,0)+IFERROR(--ISNUMBER(SEARCH("R118",G188))*118,0)+IFERROR(--ISNUMBER(SEARCH("R119",G188))*119,0)+IFERROR(--ISNUMBER(SEARCH("R120",G188))*120,0)+IFERROR(--ISNUMBER(SEARCH("R121",G188))*121,0)+IFERROR(--ISNUMBER(SEARCH("R122",G188))*122,0)+IFERROR(--ISNUMBER(SEARCH("R123",G188))*123,0)+IFERROR(--ISNUMBER(SEARCH("R124",G188))*124,0)+IFERROR(--ISNUMBER(SEARCH("R125",G188))*125,0)+IFERROR(--ISNUMBER(SEARCH("R126",G188))*126,0)+IFERROR(--ISNUMBER(SEARCH("R127",G188))*127,0)+IFERROR(--ISNUMBER(SEARCH("R128",G188))*128,0)+IFERROR(--ISNUMBER(SEARCH("R129",G188))*129,0)+IFERROR(--ISNUMBER(SEARCH("R130",G188))*130,0)+IFERROR(--ISNUMBER(SEARCH("R131",G188))*131,0)+IFERROR(--ISNUMBER(SEARCH("R132",G188))*132,0)+IFERROR(--ISNUMBER(SEARCH("R133",G188))*133,0)+IFERROR(--ISNUMBER(SEARCH("R134",G188))*134,0)+IFERROR(--ISNUMBER(SEARCH("R135",G188))*135,0)+IFERROR(--ISNUMBER(SEARCH("R136",G188))*136,0)+IFERROR(--ISNUMBER(SEARCH("R137",G188))*137,0)+IFERROR(--ISNUMBER(SEARCH("R138",G188))*138,0)+IFERROR(--ISNUMBER(SEARCH("R139",G188))*139,0)+IFERROR(--ISNUMBER(SEARCH("R140",G188))*140,0)+IFERROR(--ISNUMBER(SEARCH("R141",G188))*141,0))</f>
        <v/>
      </c>
      <c r="V188" s="59">
        <f>IF(A188="","",IF(K188&lt;&gt;"",K188,J188))</f>
        <v/>
      </c>
      <c r="W188" s="59">
        <f>IF(A188="","",IF(AND(V188=29,O188&lt;&gt;"",COUNTIFS($V$6:$V$505,29,$F$6:$F$505,F188,$C$6:$C$505,C188,$O$6:$O$505,"&lt;&gt;")&gt;1),IF(COUNTIFS($V$6:V188,29,$F$6:F188,F188,$C$6:C188,C188,$O$6:O188,"&lt;&gt;")=1,"Esta es la fila que se debe CONSERVAR (aparición 1 de "&amp;COUNTIFS($V$6:$V$505,29,$F$6:$F$505,F188,$C$6:$C$505,C188,$O$6:$O$505,"&lt;&gt;")&amp;" con el mismo tercero y valor, casilla 29). Si hay más filas iguales, bórreles el valor a ELLAS, no a esta.","DUPLICADO — ya existe otra fila con el mismo tercero y valor para casilla 29 (aparición "&amp;COUNTIFS($V$6:V188,29,$F$6:F188,F188,$C$6:C188,C188,$O$6:O188,"&lt;&gt;")&amp;" de "&amp;COUNTIFS($V$6:$V$505,29,$F$6:$F$505,F188,$C$6:$C$505,C188,$O$6:$O$505,"&lt;&gt;")&amp;"). Para resolverlo: seleccione la celda O"&amp;ROW()&amp;" (columna Valor a declarar de ESTA fila) y presione Supr."),""))</f>
        <v/>
      </c>
      <c r="X188" s="463">
        <f>IF(A188="","",F188)</f>
        <v/>
      </c>
      <c r="Y188" s="463">
        <f>IF(A188="","",SUMIF(Entrada_Manual!$I$88:$I$187,A188,Entrada_Manual!$F$88:$F$187))</f>
        <v/>
      </c>
      <c r="Z188" s="463">
        <f>IF(A188="","",X188-Y188)</f>
        <v/>
      </c>
      <c r="AA188">
        <f>IF(A188="","",SUMPRODUCT((Entrada_Manual!$I$88:$I$187=A188)*1))</f>
        <v/>
      </c>
      <c r="AB188">
        <f>IF(A188="","",IF(S188&lt;=1,"",IF(AA188=0,"PENDIENTE — SIN ASIGNAR",IF(Z188=0,"RESUELTO","PARCIAL — DIFERENCIA "&amp;TEXT(Z188,"#,##0")))))</f>
        <v/>
      </c>
    </row>
    <row r="189" ht="14.25" customHeight="1" s="235">
      <c r="A189" s="47">
        <f>IF(Exogena_RAW!E198&lt;&gt;"",ROW()-5,"")</f>
        <v/>
      </c>
      <c r="B189" s="48">
        <f>IF(A189="","",198)</f>
        <v/>
      </c>
      <c r="C189" s="48">
        <f>IF(A189="","",IFERROR(Exogena_RAW!A198,""))</f>
        <v/>
      </c>
      <c r="D189" s="48">
        <f>IF(A189="","",IFERROR(Exogena_RAW!B198,""))</f>
        <v/>
      </c>
      <c r="E189" s="48">
        <f>IF(A189="","",Exogena_RAW!E198)</f>
        <v/>
      </c>
      <c r="F189" s="461">
        <f>IF(A189="","",Exogena_RAW!F198)</f>
        <v/>
      </c>
      <c r="G189" s="48">
        <f>IF(A189="","",IFERROR(Exogena_RAW!G198,""))</f>
        <v/>
      </c>
      <c r="H189" s="48">
        <f>IF(A189="","",IFERROR(Exogena_RAW!H198,""))</f>
        <v/>
      </c>
      <c r="I189" s="48">
        <f>IF(A189="","",IFERROR(IF(S189&gt;1,"VARIAS CASILLAS",IF(S189=1,IF(T189=1,"PROPUESTA DE CASILLA","REVISIÓN: CASILLA NO DIRECTA"),IF(OR(ISNUMBER(SEARCH("TOPE",UPPER(E189))),ISNUMBER(SEARCH("TOPE",UPPER(G189)))),"SOLO CONTROL",IF(ISNUMBER(SEARCH("RETEN",UPPER(E189))),"RETENCIÓN","REVISAR")))),"REVISAR"))</f>
        <v/>
      </c>
      <c r="J189" s="48">
        <f>IF(A189="","",IF(ISNUMBER(SEARCH("ingreso laboral promedio de los últimos seis meses",E189)),"",IFERROR(IF(AND(S189=1,T189=1),U189,""),"")))</f>
        <v/>
      </c>
      <c r="K189" s="216" t="n"/>
      <c r="L189" s="48">
        <f>IF(A189="","",IFERROR(IF(K189&lt;&gt;"","Casilla elegida por usuario",IF(S189&gt;1,"Varias casillas — elegir en K",IF(J189&lt;&gt;"","Sugerencia directa",IF(S189=1,"No trasladar directo — revisar",IF(OR(ISNUMBER(SEARCH("TOPE",UPPER(E189))),ISNUMBER(SEARCH("TOPE",UPPER(G189)))),"Solo control","Revisar manualmente"))))),"Revisar manualmente"))</f>
        <v/>
      </c>
      <c r="M189" s="461">
        <f>IF(A189="","",IF(IF(K189&lt;&gt;"",K189,J189)="",0,IF(COUNTIFS(Reglas!$I$5:$I$118,IF(K189&lt;&gt;"",K189,J189),Reglas!$J$5:$J$118,"Sí")=1,F189,0)))</f>
        <v/>
      </c>
      <c r="N189" s="56" t="n"/>
      <c r="O189" s="462">
        <f>IF(A189="","",IF(M189=0,"",M189))</f>
        <v/>
      </c>
      <c r="P189" s="461">
        <f>IF(A189="","",IF(O189="",0,IF(ISNUMBER(O189),O189,0)))</f>
        <v/>
      </c>
      <c r="Q189" s="48">
        <f>IF(A189="","",IF(Exogena_RAW!$C$4="","BLOQUEADO: FALTA AÑO",IF(Exogena_RAW!$K$10&lt;&gt;Reglas!$B$5,"BLOQUEADO: AÑO",IF(IF(K189&lt;&gt;"",K189,J189)="",IF(S189&gt;1,"REQUIERE ASIGNACIÓN MANUAL (VARIAS CASILLAS)","INFORMATIVO (sin casilla — no se declara)"),IF(COUNTIFS(Reglas!$I$5:$I$118,IF(K189&lt;&gt;"",K189,J189),Reglas!$J$5:$J$118,"Sí")=0,"BLOQUEADO: CASILLA NO DIRECTA",IF(O189="","EXCLUIDO (valor borrado por el usuario)",IF(_xlfn.ISFORMULA(O189),IF(W189&lt;&gt;"","BORRADOR — VALOR SUGERIDO DIAN ⚠ VER ALERTA","BORRADOR — VALOR SUGERIDO DIAN"),IF(W189&lt;&gt;"","ACEPTADO ⚠ VER ALERTA","ACEPTADO"))))))))</f>
        <v/>
      </c>
      <c r="R189" s="218" t="n"/>
      <c r="S189" s="58">
        <f>IF(A189="","",IFERROR(--ISNUMBER(SEARCH("R28",G189)),0)+IFERROR(--ISNUMBER(SEARCH("R29",G189)),0)+IFERROR(--ISNUMBER(SEARCH("R30",G189)),0)+IFERROR(--ISNUMBER(SEARCH("R31",G189)),0)+IFERROR(--ISNUMBER(SEARCH("R32",G189)),0)+IFERROR(--ISNUMBER(SEARCH("R33",G189)),0)+IFERROR(--ISNUMBER(SEARCH("R34",G189)),0)+IFERROR(--ISNUMBER(SEARCH("R35",G189)),0)+IFERROR(--ISNUMBER(SEARCH("R36",G189)),0)+IFERROR(--ISNUMBER(SEARCH("R37",G189)),0)+IFERROR(--ISNUMBER(SEARCH("R38",G189)),0)+IFERROR(--ISNUMBER(SEARCH("R39",G189)),0)+IFERROR(--ISNUMBER(SEARCH("R40",G189)),0)+IFERROR(--ISNUMBER(SEARCH("R41",G189)),0)+IFERROR(--ISNUMBER(SEARCH("R42",G189)),0)+IFERROR(--ISNUMBER(SEARCH("R43",G189)),0)+IFERROR(--ISNUMBER(SEARCH("R44",G189)),0)+IFERROR(--ISNUMBER(SEARCH("R45",G189)),0)+IFERROR(--ISNUMBER(SEARCH("R46",G189)),0)+IFERROR(--ISNUMBER(SEARCH("R47",G189)),0)+IFERROR(--ISNUMBER(SEARCH("R48",G189)),0)+IFERROR(--ISNUMBER(SEARCH("R49",G189)),0)+IFERROR(--ISNUMBER(SEARCH("R50",G189)),0)+IFERROR(--ISNUMBER(SEARCH("R51",G189)),0)+IFERROR(--ISNUMBER(SEARCH("R52",G189)),0)+IFERROR(--ISNUMBER(SEARCH("R53",G189)),0)+IFERROR(--ISNUMBER(SEARCH("R54",G189)),0)+IFERROR(--ISNUMBER(SEARCH("R55",G189)),0)+IFERROR(--ISNUMBER(SEARCH("R56",G189)),0)+IFERROR(--ISNUMBER(SEARCH("R57",G189)),0)+IFERROR(--ISNUMBER(SEARCH("R58",G189)),0)+IFERROR(--ISNUMBER(SEARCH("R59",G189)),0)+IFERROR(--ISNUMBER(SEARCH("R60",G189)),0)+IFERROR(--ISNUMBER(SEARCH("R61",G189)),0)+IFERROR(--ISNUMBER(SEARCH("R62",G189)),0)+IFERROR(--ISNUMBER(SEARCH("R63",G189)),0)+IFERROR(--ISNUMBER(SEARCH("R64",G189)),0)+IFERROR(--ISNUMBER(SEARCH("R65",G189)),0)+IFERROR(--ISNUMBER(SEARCH("R66",G189)),0)+IFERROR(--ISNUMBER(SEARCH("R67",G189)),0)+IFERROR(--ISNUMBER(SEARCH("R68",G189)),0)+IFERROR(--ISNUMBER(SEARCH("R69",G189)),0)+IFERROR(--ISNUMBER(SEARCH("R70",G189)),0)+IFERROR(--ISNUMBER(SEARCH("R71",G189)),0)+IFERROR(--ISNUMBER(SEARCH("R72",G189)),0)+IFERROR(--ISNUMBER(SEARCH("R73",G189)),0)+IFERROR(--ISNUMBER(SEARCH("R74",G189)),0)+IFERROR(--ISNUMBER(SEARCH("R75",G189)),0)+IFERROR(--ISNUMBER(SEARCH("R76",G189)),0)+IFERROR(--ISNUMBER(SEARCH("R77",G189)),0)+IFERROR(--ISNUMBER(SEARCH("R78",G189)),0)+IFERROR(--ISNUMBER(SEARCH("R79",G189)),0)+IFERROR(--ISNUMBER(SEARCH("R80",G189)),0)+IFERROR(--ISNUMBER(SEARCH("R81",G189)),0)+IFERROR(--ISNUMBER(SEARCH("R82",G189)),0)+IFERROR(--ISNUMBER(SEARCH("R83",G189)),0)+IFERROR(--ISNUMBER(SEARCH("R84",G189)),0)+IFERROR(--ISNUMBER(SEARCH("R85",G189)),0)+IFERROR(--ISNUMBER(SEARCH("R86",G189)),0)+IFERROR(--ISNUMBER(SEARCH("R87",G189)),0)+IFERROR(--ISNUMBER(SEARCH("R88",G189)),0)+IFERROR(--ISNUMBER(SEARCH("R89",G189)),0)+IFERROR(--ISNUMBER(SEARCH("R90",G189)),0)+IFERROR(--ISNUMBER(SEARCH("R91",G189)),0)+IFERROR(--ISNUMBER(SEARCH("R92",G189)),0)+IFERROR(--ISNUMBER(SEARCH("R93",G189)),0)+IFERROR(--ISNUMBER(SEARCH("R94",G189)),0)+IFERROR(--ISNUMBER(SEARCH("R95",G189)),0)+IFERROR(--ISNUMBER(SEARCH("R96",G189)),0)+IFERROR(--ISNUMBER(SEARCH("R97",G189)),0)+IFERROR(--ISNUMBER(SEARCH("R98",G189)),0)+IFERROR(--ISNUMBER(SEARCH("R99",G189)),0)+IFERROR(--ISNUMBER(SEARCH("R100",G189)),0)+IFERROR(--ISNUMBER(SEARCH("R101",G189)),0)+IFERROR(--ISNUMBER(SEARCH("R102",G189)),0)+IFERROR(--ISNUMBER(SEARCH("R103",G189)),0)+IFERROR(--ISNUMBER(SEARCH("R104",G189)),0)+IFERROR(--ISNUMBER(SEARCH("R105",G189)),0)+IFERROR(--ISNUMBER(SEARCH("R106",G189)),0)+IFERROR(--ISNUMBER(SEARCH("R107",G189)),0)+IFERROR(--ISNUMBER(SEARCH("R108",G189)),0)+IFERROR(--ISNUMBER(SEARCH("R109",G189)),0)+IFERROR(--ISNUMBER(SEARCH("R110",G189)),0)+IFERROR(--ISNUMBER(SEARCH("R111",G189)),0)+IFERROR(--ISNUMBER(SEARCH("R112",G189)),0)+IFERROR(--ISNUMBER(SEARCH("R113",G189)),0)+IFERROR(--ISNUMBER(SEARCH("R114",G189)),0)+IFERROR(--ISNUMBER(SEARCH("R115",G189)),0)+IFERROR(--ISNUMBER(SEARCH("R116",G189)),0)+IFERROR(--ISNUMBER(SEARCH("R117",G189)),0)+IFERROR(--ISNUMBER(SEARCH("R118",G189)),0)+IFERROR(--ISNUMBER(SEARCH("R119",G189)),0)+IFERROR(--ISNUMBER(SEARCH("R120",G189)),0)+IFERROR(--ISNUMBER(SEARCH("R121",G189)),0)+IFERROR(--ISNUMBER(SEARCH("R122",G189)),0)+IFERROR(--ISNUMBER(SEARCH("R123",G189)),0)+IFERROR(--ISNUMBER(SEARCH("R124",G189)),0)+IFERROR(--ISNUMBER(SEARCH("R125",G189)),0)+IFERROR(--ISNUMBER(SEARCH("R126",G189)),0)+IFERROR(--ISNUMBER(SEARCH("R127",G189)),0)+IFERROR(--ISNUMBER(SEARCH("R128",G189)),0)+IFERROR(--ISNUMBER(SEARCH("R129",G189)),0)+IFERROR(--ISNUMBER(SEARCH("R130",G189)),0)+IFERROR(--ISNUMBER(SEARCH("R131",G189)),0)+IFERROR(--ISNUMBER(SEARCH("R132",G189)),0)+IFERROR(--ISNUMBER(SEARCH("R133",G189)),0)+IFERROR(--ISNUMBER(SEARCH("R134",G189)),0)+IFERROR(--ISNUMBER(SEARCH("R135",G189)),0)+IFERROR(--ISNUMBER(SEARCH("R136",G189)),0)+IFERROR(--ISNUMBER(SEARCH("R137",G189)),0)+IFERROR(--ISNUMBER(SEARCH("R138",G189)),0)+IFERROR(--ISNUMBER(SEARCH("R139",G189)),0)+IFERROR(--ISNUMBER(SEARCH("R140",G189)),0)+IFERROR(--ISNUMBER(SEARCH("R141",G189)),0))</f>
        <v/>
      </c>
      <c r="T189" s="58">
        <f>IF(A189="","",IFERROR(--ISNUMBER(SEARCH("R28",G189)),0)+IFERROR(--ISNUMBER(SEARCH("R29",G189)),0)+IFERROR(--ISNUMBER(SEARCH("R30",G189)),0)+IFERROR(--ISNUMBER(SEARCH("R32",G189)),0)+IFERROR(--ISNUMBER(SEARCH("R33",G189)),0)+IFERROR(--ISNUMBER(SEARCH("R35",G189)),0)+IFERROR(--ISNUMBER(SEARCH("R36",G189)),0)+IFERROR(--ISNUMBER(SEARCH("R38",G189)),0)+IFERROR(--ISNUMBER(SEARCH("R39",G189)),0)+IFERROR(--ISNUMBER(SEARCH("R43",G189)),0)+IFERROR(--ISNUMBER(SEARCH("R44",G189)),0)+IFERROR(--ISNUMBER(SEARCH("R45",G189)),0)+IFERROR(--ISNUMBER(SEARCH("R47",G189)),0)+IFERROR(--ISNUMBER(SEARCH("R48",G189)),0)+IFERROR(--ISNUMBER(SEARCH("R50",G189)),0)+IFERROR(--ISNUMBER(SEARCH("R51",G189)),0)+IFERROR(--ISNUMBER(SEARCH("R56",G189)),0)+IFERROR(--ISNUMBER(SEARCH("R58",G189)),0)+IFERROR(--ISNUMBER(SEARCH("R59",G189)),0)+IFERROR(--ISNUMBER(SEARCH("R60",G189)),0)+IFERROR(--ISNUMBER(SEARCH("R62",G189)),0)+IFERROR(--ISNUMBER(SEARCH("R63",G189)),0)+IFERROR(--ISNUMBER(SEARCH("R64",G189)),0)+IFERROR(--ISNUMBER(SEARCH("R66",G189)),0)+IFERROR(--ISNUMBER(SEARCH("R67",G189)),0)+IFERROR(--ISNUMBER(SEARCH("R72",G189)),0)+IFERROR(--ISNUMBER(SEARCH("R74",G189)),0)+IFERROR(--ISNUMBER(SEARCH("R75",G189)),0)+IFERROR(--ISNUMBER(SEARCH("R76",G189)),0)+IFERROR(--ISNUMBER(SEARCH("R77",G189)),0)+IFERROR(--ISNUMBER(SEARCH("R79",G189)),0)+IFERROR(--ISNUMBER(SEARCH("R80",G189)),0)+IFERROR(--ISNUMBER(SEARCH("R81",G189)),0)+IFERROR(--ISNUMBER(SEARCH("R83",G189)),0)+IFERROR(--ISNUMBER(SEARCH("R84",G189)),0)+IFERROR(--ISNUMBER(SEARCH("R89",G189)),0)+IFERROR(--ISNUMBER(SEARCH("R94",G189)),0)+IFERROR(--ISNUMBER(SEARCH("R95",G189)),0)+IFERROR(--ISNUMBER(SEARCH("R96",G189)),0)+IFERROR(--ISNUMBER(SEARCH("R98",G189)),0)+IFERROR(--ISNUMBER(SEARCH("R99",G189)),0)+IFERROR(--ISNUMBER(SEARCH("R100",G189)),0)+IFERROR(--ISNUMBER(SEARCH("R104",G189)),0)+IFERROR(--ISNUMBER(SEARCH("R105",G189)),0)+IFERROR(--ISNUMBER(SEARCH("R107",G189)),0)+IFERROR(--ISNUMBER(SEARCH("R108",G189)),0)+IFERROR(--ISNUMBER(SEARCH("R109",G189)),0)+IFERROR(--ISNUMBER(SEARCH("R110",G189)),0)+IFERROR(--ISNUMBER(SEARCH("R112",G189)),0)+IFERROR(--ISNUMBER(SEARCH("R113",G189)),0)+IFERROR(--ISNUMBER(SEARCH("R114",G189)),0)+IFERROR(--ISNUMBER(SEARCH("R118",G189)),0)+IFERROR(--ISNUMBER(SEARCH("R119",G189)),0)+IFERROR(--ISNUMBER(SEARCH("R120",G189)),0)+IFERROR(--ISNUMBER(SEARCH("R122",G189)),0)+IFERROR(--ISNUMBER(SEARCH("R123",G189)),0)+IFERROR(--ISNUMBER(SEARCH("R124",G189)),0)+IFERROR(--ISNUMBER(SEARCH("R128",G189)),0)+IFERROR(--ISNUMBER(SEARCH("R130",G189)),0)+IFERROR(--ISNUMBER(SEARCH("R131",G189)),0)+IFERROR(--ISNUMBER(SEARCH("R132",G189)),0)+IFERROR(--ISNUMBER(SEARCH("R135",G189)),0)+IFERROR(--ISNUMBER(SEARCH("R138",G189)),0)+IFERROR(--ISNUMBER(SEARCH("R141",G189)),0))</f>
        <v/>
      </c>
      <c r="U189" s="58">
        <f>IF(A189="","",IFERROR(--ISNUMBER(SEARCH("R28",G189))*28,0)+IFERROR(--ISNUMBER(SEARCH("R29",G189))*29,0)+IFERROR(--ISNUMBER(SEARCH("R30",G189))*30,0)+IFERROR(--ISNUMBER(SEARCH("R31",G189))*31,0)+IFERROR(--ISNUMBER(SEARCH("R32",G189))*32,0)+IFERROR(--ISNUMBER(SEARCH("R33",G189))*33,0)+IFERROR(--ISNUMBER(SEARCH("R34",G189))*34,0)+IFERROR(--ISNUMBER(SEARCH("R35",G189))*35,0)+IFERROR(--ISNUMBER(SEARCH("R36",G189))*36,0)+IFERROR(--ISNUMBER(SEARCH("R37",G189))*37,0)+IFERROR(--ISNUMBER(SEARCH("R38",G189))*38,0)+IFERROR(--ISNUMBER(SEARCH("R39",G189))*39,0)+IFERROR(--ISNUMBER(SEARCH("R40",G189))*40,0)+IFERROR(--ISNUMBER(SEARCH("R41",G189))*41,0)+IFERROR(--ISNUMBER(SEARCH("R42",G189))*42,0)+IFERROR(--ISNUMBER(SEARCH("R43",G189))*43,0)+IFERROR(--ISNUMBER(SEARCH("R44",G189))*44,0)+IFERROR(--ISNUMBER(SEARCH("R45",G189))*45,0)+IFERROR(--ISNUMBER(SEARCH("R46",G189))*46,0)+IFERROR(--ISNUMBER(SEARCH("R47",G189))*47,0)+IFERROR(--ISNUMBER(SEARCH("R48",G189))*48,0)+IFERROR(--ISNUMBER(SEARCH("R49",G189))*49,0)+IFERROR(--ISNUMBER(SEARCH("R50",G189))*50,0)+IFERROR(--ISNUMBER(SEARCH("R51",G189))*51,0)+IFERROR(--ISNUMBER(SEARCH("R52",G189))*52,0)+IFERROR(--ISNUMBER(SEARCH("R53",G189))*53,0)+IFERROR(--ISNUMBER(SEARCH("R54",G189))*54,0)+IFERROR(--ISNUMBER(SEARCH("R55",G189))*55,0)+IFERROR(--ISNUMBER(SEARCH("R56",G189))*56,0)+IFERROR(--ISNUMBER(SEARCH("R57",G189))*57,0)+IFERROR(--ISNUMBER(SEARCH("R58",G189))*58,0)+IFERROR(--ISNUMBER(SEARCH("R59",G189))*59,0)+IFERROR(--ISNUMBER(SEARCH("R60",G189))*60,0)+IFERROR(--ISNUMBER(SEARCH("R61",G189))*61,0)+IFERROR(--ISNUMBER(SEARCH("R62",G189))*62,0)+IFERROR(--ISNUMBER(SEARCH("R63",G189))*63,0)+IFERROR(--ISNUMBER(SEARCH("R64",G189))*64,0)+IFERROR(--ISNUMBER(SEARCH("R65",G189))*65,0)+IFERROR(--ISNUMBER(SEARCH("R66",G189))*66,0)+IFERROR(--ISNUMBER(SEARCH("R67",G189))*67,0)+IFERROR(--ISNUMBER(SEARCH("R68",G189))*68,0)+IFERROR(--ISNUMBER(SEARCH("R69",G189))*69,0)+IFERROR(--ISNUMBER(SEARCH("R70",G189))*70,0)+IFERROR(--ISNUMBER(SEARCH("R71",G189))*71,0)+IFERROR(--ISNUMBER(SEARCH("R72",G189))*72,0)+IFERROR(--ISNUMBER(SEARCH("R73",G189))*73,0)+IFERROR(--ISNUMBER(SEARCH("R74",G189))*74,0)+IFERROR(--ISNUMBER(SEARCH("R75",G189))*75,0)+IFERROR(--ISNUMBER(SEARCH("R76",G189))*76,0)+IFERROR(--ISNUMBER(SEARCH("R77",G189))*77,0)+IFERROR(--ISNUMBER(SEARCH("R78",G189))*78,0)+IFERROR(--ISNUMBER(SEARCH("R79",G189))*79,0)+IFERROR(--ISNUMBER(SEARCH("R80",G189))*80,0)+IFERROR(--ISNUMBER(SEARCH("R81",G189))*81,0)+IFERROR(--ISNUMBER(SEARCH("R82",G189))*82,0)+IFERROR(--ISNUMBER(SEARCH("R83",G189))*83,0)+IFERROR(--ISNUMBER(SEARCH("R84",G189))*84,0)+IFERROR(--ISNUMBER(SEARCH("R85",G189))*85,0)+IFERROR(--ISNUMBER(SEARCH("R86",G189))*86,0)+IFERROR(--ISNUMBER(SEARCH("R87",G189))*87,0)+IFERROR(--ISNUMBER(SEARCH("R88",G189))*88,0)+IFERROR(--ISNUMBER(SEARCH("R89",G189))*89,0)+IFERROR(--ISNUMBER(SEARCH("R90",G189))*90,0)+IFERROR(--ISNUMBER(SEARCH("R91",G189))*91,0)+IFERROR(--ISNUMBER(SEARCH("R92",G189))*92,0)+IFERROR(--ISNUMBER(SEARCH("R93",G189))*93,0)+IFERROR(--ISNUMBER(SEARCH("R94",G189))*94,0)+IFERROR(--ISNUMBER(SEARCH("R95",G189))*95,0)+IFERROR(--ISNUMBER(SEARCH("R96",G189))*96,0)+IFERROR(--ISNUMBER(SEARCH("R97",G189))*97,0)+IFERROR(--ISNUMBER(SEARCH("R98",G189))*98,0)+IFERROR(--ISNUMBER(SEARCH("R99",G189))*99,0)+IFERROR(--ISNUMBER(SEARCH("R100",G189))*100,0)+IFERROR(--ISNUMBER(SEARCH("R101",G189))*101,0)+IFERROR(--ISNUMBER(SEARCH("R102",G189))*102,0)+IFERROR(--ISNUMBER(SEARCH("R103",G189))*103,0)+IFERROR(--ISNUMBER(SEARCH("R104",G189))*104,0)+IFERROR(--ISNUMBER(SEARCH("R105",G189))*105,0)+IFERROR(--ISNUMBER(SEARCH("R106",G189))*106,0)+IFERROR(--ISNUMBER(SEARCH("R107",G189))*107,0)+IFERROR(--ISNUMBER(SEARCH("R108",G189))*108,0)+IFERROR(--ISNUMBER(SEARCH("R109",G189))*109,0)+IFERROR(--ISNUMBER(SEARCH("R110",G189))*110,0)+IFERROR(--ISNUMBER(SEARCH("R111",G189))*111,0)+IFERROR(--ISNUMBER(SEARCH("R112",G189))*112,0)+IFERROR(--ISNUMBER(SEARCH("R113",G189))*113,0)+IFERROR(--ISNUMBER(SEARCH("R114",G189))*114,0)+IFERROR(--ISNUMBER(SEARCH("R115",G189))*115,0)+IFERROR(--ISNUMBER(SEARCH("R116",G189))*116,0)+IFERROR(--ISNUMBER(SEARCH("R117",G189))*117,0)+IFERROR(--ISNUMBER(SEARCH("R118",G189))*118,0)+IFERROR(--ISNUMBER(SEARCH("R119",G189))*119,0)+IFERROR(--ISNUMBER(SEARCH("R120",G189))*120,0)+IFERROR(--ISNUMBER(SEARCH("R121",G189))*121,0)+IFERROR(--ISNUMBER(SEARCH("R122",G189))*122,0)+IFERROR(--ISNUMBER(SEARCH("R123",G189))*123,0)+IFERROR(--ISNUMBER(SEARCH("R124",G189))*124,0)+IFERROR(--ISNUMBER(SEARCH("R125",G189))*125,0)+IFERROR(--ISNUMBER(SEARCH("R126",G189))*126,0)+IFERROR(--ISNUMBER(SEARCH("R127",G189))*127,0)+IFERROR(--ISNUMBER(SEARCH("R128",G189))*128,0)+IFERROR(--ISNUMBER(SEARCH("R129",G189))*129,0)+IFERROR(--ISNUMBER(SEARCH("R130",G189))*130,0)+IFERROR(--ISNUMBER(SEARCH("R131",G189))*131,0)+IFERROR(--ISNUMBER(SEARCH("R132",G189))*132,0)+IFERROR(--ISNUMBER(SEARCH("R133",G189))*133,0)+IFERROR(--ISNUMBER(SEARCH("R134",G189))*134,0)+IFERROR(--ISNUMBER(SEARCH("R135",G189))*135,0)+IFERROR(--ISNUMBER(SEARCH("R136",G189))*136,0)+IFERROR(--ISNUMBER(SEARCH("R137",G189))*137,0)+IFERROR(--ISNUMBER(SEARCH("R138",G189))*138,0)+IFERROR(--ISNUMBER(SEARCH("R139",G189))*139,0)+IFERROR(--ISNUMBER(SEARCH("R140",G189))*140,0)+IFERROR(--ISNUMBER(SEARCH("R141",G189))*141,0))</f>
        <v/>
      </c>
      <c r="V189" s="59">
        <f>IF(A189="","",IF(K189&lt;&gt;"",K189,J189))</f>
        <v/>
      </c>
      <c r="W189" s="59">
        <f>IF(A189="","",IF(AND(V189=29,O189&lt;&gt;"",COUNTIFS($V$6:$V$505,29,$F$6:$F$505,F189,$C$6:$C$505,C189,$O$6:$O$505,"&lt;&gt;")&gt;1),IF(COUNTIFS($V$6:V189,29,$F$6:F189,F189,$C$6:C189,C189,$O$6:O189,"&lt;&gt;")=1,"Esta es la fila que se debe CONSERVAR (aparición 1 de "&amp;COUNTIFS($V$6:$V$505,29,$F$6:$F$505,F189,$C$6:$C$505,C189,$O$6:$O$505,"&lt;&gt;")&amp;" con el mismo tercero y valor, casilla 29). Si hay más filas iguales, bórreles el valor a ELLAS, no a esta.","DUPLICADO — ya existe otra fila con el mismo tercero y valor para casilla 29 (aparición "&amp;COUNTIFS($V$6:V189,29,$F$6:F189,F189,$C$6:C189,C189,$O$6:O189,"&lt;&gt;")&amp;" de "&amp;COUNTIFS($V$6:$V$505,29,$F$6:$F$505,F189,$C$6:$C$505,C189,$O$6:$O$505,"&lt;&gt;")&amp;"). Para resolverlo: seleccione la celda O"&amp;ROW()&amp;" (columna Valor a declarar de ESTA fila) y presione Supr."),""))</f>
        <v/>
      </c>
      <c r="X189" s="463">
        <f>IF(A189="","",F189)</f>
        <v/>
      </c>
      <c r="Y189" s="463">
        <f>IF(A189="","",SUMIF(Entrada_Manual!$I$88:$I$187,A189,Entrada_Manual!$F$88:$F$187))</f>
        <v/>
      </c>
      <c r="Z189" s="463">
        <f>IF(A189="","",X189-Y189)</f>
        <v/>
      </c>
      <c r="AA189">
        <f>IF(A189="","",SUMPRODUCT((Entrada_Manual!$I$88:$I$187=A189)*1))</f>
        <v/>
      </c>
      <c r="AB189">
        <f>IF(A189="","",IF(S189&lt;=1,"",IF(AA189=0,"PENDIENTE — SIN ASIGNAR",IF(Z189=0,"RESUELTO","PARCIAL — DIFERENCIA "&amp;TEXT(Z189,"#,##0")))))</f>
        <v/>
      </c>
    </row>
    <row r="190" ht="14.25" customHeight="1" s="235">
      <c r="A190" s="47">
        <f>IF(Exogena_RAW!E199&lt;&gt;"",ROW()-5,"")</f>
        <v/>
      </c>
      <c r="B190" s="48">
        <f>IF(A190="","",199)</f>
        <v/>
      </c>
      <c r="C190" s="48">
        <f>IF(A190="","",IFERROR(Exogena_RAW!A199,""))</f>
        <v/>
      </c>
      <c r="D190" s="48">
        <f>IF(A190="","",IFERROR(Exogena_RAW!B199,""))</f>
        <v/>
      </c>
      <c r="E190" s="48">
        <f>IF(A190="","",Exogena_RAW!E199)</f>
        <v/>
      </c>
      <c r="F190" s="461">
        <f>IF(A190="","",Exogena_RAW!F199)</f>
        <v/>
      </c>
      <c r="G190" s="48">
        <f>IF(A190="","",IFERROR(Exogena_RAW!G199,""))</f>
        <v/>
      </c>
      <c r="H190" s="48">
        <f>IF(A190="","",IFERROR(Exogena_RAW!H199,""))</f>
        <v/>
      </c>
      <c r="I190" s="48">
        <f>IF(A190="","",IFERROR(IF(S190&gt;1,"VARIAS CASILLAS",IF(S190=1,IF(T190=1,"PROPUESTA DE CASILLA","REVISIÓN: CASILLA NO DIRECTA"),IF(OR(ISNUMBER(SEARCH("TOPE",UPPER(E190))),ISNUMBER(SEARCH("TOPE",UPPER(G190)))),"SOLO CONTROL",IF(ISNUMBER(SEARCH("RETEN",UPPER(E190))),"RETENCIÓN","REVISAR")))),"REVISAR"))</f>
        <v/>
      </c>
      <c r="J190" s="48">
        <f>IF(A190="","",IF(ISNUMBER(SEARCH("ingreso laboral promedio de los últimos seis meses",E190)),"",IFERROR(IF(AND(S190=1,T190=1),U190,""),"")))</f>
        <v/>
      </c>
      <c r="K190" s="216" t="n"/>
      <c r="L190" s="48">
        <f>IF(A190="","",IFERROR(IF(K190&lt;&gt;"","Casilla elegida por usuario",IF(S190&gt;1,"Varias casillas — elegir en K",IF(J190&lt;&gt;"","Sugerencia directa",IF(S190=1,"No trasladar directo — revisar",IF(OR(ISNUMBER(SEARCH("TOPE",UPPER(E190))),ISNUMBER(SEARCH("TOPE",UPPER(G190)))),"Solo control","Revisar manualmente"))))),"Revisar manualmente"))</f>
        <v/>
      </c>
      <c r="M190" s="461">
        <f>IF(A190="","",IF(IF(K190&lt;&gt;"",K190,J190)="",0,IF(COUNTIFS(Reglas!$I$5:$I$118,IF(K190&lt;&gt;"",K190,J190),Reglas!$J$5:$J$118,"Sí")=1,F190,0)))</f>
        <v/>
      </c>
      <c r="N190" s="56" t="n"/>
      <c r="O190" s="462">
        <f>IF(A190="","",IF(M190=0,"",M190))</f>
        <v/>
      </c>
      <c r="P190" s="461">
        <f>IF(A190="","",IF(O190="",0,IF(ISNUMBER(O190),O190,0)))</f>
        <v/>
      </c>
      <c r="Q190" s="48">
        <f>IF(A190="","",IF(Exogena_RAW!$C$4="","BLOQUEADO: FALTA AÑO",IF(Exogena_RAW!$K$10&lt;&gt;Reglas!$B$5,"BLOQUEADO: AÑO",IF(IF(K190&lt;&gt;"",K190,J190)="",IF(S190&gt;1,"REQUIERE ASIGNACIÓN MANUAL (VARIAS CASILLAS)","INFORMATIVO (sin casilla — no se declara)"),IF(COUNTIFS(Reglas!$I$5:$I$118,IF(K190&lt;&gt;"",K190,J190),Reglas!$J$5:$J$118,"Sí")=0,"BLOQUEADO: CASILLA NO DIRECTA",IF(O190="","EXCLUIDO (valor borrado por el usuario)",IF(_xlfn.ISFORMULA(O190),IF(W190&lt;&gt;"","BORRADOR — VALOR SUGERIDO DIAN ⚠ VER ALERTA","BORRADOR — VALOR SUGERIDO DIAN"),IF(W190&lt;&gt;"","ACEPTADO ⚠ VER ALERTA","ACEPTADO"))))))))</f>
        <v/>
      </c>
      <c r="R190" s="218" t="n"/>
      <c r="S190" s="58">
        <f>IF(A190="","",IFERROR(--ISNUMBER(SEARCH("R28",G190)),0)+IFERROR(--ISNUMBER(SEARCH("R29",G190)),0)+IFERROR(--ISNUMBER(SEARCH("R30",G190)),0)+IFERROR(--ISNUMBER(SEARCH("R31",G190)),0)+IFERROR(--ISNUMBER(SEARCH("R32",G190)),0)+IFERROR(--ISNUMBER(SEARCH("R33",G190)),0)+IFERROR(--ISNUMBER(SEARCH("R34",G190)),0)+IFERROR(--ISNUMBER(SEARCH("R35",G190)),0)+IFERROR(--ISNUMBER(SEARCH("R36",G190)),0)+IFERROR(--ISNUMBER(SEARCH("R37",G190)),0)+IFERROR(--ISNUMBER(SEARCH("R38",G190)),0)+IFERROR(--ISNUMBER(SEARCH("R39",G190)),0)+IFERROR(--ISNUMBER(SEARCH("R40",G190)),0)+IFERROR(--ISNUMBER(SEARCH("R41",G190)),0)+IFERROR(--ISNUMBER(SEARCH("R42",G190)),0)+IFERROR(--ISNUMBER(SEARCH("R43",G190)),0)+IFERROR(--ISNUMBER(SEARCH("R44",G190)),0)+IFERROR(--ISNUMBER(SEARCH("R45",G190)),0)+IFERROR(--ISNUMBER(SEARCH("R46",G190)),0)+IFERROR(--ISNUMBER(SEARCH("R47",G190)),0)+IFERROR(--ISNUMBER(SEARCH("R48",G190)),0)+IFERROR(--ISNUMBER(SEARCH("R49",G190)),0)+IFERROR(--ISNUMBER(SEARCH("R50",G190)),0)+IFERROR(--ISNUMBER(SEARCH("R51",G190)),0)+IFERROR(--ISNUMBER(SEARCH("R52",G190)),0)+IFERROR(--ISNUMBER(SEARCH("R53",G190)),0)+IFERROR(--ISNUMBER(SEARCH("R54",G190)),0)+IFERROR(--ISNUMBER(SEARCH("R55",G190)),0)+IFERROR(--ISNUMBER(SEARCH("R56",G190)),0)+IFERROR(--ISNUMBER(SEARCH("R57",G190)),0)+IFERROR(--ISNUMBER(SEARCH("R58",G190)),0)+IFERROR(--ISNUMBER(SEARCH("R59",G190)),0)+IFERROR(--ISNUMBER(SEARCH("R60",G190)),0)+IFERROR(--ISNUMBER(SEARCH("R61",G190)),0)+IFERROR(--ISNUMBER(SEARCH("R62",G190)),0)+IFERROR(--ISNUMBER(SEARCH("R63",G190)),0)+IFERROR(--ISNUMBER(SEARCH("R64",G190)),0)+IFERROR(--ISNUMBER(SEARCH("R65",G190)),0)+IFERROR(--ISNUMBER(SEARCH("R66",G190)),0)+IFERROR(--ISNUMBER(SEARCH("R67",G190)),0)+IFERROR(--ISNUMBER(SEARCH("R68",G190)),0)+IFERROR(--ISNUMBER(SEARCH("R69",G190)),0)+IFERROR(--ISNUMBER(SEARCH("R70",G190)),0)+IFERROR(--ISNUMBER(SEARCH("R71",G190)),0)+IFERROR(--ISNUMBER(SEARCH("R72",G190)),0)+IFERROR(--ISNUMBER(SEARCH("R73",G190)),0)+IFERROR(--ISNUMBER(SEARCH("R74",G190)),0)+IFERROR(--ISNUMBER(SEARCH("R75",G190)),0)+IFERROR(--ISNUMBER(SEARCH("R76",G190)),0)+IFERROR(--ISNUMBER(SEARCH("R77",G190)),0)+IFERROR(--ISNUMBER(SEARCH("R78",G190)),0)+IFERROR(--ISNUMBER(SEARCH("R79",G190)),0)+IFERROR(--ISNUMBER(SEARCH("R80",G190)),0)+IFERROR(--ISNUMBER(SEARCH("R81",G190)),0)+IFERROR(--ISNUMBER(SEARCH("R82",G190)),0)+IFERROR(--ISNUMBER(SEARCH("R83",G190)),0)+IFERROR(--ISNUMBER(SEARCH("R84",G190)),0)+IFERROR(--ISNUMBER(SEARCH("R85",G190)),0)+IFERROR(--ISNUMBER(SEARCH("R86",G190)),0)+IFERROR(--ISNUMBER(SEARCH("R87",G190)),0)+IFERROR(--ISNUMBER(SEARCH("R88",G190)),0)+IFERROR(--ISNUMBER(SEARCH("R89",G190)),0)+IFERROR(--ISNUMBER(SEARCH("R90",G190)),0)+IFERROR(--ISNUMBER(SEARCH("R91",G190)),0)+IFERROR(--ISNUMBER(SEARCH("R92",G190)),0)+IFERROR(--ISNUMBER(SEARCH("R93",G190)),0)+IFERROR(--ISNUMBER(SEARCH("R94",G190)),0)+IFERROR(--ISNUMBER(SEARCH("R95",G190)),0)+IFERROR(--ISNUMBER(SEARCH("R96",G190)),0)+IFERROR(--ISNUMBER(SEARCH("R97",G190)),0)+IFERROR(--ISNUMBER(SEARCH("R98",G190)),0)+IFERROR(--ISNUMBER(SEARCH("R99",G190)),0)+IFERROR(--ISNUMBER(SEARCH("R100",G190)),0)+IFERROR(--ISNUMBER(SEARCH("R101",G190)),0)+IFERROR(--ISNUMBER(SEARCH("R102",G190)),0)+IFERROR(--ISNUMBER(SEARCH("R103",G190)),0)+IFERROR(--ISNUMBER(SEARCH("R104",G190)),0)+IFERROR(--ISNUMBER(SEARCH("R105",G190)),0)+IFERROR(--ISNUMBER(SEARCH("R106",G190)),0)+IFERROR(--ISNUMBER(SEARCH("R107",G190)),0)+IFERROR(--ISNUMBER(SEARCH("R108",G190)),0)+IFERROR(--ISNUMBER(SEARCH("R109",G190)),0)+IFERROR(--ISNUMBER(SEARCH("R110",G190)),0)+IFERROR(--ISNUMBER(SEARCH("R111",G190)),0)+IFERROR(--ISNUMBER(SEARCH("R112",G190)),0)+IFERROR(--ISNUMBER(SEARCH("R113",G190)),0)+IFERROR(--ISNUMBER(SEARCH("R114",G190)),0)+IFERROR(--ISNUMBER(SEARCH("R115",G190)),0)+IFERROR(--ISNUMBER(SEARCH("R116",G190)),0)+IFERROR(--ISNUMBER(SEARCH("R117",G190)),0)+IFERROR(--ISNUMBER(SEARCH("R118",G190)),0)+IFERROR(--ISNUMBER(SEARCH("R119",G190)),0)+IFERROR(--ISNUMBER(SEARCH("R120",G190)),0)+IFERROR(--ISNUMBER(SEARCH("R121",G190)),0)+IFERROR(--ISNUMBER(SEARCH("R122",G190)),0)+IFERROR(--ISNUMBER(SEARCH("R123",G190)),0)+IFERROR(--ISNUMBER(SEARCH("R124",G190)),0)+IFERROR(--ISNUMBER(SEARCH("R125",G190)),0)+IFERROR(--ISNUMBER(SEARCH("R126",G190)),0)+IFERROR(--ISNUMBER(SEARCH("R127",G190)),0)+IFERROR(--ISNUMBER(SEARCH("R128",G190)),0)+IFERROR(--ISNUMBER(SEARCH("R129",G190)),0)+IFERROR(--ISNUMBER(SEARCH("R130",G190)),0)+IFERROR(--ISNUMBER(SEARCH("R131",G190)),0)+IFERROR(--ISNUMBER(SEARCH("R132",G190)),0)+IFERROR(--ISNUMBER(SEARCH("R133",G190)),0)+IFERROR(--ISNUMBER(SEARCH("R134",G190)),0)+IFERROR(--ISNUMBER(SEARCH("R135",G190)),0)+IFERROR(--ISNUMBER(SEARCH("R136",G190)),0)+IFERROR(--ISNUMBER(SEARCH("R137",G190)),0)+IFERROR(--ISNUMBER(SEARCH("R138",G190)),0)+IFERROR(--ISNUMBER(SEARCH("R139",G190)),0)+IFERROR(--ISNUMBER(SEARCH("R140",G190)),0)+IFERROR(--ISNUMBER(SEARCH("R141",G190)),0))</f>
        <v/>
      </c>
      <c r="T190" s="58">
        <f>IF(A190="","",IFERROR(--ISNUMBER(SEARCH("R28",G190)),0)+IFERROR(--ISNUMBER(SEARCH("R29",G190)),0)+IFERROR(--ISNUMBER(SEARCH("R30",G190)),0)+IFERROR(--ISNUMBER(SEARCH("R32",G190)),0)+IFERROR(--ISNUMBER(SEARCH("R33",G190)),0)+IFERROR(--ISNUMBER(SEARCH("R35",G190)),0)+IFERROR(--ISNUMBER(SEARCH("R36",G190)),0)+IFERROR(--ISNUMBER(SEARCH("R38",G190)),0)+IFERROR(--ISNUMBER(SEARCH("R39",G190)),0)+IFERROR(--ISNUMBER(SEARCH("R43",G190)),0)+IFERROR(--ISNUMBER(SEARCH("R44",G190)),0)+IFERROR(--ISNUMBER(SEARCH("R45",G190)),0)+IFERROR(--ISNUMBER(SEARCH("R47",G190)),0)+IFERROR(--ISNUMBER(SEARCH("R48",G190)),0)+IFERROR(--ISNUMBER(SEARCH("R50",G190)),0)+IFERROR(--ISNUMBER(SEARCH("R51",G190)),0)+IFERROR(--ISNUMBER(SEARCH("R56",G190)),0)+IFERROR(--ISNUMBER(SEARCH("R58",G190)),0)+IFERROR(--ISNUMBER(SEARCH("R59",G190)),0)+IFERROR(--ISNUMBER(SEARCH("R60",G190)),0)+IFERROR(--ISNUMBER(SEARCH("R62",G190)),0)+IFERROR(--ISNUMBER(SEARCH("R63",G190)),0)+IFERROR(--ISNUMBER(SEARCH("R64",G190)),0)+IFERROR(--ISNUMBER(SEARCH("R66",G190)),0)+IFERROR(--ISNUMBER(SEARCH("R67",G190)),0)+IFERROR(--ISNUMBER(SEARCH("R72",G190)),0)+IFERROR(--ISNUMBER(SEARCH("R74",G190)),0)+IFERROR(--ISNUMBER(SEARCH("R75",G190)),0)+IFERROR(--ISNUMBER(SEARCH("R76",G190)),0)+IFERROR(--ISNUMBER(SEARCH("R77",G190)),0)+IFERROR(--ISNUMBER(SEARCH("R79",G190)),0)+IFERROR(--ISNUMBER(SEARCH("R80",G190)),0)+IFERROR(--ISNUMBER(SEARCH("R81",G190)),0)+IFERROR(--ISNUMBER(SEARCH("R83",G190)),0)+IFERROR(--ISNUMBER(SEARCH("R84",G190)),0)+IFERROR(--ISNUMBER(SEARCH("R89",G190)),0)+IFERROR(--ISNUMBER(SEARCH("R94",G190)),0)+IFERROR(--ISNUMBER(SEARCH("R95",G190)),0)+IFERROR(--ISNUMBER(SEARCH("R96",G190)),0)+IFERROR(--ISNUMBER(SEARCH("R98",G190)),0)+IFERROR(--ISNUMBER(SEARCH("R99",G190)),0)+IFERROR(--ISNUMBER(SEARCH("R100",G190)),0)+IFERROR(--ISNUMBER(SEARCH("R104",G190)),0)+IFERROR(--ISNUMBER(SEARCH("R105",G190)),0)+IFERROR(--ISNUMBER(SEARCH("R107",G190)),0)+IFERROR(--ISNUMBER(SEARCH("R108",G190)),0)+IFERROR(--ISNUMBER(SEARCH("R109",G190)),0)+IFERROR(--ISNUMBER(SEARCH("R110",G190)),0)+IFERROR(--ISNUMBER(SEARCH("R112",G190)),0)+IFERROR(--ISNUMBER(SEARCH("R113",G190)),0)+IFERROR(--ISNUMBER(SEARCH("R114",G190)),0)+IFERROR(--ISNUMBER(SEARCH("R118",G190)),0)+IFERROR(--ISNUMBER(SEARCH("R119",G190)),0)+IFERROR(--ISNUMBER(SEARCH("R120",G190)),0)+IFERROR(--ISNUMBER(SEARCH("R122",G190)),0)+IFERROR(--ISNUMBER(SEARCH("R123",G190)),0)+IFERROR(--ISNUMBER(SEARCH("R124",G190)),0)+IFERROR(--ISNUMBER(SEARCH("R128",G190)),0)+IFERROR(--ISNUMBER(SEARCH("R130",G190)),0)+IFERROR(--ISNUMBER(SEARCH("R131",G190)),0)+IFERROR(--ISNUMBER(SEARCH("R132",G190)),0)+IFERROR(--ISNUMBER(SEARCH("R135",G190)),0)+IFERROR(--ISNUMBER(SEARCH("R138",G190)),0)+IFERROR(--ISNUMBER(SEARCH("R141",G190)),0))</f>
        <v/>
      </c>
      <c r="U190" s="58">
        <f>IF(A190="","",IFERROR(--ISNUMBER(SEARCH("R28",G190))*28,0)+IFERROR(--ISNUMBER(SEARCH("R29",G190))*29,0)+IFERROR(--ISNUMBER(SEARCH("R30",G190))*30,0)+IFERROR(--ISNUMBER(SEARCH("R31",G190))*31,0)+IFERROR(--ISNUMBER(SEARCH("R32",G190))*32,0)+IFERROR(--ISNUMBER(SEARCH("R33",G190))*33,0)+IFERROR(--ISNUMBER(SEARCH("R34",G190))*34,0)+IFERROR(--ISNUMBER(SEARCH("R35",G190))*35,0)+IFERROR(--ISNUMBER(SEARCH("R36",G190))*36,0)+IFERROR(--ISNUMBER(SEARCH("R37",G190))*37,0)+IFERROR(--ISNUMBER(SEARCH("R38",G190))*38,0)+IFERROR(--ISNUMBER(SEARCH("R39",G190))*39,0)+IFERROR(--ISNUMBER(SEARCH("R40",G190))*40,0)+IFERROR(--ISNUMBER(SEARCH("R41",G190))*41,0)+IFERROR(--ISNUMBER(SEARCH("R42",G190))*42,0)+IFERROR(--ISNUMBER(SEARCH("R43",G190))*43,0)+IFERROR(--ISNUMBER(SEARCH("R44",G190))*44,0)+IFERROR(--ISNUMBER(SEARCH("R45",G190))*45,0)+IFERROR(--ISNUMBER(SEARCH("R46",G190))*46,0)+IFERROR(--ISNUMBER(SEARCH("R47",G190))*47,0)+IFERROR(--ISNUMBER(SEARCH("R48",G190))*48,0)+IFERROR(--ISNUMBER(SEARCH("R49",G190))*49,0)+IFERROR(--ISNUMBER(SEARCH("R50",G190))*50,0)+IFERROR(--ISNUMBER(SEARCH("R51",G190))*51,0)+IFERROR(--ISNUMBER(SEARCH("R52",G190))*52,0)+IFERROR(--ISNUMBER(SEARCH("R53",G190))*53,0)+IFERROR(--ISNUMBER(SEARCH("R54",G190))*54,0)+IFERROR(--ISNUMBER(SEARCH("R55",G190))*55,0)+IFERROR(--ISNUMBER(SEARCH("R56",G190))*56,0)+IFERROR(--ISNUMBER(SEARCH("R57",G190))*57,0)+IFERROR(--ISNUMBER(SEARCH("R58",G190))*58,0)+IFERROR(--ISNUMBER(SEARCH("R59",G190))*59,0)+IFERROR(--ISNUMBER(SEARCH("R60",G190))*60,0)+IFERROR(--ISNUMBER(SEARCH("R61",G190))*61,0)+IFERROR(--ISNUMBER(SEARCH("R62",G190))*62,0)+IFERROR(--ISNUMBER(SEARCH("R63",G190))*63,0)+IFERROR(--ISNUMBER(SEARCH("R64",G190))*64,0)+IFERROR(--ISNUMBER(SEARCH("R65",G190))*65,0)+IFERROR(--ISNUMBER(SEARCH("R66",G190))*66,0)+IFERROR(--ISNUMBER(SEARCH("R67",G190))*67,0)+IFERROR(--ISNUMBER(SEARCH("R68",G190))*68,0)+IFERROR(--ISNUMBER(SEARCH("R69",G190))*69,0)+IFERROR(--ISNUMBER(SEARCH("R70",G190))*70,0)+IFERROR(--ISNUMBER(SEARCH("R71",G190))*71,0)+IFERROR(--ISNUMBER(SEARCH("R72",G190))*72,0)+IFERROR(--ISNUMBER(SEARCH("R73",G190))*73,0)+IFERROR(--ISNUMBER(SEARCH("R74",G190))*74,0)+IFERROR(--ISNUMBER(SEARCH("R75",G190))*75,0)+IFERROR(--ISNUMBER(SEARCH("R76",G190))*76,0)+IFERROR(--ISNUMBER(SEARCH("R77",G190))*77,0)+IFERROR(--ISNUMBER(SEARCH("R78",G190))*78,0)+IFERROR(--ISNUMBER(SEARCH("R79",G190))*79,0)+IFERROR(--ISNUMBER(SEARCH("R80",G190))*80,0)+IFERROR(--ISNUMBER(SEARCH("R81",G190))*81,0)+IFERROR(--ISNUMBER(SEARCH("R82",G190))*82,0)+IFERROR(--ISNUMBER(SEARCH("R83",G190))*83,0)+IFERROR(--ISNUMBER(SEARCH("R84",G190))*84,0)+IFERROR(--ISNUMBER(SEARCH("R85",G190))*85,0)+IFERROR(--ISNUMBER(SEARCH("R86",G190))*86,0)+IFERROR(--ISNUMBER(SEARCH("R87",G190))*87,0)+IFERROR(--ISNUMBER(SEARCH("R88",G190))*88,0)+IFERROR(--ISNUMBER(SEARCH("R89",G190))*89,0)+IFERROR(--ISNUMBER(SEARCH("R90",G190))*90,0)+IFERROR(--ISNUMBER(SEARCH("R91",G190))*91,0)+IFERROR(--ISNUMBER(SEARCH("R92",G190))*92,0)+IFERROR(--ISNUMBER(SEARCH("R93",G190))*93,0)+IFERROR(--ISNUMBER(SEARCH("R94",G190))*94,0)+IFERROR(--ISNUMBER(SEARCH("R95",G190))*95,0)+IFERROR(--ISNUMBER(SEARCH("R96",G190))*96,0)+IFERROR(--ISNUMBER(SEARCH("R97",G190))*97,0)+IFERROR(--ISNUMBER(SEARCH("R98",G190))*98,0)+IFERROR(--ISNUMBER(SEARCH("R99",G190))*99,0)+IFERROR(--ISNUMBER(SEARCH("R100",G190))*100,0)+IFERROR(--ISNUMBER(SEARCH("R101",G190))*101,0)+IFERROR(--ISNUMBER(SEARCH("R102",G190))*102,0)+IFERROR(--ISNUMBER(SEARCH("R103",G190))*103,0)+IFERROR(--ISNUMBER(SEARCH("R104",G190))*104,0)+IFERROR(--ISNUMBER(SEARCH("R105",G190))*105,0)+IFERROR(--ISNUMBER(SEARCH("R106",G190))*106,0)+IFERROR(--ISNUMBER(SEARCH("R107",G190))*107,0)+IFERROR(--ISNUMBER(SEARCH("R108",G190))*108,0)+IFERROR(--ISNUMBER(SEARCH("R109",G190))*109,0)+IFERROR(--ISNUMBER(SEARCH("R110",G190))*110,0)+IFERROR(--ISNUMBER(SEARCH("R111",G190))*111,0)+IFERROR(--ISNUMBER(SEARCH("R112",G190))*112,0)+IFERROR(--ISNUMBER(SEARCH("R113",G190))*113,0)+IFERROR(--ISNUMBER(SEARCH("R114",G190))*114,0)+IFERROR(--ISNUMBER(SEARCH("R115",G190))*115,0)+IFERROR(--ISNUMBER(SEARCH("R116",G190))*116,0)+IFERROR(--ISNUMBER(SEARCH("R117",G190))*117,0)+IFERROR(--ISNUMBER(SEARCH("R118",G190))*118,0)+IFERROR(--ISNUMBER(SEARCH("R119",G190))*119,0)+IFERROR(--ISNUMBER(SEARCH("R120",G190))*120,0)+IFERROR(--ISNUMBER(SEARCH("R121",G190))*121,0)+IFERROR(--ISNUMBER(SEARCH("R122",G190))*122,0)+IFERROR(--ISNUMBER(SEARCH("R123",G190))*123,0)+IFERROR(--ISNUMBER(SEARCH("R124",G190))*124,0)+IFERROR(--ISNUMBER(SEARCH("R125",G190))*125,0)+IFERROR(--ISNUMBER(SEARCH("R126",G190))*126,0)+IFERROR(--ISNUMBER(SEARCH("R127",G190))*127,0)+IFERROR(--ISNUMBER(SEARCH("R128",G190))*128,0)+IFERROR(--ISNUMBER(SEARCH("R129",G190))*129,0)+IFERROR(--ISNUMBER(SEARCH("R130",G190))*130,0)+IFERROR(--ISNUMBER(SEARCH("R131",G190))*131,0)+IFERROR(--ISNUMBER(SEARCH("R132",G190))*132,0)+IFERROR(--ISNUMBER(SEARCH("R133",G190))*133,0)+IFERROR(--ISNUMBER(SEARCH("R134",G190))*134,0)+IFERROR(--ISNUMBER(SEARCH("R135",G190))*135,0)+IFERROR(--ISNUMBER(SEARCH("R136",G190))*136,0)+IFERROR(--ISNUMBER(SEARCH("R137",G190))*137,0)+IFERROR(--ISNUMBER(SEARCH("R138",G190))*138,0)+IFERROR(--ISNUMBER(SEARCH("R139",G190))*139,0)+IFERROR(--ISNUMBER(SEARCH("R140",G190))*140,0)+IFERROR(--ISNUMBER(SEARCH("R141",G190))*141,0))</f>
        <v/>
      </c>
      <c r="V190" s="59">
        <f>IF(A190="","",IF(K190&lt;&gt;"",K190,J190))</f>
        <v/>
      </c>
      <c r="W190" s="59">
        <f>IF(A190="","",IF(AND(V190=29,O190&lt;&gt;"",COUNTIFS($V$6:$V$505,29,$F$6:$F$505,F190,$C$6:$C$505,C190,$O$6:$O$505,"&lt;&gt;")&gt;1),IF(COUNTIFS($V$6:V190,29,$F$6:F190,F190,$C$6:C190,C190,$O$6:O190,"&lt;&gt;")=1,"Esta es la fila que se debe CONSERVAR (aparición 1 de "&amp;COUNTIFS($V$6:$V$505,29,$F$6:$F$505,F190,$C$6:$C$505,C190,$O$6:$O$505,"&lt;&gt;")&amp;" con el mismo tercero y valor, casilla 29). Si hay más filas iguales, bórreles el valor a ELLAS, no a esta.","DUPLICADO — ya existe otra fila con el mismo tercero y valor para casilla 29 (aparición "&amp;COUNTIFS($V$6:V190,29,$F$6:F190,F190,$C$6:C190,C190,$O$6:O190,"&lt;&gt;")&amp;" de "&amp;COUNTIFS($V$6:$V$505,29,$F$6:$F$505,F190,$C$6:$C$505,C190,$O$6:$O$505,"&lt;&gt;")&amp;"). Para resolverlo: seleccione la celda O"&amp;ROW()&amp;" (columna Valor a declarar de ESTA fila) y presione Supr."),""))</f>
        <v/>
      </c>
      <c r="X190" s="463">
        <f>IF(A190="","",F190)</f>
        <v/>
      </c>
      <c r="Y190" s="463">
        <f>IF(A190="","",SUMIF(Entrada_Manual!$I$88:$I$187,A190,Entrada_Manual!$F$88:$F$187))</f>
        <v/>
      </c>
      <c r="Z190" s="463">
        <f>IF(A190="","",X190-Y190)</f>
        <v/>
      </c>
      <c r="AA190">
        <f>IF(A190="","",SUMPRODUCT((Entrada_Manual!$I$88:$I$187=A190)*1))</f>
        <v/>
      </c>
      <c r="AB190">
        <f>IF(A190="","",IF(S190&lt;=1,"",IF(AA190=0,"PENDIENTE — SIN ASIGNAR",IF(Z190=0,"RESUELTO","PARCIAL — DIFERENCIA "&amp;TEXT(Z190,"#,##0")))))</f>
        <v/>
      </c>
    </row>
    <row r="191" ht="14.25" customHeight="1" s="235">
      <c r="A191" s="47">
        <f>IF(Exogena_RAW!E200&lt;&gt;"",ROW()-5,"")</f>
        <v/>
      </c>
      <c r="B191" s="48">
        <f>IF(A191="","",200)</f>
        <v/>
      </c>
      <c r="C191" s="48">
        <f>IF(A191="","",IFERROR(Exogena_RAW!A200,""))</f>
        <v/>
      </c>
      <c r="D191" s="48">
        <f>IF(A191="","",IFERROR(Exogena_RAW!B200,""))</f>
        <v/>
      </c>
      <c r="E191" s="48">
        <f>IF(A191="","",Exogena_RAW!E200)</f>
        <v/>
      </c>
      <c r="F191" s="461">
        <f>IF(A191="","",Exogena_RAW!F200)</f>
        <v/>
      </c>
      <c r="G191" s="48">
        <f>IF(A191="","",IFERROR(Exogena_RAW!G200,""))</f>
        <v/>
      </c>
      <c r="H191" s="48">
        <f>IF(A191="","",IFERROR(Exogena_RAW!H200,""))</f>
        <v/>
      </c>
      <c r="I191" s="48">
        <f>IF(A191="","",IFERROR(IF(S191&gt;1,"VARIAS CASILLAS",IF(S191=1,IF(T191=1,"PROPUESTA DE CASILLA","REVISIÓN: CASILLA NO DIRECTA"),IF(OR(ISNUMBER(SEARCH("TOPE",UPPER(E191))),ISNUMBER(SEARCH("TOPE",UPPER(G191)))),"SOLO CONTROL",IF(ISNUMBER(SEARCH("RETEN",UPPER(E191))),"RETENCIÓN","REVISAR")))),"REVISAR"))</f>
        <v/>
      </c>
      <c r="J191" s="48">
        <f>IF(A191="","",IF(ISNUMBER(SEARCH("ingreso laboral promedio de los últimos seis meses",E191)),"",IFERROR(IF(AND(S191=1,T191=1),U191,""),"")))</f>
        <v/>
      </c>
      <c r="K191" s="216" t="n"/>
      <c r="L191" s="48">
        <f>IF(A191="","",IFERROR(IF(K191&lt;&gt;"","Casilla elegida por usuario",IF(S191&gt;1,"Varias casillas — elegir en K",IF(J191&lt;&gt;"","Sugerencia directa",IF(S191=1,"No trasladar directo — revisar",IF(OR(ISNUMBER(SEARCH("TOPE",UPPER(E191))),ISNUMBER(SEARCH("TOPE",UPPER(G191)))),"Solo control","Revisar manualmente"))))),"Revisar manualmente"))</f>
        <v/>
      </c>
      <c r="M191" s="461">
        <f>IF(A191="","",IF(IF(K191&lt;&gt;"",K191,J191)="",0,IF(COUNTIFS(Reglas!$I$5:$I$118,IF(K191&lt;&gt;"",K191,J191),Reglas!$J$5:$J$118,"Sí")=1,F191,0)))</f>
        <v/>
      </c>
      <c r="N191" s="56" t="n"/>
      <c r="O191" s="462">
        <f>IF(A191="","",IF(M191=0,"",M191))</f>
        <v/>
      </c>
      <c r="P191" s="461">
        <f>IF(A191="","",IF(O191="",0,IF(ISNUMBER(O191),O191,0)))</f>
        <v/>
      </c>
      <c r="Q191" s="48">
        <f>IF(A191="","",IF(Exogena_RAW!$C$4="","BLOQUEADO: FALTA AÑO",IF(Exogena_RAW!$K$10&lt;&gt;Reglas!$B$5,"BLOQUEADO: AÑO",IF(IF(K191&lt;&gt;"",K191,J191)="",IF(S191&gt;1,"REQUIERE ASIGNACIÓN MANUAL (VARIAS CASILLAS)","INFORMATIVO (sin casilla — no se declara)"),IF(COUNTIFS(Reglas!$I$5:$I$118,IF(K191&lt;&gt;"",K191,J191),Reglas!$J$5:$J$118,"Sí")=0,"BLOQUEADO: CASILLA NO DIRECTA",IF(O191="","EXCLUIDO (valor borrado por el usuario)",IF(_xlfn.ISFORMULA(O191),IF(W191&lt;&gt;"","BORRADOR — VALOR SUGERIDO DIAN ⚠ VER ALERTA","BORRADOR — VALOR SUGERIDO DIAN"),IF(W191&lt;&gt;"","ACEPTADO ⚠ VER ALERTA","ACEPTADO"))))))))</f>
        <v/>
      </c>
      <c r="R191" s="218" t="n"/>
      <c r="S191" s="58">
        <f>IF(A191="","",IFERROR(--ISNUMBER(SEARCH("R28",G191)),0)+IFERROR(--ISNUMBER(SEARCH("R29",G191)),0)+IFERROR(--ISNUMBER(SEARCH("R30",G191)),0)+IFERROR(--ISNUMBER(SEARCH("R31",G191)),0)+IFERROR(--ISNUMBER(SEARCH("R32",G191)),0)+IFERROR(--ISNUMBER(SEARCH("R33",G191)),0)+IFERROR(--ISNUMBER(SEARCH("R34",G191)),0)+IFERROR(--ISNUMBER(SEARCH("R35",G191)),0)+IFERROR(--ISNUMBER(SEARCH("R36",G191)),0)+IFERROR(--ISNUMBER(SEARCH("R37",G191)),0)+IFERROR(--ISNUMBER(SEARCH("R38",G191)),0)+IFERROR(--ISNUMBER(SEARCH("R39",G191)),0)+IFERROR(--ISNUMBER(SEARCH("R40",G191)),0)+IFERROR(--ISNUMBER(SEARCH("R41",G191)),0)+IFERROR(--ISNUMBER(SEARCH("R42",G191)),0)+IFERROR(--ISNUMBER(SEARCH("R43",G191)),0)+IFERROR(--ISNUMBER(SEARCH("R44",G191)),0)+IFERROR(--ISNUMBER(SEARCH("R45",G191)),0)+IFERROR(--ISNUMBER(SEARCH("R46",G191)),0)+IFERROR(--ISNUMBER(SEARCH("R47",G191)),0)+IFERROR(--ISNUMBER(SEARCH("R48",G191)),0)+IFERROR(--ISNUMBER(SEARCH("R49",G191)),0)+IFERROR(--ISNUMBER(SEARCH("R50",G191)),0)+IFERROR(--ISNUMBER(SEARCH("R51",G191)),0)+IFERROR(--ISNUMBER(SEARCH("R52",G191)),0)+IFERROR(--ISNUMBER(SEARCH("R53",G191)),0)+IFERROR(--ISNUMBER(SEARCH("R54",G191)),0)+IFERROR(--ISNUMBER(SEARCH("R55",G191)),0)+IFERROR(--ISNUMBER(SEARCH("R56",G191)),0)+IFERROR(--ISNUMBER(SEARCH("R57",G191)),0)+IFERROR(--ISNUMBER(SEARCH("R58",G191)),0)+IFERROR(--ISNUMBER(SEARCH("R59",G191)),0)+IFERROR(--ISNUMBER(SEARCH("R60",G191)),0)+IFERROR(--ISNUMBER(SEARCH("R61",G191)),0)+IFERROR(--ISNUMBER(SEARCH("R62",G191)),0)+IFERROR(--ISNUMBER(SEARCH("R63",G191)),0)+IFERROR(--ISNUMBER(SEARCH("R64",G191)),0)+IFERROR(--ISNUMBER(SEARCH("R65",G191)),0)+IFERROR(--ISNUMBER(SEARCH("R66",G191)),0)+IFERROR(--ISNUMBER(SEARCH("R67",G191)),0)+IFERROR(--ISNUMBER(SEARCH("R68",G191)),0)+IFERROR(--ISNUMBER(SEARCH("R69",G191)),0)+IFERROR(--ISNUMBER(SEARCH("R70",G191)),0)+IFERROR(--ISNUMBER(SEARCH("R71",G191)),0)+IFERROR(--ISNUMBER(SEARCH("R72",G191)),0)+IFERROR(--ISNUMBER(SEARCH("R73",G191)),0)+IFERROR(--ISNUMBER(SEARCH("R74",G191)),0)+IFERROR(--ISNUMBER(SEARCH("R75",G191)),0)+IFERROR(--ISNUMBER(SEARCH("R76",G191)),0)+IFERROR(--ISNUMBER(SEARCH("R77",G191)),0)+IFERROR(--ISNUMBER(SEARCH("R78",G191)),0)+IFERROR(--ISNUMBER(SEARCH("R79",G191)),0)+IFERROR(--ISNUMBER(SEARCH("R80",G191)),0)+IFERROR(--ISNUMBER(SEARCH("R81",G191)),0)+IFERROR(--ISNUMBER(SEARCH("R82",G191)),0)+IFERROR(--ISNUMBER(SEARCH("R83",G191)),0)+IFERROR(--ISNUMBER(SEARCH("R84",G191)),0)+IFERROR(--ISNUMBER(SEARCH("R85",G191)),0)+IFERROR(--ISNUMBER(SEARCH("R86",G191)),0)+IFERROR(--ISNUMBER(SEARCH("R87",G191)),0)+IFERROR(--ISNUMBER(SEARCH("R88",G191)),0)+IFERROR(--ISNUMBER(SEARCH("R89",G191)),0)+IFERROR(--ISNUMBER(SEARCH("R90",G191)),0)+IFERROR(--ISNUMBER(SEARCH("R91",G191)),0)+IFERROR(--ISNUMBER(SEARCH("R92",G191)),0)+IFERROR(--ISNUMBER(SEARCH("R93",G191)),0)+IFERROR(--ISNUMBER(SEARCH("R94",G191)),0)+IFERROR(--ISNUMBER(SEARCH("R95",G191)),0)+IFERROR(--ISNUMBER(SEARCH("R96",G191)),0)+IFERROR(--ISNUMBER(SEARCH("R97",G191)),0)+IFERROR(--ISNUMBER(SEARCH("R98",G191)),0)+IFERROR(--ISNUMBER(SEARCH("R99",G191)),0)+IFERROR(--ISNUMBER(SEARCH("R100",G191)),0)+IFERROR(--ISNUMBER(SEARCH("R101",G191)),0)+IFERROR(--ISNUMBER(SEARCH("R102",G191)),0)+IFERROR(--ISNUMBER(SEARCH("R103",G191)),0)+IFERROR(--ISNUMBER(SEARCH("R104",G191)),0)+IFERROR(--ISNUMBER(SEARCH("R105",G191)),0)+IFERROR(--ISNUMBER(SEARCH("R106",G191)),0)+IFERROR(--ISNUMBER(SEARCH("R107",G191)),0)+IFERROR(--ISNUMBER(SEARCH("R108",G191)),0)+IFERROR(--ISNUMBER(SEARCH("R109",G191)),0)+IFERROR(--ISNUMBER(SEARCH("R110",G191)),0)+IFERROR(--ISNUMBER(SEARCH("R111",G191)),0)+IFERROR(--ISNUMBER(SEARCH("R112",G191)),0)+IFERROR(--ISNUMBER(SEARCH("R113",G191)),0)+IFERROR(--ISNUMBER(SEARCH("R114",G191)),0)+IFERROR(--ISNUMBER(SEARCH("R115",G191)),0)+IFERROR(--ISNUMBER(SEARCH("R116",G191)),0)+IFERROR(--ISNUMBER(SEARCH("R117",G191)),0)+IFERROR(--ISNUMBER(SEARCH("R118",G191)),0)+IFERROR(--ISNUMBER(SEARCH("R119",G191)),0)+IFERROR(--ISNUMBER(SEARCH("R120",G191)),0)+IFERROR(--ISNUMBER(SEARCH("R121",G191)),0)+IFERROR(--ISNUMBER(SEARCH("R122",G191)),0)+IFERROR(--ISNUMBER(SEARCH("R123",G191)),0)+IFERROR(--ISNUMBER(SEARCH("R124",G191)),0)+IFERROR(--ISNUMBER(SEARCH("R125",G191)),0)+IFERROR(--ISNUMBER(SEARCH("R126",G191)),0)+IFERROR(--ISNUMBER(SEARCH("R127",G191)),0)+IFERROR(--ISNUMBER(SEARCH("R128",G191)),0)+IFERROR(--ISNUMBER(SEARCH("R129",G191)),0)+IFERROR(--ISNUMBER(SEARCH("R130",G191)),0)+IFERROR(--ISNUMBER(SEARCH("R131",G191)),0)+IFERROR(--ISNUMBER(SEARCH("R132",G191)),0)+IFERROR(--ISNUMBER(SEARCH("R133",G191)),0)+IFERROR(--ISNUMBER(SEARCH("R134",G191)),0)+IFERROR(--ISNUMBER(SEARCH("R135",G191)),0)+IFERROR(--ISNUMBER(SEARCH("R136",G191)),0)+IFERROR(--ISNUMBER(SEARCH("R137",G191)),0)+IFERROR(--ISNUMBER(SEARCH("R138",G191)),0)+IFERROR(--ISNUMBER(SEARCH("R139",G191)),0)+IFERROR(--ISNUMBER(SEARCH("R140",G191)),0)+IFERROR(--ISNUMBER(SEARCH("R141",G191)),0))</f>
        <v/>
      </c>
      <c r="T191" s="58">
        <f>IF(A191="","",IFERROR(--ISNUMBER(SEARCH("R28",G191)),0)+IFERROR(--ISNUMBER(SEARCH("R29",G191)),0)+IFERROR(--ISNUMBER(SEARCH("R30",G191)),0)+IFERROR(--ISNUMBER(SEARCH("R32",G191)),0)+IFERROR(--ISNUMBER(SEARCH("R33",G191)),0)+IFERROR(--ISNUMBER(SEARCH("R35",G191)),0)+IFERROR(--ISNUMBER(SEARCH("R36",G191)),0)+IFERROR(--ISNUMBER(SEARCH("R38",G191)),0)+IFERROR(--ISNUMBER(SEARCH("R39",G191)),0)+IFERROR(--ISNUMBER(SEARCH("R43",G191)),0)+IFERROR(--ISNUMBER(SEARCH("R44",G191)),0)+IFERROR(--ISNUMBER(SEARCH("R45",G191)),0)+IFERROR(--ISNUMBER(SEARCH("R47",G191)),0)+IFERROR(--ISNUMBER(SEARCH("R48",G191)),0)+IFERROR(--ISNUMBER(SEARCH("R50",G191)),0)+IFERROR(--ISNUMBER(SEARCH("R51",G191)),0)+IFERROR(--ISNUMBER(SEARCH("R56",G191)),0)+IFERROR(--ISNUMBER(SEARCH("R58",G191)),0)+IFERROR(--ISNUMBER(SEARCH("R59",G191)),0)+IFERROR(--ISNUMBER(SEARCH("R60",G191)),0)+IFERROR(--ISNUMBER(SEARCH("R62",G191)),0)+IFERROR(--ISNUMBER(SEARCH("R63",G191)),0)+IFERROR(--ISNUMBER(SEARCH("R64",G191)),0)+IFERROR(--ISNUMBER(SEARCH("R66",G191)),0)+IFERROR(--ISNUMBER(SEARCH("R67",G191)),0)+IFERROR(--ISNUMBER(SEARCH("R72",G191)),0)+IFERROR(--ISNUMBER(SEARCH("R74",G191)),0)+IFERROR(--ISNUMBER(SEARCH("R75",G191)),0)+IFERROR(--ISNUMBER(SEARCH("R76",G191)),0)+IFERROR(--ISNUMBER(SEARCH("R77",G191)),0)+IFERROR(--ISNUMBER(SEARCH("R79",G191)),0)+IFERROR(--ISNUMBER(SEARCH("R80",G191)),0)+IFERROR(--ISNUMBER(SEARCH("R81",G191)),0)+IFERROR(--ISNUMBER(SEARCH("R83",G191)),0)+IFERROR(--ISNUMBER(SEARCH("R84",G191)),0)+IFERROR(--ISNUMBER(SEARCH("R89",G191)),0)+IFERROR(--ISNUMBER(SEARCH("R94",G191)),0)+IFERROR(--ISNUMBER(SEARCH("R95",G191)),0)+IFERROR(--ISNUMBER(SEARCH("R96",G191)),0)+IFERROR(--ISNUMBER(SEARCH("R98",G191)),0)+IFERROR(--ISNUMBER(SEARCH("R99",G191)),0)+IFERROR(--ISNUMBER(SEARCH("R100",G191)),0)+IFERROR(--ISNUMBER(SEARCH("R104",G191)),0)+IFERROR(--ISNUMBER(SEARCH("R105",G191)),0)+IFERROR(--ISNUMBER(SEARCH("R107",G191)),0)+IFERROR(--ISNUMBER(SEARCH("R108",G191)),0)+IFERROR(--ISNUMBER(SEARCH("R109",G191)),0)+IFERROR(--ISNUMBER(SEARCH("R110",G191)),0)+IFERROR(--ISNUMBER(SEARCH("R112",G191)),0)+IFERROR(--ISNUMBER(SEARCH("R113",G191)),0)+IFERROR(--ISNUMBER(SEARCH("R114",G191)),0)+IFERROR(--ISNUMBER(SEARCH("R118",G191)),0)+IFERROR(--ISNUMBER(SEARCH("R119",G191)),0)+IFERROR(--ISNUMBER(SEARCH("R120",G191)),0)+IFERROR(--ISNUMBER(SEARCH("R122",G191)),0)+IFERROR(--ISNUMBER(SEARCH("R123",G191)),0)+IFERROR(--ISNUMBER(SEARCH("R124",G191)),0)+IFERROR(--ISNUMBER(SEARCH("R128",G191)),0)+IFERROR(--ISNUMBER(SEARCH("R130",G191)),0)+IFERROR(--ISNUMBER(SEARCH("R131",G191)),0)+IFERROR(--ISNUMBER(SEARCH("R132",G191)),0)+IFERROR(--ISNUMBER(SEARCH("R135",G191)),0)+IFERROR(--ISNUMBER(SEARCH("R138",G191)),0)+IFERROR(--ISNUMBER(SEARCH("R141",G191)),0))</f>
        <v/>
      </c>
      <c r="U191" s="58">
        <f>IF(A191="","",IFERROR(--ISNUMBER(SEARCH("R28",G191))*28,0)+IFERROR(--ISNUMBER(SEARCH("R29",G191))*29,0)+IFERROR(--ISNUMBER(SEARCH("R30",G191))*30,0)+IFERROR(--ISNUMBER(SEARCH("R31",G191))*31,0)+IFERROR(--ISNUMBER(SEARCH("R32",G191))*32,0)+IFERROR(--ISNUMBER(SEARCH("R33",G191))*33,0)+IFERROR(--ISNUMBER(SEARCH("R34",G191))*34,0)+IFERROR(--ISNUMBER(SEARCH("R35",G191))*35,0)+IFERROR(--ISNUMBER(SEARCH("R36",G191))*36,0)+IFERROR(--ISNUMBER(SEARCH("R37",G191))*37,0)+IFERROR(--ISNUMBER(SEARCH("R38",G191))*38,0)+IFERROR(--ISNUMBER(SEARCH("R39",G191))*39,0)+IFERROR(--ISNUMBER(SEARCH("R40",G191))*40,0)+IFERROR(--ISNUMBER(SEARCH("R41",G191))*41,0)+IFERROR(--ISNUMBER(SEARCH("R42",G191))*42,0)+IFERROR(--ISNUMBER(SEARCH("R43",G191))*43,0)+IFERROR(--ISNUMBER(SEARCH("R44",G191))*44,0)+IFERROR(--ISNUMBER(SEARCH("R45",G191))*45,0)+IFERROR(--ISNUMBER(SEARCH("R46",G191))*46,0)+IFERROR(--ISNUMBER(SEARCH("R47",G191))*47,0)+IFERROR(--ISNUMBER(SEARCH("R48",G191))*48,0)+IFERROR(--ISNUMBER(SEARCH("R49",G191))*49,0)+IFERROR(--ISNUMBER(SEARCH("R50",G191))*50,0)+IFERROR(--ISNUMBER(SEARCH("R51",G191))*51,0)+IFERROR(--ISNUMBER(SEARCH("R52",G191))*52,0)+IFERROR(--ISNUMBER(SEARCH("R53",G191))*53,0)+IFERROR(--ISNUMBER(SEARCH("R54",G191))*54,0)+IFERROR(--ISNUMBER(SEARCH("R55",G191))*55,0)+IFERROR(--ISNUMBER(SEARCH("R56",G191))*56,0)+IFERROR(--ISNUMBER(SEARCH("R57",G191))*57,0)+IFERROR(--ISNUMBER(SEARCH("R58",G191))*58,0)+IFERROR(--ISNUMBER(SEARCH("R59",G191))*59,0)+IFERROR(--ISNUMBER(SEARCH("R60",G191))*60,0)+IFERROR(--ISNUMBER(SEARCH("R61",G191))*61,0)+IFERROR(--ISNUMBER(SEARCH("R62",G191))*62,0)+IFERROR(--ISNUMBER(SEARCH("R63",G191))*63,0)+IFERROR(--ISNUMBER(SEARCH("R64",G191))*64,0)+IFERROR(--ISNUMBER(SEARCH("R65",G191))*65,0)+IFERROR(--ISNUMBER(SEARCH("R66",G191))*66,0)+IFERROR(--ISNUMBER(SEARCH("R67",G191))*67,0)+IFERROR(--ISNUMBER(SEARCH("R68",G191))*68,0)+IFERROR(--ISNUMBER(SEARCH("R69",G191))*69,0)+IFERROR(--ISNUMBER(SEARCH("R70",G191))*70,0)+IFERROR(--ISNUMBER(SEARCH("R71",G191))*71,0)+IFERROR(--ISNUMBER(SEARCH("R72",G191))*72,0)+IFERROR(--ISNUMBER(SEARCH("R73",G191))*73,0)+IFERROR(--ISNUMBER(SEARCH("R74",G191))*74,0)+IFERROR(--ISNUMBER(SEARCH("R75",G191))*75,0)+IFERROR(--ISNUMBER(SEARCH("R76",G191))*76,0)+IFERROR(--ISNUMBER(SEARCH("R77",G191))*77,0)+IFERROR(--ISNUMBER(SEARCH("R78",G191))*78,0)+IFERROR(--ISNUMBER(SEARCH("R79",G191))*79,0)+IFERROR(--ISNUMBER(SEARCH("R80",G191))*80,0)+IFERROR(--ISNUMBER(SEARCH("R81",G191))*81,0)+IFERROR(--ISNUMBER(SEARCH("R82",G191))*82,0)+IFERROR(--ISNUMBER(SEARCH("R83",G191))*83,0)+IFERROR(--ISNUMBER(SEARCH("R84",G191))*84,0)+IFERROR(--ISNUMBER(SEARCH("R85",G191))*85,0)+IFERROR(--ISNUMBER(SEARCH("R86",G191))*86,0)+IFERROR(--ISNUMBER(SEARCH("R87",G191))*87,0)+IFERROR(--ISNUMBER(SEARCH("R88",G191))*88,0)+IFERROR(--ISNUMBER(SEARCH("R89",G191))*89,0)+IFERROR(--ISNUMBER(SEARCH("R90",G191))*90,0)+IFERROR(--ISNUMBER(SEARCH("R91",G191))*91,0)+IFERROR(--ISNUMBER(SEARCH("R92",G191))*92,0)+IFERROR(--ISNUMBER(SEARCH("R93",G191))*93,0)+IFERROR(--ISNUMBER(SEARCH("R94",G191))*94,0)+IFERROR(--ISNUMBER(SEARCH("R95",G191))*95,0)+IFERROR(--ISNUMBER(SEARCH("R96",G191))*96,0)+IFERROR(--ISNUMBER(SEARCH("R97",G191))*97,0)+IFERROR(--ISNUMBER(SEARCH("R98",G191))*98,0)+IFERROR(--ISNUMBER(SEARCH("R99",G191))*99,0)+IFERROR(--ISNUMBER(SEARCH("R100",G191))*100,0)+IFERROR(--ISNUMBER(SEARCH("R101",G191))*101,0)+IFERROR(--ISNUMBER(SEARCH("R102",G191))*102,0)+IFERROR(--ISNUMBER(SEARCH("R103",G191))*103,0)+IFERROR(--ISNUMBER(SEARCH("R104",G191))*104,0)+IFERROR(--ISNUMBER(SEARCH("R105",G191))*105,0)+IFERROR(--ISNUMBER(SEARCH("R106",G191))*106,0)+IFERROR(--ISNUMBER(SEARCH("R107",G191))*107,0)+IFERROR(--ISNUMBER(SEARCH("R108",G191))*108,0)+IFERROR(--ISNUMBER(SEARCH("R109",G191))*109,0)+IFERROR(--ISNUMBER(SEARCH("R110",G191))*110,0)+IFERROR(--ISNUMBER(SEARCH("R111",G191))*111,0)+IFERROR(--ISNUMBER(SEARCH("R112",G191))*112,0)+IFERROR(--ISNUMBER(SEARCH("R113",G191))*113,0)+IFERROR(--ISNUMBER(SEARCH("R114",G191))*114,0)+IFERROR(--ISNUMBER(SEARCH("R115",G191))*115,0)+IFERROR(--ISNUMBER(SEARCH("R116",G191))*116,0)+IFERROR(--ISNUMBER(SEARCH("R117",G191))*117,0)+IFERROR(--ISNUMBER(SEARCH("R118",G191))*118,0)+IFERROR(--ISNUMBER(SEARCH("R119",G191))*119,0)+IFERROR(--ISNUMBER(SEARCH("R120",G191))*120,0)+IFERROR(--ISNUMBER(SEARCH("R121",G191))*121,0)+IFERROR(--ISNUMBER(SEARCH("R122",G191))*122,0)+IFERROR(--ISNUMBER(SEARCH("R123",G191))*123,0)+IFERROR(--ISNUMBER(SEARCH("R124",G191))*124,0)+IFERROR(--ISNUMBER(SEARCH("R125",G191))*125,0)+IFERROR(--ISNUMBER(SEARCH("R126",G191))*126,0)+IFERROR(--ISNUMBER(SEARCH("R127",G191))*127,0)+IFERROR(--ISNUMBER(SEARCH("R128",G191))*128,0)+IFERROR(--ISNUMBER(SEARCH("R129",G191))*129,0)+IFERROR(--ISNUMBER(SEARCH("R130",G191))*130,0)+IFERROR(--ISNUMBER(SEARCH("R131",G191))*131,0)+IFERROR(--ISNUMBER(SEARCH("R132",G191))*132,0)+IFERROR(--ISNUMBER(SEARCH("R133",G191))*133,0)+IFERROR(--ISNUMBER(SEARCH("R134",G191))*134,0)+IFERROR(--ISNUMBER(SEARCH("R135",G191))*135,0)+IFERROR(--ISNUMBER(SEARCH("R136",G191))*136,0)+IFERROR(--ISNUMBER(SEARCH("R137",G191))*137,0)+IFERROR(--ISNUMBER(SEARCH("R138",G191))*138,0)+IFERROR(--ISNUMBER(SEARCH("R139",G191))*139,0)+IFERROR(--ISNUMBER(SEARCH("R140",G191))*140,0)+IFERROR(--ISNUMBER(SEARCH("R141",G191))*141,0))</f>
        <v/>
      </c>
      <c r="V191" s="59">
        <f>IF(A191="","",IF(K191&lt;&gt;"",K191,J191))</f>
        <v/>
      </c>
      <c r="W191" s="59">
        <f>IF(A191="","",IF(AND(V191=29,O191&lt;&gt;"",COUNTIFS($V$6:$V$505,29,$F$6:$F$505,F191,$C$6:$C$505,C191,$O$6:$O$505,"&lt;&gt;")&gt;1),IF(COUNTIFS($V$6:V191,29,$F$6:F191,F191,$C$6:C191,C191,$O$6:O191,"&lt;&gt;")=1,"Esta es la fila que se debe CONSERVAR (aparición 1 de "&amp;COUNTIFS($V$6:$V$505,29,$F$6:$F$505,F191,$C$6:$C$505,C191,$O$6:$O$505,"&lt;&gt;")&amp;" con el mismo tercero y valor, casilla 29). Si hay más filas iguales, bórreles el valor a ELLAS, no a esta.","DUPLICADO — ya existe otra fila con el mismo tercero y valor para casilla 29 (aparición "&amp;COUNTIFS($V$6:V191,29,$F$6:F191,F191,$C$6:C191,C191,$O$6:O191,"&lt;&gt;")&amp;" de "&amp;COUNTIFS($V$6:$V$505,29,$F$6:$F$505,F191,$C$6:$C$505,C191,$O$6:$O$505,"&lt;&gt;")&amp;"). Para resolverlo: seleccione la celda O"&amp;ROW()&amp;" (columna Valor a declarar de ESTA fila) y presione Supr."),""))</f>
        <v/>
      </c>
      <c r="X191" s="463">
        <f>IF(A191="","",F191)</f>
        <v/>
      </c>
      <c r="Y191" s="463">
        <f>IF(A191="","",SUMIF(Entrada_Manual!$I$88:$I$187,A191,Entrada_Manual!$F$88:$F$187))</f>
        <v/>
      </c>
      <c r="Z191" s="463">
        <f>IF(A191="","",X191-Y191)</f>
        <v/>
      </c>
      <c r="AA191">
        <f>IF(A191="","",SUMPRODUCT((Entrada_Manual!$I$88:$I$187=A191)*1))</f>
        <v/>
      </c>
      <c r="AB191">
        <f>IF(A191="","",IF(S191&lt;=1,"",IF(AA191=0,"PENDIENTE — SIN ASIGNAR",IF(Z191=0,"RESUELTO","PARCIAL — DIFERENCIA "&amp;TEXT(Z191,"#,##0")))))</f>
        <v/>
      </c>
    </row>
    <row r="192" ht="14.25" customHeight="1" s="235">
      <c r="A192" s="47">
        <f>IF(Exogena_RAW!E201&lt;&gt;"",ROW()-5,"")</f>
        <v/>
      </c>
      <c r="B192" s="48">
        <f>IF(A192="","",201)</f>
        <v/>
      </c>
      <c r="C192" s="48">
        <f>IF(A192="","",IFERROR(Exogena_RAW!A201,""))</f>
        <v/>
      </c>
      <c r="D192" s="48">
        <f>IF(A192="","",IFERROR(Exogena_RAW!B201,""))</f>
        <v/>
      </c>
      <c r="E192" s="48">
        <f>IF(A192="","",Exogena_RAW!E201)</f>
        <v/>
      </c>
      <c r="F192" s="461">
        <f>IF(A192="","",Exogena_RAW!F201)</f>
        <v/>
      </c>
      <c r="G192" s="48">
        <f>IF(A192="","",IFERROR(Exogena_RAW!G201,""))</f>
        <v/>
      </c>
      <c r="H192" s="48">
        <f>IF(A192="","",IFERROR(Exogena_RAW!H201,""))</f>
        <v/>
      </c>
      <c r="I192" s="48">
        <f>IF(A192="","",IFERROR(IF(S192&gt;1,"VARIAS CASILLAS",IF(S192=1,IF(T192=1,"PROPUESTA DE CASILLA","REVISIÓN: CASILLA NO DIRECTA"),IF(OR(ISNUMBER(SEARCH("TOPE",UPPER(E192))),ISNUMBER(SEARCH("TOPE",UPPER(G192)))),"SOLO CONTROL",IF(ISNUMBER(SEARCH("RETEN",UPPER(E192))),"RETENCIÓN","REVISAR")))),"REVISAR"))</f>
        <v/>
      </c>
      <c r="J192" s="48">
        <f>IF(A192="","",IF(ISNUMBER(SEARCH("ingreso laboral promedio de los últimos seis meses",E192)),"",IFERROR(IF(AND(S192=1,T192=1),U192,""),"")))</f>
        <v/>
      </c>
      <c r="K192" s="216" t="n"/>
      <c r="L192" s="48">
        <f>IF(A192="","",IFERROR(IF(K192&lt;&gt;"","Casilla elegida por usuario",IF(S192&gt;1,"Varias casillas — elegir en K",IF(J192&lt;&gt;"","Sugerencia directa",IF(S192=1,"No trasladar directo — revisar",IF(OR(ISNUMBER(SEARCH("TOPE",UPPER(E192))),ISNUMBER(SEARCH("TOPE",UPPER(G192)))),"Solo control","Revisar manualmente"))))),"Revisar manualmente"))</f>
        <v/>
      </c>
      <c r="M192" s="461">
        <f>IF(A192="","",IF(IF(K192&lt;&gt;"",K192,J192)="",0,IF(COUNTIFS(Reglas!$I$5:$I$118,IF(K192&lt;&gt;"",K192,J192),Reglas!$J$5:$J$118,"Sí")=1,F192,0)))</f>
        <v/>
      </c>
      <c r="N192" s="56" t="n"/>
      <c r="O192" s="462">
        <f>IF(A192="","",IF(M192=0,"",M192))</f>
        <v/>
      </c>
      <c r="P192" s="461">
        <f>IF(A192="","",IF(O192="",0,IF(ISNUMBER(O192),O192,0)))</f>
        <v/>
      </c>
      <c r="Q192" s="48">
        <f>IF(A192="","",IF(Exogena_RAW!$C$4="","BLOQUEADO: FALTA AÑO",IF(Exogena_RAW!$K$10&lt;&gt;Reglas!$B$5,"BLOQUEADO: AÑO",IF(IF(K192&lt;&gt;"",K192,J192)="",IF(S192&gt;1,"REQUIERE ASIGNACIÓN MANUAL (VARIAS CASILLAS)","INFORMATIVO (sin casilla — no se declara)"),IF(COUNTIFS(Reglas!$I$5:$I$118,IF(K192&lt;&gt;"",K192,J192),Reglas!$J$5:$J$118,"Sí")=0,"BLOQUEADO: CASILLA NO DIRECTA",IF(O192="","EXCLUIDO (valor borrado por el usuario)",IF(_xlfn.ISFORMULA(O192),IF(W192&lt;&gt;"","BORRADOR — VALOR SUGERIDO DIAN ⚠ VER ALERTA","BORRADOR — VALOR SUGERIDO DIAN"),IF(W192&lt;&gt;"","ACEPTADO ⚠ VER ALERTA","ACEPTADO"))))))))</f>
        <v/>
      </c>
      <c r="R192" s="218" t="n"/>
      <c r="S192" s="58">
        <f>IF(A192="","",IFERROR(--ISNUMBER(SEARCH("R28",G192)),0)+IFERROR(--ISNUMBER(SEARCH("R29",G192)),0)+IFERROR(--ISNUMBER(SEARCH("R30",G192)),0)+IFERROR(--ISNUMBER(SEARCH("R31",G192)),0)+IFERROR(--ISNUMBER(SEARCH("R32",G192)),0)+IFERROR(--ISNUMBER(SEARCH("R33",G192)),0)+IFERROR(--ISNUMBER(SEARCH("R34",G192)),0)+IFERROR(--ISNUMBER(SEARCH("R35",G192)),0)+IFERROR(--ISNUMBER(SEARCH("R36",G192)),0)+IFERROR(--ISNUMBER(SEARCH("R37",G192)),0)+IFERROR(--ISNUMBER(SEARCH("R38",G192)),0)+IFERROR(--ISNUMBER(SEARCH("R39",G192)),0)+IFERROR(--ISNUMBER(SEARCH("R40",G192)),0)+IFERROR(--ISNUMBER(SEARCH("R41",G192)),0)+IFERROR(--ISNUMBER(SEARCH("R42",G192)),0)+IFERROR(--ISNUMBER(SEARCH("R43",G192)),0)+IFERROR(--ISNUMBER(SEARCH("R44",G192)),0)+IFERROR(--ISNUMBER(SEARCH("R45",G192)),0)+IFERROR(--ISNUMBER(SEARCH("R46",G192)),0)+IFERROR(--ISNUMBER(SEARCH("R47",G192)),0)+IFERROR(--ISNUMBER(SEARCH("R48",G192)),0)+IFERROR(--ISNUMBER(SEARCH("R49",G192)),0)+IFERROR(--ISNUMBER(SEARCH("R50",G192)),0)+IFERROR(--ISNUMBER(SEARCH("R51",G192)),0)+IFERROR(--ISNUMBER(SEARCH("R52",G192)),0)+IFERROR(--ISNUMBER(SEARCH("R53",G192)),0)+IFERROR(--ISNUMBER(SEARCH("R54",G192)),0)+IFERROR(--ISNUMBER(SEARCH("R55",G192)),0)+IFERROR(--ISNUMBER(SEARCH("R56",G192)),0)+IFERROR(--ISNUMBER(SEARCH("R57",G192)),0)+IFERROR(--ISNUMBER(SEARCH("R58",G192)),0)+IFERROR(--ISNUMBER(SEARCH("R59",G192)),0)+IFERROR(--ISNUMBER(SEARCH("R60",G192)),0)+IFERROR(--ISNUMBER(SEARCH("R61",G192)),0)+IFERROR(--ISNUMBER(SEARCH("R62",G192)),0)+IFERROR(--ISNUMBER(SEARCH("R63",G192)),0)+IFERROR(--ISNUMBER(SEARCH("R64",G192)),0)+IFERROR(--ISNUMBER(SEARCH("R65",G192)),0)+IFERROR(--ISNUMBER(SEARCH("R66",G192)),0)+IFERROR(--ISNUMBER(SEARCH("R67",G192)),0)+IFERROR(--ISNUMBER(SEARCH("R68",G192)),0)+IFERROR(--ISNUMBER(SEARCH("R69",G192)),0)+IFERROR(--ISNUMBER(SEARCH("R70",G192)),0)+IFERROR(--ISNUMBER(SEARCH("R71",G192)),0)+IFERROR(--ISNUMBER(SEARCH("R72",G192)),0)+IFERROR(--ISNUMBER(SEARCH("R73",G192)),0)+IFERROR(--ISNUMBER(SEARCH("R74",G192)),0)+IFERROR(--ISNUMBER(SEARCH("R75",G192)),0)+IFERROR(--ISNUMBER(SEARCH("R76",G192)),0)+IFERROR(--ISNUMBER(SEARCH("R77",G192)),0)+IFERROR(--ISNUMBER(SEARCH("R78",G192)),0)+IFERROR(--ISNUMBER(SEARCH("R79",G192)),0)+IFERROR(--ISNUMBER(SEARCH("R80",G192)),0)+IFERROR(--ISNUMBER(SEARCH("R81",G192)),0)+IFERROR(--ISNUMBER(SEARCH("R82",G192)),0)+IFERROR(--ISNUMBER(SEARCH("R83",G192)),0)+IFERROR(--ISNUMBER(SEARCH("R84",G192)),0)+IFERROR(--ISNUMBER(SEARCH("R85",G192)),0)+IFERROR(--ISNUMBER(SEARCH("R86",G192)),0)+IFERROR(--ISNUMBER(SEARCH("R87",G192)),0)+IFERROR(--ISNUMBER(SEARCH("R88",G192)),0)+IFERROR(--ISNUMBER(SEARCH("R89",G192)),0)+IFERROR(--ISNUMBER(SEARCH("R90",G192)),0)+IFERROR(--ISNUMBER(SEARCH("R91",G192)),0)+IFERROR(--ISNUMBER(SEARCH("R92",G192)),0)+IFERROR(--ISNUMBER(SEARCH("R93",G192)),0)+IFERROR(--ISNUMBER(SEARCH("R94",G192)),0)+IFERROR(--ISNUMBER(SEARCH("R95",G192)),0)+IFERROR(--ISNUMBER(SEARCH("R96",G192)),0)+IFERROR(--ISNUMBER(SEARCH("R97",G192)),0)+IFERROR(--ISNUMBER(SEARCH("R98",G192)),0)+IFERROR(--ISNUMBER(SEARCH("R99",G192)),0)+IFERROR(--ISNUMBER(SEARCH("R100",G192)),0)+IFERROR(--ISNUMBER(SEARCH("R101",G192)),0)+IFERROR(--ISNUMBER(SEARCH("R102",G192)),0)+IFERROR(--ISNUMBER(SEARCH("R103",G192)),0)+IFERROR(--ISNUMBER(SEARCH("R104",G192)),0)+IFERROR(--ISNUMBER(SEARCH("R105",G192)),0)+IFERROR(--ISNUMBER(SEARCH("R106",G192)),0)+IFERROR(--ISNUMBER(SEARCH("R107",G192)),0)+IFERROR(--ISNUMBER(SEARCH("R108",G192)),0)+IFERROR(--ISNUMBER(SEARCH("R109",G192)),0)+IFERROR(--ISNUMBER(SEARCH("R110",G192)),0)+IFERROR(--ISNUMBER(SEARCH("R111",G192)),0)+IFERROR(--ISNUMBER(SEARCH("R112",G192)),0)+IFERROR(--ISNUMBER(SEARCH("R113",G192)),0)+IFERROR(--ISNUMBER(SEARCH("R114",G192)),0)+IFERROR(--ISNUMBER(SEARCH("R115",G192)),0)+IFERROR(--ISNUMBER(SEARCH("R116",G192)),0)+IFERROR(--ISNUMBER(SEARCH("R117",G192)),0)+IFERROR(--ISNUMBER(SEARCH("R118",G192)),0)+IFERROR(--ISNUMBER(SEARCH("R119",G192)),0)+IFERROR(--ISNUMBER(SEARCH("R120",G192)),0)+IFERROR(--ISNUMBER(SEARCH("R121",G192)),0)+IFERROR(--ISNUMBER(SEARCH("R122",G192)),0)+IFERROR(--ISNUMBER(SEARCH("R123",G192)),0)+IFERROR(--ISNUMBER(SEARCH("R124",G192)),0)+IFERROR(--ISNUMBER(SEARCH("R125",G192)),0)+IFERROR(--ISNUMBER(SEARCH("R126",G192)),0)+IFERROR(--ISNUMBER(SEARCH("R127",G192)),0)+IFERROR(--ISNUMBER(SEARCH("R128",G192)),0)+IFERROR(--ISNUMBER(SEARCH("R129",G192)),0)+IFERROR(--ISNUMBER(SEARCH("R130",G192)),0)+IFERROR(--ISNUMBER(SEARCH("R131",G192)),0)+IFERROR(--ISNUMBER(SEARCH("R132",G192)),0)+IFERROR(--ISNUMBER(SEARCH("R133",G192)),0)+IFERROR(--ISNUMBER(SEARCH("R134",G192)),0)+IFERROR(--ISNUMBER(SEARCH("R135",G192)),0)+IFERROR(--ISNUMBER(SEARCH("R136",G192)),0)+IFERROR(--ISNUMBER(SEARCH("R137",G192)),0)+IFERROR(--ISNUMBER(SEARCH("R138",G192)),0)+IFERROR(--ISNUMBER(SEARCH("R139",G192)),0)+IFERROR(--ISNUMBER(SEARCH("R140",G192)),0)+IFERROR(--ISNUMBER(SEARCH("R141",G192)),0))</f>
        <v/>
      </c>
      <c r="T192" s="58">
        <f>IF(A192="","",IFERROR(--ISNUMBER(SEARCH("R28",G192)),0)+IFERROR(--ISNUMBER(SEARCH("R29",G192)),0)+IFERROR(--ISNUMBER(SEARCH("R30",G192)),0)+IFERROR(--ISNUMBER(SEARCH("R32",G192)),0)+IFERROR(--ISNUMBER(SEARCH("R33",G192)),0)+IFERROR(--ISNUMBER(SEARCH("R35",G192)),0)+IFERROR(--ISNUMBER(SEARCH("R36",G192)),0)+IFERROR(--ISNUMBER(SEARCH("R38",G192)),0)+IFERROR(--ISNUMBER(SEARCH("R39",G192)),0)+IFERROR(--ISNUMBER(SEARCH("R43",G192)),0)+IFERROR(--ISNUMBER(SEARCH("R44",G192)),0)+IFERROR(--ISNUMBER(SEARCH("R45",G192)),0)+IFERROR(--ISNUMBER(SEARCH("R47",G192)),0)+IFERROR(--ISNUMBER(SEARCH("R48",G192)),0)+IFERROR(--ISNUMBER(SEARCH("R50",G192)),0)+IFERROR(--ISNUMBER(SEARCH("R51",G192)),0)+IFERROR(--ISNUMBER(SEARCH("R56",G192)),0)+IFERROR(--ISNUMBER(SEARCH("R58",G192)),0)+IFERROR(--ISNUMBER(SEARCH("R59",G192)),0)+IFERROR(--ISNUMBER(SEARCH("R60",G192)),0)+IFERROR(--ISNUMBER(SEARCH("R62",G192)),0)+IFERROR(--ISNUMBER(SEARCH("R63",G192)),0)+IFERROR(--ISNUMBER(SEARCH("R64",G192)),0)+IFERROR(--ISNUMBER(SEARCH("R66",G192)),0)+IFERROR(--ISNUMBER(SEARCH("R67",G192)),0)+IFERROR(--ISNUMBER(SEARCH("R72",G192)),0)+IFERROR(--ISNUMBER(SEARCH("R74",G192)),0)+IFERROR(--ISNUMBER(SEARCH("R75",G192)),0)+IFERROR(--ISNUMBER(SEARCH("R76",G192)),0)+IFERROR(--ISNUMBER(SEARCH("R77",G192)),0)+IFERROR(--ISNUMBER(SEARCH("R79",G192)),0)+IFERROR(--ISNUMBER(SEARCH("R80",G192)),0)+IFERROR(--ISNUMBER(SEARCH("R81",G192)),0)+IFERROR(--ISNUMBER(SEARCH("R83",G192)),0)+IFERROR(--ISNUMBER(SEARCH("R84",G192)),0)+IFERROR(--ISNUMBER(SEARCH("R89",G192)),0)+IFERROR(--ISNUMBER(SEARCH("R94",G192)),0)+IFERROR(--ISNUMBER(SEARCH("R95",G192)),0)+IFERROR(--ISNUMBER(SEARCH("R96",G192)),0)+IFERROR(--ISNUMBER(SEARCH("R98",G192)),0)+IFERROR(--ISNUMBER(SEARCH("R99",G192)),0)+IFERROR(--ISNUMBER(SEARCH("R100",G192)),0)+IFERROR(--ISNUMBER(SEARCH("R104",G192)),0)+IFERROR(--ISNUMBER(SEARCH("R105",G192)),0)+IFERROR(--ISNUMBER(SEARCH("R107",G192)),0)+IFERROR(--ISNUMBER(SEARCH("R108",G192)),0)+IFERROR(--ISNUMBER(SEARCH("R109",G192)),0)+IFERROR(--ISNUMBER(SEARCH("R110",G192)),0)+IFERROR(--ISNUMBER(SEARCH("R112",G192)),0)+IFERROR(--ISNUMBER(SEARCH("R113",G192)),0)+IFERROR(--ISNUMBER(SEARCH("R114",G192)),0)+IFERROR(--ISNUMBER(SEARCH("R118",G192)),0)+IFERROR(--ISNUMBER(SEARCH("R119",G192)),0)+IFERROR(--ISNUMBER(SEARCH("R120",G192)),0)+IFERROR(--ISNUMBER(SEARCH("R122",G192)),0)+IFERROR(--ISNUMBER(SEARCH("R123",G192)),0)+IFERROR(--ISNUMBER(SEARCH("R124",G192)),0)+IFERROR(--ISNUMBER(SEARCH("R128",G192)),0)+IFERROR(--ISNUMBER(SEARCH("R130",G192)),0)+IFERROR(--ISNUMBER(SEARCH("R131",G192)),0)+IFERROR(--ISNUMBER(SEARCH("R132",G192)),0)+IFERROR(--ISNUMBER(SEARCH("R135",G192)),0)+IFERROR(--ISNUMBER(SEARCH("R138",G192)),0)+IFERROR(--ISNUMBER(SEARCH("R141",G192)),0))</f>
        <v/>
      </c>
      <c r="U192" s="58">
        <f>IF(A192="","",IFERROR(--ISNUMBER(SEARCH("R28",G192))*28,0)+IFERROR(--ISNUMBER(SEARCH("R29",G192))*29,0)+IFERROR(--ISNUMBER(SEARCH("R30",G192))*30,0)+IFERROR(--ISNUMBER(SEARCH("R31",G192))*31,0)+IFERROR(--ISNUMBER(SEARCH("R32",G192))*32,0)+IFERROR(--ISNUMBER(SEARCH("R33",G192))*33,0)+IFERROR(--ISNUMBER(SEARCH("R34",G192))*34,0)+IFERROR(--ISNUMBER(SEARCH("R35",G192))*35,0)+IFERROR(--ISNUMBER(SEARCH("R36",G192))*36,0)+IFERROR(--ISNUMBER(SEARCH("R37",G192))*37,0)+IFERROR(--ISNUMBER(SEARCH("R38",G192))*38,0)+IFERROR(--ISNUMBER(SEARCH("R39",G192))*39,0)+IFERROR(--ISNUMBER(SEARCH("R40",G192))*40,0)+IFERROR(--ISNUMBER(SEARCH("R41",G192))*41,0)+IFERROR(--ISNUMBER(SEARCH("R42",G192))*42,0)+IFERROR(--ISNUMBER(SEARCH("R43",G192))*43,0)+IFERROR(--ISNUMBER(SEARCH("R44",G192))*44,0)+IFERROR(--ISNUMBER(SEARCH("R45",G192))*45,0)+IFERROR(--ISNUMBER(SEARCH("R46",G192))*46,0)+IFERROR(--ISNUMBER(SEARCH("R47",G192))*47,0)+IFERROR(--ISNUMBER(SEARCH("R48",G192))*48,0)+IFERROR(--ISNUMBER(SEARCH("R49",G192))*49,0)+IFERROR(--ISNUMBER(SEARCH("R50",G192))*50,0)+IFERROR(--ISNUMBER(SEARCH("R51",G192))*51,0)+IFERROR(--ISNUMBER(SEARCH("R52",G192))*52,0)+IFERROR(--ISNUMBER(SEARCH("R53",G192))*53,0)+IFERROR(--ISNUMBER(SEARCH("R54",G192))*54,0)+IFERROR(--ISNUMBER(SEARCH("R55",G192))*55,0)+IFERROR(--ISNUMBER(SEARCH("R56",G192))*56,0)+IFERROR(--ISNUMBER(SEARCH("R57",G192))*57,0)+IFERROR(--ISNUMBER(SEARCH("R58",G192))*58,0)+IFERROR(--ISNUMBER(SEARCH("R59",G192))*59,0)+IFERROR(--ISNUMBER(SEARCH("R60",G192))*60,0)+IFERROR(--ISNUMBER(SEARCH("R61",G192))*61,0)+IFERROR(--ISNUMBER(SEARCH("R62",G192))*62,0)+IFERROR(--ISNUMBER(SEARCH("R63",G192))*63,0)+IFERROR(--ISNUMBER(SEARCH("R64",G192))*64,0)+IFERROR(--ISNUMBER(SEARCH("R65",G192))*65,0)+IFERROR(--ISNUMBER(SEARCH("R66",G192))*66,0)+IFERROR(--ISNUMBER(SEARCH("R67",G192))*67,0)+IFERROR(--ISNUMBER(SEARCH("R68",G192))*68,0)+IFERROR(--ISNUMBER(SEARCH("R69",G192))*69,0)+IFERROR(--ISNUMBER(SEARCH("R70",G192))*70,0)+IFERROR(--ISNUMBER(SEARCH("R71",G192))*71,0)+IFERROR(--ISNUMBER(SEARCH("R72",G192))*72,0)+IFERROR(--ISNUMBER(SEARCH("R73",G192))*73,0)+IFERROR(--ISNUMBER(SEARCH("R74",G192))*74,0)+IFERROR(--ISNUMBER(SEARCH("R75",G192))*75,0)+IFERROR(--ISNUMBER(SEARCH("R76",G192))*76,0)+IFERROR(--ISNUMBER(SEARCH("R77",G192))*77,0)+IFERROR(--ISNUMBER(SEARCH("R78",G192))*78,0)+IFERROR(--ISNUMBER(SEARCH("R79",G192))*79,0)+IFERROR(--ISNUMBER(SEARCH("R80",G192))*80,0)+IFERROR(--ISNUMBER(SEARCH("R81",G192))*81,0)+IFERROR(--ISNUMBER(SEARCH("R82",G192))*82,0)+IFERROR(--ISNUMBER(SEARCH("R83",G192))*83,0)+IFERROR(--ISNUMBER(SEARCH("R84",G192))*84,0)+IFERROR(--ISNUMBER(SEARCH("R85",G192))*85,0)+IFERROR(--ISNUMBER(SEARCH("R86",G192))*86,0)+IFERROR(--ISNUMBER(SEARCH("R87",G192))*87,0)+IFERROR(--ISNUMBER(SEARCH("R88",G192))*88,0)+IFERROR(--ISNUMBER(SEARCH("R89",G192))*89,0)+IFERROR(--ISNUMBER(SEARCH("R90",G192))*90,0)+IFERROR(--ISNUMBER(SEARCH("R91",G192))*91,0)+IFERROR(--ISNUMBER(SEARCH("R92",G192))*92,0)+IFERROR(--ISNUMBER(SEARCH("R93",G192))*93,0)+IFERROR(--ISNUMBER(SEARCH("R94",G192))*94,0)+IFERROR(--ISNUMBER(SEARCH("R95",G192))*95,0)+IFERROR(--ISNUMBER(SEARCH("R96",G192))*96,0)+IFERROR(--ISNUMBER(SEARCH("R97",G192))*97,0)+IFERROR(--ISNUMBER(SEARCH("R98",G192))*98,0)+IFERROR(--ISNUMBER(SEARCH("R99",G192))*99,0)+IFERROR(--ISNUMBER(SEARCH("R100",G192))*100,0)+IFERROR(--ISNUMBER(SEARCH("R101",G192))*101,0)+IFERROR(--ISNUMBER(SEARCH("R102",G192))*102,0)+IFERROR(--ISNUMBER(SEARCH("R103",G192))*103,0)+IFERROR(--ISNUMBER(SEARCH("R104",G192))*104,0)+IFERROR(--ISNUMBER(SEARCH("R105",G192))*105,0)+IFERROR(--ISNUMBER(SEARCH("R106",G192))*106,0)+IFERROR(--ISNUMBER(SEARCH("R107",G192))*107,0)+IFERROR(--ISNUMBER(SEARCH("R108",G192))*108,0)+IFERROR(--ISNUMBER(SEARCH("R109",G192))*109,0)+IFERROR(--ISNUMBER(SEARCH("R110",G192))*110,0)+IFERROR(--ISNUMBER(SEARCH("R111",G192))*111,0)+IFERROR(--ISNUMBER(SEARCH("R112",G192))*112,0)+IFERROR(--ISNUMBER(SEARCH("R113",G192))*113,0)+IFERROR(--ISNUMBER(SEARCH("R114",G192))*114,0)+IFERROR(--ISNUMBER(SEARCH("R115",G192))*115,0)+IFERROR(--ISNUMBER(SEARCH("R116",G192))*116,0)+IFERROR(--ISNUMBER(SEARCH("R117",G192))*117,0)+IFERROR(--ISNUMBER(SEARCH("R118",G192))*118,0)+IFERROR(--ISNUMBER(SEARCH("R119",G192))*119,0)+IFERROR(--ISNUMBER(SEARCH("R120",G192))*120,0)+IFERROR(--ISNUMBER(SEARCH("R121",G192))*121,0)+IFERROR(--ISNUMBER(SEARCH("R122",G192))*122,0)+IFERROR(--ISNUMBER(SEARCH("R123",G192))*123,0)+IFERROR(--ISNUMBER(SEARCH("R124",G192))*124,0)+IFERROR(--ISNUMBER(SEARCH("R125",G192))*125,0)+IFERROR(--ISNUMBER(SEARCH("R126",G192))*126,0)+IFERROR(--ISNUMBER(SEARCH("R127",G192))*127,0)+IFERROR(--ISNUMBER(SEARCH("R128",G192))*128,0)+IFERROR(--ISNUMBER(SEARCH("R129",G192))*129,0)+IFERROR(--ISNUMBER(SEARCH("R130",G192))*130,0)+IFERROR(--ISNUMBER(SEARCH("R131",G192))*131,0)+IFERROR(--ISNUMBER(SEARCH("R132",G192))*132,0)+IFERROR(--ISNUMBER(SEARCH("R133",G192))*133,0)+IFERROR(--ISNUMBER(SEARCH("R134",G192))*134,0)+IFERROR(--ISNUMBER(SEARCH("R135",G192))*135,0)+IFERROR(--ISNUMBER(SEARCH("R136",G192))*136,0)+IFERROR(--ISNUMBER(SEARCH("R137",G192))*137,0)+IFERROR(--ISNUMBER(SEARCH("R138",G192))*138,0)+IFERROR(--ISNUMBER(SEARCH("R139",G192))*139,0)+IFERROR(--ISNUMBER(SEARCH("R140",G192))*140,0)+IFERROR(--ISNUMBER(SEARCH("R141",G192))*141,0))</f>
        <v/>
      </c>
      <c r="V192" s="59">
        <f>IF(A192="","",IF(K192&lt;&gt;"",K192,J192))</f>
        <v/>
      </c>
      <c r="W192" s="59">
        <f>IF(A192="","",IF(AND(V192=29,O192&lt;&gt;"",COUNTIFS($V$6:$V$505,29,$F$6:$F$505,F192,$C$6:$C$505,C192,$O$6:$O$505,"&lt;&gt;")&gt;1),IF(COUNTIFS($V$6:V192,29,$F$6:F192,F192,$C$6:C192,C192,$O$6:O192,"&lt;&gt;")=1,"Esta es la fila que se debe CONSERVAR (aparición 1 de "&amp;COUNTIFS($V$6:$V$505,29,$F$6:$F$505,F192,$C$6:$C$505,C192,$O$6:$O$505,"&lt;&gt;")&amp;" con el mismo tercero y valor, casilla 29). Si hay más filas iguales, bórreles el valor a ELLAS, no a esta.","DUPLICADO — ya existe otra fila con el mismo tercero y valor para casilla 29 (aparición "&amp;COUNTIFS($V$6:V192,29,$F$6:F192,F192,$C$6:C192,C192,$O$6:O192,"&lt;&gt;")&amp;" de "&amp;COUNTIFS($V$6:$V$505,29,$F$6:$F$505,F192,$C$6:$C$505,C192,$O$6:$O$505,"&lt;&gt;")&amp;"). Para resolverlo: seleccione la celda O"&amp;ROW()&amp;" (columna Valor a declarar de ESTA fila) y presione Supr."),""))</f>
        <v/>
      </c>
      <c r="X192" s="463">
        <f>IF(A192="","",F192)</f>
        <v/>
      </c>
      <c r="Y192" s="463">
        <f>IF(A192="","",SUMIF(Entrada_Manual!$I$88:$I$187,A192,Entrada_Manual!$F$88:$F$187))</f>
        <v/>
      </c>
      <c r="Z192" s="463">
        <f>IF(A192="","",X192-Y192)</f>
        <v/>
      </c>
      <c r="AA192">
        <f>IF(A192="","",SUMPRODUCT((Entrada_Manual!$I$88:$I$187=A192)*1))</f>
        <v/>
      </c>
      <c r="AB192">
        <f>IF(A192="","",IF(S192&lt;=1,"",IF(AA192=0,"PENDIENTE — SIN ASIGNAR",IF(Z192=0,"RESUELTO","PARCIAL — DIFERENCIA "&amp;TEXT(Z192,"#,##0")))))</f>
        <v/>
      </c>
    </row>
    <row r="193" ht="14.25" customHeight="1" s="235">
      <c r="A193" s="47">
        <f>IF(Exogena_RAW!E202&lt;&gt;"",ROW()-5,"")</f>
        <v/>
      </c>
      <c r="B193" s="48">
        <f>IF(A193="","",202)</f>
        <v/>
      </c>
      <c r="C193" s="48">
        <f>IF(A193="","",IFERROR(Exogena_RAW!A202,""))</f>
        <v/>
      </c>
      <c r="D193" s="48">
        <f>IF(A193="","",IFERROR(Exogena_RAW!B202,""))</f>
        <v/>
      </c>
      <c r="E193" s="48">
        <f>IF(A193="","",Exogena_RAW!E202)</f>
        <v/>
      </c>
      <c r="F193" s="461">
        <f>IF(A193="","",Exogena_RAW!F202)</f>
        <v/>
      </c>
      <c r="G193" s="48">
        <f>IF(A193="","",IFERROR(Exogena_RAW!G202,""))</f>
        <v/>
      </c>
      <c r="H193" s="48">
        <f>IF(A193="","",IFERROR(Exogena_RAW!H202,""))</f>
        <v/>
      </c>
      <c r="I193" s="48">
        <f>IF(A193="","",IFERROR(IF(S193&gt;1,"VARIAS CASILLAS",IF(S193=1,IF(T193=1,"PROPUESTA DE CASILLA","REVISIÓN: CASILLA NO DIRECTA"),IF(OR(ISNUMBER(SEARCH("TOPE",UPPER(E193))),ISNUMBER(SEARCH("TOPE",UPPER(G193)))),"SOLO CONTROL",IF(ISNUMBER(SEARCH("RETEN",UPPER(E193))),"RETENCIÓN","REVISAR")))),"REVISAR"))</f>
        <v/>
      </c>
      <c r="J193" s="48">
        <f>IF(A193="","",IF(ISNUMBER(SEARCH("ingreso laboral promedio de los últimos seis meses",E193)),"",IFERROR(IF(AND(S193=1,T193=1),U193,""),"")))</f>
        <v/>
      </c>
      <c r="K193" s="216" t="n"/>
      <c r="L193" s="48">
        <f>IF(A193="","",IFERROR(IF(K193&lt;&gt;"","Casilla elegida por usuario",IF(S193&gt;1,"Varias casillas — elegir en K",IF(J193&lt;&gt;"","Sugerencia directa",IF(S193=1,"No trasladar directo — revisar",IF(OR(ISNUMBER(SEARCH("TOPE",UPPER(E193))),ISNUMBER(SEARCH("TOPE",UPPER(G193)))),"Solo control","Revisar manualmente"))))),"Revisar manualmente"))</f>
        <v/>
      </c>
      <c r="M193" s="461">
        <f>IF(A193="","",IF(IF(K193&lt;&gt;"",K193,J193)="",0,IF(COUNTIFS(Reglas!$I$5:$I$118,IF(K193&lt;&gt;"",K193,J193),Reglas!$J$5:$J$118,"Sí")=1,F193,0)))</f>
        <v/>
      </c>
      <c r="N193" s="56" t="n"/>
      <c r="O193" s="462">
        <f>IF(A193="","",IF(M193=0,"",M193))</f>
        <v/>
      </c>
      <c r="P193" s="461">
        <f>IF(A193="","",IF(O193="",0,IF(ISNUMBER(O193),O193,0)))</f>
        <v/>
      </c>
      <c r="Q193" s="48">
        <f>IF(A193="","",IF(Exogena_RAW!$C$4="","BLOQUEADO: FALTA AÑO",IF(Exogena_RAW!$K$10&lt;&gt;Reglas!$B$5,"BLOQUEADO: AÑO",IF(IF(K193&lt;&gt;"",K193,J193)="",IF(S193&gt;1,"REQUIERE ASIGNACIÓN MANUAL (VARIAS CASILLAS)","INFORMATIVO (sin casilla — no se declara)"),IF(COUNTIFS(Reglas!$I$5:$I$118,IF(K193&lt;&gt;"",K193,J193),Reglas!$J$5:$J$118,"Sí")=0,"BLOQUEADO: CASILLA NO DIRECTA",IF(O193="","EXCLUIDO (valor borrado por el usuario)",IF(_xlfn.ISFORMULA(O193),IF(W193&lt;&gt;"","BORRADOR — VALOR SUGERIDO DIAN ⚠ VER ALERTA","BORRADOR — VALOR SUGERIDO DIAN"),IF(W193&lt;&gt;"","ACEPTADO ⚠ VER ALERTA","ACEPTADO"))))))))</f>
        <v/>
      </c>
      <c r="R193" s="218" t="n"/>
      <c r="S193" s="58">
        <f>IF(A193="","",IFERROR(--ISNUMBER(SEARCH("R28",G193)),0)+IFERROR(--ISNUMBER(SEARCH("R29",G193)),0)+IFERROR(--ISNUMBER(SEARCH("R30",G193)),0)+IFERROR(--ISNUMBER(SEARCH("R31",G193)),0)+IFERROR(--ISNUMBER(SEARCH("R32",G193)),0)+IFERROR(--ISNUMBER(SEARCH("R33",G193)),0)+IFERROR(--ISNUMBER(SEARCH("R34",G193)),0)+IFERROR(--ISNUMBER(SEARCH("R35",G193)),0)+IFERROR(--ISNUMBER(SEARCH("R36",G193)),0)+IFERROR(--ISNUMBER(SEARCH("R37",G193)),0)+IFERROR(--ISNUMBER(SEARCH("R38",G193)),0)+IFERROR(--ISNUMBER(SEARCH("R39",G193)),0)+IFERROR(--ISNUMBER(SEARCH("R40",G193)),0)+IFERROR(--ISNUMBER(SEARCH("R41",G193)),0)+IFERROR(--ISNUMBER(SEARCH("R42",G193)),0)+IFERROR(--ISNUMBER(SEARCH("R43",G193)),0)+IFERROR(--ISNUMBER(SEARCH("R44",G193)),0)+IFERROR(--ISNUMBER(SEARCH("R45",G193)),0)+IFERROR(--ISNUMBER(SEARCH("R46",G193)),0)+IFERROR(--ISNUMBER(SEARCH("R47",G193)),0)+IFERROR(--ISNUMBER(SEARCH("R48",G193)),0)+IFERROR(--ISNUMBER(SEARCH("R49",G193)),0)+IFERROR(--ISNUMBER(SEARCH("R50",G193)),0)+IFERROR(--ISNUMBER(SEARCH("R51",G193)),0)+IFERROR(--ISNUMBER(SEARCH("R52",G193)),0)+IFERROR(--ISNUMBER(SEARCH("R53",G193)),0)+IFERROR(--ISNUMBER(SEARCH("R54",G193)),0)+IFERROR(--ISNUMBER(SEARCH("R55",G193)),0)+IFERROR(--ISNUMBER(SEARCH("R56",G193)),0)+IFERROR(--ISNUMBER(SEARCH("R57",G193)),0)+IFERROR(--ISNUMBER(SEARCH("R58",G193)),0)+IFERROR(--ISNUMBER(SEARCH("R59",G193)),0)+IFERROR(--ISNUMBER(SEARCH("R60",G193)),0)+IFERROR(--ISNUMBER(SEARCH("R61",G193)),0)+IFERROR(--ISNUMBER(SEARCH("R62",G193)),0)+IFERROR(--ISNUMBER(SEARCH("R63",G193)),0)+IFERROR(--ISNUMBER(SEARCH("R64",G193)),0)+IFERROR(--ISNUMBER(SEARCH("R65",G193)),0)+IFERROR(--ISNUMBER(SEARCH("R66",G193)),0)+IFERROR(--ISNUMBER(SEARCH("R67",G193)),0)+IFERROR(--ISNUMBER(SEARCH("R68",G193)),0)+IFERROR(--ISNUMBER(SEARCH("R69",G193)),0)+IFERROR(--ISNUMBER(SEARCH("R70",G193)),0)+IFERROR(--ISNUMBER(SEARCH("R71",G193)),0)+IFERROR(--ISNUMBER(SEARCH("R72",G193)),0)+IFERROR(--ISNUMBER(SEARCH("R73",G193)),0)+IFERROR(--ISNUMBER(SEARCH("R74",G193)),0)+IFERROR(--ISNUMBER(SEARCH("R75",G193)),0)+IFERROR(--ISNUMBER(SEARCH("R76",G193)),0)+IFERROR(--ISNUMBER(SEARCH("R77",G193)),0)+IFERROR(--ISNUMBER(SEARCH("R78",G193)),0)+IFERROR(--ISNUMBER(SEARCH("R79",G193)),0)+IFERROR(--ISNUMBER(SEARCH("R80",G193)),0)+IFERROR(--ISNUMBER(SEARCH("R81",G193)),0)+IFERROR(--ISNUMBER(SEARCH("R82",G193)),0)+IFERROR(--ISNUMBER(SEARCH("R83",G193)),0)+IFERROR(--ISNUMBER(SEARCH("R84",G193)),0)+IFERROR(--ISNUMBER(SEARCH("R85",G193)),0)+IFERROR(--ISNUMBER(SEARCH("R86",G193)),0)+IFERROR(--ISNUMBER(SEARCH("R87",G193)),0)+IFERROR(--ISNUMBER(SEARCH("R88",G193)),0)+IFERROR(--ISNUMBER(SEARCH("R89",G193)),0)+IFERROR(--ISNUMBER(SEARCH("R90",G193)),0)+IFERROR(--ISNUMBER(SEARCH("R91",G193)),0)+IFERROR(--ISNUMBER(SEARCH("R92",G193)),0)+IFERROR(--ISNUMBER(SEARCH("R93",G193)),0)+IFERROR(--ISNUMBER(SEARCH("R94",G193)),0)+IFERROR(--ISNUMBER(SEARCH("R95",G193)),0)+IFERROR(--ISNUMBER(SEARCH("R96",G193)),0)+IFERROR(--ISNUMBER(SEARCH("R97",G193)),0)+IFERROR(--ISNUMBER(SEARCH("R98",G193)),0)+IFERROR(--ISNUMBER(SEARCH("R99",G193)),0)+IFERROR(--ISNUMBER(SEARCH("R100",G193)),0)+IFERROR(--ISNUMBER(SEARCH("R101",G193)),0)+IFERROR(--ISNUMBER(SEARCH("R102",G193)),0)+IFERROR(--ISNUMBER(SEARCH("R103",G193)),0)+IFERROR(--ISNUMBER(SEARCH("R104",G193)),0)+IFERROR(--ISNUMBER(SEARCH("R105",G193)),0)+IFERROR(--ISNUMBER(SEARCH("R106",G193)),0)+IFERROR(--ISNUMBER(SEARCH("R107",G193)),0)+IFERROR(--ISNUMBER(SEARCH("R108",G193)),0)+IFERROR(--ISNUMBER(SEARCH("R109",G193)),0)+IFERROR(--ISNUMBER(SEARCH("R110",G193)),0)+IFERROR(--ISNUMBER(SEARCH("R111",G193)),0)+IFERROR(--ISNUMBER(SEARCH("R112",G193)),0)+IFERROR(--ISNUMBER(SEARCH("R113",G193)),0)+IFERROR(--ISNUMBER(SEARCH("R114",G193)),0)+IFERROR(--ISNUMBER(SEARCH("R115",G193)),0)+IFERROR(--ISNUMBER(SEARCH("R116",G193)),0)+IFERROR(--ISNUMBER(SEARCH("R117",G193)),0)+IFERROR(--ISNUMBER(SEARCH("R118",G193)),0)+IFERROR(--ISNUMBER(SEARCH("R119",G193)),0)+IFERROR(--ISNUMBER(SEARCH("R120",G193)),0)+IFERROR(--ISNUMBER(SEARCH("R121",G193)),0)+IFERROR(--ISNUMBER(SEARCH("R122",G193)),0)+IFERROR(--ISNUMBER(SEARCH("R123",G193)),0)+IFERROR(--ISNUMBER(SEARCH("R124",G193)),0)+IFERROR(--ISNUMBER(SEARCH("R125",G193)),0)+IFERROR(--ISNUMBER(SEARCH("R126",G193)),0)+IFERROR(--ISNUMBER(SEARCH("R127",G193)),0)+IFERROR(--ISNUMBER(SEARCH("R128",G193)),0)+IFERROR(--ISNUMBER(SEARCH("R129",G193)),0)+IFERROR(--ISNUMBER(SEARCH("R130",G193)),0)+IFERROR(--ISNUMBER(SEARCH("R131",G193)),0)+IFERROR(--ISNUMBER(SEARCH("R132",G193)),0)+IFERROR(--ISNUMBER(SEARCH("R133",G193)),0)+IFERROR(--ISNUMBER(SEARCH("R134",G193)),0)+IFERROR(--ISNUMBER(SEARCH("R135",G193)),0)+IFERROR(--ISNUMBER(SEARCH("R136",G193)),0)+IFERROR(--ISNUMBER(SEARCH("R137",G193)),0)+IFERROR(--ISNUMBER(SEARCH("R138",G193)),0)+IFERROR(--ISNUMBER(SEARCH("R139",G193)),0)+IFERROR(--ISNUMBER(SEARCH("R140",G193)),0)+IFERROR(--ISNUMBER(SEARCH("R141",G193)),0))</f>
        <v/>
      </c>
      <c r="T193" s="58">
        <f>IF(A193="","",IFERROR(--ISNUMBER(SEARCH("R28",G193)),0)+IFERROR(--ISNUMBER(SEARCH("R29",G193)),0)+IFERROR(--ISNUMBER(SEARCH("R30",G193)),0)+IFERROR(--ISNUMBER(SEARCH("R32",G193)),0)+IFERROR(--ISNUMBER(SEARCH("R33",G193)),0)+IFERROR(--ISNUMBER(SEARCH("R35",G193)),0)+IFERROR(--ISNUMBER(SEARCH("R36",G193)),0)+IFERROR(--ISNUMBER(SEARCH("R38",G193)),0)+IFERROR(--ISNUMBER(SEARCH("R39",G193)),0)+IFERROR(--ISNUMBER(SEARCH("R43",G193)),0)+IFERROR(--ISNUMBER(SEARCH("R44",G193)),0)+IFERROR(--ISNUMBER(SEARCH("R45",G193)),0)+IFERROR(--ISNUMBER(SEARCH("R47",G193)),0)+IFERROR(--ISNUMBER(SEARCH("R48",G193)),0)+IFERROR(--ISNUMBER(SEARCH("R50",G193)),0)+IFERROR(--ISNUMBER(SEARCH("R51",G193)),0)+IFERROR(--ISNUMBER(SEARCH("R56",G193)),0)+IFERROR(--ISNUMBER(SEARCH("R58",G193)),0)+IFERROR(--ISNUMBER(SEARCH("R59",G193)),0)+IFERROR(--ISNUMBER(SEARCH("R60",G193)),0)+IFERROR(--ISNUMBER(SEARCH("R62",G193)),0)+IFERROR(--ISNUMBER(SEARCH("R63",G193)),0)+IFERROR(--ISNUMBER(SEARCH("R64",G193)),0)+IFERROR(--ISNUMBER(SEARCH("R66",G193)),0)+IFERROR(--ISNUMBER(SEARCH("R67",G193)),0)+IFERROR(--ISNUMBER(SEARCH("R72",G193)),0)+IFERROR(--ISNUMBER(SEARCH("R74",G193)),0)+IFERROR(--ISNUMBER(SEARCH("R75",G193)),0)+IFERROR(--ISNUMBER(SEARCH("R76",G193)),0)+IFERROR(--ISNUMBER(SEARCH("R77",G193)),0)+IFERROR(--ISNUMBER(SEARCH("R79",G193)),0)+IFERROR(--ISNUMBER(SEARCH("R80",G193)),0)+IFERROR(--ISNUMBER(SEARCH("R81",G193)),0)+IFERROR(--ISNUMBER(SEARCH("R83",G193)),0)+IFERROR(--ISNUMBER(SEARCH("R84",G193)),0)+IFERROR(--ISNUMBER(SEARCH("R89",G193)),0)+IFERROR(--ISNUMBER(SEARCH("R94",G193)),0)+IFERROR(--ISNUMBER(SEARCH("R95",G193)),0)+IFERROR(--ISNUMBER(SEARCH("R96",G193)),0)+IFERROR(--ISNUMBER(SEARCH("R98",G193)),0)+IFERROR(--ISNUMBER(SEARCH("R99",G193)),0)+IFERROR(--ISNUMBER(SEARCH("R100",G193)),0)+IFERROR(--ISNUMBER(SEARCH("R104",G193)),0)+IFERROR(--ISNUMBER(SEARCH("R105",G193)),0)+IFERROR(--ISNUMBER(SEARCH("R107",G193)),0)+IFERROR(--ISNUMBER(SEARCH("R108",G193)),0)+IFERROR(--ISNUMBER(SEARCH("R109",G193)),0)+IFERROR(--ISNUMBER(SEARCH("R110",G193)),0)+IFERROR(--ISNUMBER(SEARCH("R112",G193)),0)+IFERROR(--ISNUMBER(SEARCH("R113",G193)),0)+IFERROR(--ISNUMBER(SEARCH("R114",G193)),0)+IFERROR(--ISNUMBER(SEARCH("R118",G193)),0)+IFERROR(--ISNUMBER(SEARCH("R119",G193)),0)+IFERROR(--ISNUMBER(SEARCH("R120",G193)),0)+IFERROR(--ISNUMBER(SEARCH("R122",G193)),0)+IFERROR(--ISNUMBER(SEARCH("R123",G193)),0)+IFERROR(--ISNUMBER(SEARCH("R124",G193)),0)+IFERROR(--ISNUMBER(SEARCH("R128",G193)),0)+IFERROR(--ISNUMBER(SEARCH("R130",G193)),0)+IFERROR(--ISNUMBER(SEARCH("R131",G193)),0)+IFERROR(--ISNUMBER(SEARCH("R132",G193)),0)+IFERROR(--ISNUMBER(SEARCH("R135",G193)),0)+IFERROR(--ISNUMBER(SEARCH("R138",G193)),0)+IFERROR(--ISNUMBER(SEARCH("R141",G193)),0))</f>
        <v/>
      </c>
      <c r="U193" s="58">
        <f>IF(A193="","",IFERROR(--ISNUMBER(SEARCH("R28",G193))*28,0)+IFERROR(--ISNUMBER(SEARCH("R29",G193))*29,0)+IFERROR(--ISNUMBER(SEARCH("R30",G193))*30,0)+IFERROR(--ISNUMBER(SEARCH("R31",G193))*31,0)+IFERROR(--ISNUMBER(SEARCH("R32",G193))*32,0)+IFERROR(--ISNUMBER(SEARCH("R33",G193))*33,0)+IFERROR(--ISNUMBER(SEARCH("R34",G193))*34,0)+IFERROR(--ISNUMBER(SEARCH("R35",G193))*35,0)+IFERROR(--ISNUMBER(SEARCH("R36",G193))*36,0)+IFERROR(--ISNUMBER(SEARCH("R37",G193))*37,0)+IFERROR(--ISNUMBER(SEARCH("R38",G193))*38,0)+IFERROR(--ISNUMBER(SEARCH("R39",G193))*39,0)+IFERROR(--ISNUMBER(SEARCH("R40",G193))*40,0)+IFERROR(--ISNUMBER(SEARCH("R41",G193))*41,0)+IFERROR(--ISNUMBER(SEARCH("R42",G193))*42,0)+IFERROR(--ISNUMBER(SEARCH("R43",G193))*43,0)+IFERROR(--ISNUMBER(SEARCH("R44",G193))*44,0)+IFERROR(--ISNUMBER(SEARCH("R45",G193))*45,0)+IFERROR(--ISNUMBER(SEARCH("R46",G193))*46,0)+IFERROR(--ISNUMBER(SEARCH("R47",G193))*47,0)+IFERROR(--ISNUMBER(SEARCH("R48",G193))*48,0)+IFERROR(--ISNUMBER(SEARCH("R49",G193))*49,0)+IFERROR(--ISNUMBER(SEARCH("R50",G193))*50,0)+IFERROR(--ISNUMBER(SEARCH("R51",G193))*51,0)+IFERROR(--ISNUMBER(SEARCH("R52",G193))*52,0)+IFERROR(--ISNUMBER(SEARCH("R53",G193))*53,0)+IFERROR(--ISNUMBER(SEARCH("R54",G193))*54,0)+IFERROR(--ISNUMBER(SEARCH("R55",G193))*55,0)+IFERROR(--ISNUMBER(SEARCH("R56",G193))*56,0)+IFERROR(--ISNUMBER(SEARCH("R57",G193))*57,0)+IFERROR(--ISNUMBER(SEARCH("R58",G193))*58,0)+IFERROR(--ISNUMBER(SEARCH("R59",G193))*59,0)+IFERROR(--ISNUMBER(SEARCH("R60",G193))*60,0)+IFERROR(--ISNUMBER(SEARCH("R61",G193))*61,0)+IFERROR(--ISNUMBER(SEARCH("R62",G193))*62,0)+IFERROR(--ISNUMBER(SEARCH("R63",G193))*63,0)+IFERROR(--ISNUMBER(SEARCH("R64",G193))*64,0)+IFERROR(--ISNUMBER(SEARCH("R65",G193))*65,0)+IFERROR(--ISNUMBER(SEARCH("R66",G193))*66,0)+IFERROR(--ISNUMBER(SEARCH("R67",G193))*67,0)+IFERROR(--ISNUMBER(SEARCH("R68",G193))*68,0)+IFERROR(--ISNUMBER(SEARCH("R69",G193))*69,0)+IFERROR(--ISNUMBER(SEARCH("R70",G193))*70,0)+IFERROR(--ISNUMBER(SEARCH("R71",G193))*71,0)+IFERROR(--ISNUMBER(SEARCH("R72",G193))*72,0)+IFERROR(--ISNUMBER(SEARCH("R73",G193))*73,0)+IFERROR(--ISNUMBER(SEARCH("R74",G193))*74,0)+IFERROR(--ISNUMBER(SEARCH("R75",G193))*75,0)+IFERROR(--ISNUMBER(SEARCH("R76",G193))*76,0)+IFERROR(--ISNUMBER(SEARCH("R77",G193))*77,0)+IFERROR(--ISNUMBER(SEARCH("R78",G193))*78,0)+IFERROR(--ISNUMBER(SEARCH("R79",G193))*79,0)+IFERROR(--ISNUMBER(SEARCH("R80",G193))*80,0)+IFERROR(--ISNUMBER(SEARCH("R81",G193))*81,0)+IFERROR(--ISNUMBER(SEARCH("R82",G193))*82,0)+IFERROR(--ISNUMBER(SEARCH("R83",G193))*83,0)+IFERROR(--ISNUMBER(SEARCH("R84",G193))*84,0)+IFERROR(--ISNUMBER(SEARCH("R85",G193))*85,0)+IFERROR(--ISNUMBER(SEARCH("R86",G193))*86,0)+IFERROR(--ISNUMBER(SEARCH("R87",G193))*87,0)+IFERROR(--ISNUMBER(SEARCH("R88",G193))*88,0)+IFERROR(--ISNUMBER(SEARCH("R89",G193))*89,0)+IFERROR(--ISNUMBER(SEARCH("R90",G193))*90,0)+IFERROR(--ISNUMBER(SEARCH("R91",G193))*91,0)+IFERROR(--ISNUMBER(SEARCH("R92",G193))*92,0)+IFERROR(--ISNUMBER(SEARCH("R93",G193))*93,0)+IFERROR(--ISNUMBER(SEARCH("R94",G193))*94,0)+IFERROR(--ISNUMBER(SEARCH("R95",G193))*95,0)+IFERROR(--ISNUMBER(SEARCH("R96",G193))*96,0)+IFERROR(--ISNUMBER(SEARCH("R97",G193))*97,0)+IFERROR(--ISNUMBER(SEARCH("R98",G193))*98,0)+IFERROR(--ISNUMBER(SEARCH("R99",G193))*99,0)+IFERROR(--ISNUMBER(SEARCH("R100",G193))*100,0)+IFERROR(--ISNUMBER(SEARCH("R101",G193))*101,0)+IFERROR(--ISNUMBER(SEARCH("R102",G193))*102,0)+IFERROR(--ISNUMBER(SEARCH("R103",G193))*103,0)+IFERROR(--ISNUMBER(SEARCH("R104",G193))*104,0)+IFERROR(--ISNUMBER(SEARCH("R105",G193))*105,0)+IFERROR(--ISNUMBER(SEARCH("R106",G193))*106,0)+IFERROR(--ISNUMBER(SEARCH("R107",G193))*107,0)+IFERROR(--ISNUMBER(SEARCH("R108",G193))*108,0)+IFERROR(--ISNUMBER(SEARCH("R109",G193))*109,0)+IFERROR(--ISNUMBER(SEARCH("R110",G193))*110,0)+IFERROR(--ISNUMBER(SEARCH("R111",G193))*111,0)+IFERROR(--ISNUMBER(SEARCH("R112",G193))*112,0)+IFERROR(--ISNUMBER(SEARCH("R113",G193))*113,0)+IFERROR(--ISNUMBER(SEARCH("R114",G193))*114,0)+IFERROR(--ISNUMBER(SEARCH("R115",G193))*115,0)+IFERROR(--ISNUMBER(SEARCH("R116",G193))*116,0)+IFERROR(--ISNUMBER(SEARCH("R117",G193))*117,0)+IFERROR(--ISNUMBER(SEARCH("R118",G193))*118,0)+IFERROR(--ISNUMBER(SEARCH("R119",G193))*119,0)+IFERROR(--ISNUMBER(SEARCH("R120",G193))*120,0)+IFERROR(--ISNUMBER(SEARCH("R121",G193))*121,0)+IFERROR(--ISNUMBER(SEARCH("R122",G193))*122,0)+IFERROR(--ISNUMBER(SEARCH("R123",G193))*123,0)+IFERROR(--ISNUMBER(SEARCH("R124",G193))*124,0)+IFERROR(--ISNUMBER(SEARCH("R125",G193))*125,0)+IFERROR(--ISNUMBER(SEARCH("R126",G193))*126,0)+IFERROR(--ISNUMBER(SEARCH("R127",G193))*127,0)+IFERROR(--ISNUMBER(SEARCH("R128",G193))*128,0)+IFERROR(--ISNUMBER(SEARCH("R129",G193))*129,0)+IFERROR(--ISNUMBER(SEARCH("R130",G193))*130,0)+IFERROR(--ISNUMBER(SEARCH("R131",G193))*131,0)+IFERROR(--ISNUMBER(SEARCH("R132",G193))*132,0)+IFERROR(--ISNUMBER(SEARCH("R133",G193))*133,0)+IFERROR(--ISNUMBER(SEARCH("R134",G193))*134,0)+IFERROR(--ISNUMBER(SEARCH("R135",G193))*135,0)+IFERROR(--ISNUMBER(SEARCH("R136",G193))*136,0)+IFERROR(--ISNUMBER(SEARCH("R137",G193))*137,0)+IFERROR(--ISNUMBER(SEARCH("R138",G193))*138,0)+IFERROR(--ISNUMBER(SEARCH("R139",G193))*139,0)+IFERROR(--ISNUMBER(SEARCH("R140",G193))*140,0)+IFERROR(--ISNUMBER(SEARCH("R141",G193))*141,0))</f>
        <v/>
      </c>
      <c r="V193" s="59">
        <f>IF(A193="","",IF(K193&lt;&gt;"",K193,J193))</f>
        <v/>
      </c>
      <c r="W193" s="59">
        <f>IF(A193="","",IF(AND(V193=29,O193&lt;&gt;"",COUNTIFS($V$6:$V$505,29,$F$6:$F$505,F193,$C$6:$C$505,C193,$O$6:$O$505,"&lt;&gt;")&gt;1),IF(COUNTIFS($V$6:V193,29,$F$6:F193,F193,$C$6:C193,C193,$O$6:O193,"&lt;&gt;")=1,"Esta es la fila que se debe CONSERVAR (aparición 1 de "&amp;COUNTIFS($V$6:$V$505,29,$F$6:$F$505,F193,$C$6:$C$505,C193,$O$6:$O$505,"&lt;&gt;")&amp;" con el mismo tercero y valor, casilla 29). Si hay más filas iguales, bórreles el valor a ELLAS, no a esta.","DUPLICADO — ya existe otra fila con el mismo tercero y valor para casilla 29 (aparición "&amp;COUNTIFS($V$6:V193,29,$F$6:F193,F193,$C$6:C193,C193,$O$6:O193,"&lt;&gt;")&amp;" de "&amp;COUNTIFS($V$6:$V$505,29,$F$6:$F$505,F193,$C$6:$C$505,C193,$O$6:$O$505,"&lt;&gt;")&amp;"). Para resolverlo: seleccione la celda O"&amp;ROW()&amp;" (columna Valor a declarar de ESTA fila) y presione Supr."),""))</f>
        <v/>
      </c>
      <c r="X193" s="463">
        <f>IF(A193="","",F193)</f>
        <v/>
      </c>
      <c r="Y193" s="463">
        <f>IF(A193="","",SUMIF(Entrada_Manual!$I$88:$I$187,A193,Entrada_Manual!$F$88:$F$187))</f>
        <v/>
      </c>
      <c r="Z193" s="463">
        <f>IF(A193="","",X193-Y193)</f>
        <v/>
      </c>
      <c r="AA193">
        <f>IF(A193="","",SUMPRODUCT((Entrada_Manual!$I$88:$I$187=A193)*1))</f>
        <v/>
      </c>
      <c r="AB193">
        <f>IF(A193="","",IF(S193&lt;=1,"",IF(AA193=0,"PENDIENTE — SIN ASIGNAR",IF(Z193=0,"RESUELTO","PARCIAL — DIFERENCIA "&amp;TEXT(Z193,"#,##0")))))</f>
        <v/>
      </c>
    </row>
    <row r="194" ht="14.25" customHeight="1" s="235">
      <c r="A194" s="47">
        <f>IF(Exogena_RAW!E203&lt;&gt;"",ROW()-5,"")</f>
        <v/>
      </c>
      <c r="B194" s="48">
        <f>IF(A194="","",203)</f>
        <v/>
      </c>
      <c r="C194" s="48">
        <f>IF(A194="","",IFERROR(Exogena_RAW!A203,""))</f>
        <v/>
      </c>
      <c r="D194" s="48">
        <f>IF(A194="","",IFERROR(Exogena_RAW!B203,""))</f>
        <v/>
      </c>
      <c r="E194" s="48">
        <f>IF(A194="","",Exogena_RAW!E203)</f>
        <v/>
      </c>
      <c r="F194" s="461">
        <f>IF(A194="","",Exogena_RAW!F203)</f>
        <v/>
      </c>
      <c r="G194" s="48">
        <f>IF(A194="","",IFERROR(Exogena_RAW!G203,""))</f>
        <v/>
      </c>
      <c r="H194" s="48">
        <f>IF(A194="","",IFERROR(Exogena_RAW!H203,""))</f>
        <v/>
      </c>
      <c r="I194" s="48">
        <f>IF(A194="","",IFERROR(IF(S194&gt;1,"VARIAS CASILLAS",IF(S194=1,IF(T194=1,"PROPUESTA DE CASILLA","REVISIÓN: CASILLA NO DIRECTA"),IF(OR(ISNUMBER(SEARCH("TOPE",UPPER(E194))),ISNUMBER(SEARCH("TOPE",UPPER(G194)))),"SOLO CONTROL",IF(ISNUMBER(SEARCH("RETEN",UPPER(E194))),"RETENCIÓN","REVISAR")))),"REVISAR"))</f>
        <v/>
      </c>
      <c r="J194" s="48">
        <f>IF(A194="","",IF(ISNUMBER(SEARCH("ingreso laboral promedio de los últimos seis meses",E194)),"",IFERROR(IF(AND(S194=1,T194=1),U194,""),"")))</f>
        <v/>
      </c>
      <c r="K194" s="216" t="n"/>
      <c r="L194" s="48">
        <f>IF(A194="","",IFERROR(IF(K194&lt;&gt;"","Casilla elegida por usuario",IF(S194&gt;1,"Varias casillas — elegir en K",IF(J194&lt;&gt;"","Sugerencia directa",IF(S194=1,"No trasladar directo — revisar",IF(OR(ISNUMBER(SEARCH("TOPE",UPPER(E194))),ISNUMBER(SEARCH("TOPE",UPPER(G194)))),"Solo control","Revisar manualmente"))))),"Revisar manualmente"))</f>
        <v/>
      </c>
      <c r="M194" s="461">
        <f>IF(A194="","",IF(IF(K194&lt;&gt;"",K194,J194)="",0,IF(COUNTIFS(Reglas!$I$5:$I$118,IF(K194&lt;&gt;"",K194,J194),Reglas!$J$5:$J$118,"Sí")=1,F194,0)))</f>
        <v/>
      </c>
      <c r="N194" s="56" t="n"/>
      <c r="O194" s="462">
        <f>IF(A194="","",IF(M194=0,"",M194))</f>
        <v/>
      </c>
      <c r="P194" s="461">
        <f>IF(A194="","",IF(O194="",0,IF(ISNUMBER(O194),O194,0)))</f>
        <v/>
      </c>
      <c r="Q194" s="48">
        <f>IF(A194="","",IF(Exogena_RAW!$C$4="","BLOQUEADO: FALTA AÑO",IF(Exogena_RAW!$K$10&lt;&gt;Reglas!$B$5,"BLOQUEADO: AÑO",IF(IF(K194&lt;&gt;"",K194,J194)="",IF(S194&gt;1,"REQUIERE ASIGNACIÓN MANUAL (VARIAS CASILLAS)","INFORMATIVO (sin casilla — no se declara)"),IF(COUNTIFS(Reglas!$I$5:$I$118,IF(K194&lt;&gt;"",K194,J194),Reglas!$J$5:$J$118,"Sí")=0,"BLOQUEADO: CASILLA NO DIRECTA",IF(O194="","EXCLUIDO (valor borrado por el usuario)",IF(_xlfn.ISFORMULA(O194),IF(W194&lt;&gt;"","BORRADOR — VALOR SUGERIDO DIAN ⚠ VER ALERTA","BORRADOR — VALOR SUGERIDO DIAN"),IF(W194&lt;&gt;"","ACEPTADO ⚠ VER ALERTA","ACEPTADO"))))))))</f>
        <v/>
      </c>
      <c r="R194" s="218" t="n"/>
      <c r="S194" s="58">
        <f>IF(A194="","",IFERROR(--ISNUMBER(SEARCH("R28",G194)),0)+IFERROR(--ISNUMBER(SEARCH("R29",G194)),0)+IFERROR(--ISNUMBER(SEARCH("R30",G194)),0)+IFERROR(--ISNUMBER(SEARCH("R31",G194)),0)+IFERROR(--ISNUMBER(SEARCH("R32",G194)),0)+IFERROR(--ISNUMBER(SEARCH("R33",G194)),0)+IFERROR(--ISNUMBER(SEARCH("R34",G194)),0)+IFERROR(--ISNUMBER(SEARCH("R35",G194)),0)+IFERROR(--ISNUMBER(SEARCH("R36",G194)),0)+IFERROR(--ISNUMBER(SEARCH("R37",G194)),0)+IFERROR(--ISNUMBER(SEARCH("R38",G194)),0)+IFERROR(--ISNUMBER(SEARCH("R39",G194)),0)+IFERROR(--ISNUMBER(SEARCH("R40",G194)),0)+IFERROR(--ISNUMBER(SEARCH("R41",G194)),0)+IFERROR(--ISNUMBER(SEARCH("R42",G194)),0)+IFERROR(--ISNUMBER(SEARCH("R43",G194)),0)+IFERROR(--ISNUMBER(SEARCH("R44",G194)),0)+IFERROR(--ISNUMBER(SEARCH("R45",G194)),0)+IFERROR(--ISNUMBER(SEARCH("R46",G194)),0)+IFERROR(--ISNUMBER(SEARCH("R47",G194)),0)+IFERROR(--ISNUMBER(SEARCH("R48",G194)),0)+IFERROR(--ISNUMBER(SEARCH("R49",G194)),0)+IFERROR(--ISNUMBER(SEARCH("R50",G194)),0)+IFERROR(--ISNUMBER(SEARCH("R51",G194)),0)+IFERROR(--ISNUMBER(SEARCH("R52",G194)),0)+IFERROR(--ISNUMBER(SEARCH("R53",G194)),0)+IFERROR(--ISNUMBER(SEARCH("R54",G194)),0)+IFERROR(--ISNUMBER(SEARCH("R55",G194)),0)+IFERROR(--ISNUMBER(SEARCH("R56",G194)),0)+IFERROR(--ISNUMBER(SEARCH("R57",G194)),0)+IFERROR(--ISNUMBER(SEARCH("R58",G194)),0)+IFERROR(--ISNUMBER(SEARCH("R59",G194)),0)+IFERROR(--ISNUMBER(SEARCH("R60",G194)),0)+IFERROR(--ISNUMBER(SEARCH("R61",G194)),0)+IFERROR(--ISNUMBER(SEARCH("R62",G194)),0)+IFERROR(--ISNUMBER(SEARCH("R63",G194)),0)+IFERROR(--ISNUMBER(SEARCH("R64",G194)),0)+IFERROR(--ISNUMBER(SEARCH("R65",G194)),0)+IFERROR(--ISNUMBER(SEARCH("R66",G194)),0)+IFERROR(--ISNUMBER(SEARCH("R67",G194)),0)+IFERROR(--ISNUMBER(SEARCH("R68",G194)),0)+IFERROR(--ISNUMBER(SEARCH("R69",G194)),0)+IFERROR(--ISNUMBER(SEARCH("R70",G194)),0)+IFERROR(--ISNUMBER(SEARCH("R71",G194)),0)+IFERROR(--ISNUMBER(SEARCH("R72",G194)),0)+IFERROR(--ISNUMBER(SEARCH("R73",G194)),0)+IFERROR(--ISNUMBER(SEARCH("R74",G194)),0)+IFERROR(--ISNUMBER(SEARCH("R75",G194)),0)+IFERROR(--ISNUMBER(SEARCH("R76",G194)),0)+IFERROR(--ISNUMBER(SEARCH("R77",G194)),0)+IFERROR(--ISNUMBER(SEARCH("R78",G194)),0)+IFERROR(--ISNUMBER(SEARCH("R79",G194)),0)+IFERROR(--ISNUMBER(SEARCH("R80",G194)),0)+IFERROR(--ISNUMBER(SEARCH("R81",G194)),0)+IFERROR(--ISNUMBER(SEARCH("R82",G194)),0)+IFERROR(--ISNUMBER(SEARCH("R83",G194)),0)+IFERROR(--ISNUMBER(SEARCH("R84",G194)),0)+IFERROR(--ISNUMBER(SEARCH("R85",G194)),0)+IFERROR(--ISNUMBER(SEARCH("R86",G194)),0)+IFERROR(--ISNUMBER(SEARCH("R87",G194)),0)+IFERROR(--ISNUMBER(SEARCH("R88",G194)),0)+IFERROR(--ISNUMBER(SEARCH("R89",G194)),0)+IFERROR(--ISNUMBER(SEARCH("R90",G194)),0)+IFERROR(--ISNUMBER(SEARCH("R91",G194)),0)+IFERROR(--ISNUMBER(SEARCH("R92",G194)),0)+IFERROR(--ISNUMBER(SEARCH("R93",G194)),0)+IFERROR(--ISNUMBER(SEARCH("R94",G194)),0)+IFERROR(--ISNUMBER(SEARCH("R95",G194)),0)+IFERROR(--ISNUMBER(SEARCH("R96",G194)),0)+IFERROR(--ISNUMBER(SEARCH("R97",G194)),0)+IFERROR(--ISNUMBER(SEARCH("R98",G194)),0)+IFERROR(--ISNUMBER(SEARCH("R99",G194)),0)+IFERROR(--ISNUMBER(SEARCH("R100",G194)),0)+IFERROR(--ISNUMBER(SEARCH("R101",G194)),0)+IFERROR(--ISNUMBER(SEARCH("R102",G194)),0)+IFERROR(--ISNUMBER(SEARCH("R103",G194)),0)+IFERROR(--ISNUMBER(SEARCH("R104",G194)),0)+IFERROR(--ISNUMBER(SEARCH("R105",G194)),0)+IFERROR(--ISNUMBER(SEARCH("R106",G194)),0)+IFERROR(--ISNUMBER(SEARCH("R107",G194)),0)+IFERROR(--ISNUMBER(SEARCH("R108",G194)),0)+IFERROR(--ISNUMBER(SEARCH("R109",G194)),0)+IFERROR(--ISNUMBER(SEARCH("R110",G194)),0)+IFERROR(--ISNUMBER(SEARCH("R111",G194)),0)+IFERROR(--ISNUMBER(SEARCH("R112",G194)),0)+IFERROR(--ISNUMBER(SEARCH("R113",G194)),0)+IFERROR(--ISNUMBER(SEARCH("R114",G194)),0)+IFERROR(--ISNUMBER(SEARCH("R115",G194)),0)+IFERROR(--ISNUMBER(SEARCH("R116",G194)),0)+IFERROR(--ISNUMBER(SEARCH("R117",G194)),0)+IFERROR(--ISNUMBER(SEARCH("R118",G194)),0)+IFERROR(--ISNUMBER(SEARCH("R119",G194)),0)+IFERROR(--ISNUMBER(SEARCH("R120",G194)),0)+IFERROR(--ISNUMBER(SEARCH("R121",G194)),0)+IFERROR(--ISNUMBER(SEARCH("R122",G194)),0)+IFERROR(--ISNUMBER(SEARCH("R123",G194)),0)+IFERROR(--ISNUMBER(SEARCH("R124",G194)),0)+IFERROR(--ISNUMBER(SEARCH("R125",G194)),0)+IFERROR(--ISNUMBER(SEARCH("R126",G194)),0)+IFERROR(--ISNUMBER(SEARCH("R127",G194)),0)+IFERROR(--ISNUMBER(SEARCH("R128",G194)),0)+IFERROR(--ISNUMBER(SEARCH("R129",G194)),0)+IFERROR(--ISNUMBER(SEARCH("R130",G194)),0)+IFERROR(--ISNUMBER(SEARCH("R131",G194)),0)+IFERROR(--ISNUMBER(SEARCH("R132",G194)),0)+IFERROR(--ISNUMBER(SEARCH("R133",G194)),0)+IFERROR(--ISNUMBER(SEARCH("R134",G194)),0)+IFERROR(--ISNUMBER(SEARCH("R135",G194)),0)+IFERROR(--ISNUMBER(SEARCH("R136",G194)),0)+IFERROR(--ISNUMBER(SEARCH("R137",G194)),0)+IFERROR(--ISNUMBER(SEARCH("R138",G194)),0)+IFERROR(--ISNUMBER(SEARCH("R139",G194)),0)+IFERROR(--ISNUMBER(SEARCH("R140",G194)),0)+IFERROR(--ISNUMBER(SEARCH("R141",G194)),0))</f>
        <v/>
      </c>
      <c r="T194" s="58">
        <f>IF(A194="","",IFERROR(--ISNUMBER(SEARCH("R28",G194)),0)+IFERROR(--ISNUMBER(SEARCH("R29",G194)),0)+IFERROR(--ISNUMBER(SEARCH("R30",G194)),0)+IFERROR(--ISNUMBER(SEARCH("R32",G194)),0)+IFERROR(--ISNUMBER(SEARCH("R33",G194)),0)+IFERROR(--ISNUMBER(SEARCH("R35",G194)),0)+IFERROR(--ISNUMBER(SEARCH("R36",G194)),0)+IFERROR(--ISNUMBER(SEARCH("R38",G194)),0)+IFERROR(--ISNUMBER(SEARCH("R39",G194)),0)+IFERROR(--ISNUMBER(SEARCH("R43",G194)),0)+IFERROR(--ISNUMBER(SEARCH("R44",G194)),0)+IFERROR(--ISNUMBER(SEARCH("R45",G194)),0)+IFERROR(--ISNUMBER(SEARCH("R47",G194)),0)+IFERROR(--ISNUMBER(SEARCH("R48",G194)),0)+IFERROR(--ISNUMBER(SEARCH("R50",G194)),0)+IFERROR(--ISNUMBER(SEARCH("R51",G194)),0)+IFERROR(--ISNUMBER(SEARCH("R56",G194)),0)+IFERROR(--ISNUMBER(SEARCH("R58",G194)),0)+IFERROR(--ISNUMBER(SEARCH("R59",G194)),0)+IFERROR(--ISNUMBER(SEARCH("R60",G194)),0)+IFERROR(--ISNUMBER(SEARCH("R62",G194)),0)+IFERROR(--ISNUMBER(SEARCH("R63",G194)),0)+IFERROR(--ISNUMBER(SEARCH("R64",G194)),0)+IFERROR(--ISNUMBER(SEARCH("R66",G194)),0)+IFERROR(--ISNUMBER(SEARCH("R67",G194)),0)+IFERROR(--ISNUMBER(SEARCH("R72",G194)),0)+IFERROR(--ISNUMBER(SEARCH("R74",G194)),0)+IFERROR(--ISNUMBER(SEARCH("R75",G194)),0)+IFERROR(--ISNUMBER(SEARCH("R76",G194)),0)+IFERROR(--ISNUMBER(SEARCH("R77",G194)),0)+IFERROR(--ISNUMBER(SEARCH("R79",G194)),0)+IFERROR(--ISNUMBER(SEARCH("R80",G194)),0)+IFERROR(--ISNUMBER(SEARCH("R81",G194)),0)+IFERROR(--ISNUMBER(SEARCH("R83",G194)),0)+IFERROR(--ISNUMBER(SEARCH("R84",G194)),0)+IFERROR(--ISNUMBER(SEARCH("R89",G194)),0)+IFERROR(--ISNUMBER(SEARCH("R94",G194)),0)+IFERROR(--ISNUMBER(SEARCH("R95",G194)),0)+IFERROR(--ISNUMBER(SEARCH("R96",G194)),0)+IFERROR(--ISNUMBER(SEARCH("R98",G194)),0)+IFERROR(--ISNUMBER(SEARCH("R99",G194)),0)+IFERROR(--ISNUMBER(SEARCH("R100",G194)),0)+IFERROR(--ISNUMBER(SEARCH("R104",G194)),0)+IFERROR(--ISNUMBER(SEARCH("R105",G194)),0)+IFERROR(--ISNUMBER(SEARCH("R107",G194)),0)+IFERROR(--ISNUMBER(SEARCH("R108",G194)),0)+IFERROR(--ISNUMBER(SEARCH("R109",G194)),0)+IFERROR(--ISNUMBER(SEARCH("R110",G194)),0)+IFERROR(--ISNUMBER(SEARCH("R112",G194)),0)+IFERROR(--ISNUMBER(SEARCH("R113",G194)),0)+IFERROR(--ISNUMBER(SEARCH("R114",G194)),0)+IFERROR(--ISNUMBER(SEARCH("R118",G194)),0)+IFERROR(--ISNUMBER(SEARCH("R119",G194)),0)+IFERROR(--ISNUMBER(SEARCH("R120",G194)),0)+IFERROR(--ISNUMBER(SEARCH("R122",G194)),0)+IFERROR(--ISNUMBER(SEARCH("R123",G194)),0)+IFERROR(--ISNUMBER(SEARCH("R124",G194)),0)+IFERROR(--ISNUMBER(SEARCH("R128",G194)),0)+IFERROR(--ISNUMBER(SEARCH("R130",G194)),0)+IFERROR(--ISNUMBER(SEARCH("R131",G194)),0)+IFERROR(--ISNUMBER(SEARCH("R132",G194)),0)+IFERROR(--ISNUMBER(SEARCH("R135",G194)),0)+IFERROR(--ISNUMBER(SEARCH("R138",G194)),0)+IFERROR(--ISNUMBER(SEARCH("R141",G194)),0))</f>
        <v/>
      </c>
      <c r="U194" s="58">
        <f>IF(A194="","",IFERROR(--ISNUMBER(SEARCH("R28",G194))*28,0)+IFERROR(--ISNUMBER(SEARCH("R29",G194))*29,0)+IFERROR(--ISNUMBER(SEARCH("R30",G194))*30,0)+IFERROR(--ISNUMBER(SEARCH("R31",G194))*31,0)+IFERROR(--ISNUMBER(SEARCH("R32",G194))*32,0)+IFERROR(--ISNUMBER(SEARCH("R33",G194))*33,0)+IFERROR(--ISNUMBER(SEARCH("R34",G194))*34,0)+IFERROR(--ISNUMBER(SEARCH("R35",G194))*35,0)+IFERROR(--ISNUMBER(SEARCH("R36",G194))*36,0)+IFERROR(--ISNUMBER(SEARCH("R37",G194))*37,0)+IFERROR(--ISNUMBER(SEARCH("R38",G194))*38,0)+IFERROR(--ISNUMBER(SEARCH("R39",G194))*39,0)+IFERROR(--ISNUMBER(SEARCH("R40",G194))*40,0)+IFERROR(--ISNUMBER(SEARCH("R41",G194))*41,0)+IFERROR(--ISNUMBER(SEARCH("R42",G194))*42,0)+IFERROR(--ISNUMBER(SEARCH("R43",G194))*43,0)+IFERROR(--ISNUMBER(SEARCH("R44",G194))*44,0)+IFERROR(--ISNUMBER(SEARCH("R45",G194))*45,0)+IFERROR(--ISNUMBER(SEARCH("R46",G194))*46,0)+IFERROR(--ISNUMBER(SEARCH("R47",G194))*47,0)+IFERROR(--ISNUMBER(SEARCH("R48",G194))*48,0)+IFERROR(--ISNUMBER(SEARCH("R49",G194))*49,0)+IFERROR(--ISNUMBER(SEARCH("R50",G194))*50,0)+IFERROR(--ISNUMBER(SEARCH("R51",G194))*51,0)+IFERROR(--ISNUMBER(SEARCH("R52",G194))*52,0)+IFERROR(--ISNUMBER(SEARCH("R53",G194))*53,0)+IFERROR(--ISNUMBER(SEARCH("R54",G194))*54,0)+IFERROR(--ISNUMBER(SEARCH("R55",G194))*55,0)+IFERROR(--ISNUMBER(SEARCH("R56",G194))*56,0)+IFERROR(--ISNUMBER(SEARCH("R57",G194))*57,0)+IFERROR(--ISNUMBER(SEARCH("R58",G194))*58,0)+IFERROR(--ISNUMBER(SEARCH("R59",G194))*59,0)+IFERROR(--ISNUMBER(SEARCH("R60",G194))*60,0)+IFERROR(--ISNUMBER(SEARCH("R61",G194))*61,0)+IFERROR(--ISNUMBER(SEARCH("R62",G194))*62,0)+IFERROR(--ISNUMBER(SEARCH("R63",G194))*63,0)+IFERROR(--ISNUMBER(SEARCH("R64",G194))*64,0)+IFERROR(--ISNUMBER(SEARCH("R65",G194))*65,0)+IFERROR(--ISNUMBER(SEARCH("R66",G194))*66,0)+IFERROR(--ISNUMBER(SEARCH("R67",G194))*67,0)+IFERROR(--ISNUMBER(SEARCH("R68",G194))*68,0)+IFERROR(--ISNUMBER(SEARCH("R69",G194))*69,0)+IFERROR(--ISNUMBER(SEARCH("R70",G194))*70,0)+IFERROR(--ISNUMBER(SEARCH("R71",G194))*71,0)+IFERROR(--ISNUMBER(SEARCH("R72",G194))*72,0)+IFERROR(--ISNUMBER(SEARCH("R73",G194))*73,0)+IFERROR(--ISNUMBER(SEARCH("R74",G194))*74,0)+IFERROR(--ISNUMBER(SEARCH("R75",G194))*75,0)+IFERROR(--ISNUMBER(SEARCH("R76",G194))*76,0)+IFERROR(--ISNUMBER(SEARCH("R77",G194))*77,0)+IFERROR(--ISNUMBER(SEARCH("R78",G194))*78,0)+IFERROR(--ISNUMBER(SEARCH("R79",G194))*79,0)+IFERROR(--ISNUMBER(SEARCH("R80",G194))*80,0)+IFERROR(--ISNUMBER(SEARCH("R81",G194))*81,0)+IFERROR(--ISNUMBER(SEARCH("R82",G194))*82,0)+IFERROR(--ISNUMBER(SEARCH("R83",G194))*83,0)+IFERROR(--ISNUMBER(SEARCH("R84",G194))*84,0)+IFERROR(--ISNUMBER(SEARCH("R85",G194))*85,0)+IFERROR(--ISNUMBER(SEARCH("R86",G194))*86,0)+IFERROR(--ISNUMBER(SEARCH("R87",G194))*87,0)+IFERROR(--ISNUMBER(SEARCH("R88",G194))*88,0)+IFERROR(--ISNUMBER(SEARCH("R89",G194))*89,0)+IFERROR(--ISNUMBER(SEARCH("R90",G194))*90,0)+IFERROR(--ISNUMBER(SEARCH("R91",G194))*91,0)+IFERROR(--ISNUMBER(SEARCH("R92",G194))*92,0)+IFERROR(--ISNUMBER(SEARCH("R93",G194))*93,0)+IFERROR(--ISNUMBER(SEARCH("R94",G194))*94,0)+IFERROR(--ISNUMBER(SEARCH("R95",G194))*95,0)+IFERROR(--ISNUMBER(SEARCH("R96",G194))*96,0)+IFERROR(--ISNUMBER(SEARCH("R97",G194))*97,0)+IFERROR(--ISNUMBER(SEARCH("R98",G194))*98,0)+IFERROR(--ISNUMBER(SEARCH("R99",G194))*99,0)+IFERROR(--ISNUMBER(SEARCH("R100",G194))*100,0)+IFERROR(--ISNUMBER(SEARCH("R101",G194))*101,0)+IFERROR(--ISNUMBER(SEARCH("R102",G194))*102,0)+IFERROR(--ISNUMBER(SEARCH("R103",G194))*103,0)+IFERROR(--ISNUMBER(SEARCH("R104",G194))*104,0)+IFERROR(--ISNUMBER(SEARCH("R105",G194))*105,0)+IFERROR(--ISNUMBER(SEARCH("R106",G194))*106,0)+IFERROR(--ISNUMBER(SEARCH("R107",G194))*107,0)+IFERROR(--ISNUMBER(SEARCH("R108",G194))*108,0)+IFERROR(--ISNUMBER(SEARCH("R109",G194))*109,0)+IFERROR(--ISNUMBER(SEARCH("R110",G194))*110,0)+IFERROR(--ISNUMBER(SEARCH("R111",G194))*111,0)+IFERROR(--ISNUMBER(SEARCH("R112",G194))*112,0)+IFERROR(--ISNUMBER(SEARCH("R113",G194))*113,0)+IFERROR(--ISNUMBER(SEARCH("R114",G194))*114,0)+IFERROR(--ISNUMBER(SEARCH("R115",G194))*115,0)+IFERROR(--ISNUMBER(SEARCH("R116",G194))*116,0)+IFERROR(--ISNUMBER(SEARCH("R117",G194))*117,0)+IFERROR(--ISNUMBER(SEARCH("R118",G194))*118,0)+IFERROR(--ISNUMBER(SEARCH("R119",G194))*119,0)+IFERROR(--ISNUMBER(SEARCH("R120",G194))*120,0)+IFERROR(--ISNUMBER(SEARCH("R121",G194))*121,0)+IFERROR(--ISNUMBER(SEARCH("R122",G194))*122,0)+IFERROR(--ISNUMBER(SEARCH("R123",G194))*123,0)+IFERROR(--ISNUMBER(SEARCH("R124",G194))*124,0)+IFERROR(--ISNUMBER(SEARCH("R125",G194))*125,0)+IFERROR(--ISNUMBER(SEARCH("R126",G194))*126,0)+IFERROR(--ISNUMBER(SEARCH("R127",G194))*127,0)+IFERROR(--ISNUMBER(SEARCH("R128",G194))*128,0)+IFERROR(--ISNUMBER(SEARCH("R129",G194))*129,0)+IFERROR(--ISNUMBER(SEARCH("R130",G194))*130,0)+IFERROR(--ISNUMBER(SEARCH("R131",G194))*131,0)+IFERROR(--ISNUMBER(SEARCH("R132",G194))*132,0)+IFERROR(--ISNUMBER(SEARCH("R133",G194))*133,0)+IFERROR(--ISNUMBER(SEARCH("R134",G194))*134,0)+IFERROR(--ISNUMBER(SEARCH("R135",G194))*135,0)+IFERROR(--ISNUMBER(SEARCH("R136",G194))*136,0)+IFERROR(--ISNUMBER(SEARCH("R137",G194))*137,0)+IFERROR(--ISNUMBER(SEARCH("R138",G194))*138,0)+IFERROR(--ISNUMBER(SEARCH("R139",G194))*139,0)+IFERROR(--ISNUMBER(SEARCH("R140",G194))*140,0)+IFERROR(--ISNUMBER(SEARCH("R141",G194))*141,0))</f>
        <v/>
      </c>
      <c r="V194" s="59">
        <f>IF(A194="","",IF(K194&lt;&gt;"",K194,J194))</f>
        <v/>
      </c>
      <c r="W194" s="59">
        <f>IF(A194="","",IF(AND(V194=29,O194&lt;&gt;"",COUNTIFS($V$6:$V$505,29,$F$6:$F$505,F194,$C$6:$C$505,C194,$O$6:$O$505,"&lt;&gt;")&gt;1),IF(COUNTIFS($V$6:V194,29,$F$6:F194,F194,$C$6:C194,C194,$O$6:O194,"&lt;&gt;")=1,"Esta es la fila que se debe CONSERVAR (aparición 1 de "&amp;COUNTIFS($V$6:$V$505,29,$F$6:$F$505,F194,$C$6:$C$505,C194,$O$6:$O$505,"&lt;&gt;")&amp;" con el mismo tercero y valor, casilla 29). Si hay más filas iguales, bórreles el valor a ELLAS, no a esta.","DUPLICADO — ya existe otra fila con el mismo tercero y valor para casilla 29 (aparición "&amp;COUNTIFS($V$6:V194,29,$F$6:F194,F194,$C$6:C194,C194,$O$6:O194,"&lt;&gt;")&amp;" de "&amp;COUNTIFS($V$6:$V$505,29,$F$6:$F$505,F194,$C$6:$C$505,C194,$O$6:$O$505,"&lt;&gt;")&amp;"). Para resolverlo: seleccione la celda O"&amp;ROW()&amp;" (columna Valor a declarar de ESTA fila) y presione Supr."),""))</f>
        <v/>
      </c>
      <c r="X194" s="463">
        <f>IF(A194="","",F194)</f>
        <v/>
      </c>
      <c r="Y194" s="463">
        <f>IF(A194="","",SUMIF(Entrada_Manual!$I$88:$I$187,A194,Entrada_Manual!$F$88:$F$187))</f>
        <v/>
      </c>
      <c r="Z194" s="463">
        <f>IF(A194="","",X194-Y194)</f>
        <v/>
      </c>
      <c r="AA194">
        <f>IF(A194="","",SUMPRODUCT((Entrada_Manual!$I$88:$I$187=A194)*1))</f>
        <v/>
      </c>
      <c r="AB194">
        <f>IF(A194="","",IF(S194&lt;=1,"",IF(AA194=0,"PENDIENTE — SIN ASIGNAR",IF(Z194=0,"RESUELTO","PARCIAL — DIFERENCIA "&amp;TEXT(Z194,"#,##0")))))</f>
        <v/>
      </c>
    </row>
    <row r="195" ht="14.25" customHeight="1" s="235">
      <c r="A195" s="47">
        <f>IF(Exogena_RAW!E204&lt;&gt;"",ROW()-5,"")</f>
        <v/>
      </c>
      <c r="B195" s="48">
        <f>IF(A195="","",204)</f>
        <v/>
      </c>
      <c r="C195" s="48">
        <f>IF(A195="","",IFERROR(Exogena_RAW!A204,""))</f>
        <v/>
      </c>
      <c r="D195" s="48">
        <f>IF(A195="","",IFERROR(Exogena_RAW!B204,""))</f>
        <v/>
      </c>
      <c r="E195" s="48">
        <f>IF(A195="","",Exogena_RAW!E204)</f>
        <v/>
      </c>
      <c r="F195" s="461">
        <f>IF(A195="","",Exogena_RAW!F204)</f>
        <v/>
      </c>
      <c r="G195" s="48">
        <f>IF(A195="","",IFERROR(Exogena_RAW!G204,""))</f>
        <v/>
      </c>
      <c r="H195" s="48">
        <f>IF(A195="","",IFERROR(Exogena_RAW!H204,""))</f>
        <v/>
      </c>
      <c r="I195" s="48">
        <f>IF(A195="","",IFERROR(IF(S195&gt;1,"VARIAS CASILLAS",IF(S195=1,IF(T195=1,"PROPUESTA DE CASILLA","REVISIÓN: CASILLA NO DIRECTA"),IF(OR(ISNUMBER(SEARCH("TOPE",UPPER(E195))),ISNUMBER(SEARCH("TOPE",UPPER(G195)))),"SOLO CONTROL",IF(ISNUMBER(SEARCH("RETEN",UPPER(E195))),"RETENCIÓN","REVISAR")))),"REVISAR"))</f>
        <v/>
      </c>
      <c r="J195" s="48">
        <f>IF(A195="","",IF(ISNUMBER(SEARCH("ingreso laboral promedio de los últimos seis meses",E195)),"",IFERROR(IF(AND(S195=1,T195=1),U195,""),"")))</f>
        <v/>
      </c>
      <c r="K195" s="216" t="n"/>
      <c r="L195" s="48">
        <f>IF(A195="","",IFERROR(IF(K195&lt;&gt;"","Casilla elegida por usuario",IF(S195&gt;1,"Varias casillas — elegir en K",IF(J195&lt;&gt;"","Sugerencia directa",IF(S195=1,"No trasladar directo — revisar",IF(OR(ISNUMBER(SEARCH("TOPE",UPPER(E195))),ISNUMBER(SEARCH("TOPE",UPPER(G195)))),"Solo control","Revisar manualmente"))))),"Revisar manualmente"))</f>
        <v/>
      </c>
      <c r="M195" s="461">
        <f>IF(A195="","",IF(IF(K195&lt;&gt;"",K195,J195)="",0,IF(COUNTIFS(Reglas!$I$5:$I$118,IF(K195&lt;&gt;"",K195,J195),Reglas!$J$5:$J$118,"Sí")=1,F195,0)))</f>
        <v/>
      </c>
      <c r="N195" s="56" t="n"/>
      <c r="O195" s="462">
        <f>IF(A195="","",IF(M195=0,"",M195))</f>
        <v/>
      </c>
      <c r="P195" s="461">
        <f>IF(A195="","",IF(O195="",0,IF(ISNUMBER(O195),O195,0)))</f>
        <v/>
      </c>
      <c r="Q195" s="48">
        <f>IF(A195="","",IF(Exogena_RAW!$C$4="","BLOQUEADO: FALTA AÑO",IF(Exogena_RAW!$K$10&lt;&gt;Reglas!$B$5,"BLOQUEADO: AÑO",IF(IF(K195&lt;&gt;"",K195,J195)="",IF(S195&gt;1,"REQUIERE ASIGNACIÓN MANUAL (VARIAS CASILLAS)","INFORMATIVO (sin casilla — no se declara)"),IF(COUNTIFS(Reglas!$I$5:$I$118,IF(K195&lt;&gt;"",K195,J195),Reglas!$J$5:$J$118,"Sí")=0,"BLOQUEADO: CASILLA NO DIRECTA",IF(O195="","EXCLUIDO (valor borrado por el usuario)",IF(_xlfn.ISFORMULA(O195),IF(W195&lt;&gt;"","BORRADOR — VALOR SUGERIDO DIAN ⚠ VER ALERTA","BORRADOR — VALOR SUGERIDO DIAN"),IF(W195&lt;&gt;"","ACEPTADO ⚠ VER ALERTA","ACEPTADO"))))))))</f>
        <v/>
      </c>
      <c r="R195" s="218" t="n"/>
      <c r="S195" s="58">
        <f>IF(A195="","",IFERROR(--ISNUMBER(SEARCH("R28",G195)),0)+IFERROR(--ISNUMBER(SEARCH("R29",G195)),0)+IFERROR(--ISNUMBER(SEARCH("R30",G195)),0)+IFERROR(--ISNUMBER(SEARCH("R31",G195)),0)+IFERROR(--ISNUMBER(SEARCH("R32",G195)),0)+IFERROR(--ISNUMBER(SEARCH("R33",G195)),0)+IFERROR(--ISNUMBER(SEARCH("R34",G195)),0)+IFERROR(--ISNUMBER(SEARCH("R35",G195)),0)+IFERROR(--ISNUMBER(SEARCH("R36",G195)),0)+IFERROR(--ISNUMBER(SEARCH("R37",G195)),0)+IFERROR(--ISNUMBER(SEARCH("R38",G195)),0)+IFERROR(--ISNUMBER(SEARCH("R39",G195)),0)+IFERROR(--ISNUMBER(SEARCH("R40",G195)),0)+IFERROR(--ISNUMBER(SEARCH("R41",G195)),0)+IFERROR(--ISNUMBER(SEARCH("R42",G195)),0)+IFERROR(--ISNUMBER(SEARCH("R43",G195)),0)+IFERROR(--ISNUMBER(SEARCH("R44",G195)),0)+IFERROR(--ISNUMBER(SEARCH("R45",G195)),0)+IFERROR(--ISNUMBER(SEARCH("R46",G195)),0)+IFERROR(--ISNUMBER(SEARCH("R47",G195)),0)+IFERROR(--ISNUMBER(SEARCH("R48",G195)),0)+IFERROR(--ISNUMBER(SEARCH("R49",G195)),0)+IFERROR(--ISNUMBER(SEARCH("R50",G195)),0)+IFERROR(--ISNUMBER(SEARCH("R51",G195)),0)+IFERROR(--ISNUMBER(SEARCH("R52",G195)),0)+IFERROR(--ISNUMBER(SEARCH("R53",G195)),0)+IFERROR(--ISNUMBER(SEARCH("R54",G195)),0)+IFERROR(--ISNUMBER(SEARCH("R55",G195)),0)+IFERROR(--ISNUMBER(SEARCH("R56",G195)),0)+IFERROR(--ISNUMBER(SEARCH("R57",G195)),0)+IFERROR(--ISNUMBER(SEARCH("R58",G195)),0)+IFERROR(--ISNUMBER(SEARCH("R59",G195)),0)+IFERROR(--ISNUMBER(SEARCH("R60",G195)),0)+IFERROR(--ISNUMBER(SEARCH("R61",G195)),0)+IFERROR(--ISNUMBER(SEARCH("R62",G195)),0)+IFERROR(--ISNUMBER(SEARCH("R63",G195)),0)+IFERROR(--ISNUMBER(SEARCH("R64",G195)),0)+IFERROR(--ISNUMBER(SEARCH("R65",G195)),0)+IFERROR(--ISNUMBER(SEARCH("R66",G195)),0)+IFERROR(--ISNUMBER(SEARCH("R67",G195)),0)+IFERROR(--ISNUMBER(SEARCH("R68",G195)),0)+IFERROR(--ISNUMBER(SEARCH("R69",G195)),0)+IFERROR(--ISNUMBER(SEARCH("R70",G195)),0)+IFERROR(--ISNUMBER(SEARCH("R71",G195)),0)+IFERROR(--ISNUMBER(SEARCH("R72",G195)),0)+IFERROR(--ISNUMBER(SEARCH("R73",G195)),0)+IFERROR(--ISNUMBER(SEARCH("R74",G195)),0)+IFERROR(--ISNUMBER(SEARCH("R75",G195)),0)+IFERROR(--ISNUMBER(SEARCH("R76",G195)),0)+IFERROR(--ISNUMBER(SEARCH("R77",G195)),0)+IFERROR(--ISNUMBER(SEARCH("R78",G195)),0)+IFERROR(--ISNUMBER(SEARCH("R79",G195)),0)+IFERROR(--ISNUMBER(SEARCH("R80",G195)),0)+IFERROR(--ISNUMBER(SEARCH("R81",G195)),0)+IFERROR(--ISNUMBER(SEARCH("R82",G195)),0)+IFERROR(--ISNUMBER(SEARCH("R83",G195)),0)+IFERROR(--ISNUMBER(SEARCH("R84",G195)),0)+IFERROR(--ISNUMBER(SEARCH("R85",G195)),0)+IFERROR(--ISNUMBER(SEARCH("R86",G195)),0)+IFERROR(--ISNUMBER(SEARCH("R87",G195)),0)+IFERROR(--ISNUMBER(SEARCH("R88",G195)),0)+IFERROR(--ISNUMBER(SEARCH("R89",G195)),0)+IFERROR(--ISNUMBER(SEARCH("R90",G195)),0)+IFERROR(--ISNUMBER(SEARCH("R91",G195)),0)+IFERROR(--ISNUMBER(SEARCH("R92",G195)),0)+IFERROR(--ISNUMBER(SEARCH("R93",G195)),0)+IFERROR(--ISNUMBER(SEARCH("R94",G195)),0)+IFERROR(--ISNUMBER(SEARCH("R95",G195)),0)+IFERROR(--ISNUMBER(SEARCH("R96",G195)),0)+IFERROR(--ISNUMBER(SEARCH("R97",G195)),0)+IFERROR(--ISNUMBER(SEARCH("R98",G195)),0)+IFERROR(--ISNUMBER(SEARCH("R99",G195)),0)+IFERROR(--ISNUMBER(SEARCH("R100",G195)),0)+IFERROR(--ISNUMBER(SEARCH("R101",G195)),0)+IFERROR(--ISNUMBER(SEARCH("R102",G195)),0)+IFERROR(--ISNUMBER(SEARCH("R103",G195)),0)+IFERROR(--ISNUMBER(SEARCH("R104",G195)),0)+IFERROR(--ISNUMBER(SEARCH("R105",G195)),0)+IFERROR(--ISNUMBER(SEARCH("R106",G195)),0)+IFERROR(--ISNUMBER(SEARCH("R107",G195)),0)+IFERROR(--ISNUMBER(SEARCH("R108",G195)),0)+IFERROR(--ISNUMBER(SEARCH("R109",G195)),0)+IFERROR(--ISNUMBER(SEARCH("R110",G195)),0)+IFERROR(--ISNUMBER(SEARCH("R111",G195)),0)+IFERROR(--ISNUMBER(SEARCH("R112",G195)),0)+IFERROR(--ISNUMBER(SEARCH("R113",G195)),0)+IFERROR(--ISNUMBER(SEARCH("R114",G195)),0)+IFERROR(--ISNUMBER(SEARCH("R115",G195)),0)+IFERROR(--ISNUMBER(SEARCH("R116",G195)),0)+IFERROR(--ISNUMBER(SEARCH("R117",G195)),0)+IFERROR(--ISNUMBER(SEARCH("R118",G195)),0)+IFERROR(--ISNUMBER(SEARCH("R119",G195)),0)+IFERROR(--ISNUMBER(SEARCH("R120",G195)),0)+IFERROR(--ISNUMBER(SEARCH("R121",G195)),0)+IFERROR(--ISNUMBER(SEARCH("R122",G195)),0)+IFERROR(--ISNUMBER(SEARCH("R123",G195)),0)+IFERROR(--ISNUMBER(SEARCH("R124",G195)),0)+IFERROR(--ISNUMBER(SEARCH("R125",G195)),0)+IFERROR(--ISNUMBER(SEARCH("R126",G195)),0)+IFERROR(--ISNUMBER(SEARCH("R127",G195)),0)+IFERROR(--ISNUMBER(SEARCH("R128",G195)),0)+IFERROR(--ISNUMBER(SEARCH("R129",G195)),0)+IFERROR(--ISNUMBER(SEARCH("R130",G195)),0)+IFERROR(--ISNUMBER(SEARCH("R131",G195)),0)+IFERROR(--ISNUMBER(SEARCH("R132",G195)),0)+IFERROR(--ISNUMBER(SEARCH("R133",G195)),0)+IFERROR(--ISNUMBER(SEARCH("R134",G195)),0)+IFERROR(--ISNUMBER(SEARCH("R135",G195)),0)+IFERROR(--ISNUMBER(SEARCH("R136",G195)),0)+IFERROR(--ISNUMBER(SEARCH("R137",G195)),0)+IFERROR(--ISNUMBER(SEARCH("R138",G195)),0)+IFERROR(--ISNUMBER(SEARCH("R139",G195)),0)+IFERROR(--ISNUMBER(SEARCH("R140",G195)),0)+IFERROR(--ISNUMBER(SEARCH("R141",G195)),0))</f>
        <v/>
      </c>
      <c r="T195" s="58">
        <f>IF(A195="","",IFERROR(--ISNUMBER(SEARCH("R28",G195)),0)+IFERROR(--ISNUMBER(SEARCH("R29",G195)),0)+IFERROR(--ISNUMBER(SEARCH("R30",G195)),0)+IFERROR(--ISNUMBER(SEARCH("R32",G195)),0)+IFERROR(--ISNUMBER(SEARCH("R33",G195)),0)+IFERROR(--ISNUMBER(SEARCH("R35",G195)),0)+IFERROR(--ISNUMBER(SEARCH("R36",G195)),0)+IFERROR(--ISNUMBER(SEARCH("R38",G195)),0)+IFERROR(--ISNUMBER(SEARCH("R39",G195)),0)+IFERROR(--ISNUMBER(SEARCH("R43",G195)),0)+IFERROR(--ISNUMBER(SEARCH("R44",G195)),0)+IFERROR(--ISNUMBER(SEARCH("R45",G195)),0)+IFERROR(--ISNUMBER(SEARCH("R47",G195)),0)+IFERROR(--ISNUMBER(SEARCH("R48",G195)),0)+IFERROR(--ISNUMBER(SEARCH("R50",G195)),0)+IFERROR(--ISNUMBER(SEARCH("R51",G195)),0)+IFERROR(--ISNUMBER(SEARCH("R56",G195)),0)+IFERROR(--ISNUMBER(SEARCH("R58",G195)),0)+IFERROR(--ISNUMBER(SEARCH("R59",G195)),0)+IFERROR(--ISNUMBER(SEARCH("R60",G195)),0)+IFERROR(--ISNUMBER(SEARCH("R62",G195)),0)+IFERROR(--ISNUMBER(SEARCH("R63",G195)),0)+IFERROR(--ISNUMBER(SEARCH("R64",G195)),0)+IFERROR(--ISNUMBER(SEARCH("R66",G195)),0)+IFERROR(--ISNUMBER(SEARCH("R67",G195)),0)+IFERROR(--ISNUMBER(SEARCH("R72",G195)),0)+IFERROR(--ISNUMBER(SEARCH("R74",G195)),0)+IFERROR(--ISNUMBER(SEARCH("R75",G195)),0)+IFERROR(--ISNUMBER(SEARCH("R76",G195)),0)+IFERROR(--ISNUMBER(SEARCH("R77",G195)),0)+IFERROR(--ISNUMBER(SEARCH("R79",G195)),0)+IFERROR(--ISNUMBER(SEARCH("R80",G195)),0)+IFERROR(--ISNUMBER(SEARCH("R81",G195)),0)+IFERROR(--ISNUMBER(SEARCH("R83",G195)),0)+IFERROR(--ISNUMBER(SEARCH("R84",G195)),0)+IFERROR(--ISNUMBER(SEARCH("R89",G195)),0)+IFERROR(--ISNUMBER(SEARCH("R94",G195)),0)+IFERROR(--ISNUMBER(SEARCH("R95",G195)),0)+IFERROR(--ISNUMBER(SEARCH("R96",G195)),0)+IFERROR(--ISNUMBER(SEARCH("R98",G195)),0)+IFERROR(--ISNUMBER(SEARCH("R99",G195)),0)+IFERROR(--ISNUMBER(SEARCH("R100",G195)),0)+IFERROR(--ISNUMBER(SEARCH("R104",G195)),0)+IFERROR(--ISNUMBER(SEARCH("R105",G195)),0)+IFERROR(--ISNUMBER(SEARCH("R107",G195)),0)+IFERROR(--ISNUMBER(SEARCH("R108",G195)),0)+IFERROR(--ISNUMBER(SEARCH("R109",G195)),0)+IFERROR(--ISNUMBER(SEARCH("R110",G195)),0)+IFERROR(--ISNUMBER(SEARCH("R112",G195)),0)+IFERROR(--ISNUMBER(SEARCH("R113",G195)),0)+IFERROR(--ISNUMBER(SEARCH("R114",G195)),0)+IFERROR(--ISNUMBER(SEARCH("R118",G195)),0)+IFERROR(--ISNUMBER(SEARCH("R119",G195)),0)+IFERROR(--ISNUMBER(SEARCH("R120",G195)),0)+IFERROR(--ISNUMBER(SEARCH("R122",G195)),0)+IFERROR(--ISNUMBER(SEARCH("R123",G195)),0)+IFERROR(--ISNUMBER(SEARCH("R124",G195)),0)+IFERROR(--ISNUMBER(SEARCH("R128",G195)),0)+IFERROR(--ISNUMBER(SEARCH("R130",G195)),0)+IFERROR(--ISNUMBER(SEARCH("R131",G195)),0)+IFERROR(--ISNUMBER(SEARCH("R132",G195)),0)+IFERROR(--ISNUMBER(SEARCH("R135",G195)),0)+IFERROR(--ISNUMBER(SEARCH("R138",G195)),0)+IFERROR(--ISNUMBER(SEARCH("R141",G195)),0))</f>
        <v/>
      </c>
      <c r="U195" s="58">
        <f>IF(A195="","",IFERROR(--ISNUMBER(SEARCH("R28",G195))*28,0)+IFERROR(--ISNUMBER(SEARCH("R29",G195))*29,0)+IFERROR(--ISNUMBER(SEARCH("R30",G195))*30,0)+IFERROR(--ISNUMBER(SEARCH("R31",G195))*31,0)+IFERROR(--ISNUMBER(SEARCH("R32",G195))*32,0)+IFERROR(--ISNUMBER(SEARCH("R33",G195))*33,0)+IFERROR(--ISNUMBER(SEARCH("R34",G195))*34,0)+IFERROR(--ISNUMBER(SEARCH("R35",G195))*35,0)+IFERROR(--ISNUMBER(SEARCH("R36",G195))*36,0)+IFERROR(--ISNUMBER(SEARCH("R37",G195))*37,0)+IFERROR(--ISNUMBER(SEARCH("R38",G195))*38,0)+IFERROR(--ISNUMBER(SEARCH("R39",G195))*39,0)+IFERROR(--ISNUMBER(SEARCH("R40",G195))*40,0)+IFERROR(--ISNUMBER(SEARCH("R41",G195))*41,0)+IFERROR(--ISNUMBER(SEARCH("R42",G195))*42,0)+IFERROR(--ISNUMBER(SEARCH("R43",G195))*43,0)+IFERROR(--ISNUMBER(SEARCH("R44",G195))*44,0)+IFERROR(--ISNUMBER(SEARCH("R45",G195))*45,0)+IFERROR(--ISNUMBER(SEARCH("R46",G195))*46,0)+IFERROR(--ISNUMBER(SEARCH("R47",G195))*47,0)+IFERROR(--ISNUMBER(SEARCH("R48",G195))*48,0)+IFERROR(--ISNUMBER(SEARCH("R49",G195))*49,0)+IFERROR(--ISNUMBER(SEARCH("R50",G195))*50,0)+IFERROR(--ISNUMBER(SEARCH("R51",G195))*51,0)+IFERROR(--ISNUMBER(SEARCH("R52",G195))*52,0)+IFERROR(--ISNUMBER(SEARCH("R53",G195))*53,0)+IFERROR(--ISNUMBER(SEARCH("R54",G195))*54,0)+IFERROR(--ISNUMBER(SEARCH("R55",G195))*55,0)+IFERROR(--ISNUMBER(SEARCH("R56",G195))*56,0)+IFERROR(--ISNUMBER(SEARCH("R57",G195))*57,0)+IFERROR(--ISNUMBER(SEARCH("R58",G195))*58,0)+IFERROR(--ISNUMBER(SEARCH("R59",G195))*59,0)+IFERROR(--ISNUMBER(SEARCH("R60",G195))*60,0)+IFERROR(--ISNUMBER(SEARCH("R61",G195))*61,0)+IFERROR(--ISNUMBER(SEARCH("R62",G195))*62,0)+IFERROR(--ISNUMBER(SEARCH("R63",G195))*63,0)+IFERROR(--ISNUMBER(SEARCH("R64",G195))*64,0)+IFERROR(--ISNUMBER(SEARCH("R65",G195))*65,0)+IFERROR(--ISNUMBER(SEARCH("R66",G195))*66,0)+IFERROR(--ISNUMBER(SEARCH("R67",G195))*67,0)+IFERROR(--ISNUMBER(SEARCH("R68",G195))*68,0)+IFERROR(--ISNUMBER(SEARCH("R69",G195))*69,0)+IFERROR(--ISNUMBER(SEARCH("R70",G195))*70,0)+IFERROR(--ISNUMBER(SEARCH("R71",G195))*71,0)+IFERROR(--ISNUMBER(SEARCH("R72",G195))*72,0)+IFERROR(--ISNUMBER(SEARCH("R73",G195))*73,0)+IFERROR(--ISNUMBER(SEARCH("R74",G195))*74,0)+IFERROR(--ISNUMBER(SEARCH("R75",G195))*75,0)+IFERROR(--ISNUMBER(SEARCH("R76",G195))*76,0)+IFERROR(--ISNUMBER(SEARCH("R77",G195))*77,0)+IFERROR(--ISNUMBER(SEARCH("R78",G195))*78,0)+IFERROR(--ISNUMBER(SEARCH("R79",G195))*79,0)+IFERROR(--ISNUMBER(SEARCH("R80",G195))*80,0)+IFERROR(--ISNUMBER(SEARCH("R81",G195))*81,0)+IFERROR(--ISNUMBER(SEARCH("R82",G195))*82,0)+IFERROR(--ISNUMBER(SEARCH("R83",G195))*83,0)+IFERROR(--ISNUMBER(SEARCH("R84",G195))*84,0)+IFERROR(--ISNUMBER(SEARCH("R85",G195))*85,0)+IFERROR(--ISNUMBER(SEARCH("R86",G195))*86,0)+IFERROR(--ISNUMBER(SEARCH("R87",G195))*87,0)+IFERROR(--ISNUMBER(SEARCH("R88",G195))*88,0)+IFERROR(--ISNUMBER(SEARCH("R89",G195))*89,0)+IFERROR(--ISNUMBER(SEARCH("R90",G195))*90,0)+IFERROR(--ISNUMBER(SEARCH("R91",G195))*91,0)+IFERROR(--ISNUMBER(SEARCH("R92",G195))*92,0)+IFERROR(--ISNUMBER(SEARCH("R93",G195))*93,0)+IFERROR(--ISNUMBER(SEARCH("R94",G195))*94,0)+IFERROR(--ISNUMBER(SEARCH("R95",G195))*95,0)+IFERROR(--ISNUMBER(SEARCH("R96",G195))*96,0)+IFERROR(--ISNUMBER(SEARCH("R97",G195))*97,0)+IFERROR(--ISNUMBER(SEARCH("R98",G195))*98,0)+IFERROR(--ISNUMBER(SEARCH("R99",G195))*99,0)+IFERROR(--ISNUMBER(SEARCH("R100",G195))*100,0)+IFERROR(--ISNUMBER(SEARCH("R101",G195))*101,0)+IFERROR(--ISNUMBER(SEARCH("R102",G195))*102,0)+IFERROR(--ISNUMBER(SEARCH("R103",G195))*103,0)+IFERROR(--ISNUMBER(SEARCH("R104",G195))*104,0)+IFERROR(--ISNUMBER(SEARCH("R105",G195))*105,0)+IFERROR(--ISNUMBER(SEARCH("R106",G195))*106,0)+IFERROR(--ISNUMBER(SEARCH("R107",G195))*107,0)+IFERROR(--ISNUMBER(SEARCH("R108",G195))*108,0)+IFERROR(--ISNUMBER(SEARCH("R109",G195))*109,0)+IFERROR(--ISNUMBER(SEARCH("R110",G195))*110,0)+IFERROR(--ISNUMBER(SEARCH("R111",G195))*111,0)+IFERROR(--ISNUMBER(SEARCH("R112",G195))*112,0)+IFERROR(--ISNUMBER(SEARCH("R113",G195))*113,0)+IFERROR(--ISNUMBER(SEARCH("R114",G195))*114,0)+IFERROR(--ISNUMBER(SEARCH("R115",G195))*115,0)+IFERROR(--ISNUMBER(SEARCH("R116",G195))*116,0)+IFERROR(--ISNUMBER(SEARCH("R117",G195))*117,0)+IFERROR(--ISNUMBER(SEARCH("R118",G195))*118,0)+IFERROR(--ISNUMBER(SEARCH("R119",G195))*119,0)+IFERROR(--ISNUMBER(SEARCH("R120",G195))*120,0)+IFERROR(--ISNUMBER(SEARCH("R121",G195))*121,0)+IFERROR(--ISNUMBER(SEARCH("R122",G195))*122,0)+IFERROR(--ISNUMBER(SEARCH("R123",G195))*123,0)+IFERROR(--ISNUMBER(SEARCH("R124",G195))*124,0)+IFERROR(--ISNUMBER(SEARCH("R125",G195))*125,0)+IFERROR(--ISNUMBER(SEARCH("R126",G195))*126,0)+IFERROR(--ISNUMBER(SEARCH("R127",G195))*127,0)+IFERROR(--ISNUMBER(SEARCH("R128",G195))*128,0)+IFERROR(--ISNUMBER(SEARCH("R129",G195))*129,0)+IFERROR(--ISNUMBER(SEARCH("R130",G195))*130,0)+IFERROR(--ISNUMBER(SEARCH("R131",G195))*131,0)+IFERROR(--ISNUMBER(SEARCH("R132",G195))*132,0)+IFERROR(--ISNUMBER(SEARCH("R133",G195))*133,0)+IFERROR(--ISNUMBER(SEARCH("R134",G195))*134,0)+IFERROR(--ISNUMBER(SEARCH("R135",G195))*135,0)+IFERROR(--ISNUMBER(SEARCH("R136",G195))*136,0)+IFERROR(--ISNUMBER(SEARCH("R137",G195))*137,0)+IFERROR(--ISNUMBER(SEARCH("R138",G195))*138,0)+IFERROR(--ISNUMBER(SEARCH("R139",G195))*139,0)+IFERROR(--ISNUMBER(SEARCH("R140",G195))*140,0)+IFERROR(--ISNUMBER(SEARCH("R141",G195))*141,0))</f>
        <v/>
      </c>
      <c r="V195" s="59">
        <f>IF(A195="","",IF(K195&lt;&gt;"",K195,J195))</f>
        <v/>
      </c>
      <c r="W195" s="59">
        <f>IF(A195="","",IF(AND(V195=29,O195&lt;&gt;"",COUNTIFS($V$6:$V$505,29,$F$6:$F$505,F195,$C$6:$C$505,C195,$O$6:$O$505,"&lt;&gt;")&gt;1),IF(COUNTIFS($V$6:V195,29,$F$6:F195,F195,$C$6:C195,C195,$O$6:O195,"&lt;&gt;")=1,"Esta es la fila que se debe CONSERVAR (aparición 1 de "&amp;COUNTIFS($V$6:$V$505,29,$F$6:$F$505,F195,$C$6:$C$505,C195,$O$6:$O$505,"&lt;&gt;")&amp;" con el mismo tercero y valor, casilla 29). Si hay más filas iguales, bórreles el valor a ELLAS, no a esta.","DUPLICADO — ya existe otra fila con el mismo tercero y valor para casilla 29 (aparición "&amp;COUNTIFS($V$6:V195,29,$F$6:F195,F195,$C$6:C195,C195,$O$6:O195,"&lt;&gt;")&amp;" de "&amp;COUNTIFS($V$6:$V$505,29,$F$6:$F$505,F195,$C$6:$C$505,C195,$O$6:$O$505,"&lt;&gt;")&amp;"). Para resolverlo: seleccione la celda O"&amp;ROW()&amp;" (columna Valor a declarar de ESTA fila) y presione Supr."),""))</f>
        <v/>
      </c>
      <c r="X195" s="463">
        <f>IF(A195="","",F195)</f>
        <v/>
      </c>
      <c r="Y195" s="463">
        <f>IF(A195="","",SUMIF(Entrada_Manual!$I$88:$I$187,A195,Entrada_Manual!$F$88:$F$187))</f>
        <v/>
      </c>
      <c r="Z195" s="463">
        <f>IF(A195="","",X195-Y195)</f>
        <v/>
      </c>
      <c r="AA195">
        <f>IF(A195="","",SUMPRODUCT((Entrada_Manual!$I$88:$I$187=A195)*1))</f>
        <v/>
      </c>
      <c r="AB195">
        <f>IF(A195="","",IF(S195&lt;=1,"",IF(AA195=0,"PENDIENTE — SIN ASIGNAR",IF(Z195=0,"RESUELTO","PARCIAL — DIFERENCIA "&amp;TEXT(Z195,"#,##0")))))</f>
        <v/>
      </c>
    </row>
    <row r="196" ht="14.25" customHeight="1" s="235">
      <c r="A196" s="47">
        <f>IF(Exogena_RAW!E205&lt;&gt;"",ROW()-5,"")</f>
        <v/>
      </c>
      <c r="B196" s="48">
        <f>IF(A196="","",205)</f>
        <v/>
      </c>
      <c r="C196" s="48">
        <f>IF(A196="","",IFERROR(Exogena_RAW!A205,""))</f>
        <v/>
      </c>
      <c r="D196" s="48">
        <f>IF(A196="","",IFERROR(Exogena_RAW!B205,""))</f>
        <v/>
      </c>
      <c r="E196" s="48">
        <f>IF(A196="","",Exogena_RAW!E205)</f>
        <v/>
      </c>
      <c r="F196" s="461">
        <f>IF(A196="","",Exogena_RAW!F205)</f>
        <v/>
      </c>
      <c r="G196" s="48">
        <f>IF(A196="","",IFERROR(Exogena_RAW!G205,""))</f>
        <v/>
      </c>
      <c r="H196" s="48">
        <f>IF(A196="","",IFERROR(Exogena_RAW!H205,""))</f>
        <v/>
      </c>
      <c r="I196" s="48">
        <f>IF(A196="","",IFERROR(IF(S196&gt;1,"VARIAS CASILLAS",IF(S196=1,IF(T196=1,"PROPUESTA DE CASILLA","REVISIÓN: CASILLA NO DIRECTA"),IF(OR(ISNUMBER(SEARCH("TOPE",UPPER(E196))),ISNUMBER(SEARCH("TOPE",UPPER(G196)))),"SOLO CONTROL",IF(ISNUMBER(SEARCH("RETEN",UPPER(E196))),"RETENCIÓN","REVISAR")))),"REVISAR"))</f>
        <v/>
      </c>
      <c r="J196" s="48">
        <f>IF(A196="","",IF(ISNUMBER(SEARCH("ingreso laboral promedio de los últimos seis meses",E196)),"",IFERROR(IF(AND(S196=1,T196=1),U196,""),"")))</f>
        <v/>
      </c>
      <c r="K196" s="216" t="n"/>
      <c r="L196" s="48">
        <f>IF(A196="","",IFERROR(IF(K196&lt;&gt;"","Casilla elegida por usuario",IF(S196&gt;1,"Varias casillas — elegir en K",IF(J196&lt;&gt;"","Sugerencia directa",IF(S196=1,"No trasladar directo — revisar",IF(OR(ISNUMBER(SEARCH("TOPE",UPPER(E196))),ISNUMBER(SEARCH("TOPE",UPPER(G196)))),"Solo control","Revisar manualmente"))))),"Revisar manualmente"))</f>
        <v/>
      </c>
      <c r="M196" s="461">
        <f>IF(A196="","",IF(IF(K196&lt;&gt;"",K196,J196)="",0,IF(COUNTIFS(Reglas!$I$5:$I$118,IF(K196&lt;&gt;"",K196,J196),Reglas!$J$5:$J$118,"Sí")=1,F196,0)))</f>
        <v/>
      </c>
      <c r="N196" s="56" t="n"/>
      <c r="O196" s="462">
        <f>IF(A196="","",IF(M196=0,"",M196))</f>
        <v/>
      </c>
      <c r="P196" s="461">
        <f>IF(A196="","",IF(O196="",0,IF(ISNUMBER(O196),O196,0)))</f>
        <v/>
      </c>
      <c r="Q196" s="48">
        <f>IF(A196="","",IF(Exogena_RAW!$C$4="","BLOQUEADO: FALTA AÑO",IF(Exogena_RAW!$K$10&lt;&gt;Reglas!$B$5,"BLOQUEADO: AÑO",IF(IF(K196&lt;&gt;"",K196,J196)="",IF(S196&gt;1,"REQUIERE ASIGNACIÓN MANUAL (VARIAS CASILLAS)","INFORMATIVO (sin casilla — no se declara)"),IF(COUNTIFS(Reglas!$I$5:$I$118,IF(K196&lt;&gt;"",K196,J196),Reglas!$J$5:$J$118,"Sí")=0,"BLOQUEADO: CASILLA NO DIRECTA",IF(O196="","EXCLUIDO (valor borrado por el usuario)",IF(_xlfn.ISFORMULA(O196),IF(W196&lt;&gt;"","BORRADOR — VALOR SUGERIDO DIAN ⚠ VER ALERTA","BORRADOR — VALOR SUGERIDO DIAN"),IF(W196&lt;&gt;"","ACEPTADO ⚠ VER ALERTA","ACEPTADO"))))))))</f>
        <v/>
      </c>
      <c r="R196" s="218" t="n"/>
      <c r="S196" s="58">
        <f>IF(A196="","",IFERROR(--ISNUMBER(SEARCH("R28",G196)),0)+IFERROR(--ISNUMBER(SEARCH("R29",G196)),0)+IFERROR(--ISNUMBER(SEARCH("R30",G196)),0)+IFERROR(--ISNUMBER(SEARCH("R31",G196)),0)+IFERROR(--ISNUMBER(SEARCH("R32",G196)),0)+IFERROR(--ISNUMBER(SEARCH("R33",G196)),0)+IFERROR(--ISNUMBER(SEARCH("R34",G196)),0)+IFERROR(--ISNUMBER(SEARCH("R35",G196)),0)+IFERROR(--ISNUMBER(SEARCH("R36",G196)),0)+IFERROR(--ISNUMBER(SEARCH("R37",G196)),0)+IFERROR(--ISNUMBER(SEARCH("R38",G196)),0)+IFERROR(--ISNUMBER(SEARCH("R39",G196)),0)+IFERROR(--ISNUMBER(SEARCH("R40",G196)),0)+IFERROR(--ISNUMBER(SEARCH("R41",G196)),0)+IFERROR(--ISNUMBER(SEARCH("R42",G196)),0)+IFERROR(--ISNUMBER(SEARCH("R43",G196)),0)+IFERROR(--ISNUMBER(SEARCH("R44",G196)),0)+IFERROR(--ISNUMBER(SEARCH("R45",G196)),0)+IFERROR(--ISNUMBER(SEARCH("R46",G196)),0)+IFERROR(--ISNUMBER(SEARCH("R47",G196)),0)+IFERROR(--ISNUMBER(SEARCH("R48",G196)),0)+IFERROR(--ISNUMBER(SEARCH("R49",G196)),0)+IFERROR(--ISNUMBER(SEARCH("R50",G196)),0)+IFERROR(--ISNUMBER(SEARCH("R51",G196)),0)+IFERROR(--ISNUMBER(SEARCH("R52",G196)),0)+IFERROR(--ISNUMBER(SEARCH("R53",G196)),0)+IFERROR(--ISNUMBER(SEARCH("R54",G196)),0)+IFERROR(--ISNUMBER(SEARCH("R55",G196)),0)+IFERROR(--ISNUMBER(SEARCH("R56",G196)),0)+IFERROR(--ISNUMBER(SEARCH("R57",G196)),0)+IFERROR(--ISNUMBER(SEARCH("R58",G196)),0)+IFERROR(--ISNUMBER(SEARCH("R59",G196)),0)+IFERROR(--ISNUMBER(SEARCH("R60",G196)),0)+IFERROR(--ISNUMBER(SEARCH("R61",G196)),0)+IFERROR(--ISNUMBER(SEARCH("R62",G196)),0)+IFERROR(--ISNUMBER(SEARCH("R63",G196)),0)+IFERROR(--ISNUMBER(SEARCH("R64",G196)),0)+IFERROR(--ISNUMBER(SEARCH("R65",G196)),0)+IFERROR(--ISNUMBER(SEARCH("R66",G196)),0)+IFERROR(--ISNUMBER(SEARCH("R67",G196)),0)+IFERROR(--ISNUMBER(SEARCH("R68",G196)),0)+IFERROR(--ISNUMBER(SEARCH("R69",G196)),0)+IFERROR(--ISNUMBER(SEARCH("R70",G196)),0)+IFERROR(--ISNUMBER(SEARCH("R71",G196)),0)+IFERROR(--ISNUMBER(SEARCH("R72",G196)),0)+IFERROR(--ISNUMBER(SEARCH("R73",G196)),0)+IFERROR(--ISNUMBER(SEARCH("R74",G196)),0)+IFERROR(--ISNUMBER(SEARCH("R75",G196)),0)+IFERROR(--ISNUMBER(SEARCH("R76",G196)),0)+IFERROR(--ISNUMBER(SEARCH("R77",G196)),0)+IFERROR(--ISNUMBER(SEARCH("R78",G196)),0)+IFERROR(--ISNUMBER(SEARCH("R79",G196)),0)+IFERROR(--ISNUMBER(SEARCH("R80",G196)),0)+IFERROR(--ISNUMBER(SEARCH("R81",G196)),0)+IFERROR(--ISNUMBER(SEARCH("R82",G196)),0)+IFERROR(--ISNUMBER(SEARCH("R83",G196)),0)+IFERROR(--ISNUMBER(SEARCH("R84",G196)),0)+IFERROR(--ISNUMBER(SEARCH("R85",G196)),0)+IFERROR(--ISNUMBER(SEARCH("R86",G196)),0)+IFERROR(--ISNUMBER(SEARCH("R87",G196)),0)+IFERROR(--ISNUMBER(SEARCH("R88",G196)),0)+IFERROR(--ISNUMBER(SEARCH("R89",G196)),0)+IFERROR(--ISNUMBER(SEARCH("R90",G196)),0)+IFERROR(--ISNUMBER(SEARCH("R91",G196)),0)+IFERROR(--ISNUMBER(SEARCH("R92",G196)),0)+IFERROR(--ISNUMBER(SEARCH("R93",G196)),0)+IFERROR(--ISNUMBER(SEARCH("R94",G196)),0)+IFERROR(--ISNUMBER(SEARCH("R95",G196)),0)+IFERROR(--ISNUMBER(SEARCH("R96",G196)),0)+IFERROR(--ISNUMBER(SEARCH("R97",G196)),0)+IFERROR(--ISNUMBER(SEARCH("R98",G196)),0)+IFERROR(--ISNUMBER(SEARCH("R99",G196)),0)+IFERROR(--ISNUMBER(SEARCH("R100",G196)),0)+IFERROR(--ISNUMBER(SEARCH("R101",G196)),0)+IFERROR(--ISNUMBER(SEARCH("R102",G196)),0)+IFERROR(--ISNUMBER(SEARCH("R103",G196)),0)+IFERROR(--ISNUMBER(SEARCH("R104",G196)),0)+IFERROR(--ISNUMBER(SEARCH("R105",G196)),0)+IFERROR(--ISNUMBER(SEARCH("R106",G196)),0)+IFERROR(--ISNUMBER(SEARCH("R107",G196)),0)+IFERROR(--ISNUMBER(SEARCH("R108",G196)),0)+IFERROR(--ISNUMBER(SEARCH("R109",G196)),0)+IFERROR(--ISNUMBER(SEARCH("R110",G196)),0)+IFERROR(--ISNUMBER(SEARCH("R111",G196)),0)+IFERROR(--ISNUMBER(SEARCH("R112",G196)),0)+IFERROR(--ISNUMBER(SEARCH("R113",G196)),0)+IFERROR(--ISNUMBER(SEARCH("R114",G196)),0)+IFERROR(--ISNUMBER(SEARCH("R115",G196)),0)+IFERROR(--ISNUMBER(SEARCH("R116",G196)),0)+IFERROR(--ISNUMBER(SEARCH("R117",G196)),0)+IFERROR(--ISNUMBER(SEARCH("R118",G196)),0)+IFERROR(--ISNUMBER(SEARCH("R119",G196)),0)+IFERROR(--ISNUMBER(SEARCH("R120",G196)),0)+IFERROR(--ISNUMBER(SEARCH("R121",G196)),0)+IFERROR(--ISNUMBER(SEARCH("R122",G196)),0)+IFERROR(--ISNUMBER(SEARCH("R123",G196)),0)+IFERROR(--ISNUMBER(SEARCH("R124",G196)),0)+IFERROR(--ISNUMBER(SEARCH("R125",G196)),0)+IFERROR(--ISNUMBER(SEARCH("R126",G196)),0)+IFERROR(--ISNUMBER(SEARCH("R127",G196)),0)+IFERROR(--ISNUMBER(SEARCH("R128",G196)),0)+IFERROR(--ISNUMBER(SEARCH("R129",G196)),0)+IFERROR(--ISNUMBER(SEARCH("R130",G196)),0)+IFERROR(--ISNUMBER(SEARCH("R131",G196)),0)+IFERROR(--ISNUMBER(SEARCH("R132",G196)),0)+IFERROR(--ISNUMBER(SEARCH("R133",G196)),0)+IFERROR(--ISNUMBER(SEARCH("R134",G196)),0)+IFERROR(--ISNUMBER(SEARCH("R135",G196)),0)+IFERROR(--ISNUMBER(SEARCH("R136",G196)),0)+IFERROR(--ISNUMBER(SEARCH("R137",G196)),0)+IFERROR(--ISNUMBER(SEARCH("R138",G196)),0)+IFERROR(--ISNUMBER(SEARCH("R139",G196)),0)+IFERROR(--ISNUMBER(SEARCH("R140",G196)),0)+IFERROR(--ISNUMBER(SEARCH("R141",G196)),0))</f>
        <v/>
      </c>
      <c r="T196" s="58">
        <f>IF(A196="","",IFERROR(--ISNUMBER(SEARCH("R28",G196)),0)+IFERROR(--ISNUMBER(SEARCH("R29",G196)),0)+IFERROR(--ISNUMBER(SEARCH("R30",G196)),0)+IFERROR(--ISNUMBER(SEARCH("R32",G196)),0)+IFERROR(--ISNUMBER(SEARCH("R33",G196)),0)+IFERROR(--ISNUMBER(SEARCH("R35",G196)),0)+IFERROR(--ISNUMBER(SEARCH("R36",G196)),0)+IFERROR(--ISNUMBER(SEARCH("R38",G196)),0)+IFERROR(--ISNUMBER(SEARCH("R39",G196)),0)+IFERROR(--ISNUMBER(SEARCH("R43",G196)),0)+IFERROR(--ISNUMBER(SEARCH("R44",G196)),0)+IFERROR(--ISNUMBER(SEARCH("R45",G196)),0)+IFERROR(--ISNUMBER(SEARCH("R47",G196)),0)+IFERROR(--ISNUMBER(SEARCH("R48",G196)),0)+IFERROR(--ISNUMBER(SEARCH("R50",G196)),0)+IFERROR(--ISNUMBER(SEARCH("R51",G196)),0)+IFERROR(--ISNUMBER(SEARCH("R56",G196)),0)+IFERROR(--ISNUMBER(SEARCH("R58",G196)),0)+IFERROR(--ISNUMBER(SEARCH("R59",G196)),0)+IFERROR(--ISNUMBER(SEARCH("R60",G196)),0)+IFERROR(--ISNUMBER(SEARCH("R62",G196)),0)+IFERROR(--ISNUMBER(SEARCH("R63",G196)),0)+IFERROR(--ISNUMBER(SEARCH("R64",G196)),0)+IFERROR(--ISNUMBER(SEARCH("R66",G196)),0)+IFERROR(--ISNUMBER(SEARCH("R67",G196)),0)+IFERROR(--ISNUMBER(SEARCH("R72",G196)),0)+IFERROR(--ISNUMBER(SEARCH("R74",G196)),0)+IFERROR(--ISNUMBER(SEARCH("R75",G196)),0)+IFERROR(--ISNUMBER(SEARCH("R76",G196)),0)+IFERROR(--ISNUMBER(SEARCH("R77",G196)),0)+IFERROR(--ISNUMBER(SEARCH("R79",G196)),0)+IFERROR(--ISNUMBER(SEARCH("R80",G196)),0)+IFERROR(--ISNUMBER(SEARCH("R81",G196)),0)+IFERROR(--ISNUMBER(SEARCH("R83",G196)),0)+IFERROR(--ISNUMBER(SEARCH("R84",G196)),0)+IFERROR(--ISNUMBER(SEARCH("R89",G196)),0)+IFERROR(--ISNUMBER(SEARCH("R94",G196)),0)+IFERROR(--ISNUMBER(SEARCH("R95",G196)),0)+IFERROR(--ISNUMBER(SEARCH("R96",G196)),0)+IFERROR(--ISNUMBER(SEARCH("R98",G196)),0)+IFERROR(--ISNUMBER(SEARCH("R99",G196)),0)+IFERROR(--ISNUMBER(SEARCH("R100",G196)),0)+IFERROR(--ISNUMBER(SEARCH("R104",G196)),0)+IFERROR(--ISNUMBER(SEARCH("R105",G196)),0)+IFERROR(--ISNUMBER(SEARCH("R107",G196)),0)+IFERROR(--ISNUMBER(SEARCH("R108",G196)),0)+IFERROR(--ISNUMBER(SEARCH("R109",G196)),0)+IFERROR(--ISNUMBER(SEARCH("R110",G196)),0)+IFERROR(--ISNUMBER(SEARCH("R112",G196)),0)+IFERROR(--ISNUMBER(SEARCH("R113",G196)),0)+IFERROR(--ISNUMBER(SEARCH("R114",G196)),0)+IFERROR(--ISNUMBER(SEARCH("R118",G196)),0)+IFERROR(--ISNUMBER(SEARCH("R119",G196)),0)+IFERROR(--ISNUMBER(SEARCH("R120",G196)),0)+IFERROR(--ISNUMBER(SEARCH("R122",G196)),0)+IFERROR(--ISNUMBER(SEARCH("R123",G196)),0)+IFERROR(--ISNUMBER(SEARCH("R124",G196)),0)+IFERROR(--ISNUMBER(SEARCH("R128",G196)),0)+IFERROR(--ISNUMBER(SEARCH("R130",G196)),0)+IFERROR(--ISNUMBER(SEARCH("R131",G196)),0)+IFERROR(--ISNUMBER(SEARCH("R132",G196)),0)+IFERROR(--ISNUMBER(SEARCH("R135",G196)),0)+IFERROR(--ISNUMBER(SEARCH("R138",G196)),0)+IFERROR(--ISNUMBER(SEARCH("R141",G196)),0))</f>
        <v/>
      </c>
      <c r="U196" s="58">
        <f>IF(A196="","",IFERROR(--ISNUMBER(SEARCH("R28",G196))*28,0)+IFERROR(--ISNUMBER(SEARCH("R29",G196))*29,0)+IFERROR(--ISNUMBER(SEARCH("R30",G196))*30,0)+IFERROR(--ISNUMBER(SEARCH("R31",G196))*31,0)+IFERROR(--ISNUMBER(SEARCH("R32",G196))*32,0)+IFERROR(--ISNUMBER(SEARCH("R33",G196))*33,0)+IFERROR(--ISNUMBER(SEARCH("R34",G196))*34,0)+IFERROR(--ISNUMBER(SEARCH("R35",G196))*35,0)+IFERROR(--ISNUMBER(SEARCH("R36",G196))*36,0)+IFERROR(--ISNUMBER(SEARCH("R37",G196))*37,0)+IFERROR(--ISNUMBER(SEARCH("R38",G196))*38,0)+IFERROR(--ISNUMBER(SEARCH("R39",G196))*39,0)+IFERROR(--ISNUMBER(SEARCH("R40",G196))*40,0)+IFERROR(--ISNUMBER(SEARCH("R41",G196))*41,0)+IFERROR(--ISNUMBER(SEARCH("R42",G196))*42,0)+IFERROR(--ISNUMBER(SEARCH("R43",G196))*43,0)+IFERROR(--ISNUMBER(SEARCH("R44",G196))*44,0)+IFERROR(--ISNUMBER(SEARCH("R45",G196))*45,0)+IFERROR(--ISNUMBER(SEARCH("R46",G196))*46,0)+IFERROR(--ISNUMBER(SEARCH("R47",G196))*47,0)+IFERROR(--ISNUMBER(SEARCH("R48",G196))*48,0)+IFERROR(--ISNUMBER(SEARCH("R49",G196))*49,0)+IFERROR(--ISNUMBER(SEARCH("R50",G196))*50,0)+IFERROR(--ISNUMBER(SEARCH("R51",G196))*51,0)+IFERROR(--ISNUMBER(SEARCH("R52",G196))*52,0)+IFERROR(--ISNUMBER(SEARCH("R53",G196))*53,0)+IFERROR(--ISNUMBER(SEARCH("R54",G196))*54,0)+IFERROR(--ISNUMBER(SEARCH("R55",G196))*55,0)+IFERROR(--ISNUMBER(SEARCH("R56",G196))*56,0)+IFERROR(--ISNUMBER(SEARCH("R57",G196))*57,0)+IFERROR(--ISNUMBER(SEARCH("R58",G196))*58,0)+IFERROR(--ISNUMBER(SEARCH("R59",G196))*59,0)+IFERROR(--ISNUMBER(SEARCH("R60",G196))*60,0)+IFERROR(--ISNUMBER(SEARCH("R61",G196))*61,0)+IFERROR(--ISNUMBER(SEARCH("R62",G196))*62,0)+IFERROR(--ISNUMBER(SEARCH("R63",G196))*63,0)+IFERROR(--ISNUMBER(SEARCH("R64",G196))*64,0)+IFERROR(--ISNUMBER(SEARCH("R65",G196))*65,0)+IFERROR(--ISNUMBER(SEARCH("R66",G196))*66,0)+IFERROR(--ISNUMBER(SEARCH("R67",G196))*67,0)+IFERROR(--ISNUMBER(SEARCH("R68",G196))*68,0)+IFERROR(--ISNUMBER(SEARCH("R69",G196))*69,0)+IFERROR(--ISNUMBER(SEARCH("R70",G196))*70,0)+IFERROR(--ISNUMBER(SEARCH("R71",G196))*71,0)+IFERROR(--ISNUMBER(SEARCH("R72",G196))*72,0)+IFERROR(--ISNUMBER(SEARCH("R73",G196))*73,0)+IFERROR(--ISNUMBER(SEARCH("R74",G196))*74,0)+IFERROR(--ISNUMBER(SEARCH("R75",G196))*75,0)+IFERROR(--ISNUMBER(SEARCH("R76",G196))*76,0)+IFERROR(--ISNUMBER(SEARCH("R77",G196))*77,0)+IFERROR(--ISNUMBER(SEARCH("R78",G196))*78,0)+IFERROR(--ISNUMBER(SEARCH("R79",G196))*79,0)+IFERROR(--ISNUMBER(SEARCH("R80",G196))*80,0)+IFERROR(--ISNUMBER(SEARCH("R81",G196))*81,0)+IFERROR(--ISNUMBER(SEARCH("R82",G196))*82,0)+IFERROR(--ISNUMBER(SEARCH("R83",G196))*83,0)+IFERROR(--ISNUMBER(SEARCH("R84",G196))*84,0)+IFERROR(--ISNUMBER(SEARCH("R85",G196))*85,0)+IFERROR(--ISNUMBER(SEARCH("R86",G196))*86,0)+IFERROR(--ISNUMBER(SEARCH("R87",G196))*87,0)+IFERROR(--ISNUMBER(SEARCH("R88",G196))*88,0)+IFERROR(--ISNUMBER(SEARCH("R89",G196))*89,0)+IFERROR(--ISNUMBER(SEARCH("R90",G196))*90,0)+IFERROR(--ISNUMBER(SEARCH("R91",G196))*91,0)+IFERROR(--ISNUMBER(SEARCH("R92",G196))*92,0)+IFERROR(--ISNUMBER(SEARCH("R93",G196))*93,0)+IFERROR(--ISNUMBER(SEARCH("R94",G196))*94,0)+IFERROR(--ISNUMBER(SEARCH("R95",G196))*95,0)+IFERROR(--ISNUMBER(SEARCH("R96",G196))*96,0)+IFERROR(--ISNUMBER(SEARCH("R97",G196))*97,0)+IFERROR(--ISNUMBER(SEARCH("R98",G196))*98,0)+IFERROR(--ISNUMBER(SEARCH("R99",G196))*99,0)+IFERROR(--ISNUMBER(SEARCH("R100",G196))*100,0)+IFERROR(--ISNUMBER(SEARCH("R101",G196))*101,0)+IFERROR(--ISNUMBER(SEARCH("R102",G196))*102,0)+IFERROR(--ISNUMBER(SEARCH("R103",G196))*103,0)+IFERROR(--ISNUMBER(SEARCH("R104",G196))*104,0)+IFERROR(--ISNUMBER(SEARCH("R105",G196))*105,0)+IFERROR(--ISNUMBER(SEARCH("R106",G196))*106,0)+IFERROR(--ISNUMBER(SEARCH("R107",G196))*107,0)+IFERROR(--ISNUMBER(SEARCH("R108",G196))*108,0)+IFERROR(--ISNUMBER(SEARCH("R109",G196))*109,0)+IFERROR(--ISNUMBER(SEARCH("R110",G196))*110,0)+IFERROR(--ISNUMBER(SEARCH("R111",G196))*111,0)+IFERROR(--ISNUMBER(SEARCH("R112",G196))*112,0)+IFERROR(--ISNUMBER(SEARCH("R113",G196))*113,0)+IFERROR(--ISNUMBER(SEARCH("R114",G196))*114,0)+IFERROR(--ISNUMBER(SEARCH("R115",G196))*115,0)+IFERROR(--ISNUMBER(SEARCH("R116",G196))*116,0)+IFERROR(--ISNUMBER(SEARCH("R117",G196))*117,0)+IFERROR(--ISNUMBER(SEARCH("R118",G196))*118,0)+IFERROR(--ISNUMBER(SEARCH("R119",G196))*119,0)+IFERROR(--ISNUMBER(SEARCH("R120",G196))*120,0)+IFERROR(--ISNUMBER(SEARCH("R121",G196))*121,0)+IFERROR(--ISNUMBER(SEARCH("R122",G196))*122,0)+IFERROR(--ISNUMBER(SEARCH("R123",G196))*123,0)+IFERROR(--ISNUMBER(SEARCH("R124",G196))*124,0)+IFERROR(--ISNUMBER(SEARCH("R125",G196))*125,0)+IFERROR(--ISNUMBER(SEARCH("R126",G196))*126,0)+IFERROR(--ISNUMBER(SEARCH("R127",G196))*127,0)+IFERROR(--ISNUMBER(SEARCH("R128",G196))*128,0)+IFERROR(--ISNUMBER(SEARCH("R129",G196))*129,0)+IFERROR(--ISNUMBER(SEARCH("R130",G196))*130,0)+IFERROR(--ISNUMBER(SEARCH("R131",G196))*131,0)+IFERROR(--ISNUMBER(SEARCH("R132",G196))*132,0)+IFERROR(--ISNUMBER(SEARCH("R133",G196))*133,0)+IFERROR(--ISNUMBER(SEARCH("R134",G196))*134,0)+IFERROR(--ISNUMBER(SEARCH("R135",G196))*135,0)+IFERROR(--ISNUMBER(SEARCH("R136",G196))*136,0)+IFERROR(--ISNUMBER(SEARCH("R137",G196))*137,0)+IFERROR(--ISNUMBER(SEARCH("R138",G196))*138,0)+IFERROR(--ISNUMBER(SEARCH("R139",G196))*139,0)+IFERROR(--ISNUMBER(SEARCH("R140",G196))*140,0)+IFERROR(--ISNUMBER(SEARCH("R141",G196))*141,0))</f>
        <v/>
      </c>
      <c r="V196" s="59">
        <f>IF(A196="","",IF(K196&lt;&gt;"",K196,J196))</f>
        <v/>
      </c>
      <c r="W196" s="59">
        <f>IF(A196="","",IF(AND(V196=29,O196&lt;&gt;"",COUNTIFS($V$6:$V$505,29,$F$6:$F$505,F196,$C$6:$C$505,C196,$O$6:$O$505,"&lt;&gt;")&gt;1),IF(COUNTIFS($V$6:V196,29,$F$6:F196,F196,$C$6:C196,C196,$O$6:O196,"&lt;&gt;")=1,"Esta es la fila que se debe CONSERVAR (aparición 1 de "&amp;COUNTIFS($V$6:$V$505,29,$F$6:$F$505,F196,$C$6:$C$505,C196,$O$6:$O$505,"&lt;&gt;")&amp;" con el mismo tercero y valor, casilla 29). Si hay más filas iguales, bórreles el valor a ELLAS, no a esta.","DUPLICADO — ya existe otra fila con el mismo tercero y valor para casilla 29 (aparición "&amp;COUNTIFS($V$6:V196,29,$F$6:F196,F196,$C$6:C196,C196,$O$6:O196,"&lt;&gt;")&amp;" de "&amp;COUNTIFS($V$6:$V$505,29,$F$6:$F$505,F196,$C$6:$C$505,C196,$O$6:$O$505,"&lt;&gt;")&amp;"). Para resolverlo: seleccione la celda O"&amp;ROW()&amp;" (columna Valor a declarar de ESTA fila) y presione Supr."),""))</f>
        <v/>
      </c>
      <c r="X196" s="463">
        <f>IF(A196="","",F196)</f>
        <v/>
      </c>
      <c r="Y196" s="463">
        <f>IF(A196="","",SUMIF(Entrada_Manual!$I$88:$I$187,A196,Entrada_Manual!$F$88:$F$187))</f>
        <v/>
      </c>
      <c r="Z196" s="463">
        <f>IF(A196="","",X196-Y196)</f>
        <v/>
      </c>
      <c r="AA196">
        <f>IF(A196="","",SUMPRODUCT((Entrada_Manual!$I$88:$I$187=A196)*1))</f>
        <v/>
      </c>
      <c r="AB196">
        <f>IF(A196="","",IF(S196&lt;=1,"",IF(AA196=0,"PENDIENTE — SIN ASIGNAR",IF(Z196=0,"RESUELTO","PARCIAL — DIFERENCIA "&amp;TEXT(Z196,"#,##0")))))</f>
        <v/>
      </c>
    </row>
    <row r="197" ht="14.25" customHeight="1" s="235">
      <c r="A197" s="47">
        <f>IF(Exogena_RAW!E206&lt;&gt;"",ROW()-5,"")</f>
        <v/>
      </c>
      <c r="B197" s="48">
        <f>IF(A197="","",206)</f>
        <v/>
      </c>
      <c r="C197" s="48">
        <f>IF(A197="","",IFERROR(Exogena_RAW!A206,""))</f>
        <v/>
      </c>
      <c r="D197" s="48">
        <f>IF(A197="","",IFERROR(Exogena_RAW!B206,""))</f>
        <v/>
      </c>
      <c r="E197" s="48">
        <f>IF(A197="","",Exogena_RAW!E206)</f>
        <v/>
      </c>
      <c r="F197" s="461">
        <f>IF(A197="","",Exogena_RAW!F206)</f>
        <v/>
      </c>
      <c r="G197" s="48">
        <f>IF(A197="","",IFERROR(Exogena_RAW!G206,""))</f>
        <v/>
      </c>
      <c r="H197" s="48">
        <f>IF(A197="","",IFERROR(Exogena_RAW!H206,""))</f>
        <v/>
      </c>
      <c r="I197" s="48">
        <f>IF(A197="","",IFERROR(IF(S197&gt;1,"VARIAS CASILLAS",IF(S197=1,IF(T197=1,"PROPUESTA DE CASILLA","REVISIÓN: CASILLA NO DIRECTA"),IF(OR(ISNUMBER(SEARCH("TOPE",UPPER(E197))),ISNUMBER(SEARCH("TOPE",UPPER(G197)))),"SOLO CONTROL",IF(ISNUMBER(SEARCH("RETEN",UPPER(E197))),"RETENCIÓN","REVISAR")))),"REVISAR"))</f>
        <v/>
      </c>
      <c r="J197" s="48">
        <f>IF(A197="","",IF(ISNUMBER(SEARCH("ingreso laboral promedio de los últimos seis meses",E197)),"",IFERROR(IF(AND(S197=1,T197=1),U197,""),"")))</f>
        <v/>
      </c>
      <c r="K197" s="216" t="n"/>
      <c r="L197" s="48">
        <f>IF(A197="","",IFERROR(IF(K197&lt;&gt;"","Casilla elegida por usuario",IF(S197&gt;1,"Varias casillas — elegir en K",IF(J197&lt;&gt;"","Sugerencia directa",IF(S197=1,"No trasladar directo — revisar",IF(OR(ISNUMBER(SEARCH("TOPE",UPPER(E197))),ISNUMBER(SEARCH("TOPE",UPPER(G197)))),"Solo control","Revisar manualmente"))))),"Revisar manualmente"))</f>
        <v/>
      </c>
      <c r="M197" s="461">
        <f>IF(A197="","",IF(IF(K197&lt;&gt;"",K197,J197)="",0,IF(COUNTIFS(Reglas!$I$5:$I$118,IF(K197&lt;&gt;"",K197,J197),Reglas!$J$5:$J$118,"Sí")=1,F197,0)))</f>
        <v/>
      </c>
      <c r="N197" s="56" t="n"/>
      <c r="O197" s="462">
        <f>IF(A197="","",IF(M197=0,"",M197))</f>
        <v/>
      </c>
      <c r="P197" s="461">
        <f>IF(A197="","",IF(O197="",0,IF(ISNUMBER(O197),O197,0)))</f>
        <v/>
      </c>
      <c r="Q197" s="48">
        <f>IF(A197="","",IF(Exogena_RAW!$C$4="","BLOQUEADO: FALTA AÑO",IF(Exogena_RAW!$K$10&lt;&gt;Reglas!$B$5,"BLOQUEADO: AÑO",IF(IF(K197&lt;&gt;"",K197,J197)="",IF(S197&gt;1,"REQUIERE ASIGNACIÓN MANUAL (VARIAS CASILLAS)","INFORMATIVO (sin casilla — no se declara)"),IF(COUNTIFS(Reglas!$I$5:$I$118,IF(K197&lt;&gt;"",K197,J197),Reglas!$J$5:$J$118,"Sí")=0,"BLOQUEADO: CASILLA NO DIRECTA",IF(O197="","EXCLUIDO (valor borrado por el usuario)",IF(_xlfn.ISFORMULA(O197),IF(W197&lt;&gt;"","BORRADOR — VALOR SUGERIDO DIAN ⚠ VER ALERTA","BORRADOR — VALOR SUGERIDO DIAN"),IF(W197&lt;&gt;"","ACEPTADO ⚠ VER ALERTA","ACEPTADO"))))))))</f>
        <v/>
      </c>
      <c r="R197" s="218" t="n"/>
      <c r="S197" s="58">
        <f>IF(A197="","",IFERROR(--ISNUMBER(SEARCH("R28",G197)),0)+IFERROR(--ISNUMBER(SEARCH("R29",G197)),0)+IFERROR(--ISNUMBER(SEARCH("R30",G197)),0)+IFERROR(--ISNUMBER(SEARCH("R31",G197)),0)+IFERROR(--ISNUMBER(SEARCH("R32",G197)),0)+IFERROR(--ISNUMBER(SEARCH("R33",G197)),0)+IFERROR(--ISNUMBER(SEARCH("R34",G197)),0)+IFERROR(--ISNUMBER(SEARCH("R35",G197)),0)+IFERROR(--ISNUMBER(SEARCH("R36",G197)),0)+IFERROR(--ISNUMBER(SEARCH("R37",G197)),0)+IFERROR(--ISNUMBER(SEARCH("R38",G197)),0)+IFERROR(--ISNUMBER(SEARCH("R39",G197)),0)+IFERROR(--ISNUMBER(SEARCH("R40",G197)),0)+IFERROR(--ISNUMBER(SEARCH("R41",G197)),0)+IFERROR(--ISNUMBER(SEARCH("R42",G197)),0)+IFERROR(--ISNUMBER(SEARCH("R43",G197)),0)+IFERROR(--ISNUMBER(SEARCH("R44",G197)),0)+IFERROR(--ISNUMBER(SEARCH("R45",G197)),0)+IFERROR(--ISNUMBER(SEARCH("R46",G197)),0)+IFERROR(--ISNUMBER(SEARCH("R47",G197)),0)+IFERROR(--ISNUMBER(SEARCH("R48",G197)),0)+IFERROR(--ISNUMBER(SEARCH("R49",G197)),0)+IFERROR(--ISNUMBER(SEARCH("R50",G197)),0)+IFERROR(--ISNUMBER(SEARCH("R51",G197)),0)+IFERROR(--ISNUMBER(SEARCH("R52",G197)),0)+IFERROR(--ISNUMBER(SEARCH("R53",G197)),0)+IFERROR(--ISNUMBER(SEARCH("R54",G197)),0)+IFERROR(--ISNUMBER(SEARCH("R55",G197)),0)+IFERROR(--ISNUMBER(SEARCH("R56",G197)),0)+IFERROR(--ISNUMBER(SEARCH("R57",G197)),0)+IFERROR(--ISNUMBER(SEARCH("R58",G197)),0)+IFERROR(--ISNUMBER(SEARCH("R59",G197)),0)+IFERROR(--ISNUMBER(SEARCH("R60",G197)),0)+IFERROR(--ISNUMBER(SEARCH("R61",G197)),0)+IFERROR(--ISNUMBER(SEARCH("R62",G197)),0)+IFERROR(--ISNUMBER(SEARCH("R63",G197)),0)+IFERROR(--ISNUMBER(SEARCH("R64",G197)),0)+IFERROR(--ISNUMBER(SEARCH("R65",G197)),0)+IFERROR(--ISNUMBER(SEARCH("R66",G197)),0)+IFERROR(--ISNUMBER(SEARCH("R67",G197)),0)+IFERROR(--ISNUMBER(SEARCH("R68",G197)),0)+IFERROR(--ISNUMBER(SEARCH("R69",G197)),0)+IFERROR(--ISNUMBER(SEARCH("R70",G197)),0)+IFERROR(--ISNUMBER(SEARCH("R71",G197)),0)+IFERROR(--ISNUMBER(SEARCH("R72",G197)),0)+IFERROR(--ISNUMBER(SEARCH("R73",G197)),0)+IFERROR(--ISNUMBER(SEARCH("R74",G197)),0)+IFERROR(--ISNUMBER(SEARCH("R75",G197)),0)+IFERROR(--ISNUMBER(SEARCH("R76",G197)),0)+IFERROR(--ISNUMBER(SEARCH("R77",G197)),0)+IFERROR(--ISNUMBER(SEARCH("R78",G197)),0)+IFERROR(--ISNUMBER(SEARCH("R79",G197)),0)+IFERROR(--ISNUMBER(SEARCH("R80",G197)),0)+IFERROR(--ISNUMBER(SEARCH("R81",G197)),0)+IFERROR(--ISNUMBER(SEARCH("R82",G197)),0)+IFERROR(--ISNUMBER(SEARCH("R83",G197)),0)+IFERROR(--ISNUMBER(SEARCH("R84",G197)),0)+IFERROR(--ISNUMBER(SEARCH("R85",G197)),0)+IFERROR(--ISNUMBER(SEARCH("R86",G197)),0)+IFERROR(--ISNUMBER(SEARCH("R87",G197)),0)+IFERROR(--ISNUMBER(SEARCH("R88",G197)),0)+IFERROR(--ISNUMBER(SEARCH("R89",G197)),0)+IFERROR(--ISNUMBER(SEARCH("R90",G197)),0)+IFERROR(--ISNUMBER(SEARCH("R91",G197)),0)+IFERROR(--ISNUMBER(SEARCH("R92",G197)),0)+IFERROR(--ISNUMBER(SEARCH("R93",G197)),0)+IFERROR(--ISNUMBER(SEARCH("R94",G197)),0)+IFERROR(--ISNUMBER(SEARCH("R95",G197)),0)+IFERROR(--ISNUMBER(SEARCH("R96",G197)),0)+IFERROR(--ISNUMBER(SEARCH("R97",G197)),0)+IFERROR(--ISNUMBER(SEARCH("R98",G197)),0)+IFERROR(--ISNUMBER(SEARCH("R99",G197)),0)+IFERROR(--ISNUMBER(SEARCH("R100",G197)),0)+IFERROR(--ISNUMBER(SEARCH("R101",G197)),0)+IFERROR(--ISNUMBER(SEARCH("R102",G197)),0)+IFERROR(--ISNUMBER(SEARCH("R103",G197)),0)+IFERROR(--ISNUMBER(SEARCH("R104",G197)),0)+IFERROR(--ISNUMBER(SEARCH("R105",G197)),0)+IFERROR(--ISNUMBER(SEARCH("R106",G197)),0)+IFERROR(--ISNUMBER(SEARCH("R107",G197)),0)+IFERROR(--ISNUMBER(SEARCH("R108",G197)),0)+IFERROR(--ISNUMBER(SEARCH("R109",G197)),0)+IFERROR(--ISNUMBER(SEARCH("R110",G197)),0)+IFERROR(--ISNUMBER(SEARCH("R111",G197)),0)+IFERROR(--ISNUMBER(SEARCH("R112",G197)),0)+IFERROR(--ISNUMBER(SEARCH("R113",G197)),0)+IFERROR(--ISNUMBER(SEARCH("R114",G197)),0)+IFERROR(--ISNUMBER(SEARCH("R115",G197)),0)+IFERROR(--ISNUMBER(SEARCH("R116",G197)),0)+IFERROR(--ISNUMBER(SEARCH("R117",G197)),0)+IFERROR(--ISNUMBER(SEARCH("R118",G197)),0)+IFERROR(--ISNUMBER(SEARCH("R119",G197)),0)+IFERROR(--ISNUMBER(SEARCH("R120",G197)),0)+IFERROR(--ISNUMBER(SEARCH("R121",G197)),0)+IFERROR(--ISNUMBER(SEARCH("R122",G197)),0)+IFERROR(--ISNUMBER(SEARCH("R123",G197)),0)+IFERROR(--ISNUMBER(SEARCH("R124",G197)),0)+IFERROR(--ISNUMBER(SEARCH("R125",G197)),0)+IFERROR(--ISNUMBER(SEARCH("R126",G197)),0)+IFERROR(--ISNUMBER(SEARCH("R127",G197)),0)+IFERROR(--ISNUMBER(SEARCH("R128",G197)),0)+IFERROR(--ISNUMBER(SEARCH("R129",G197)),0)+IFERROR(--ISNUMBER(SEARCH("R130",G197)),0)+IFERROR(--ISNUMBER(SEARCH("R131",G197)),0)+IFERROR(--ISNUMBER(SEARCH("R132",G197)),0)+IFERROR(--ISNUMBER(SEARCH("R133",G197)),0)+IFERROR(--ISNUMBER(SEARCH("R134",G197)),0)+IFERROR(--ISNUMBER(SEARCH("R135",G197)),0)+IFERROR(--ISNUMBER(SEARCH("R136",G197)),0)+IFERROR(--ISNUMBER(SEARCH("R137",G197)),0)+IFERROR(--ISNUMBER(SEARCH("R138",G197)),0)+IFERROR(--ISNUMBER(SEARCH("R139",G197)),0)+IFERROR(--ISNUMBER(SEARCH("R140",G197)),0)+IFERROR(--ISNUMBER(SEARCH("R141",G197)),0))</f>
        <v/>
      </c>
      <c r="T197" s="58">
        <f>IF(A197="","",IFERROR(--ISNUMBER(SEARCH("R28",G197)),0)+IFERROR(--ISNUMBER(SEARCH("R29",G197)),0)+IFERROR(--ISNUMBER(SEARCH("R30",G197)),0)+IFERROR(--ISNUMBER(SEARCH("R32",G197)),0)+IFERROR(--ISNUMBER(SEARCH("R33",G197)),0)+IFERROR(--ISNUMBER(SEARCH("R35",G197)),0)+IFERROR(--ISNUMBER(SEARCH("R36",G197)),0)+IFERROR(--ISNUMBER(SEARCH("R38",G197)),0)+IFERROR(--ISNUMBER(SEARCH("R39",G197)),0)+IFERROR(--ISNUMBER(SEARCH("R43",G197)),0)+IFERROR(--ISNUMBER(SEARCH("R44",G197)),0)+IFERROR(--ISNUMBER(SEARCH("R45",G197)),0)+IFERROR(--ISNUMBER(SEARCH("R47",G197)),0)+IFERROR(--ISNUMBER(SEARCH("R48",G197)),0)+IFERROR(--ISNUMBER(SEARCH("R50",G197)),0)+IFERROR(--ISNUMBER(SEARCH("R51",G197)),0)+IFERROR(--ISNUMBER(SEARCH("R56",G197)),0)+IFERROR(--ISNUMBER(SEARCH("R58",G197)),0)+IFERROR(--ISNUMBER(SEARCH("R59",G197)),0)+IFERROR(--ISNUMBER(SEARCH("R60",G197)),0)+IFERROR(--ISNUMBER(SEARCH("R62",G197)),0)+IFERROR(--ISNUMBER(SEARCH("R63",G197)),0)+IFERROR(--ISNUMBER(SEARCH("R64",G197)),0)+IFERROR(--ISNUMBER(SEARCH("R66",G197)),0)+IFERROR(--ISNUMBER(SEARCH("R67",G197)),0)+IFERROR(--ISNUMBER(SEARCH("R72",G197)),0)+IFERROR(--ISNUMBER(SEARCH("R74",G197)),0)+IFERROR(--ISNUMBER(SEARCH("R75",G197)),0)+IFERROR(--ISNUMBER(SEARCH("R76",G197)),0)+IFERROR(--ISNUMBER(SEARCH("R77",G197)),0)+IFERROR(--ISNUMBER(SEARCH("R79",G197)),0)+IFERROR(--ISNUMBER(SEARCH("R80",G197)),0)+IFERROR(--ISNUMBER(SEARCH("R81",G197)),0)+IFERROR(--ISNUMBER(SEARCH("R83",G197)),0)+IFERROR(--ISNUMBER(SEARCH("R84",G197)),0)+IFERROR(--ISNUMBER(SEARCH("R89",G197)),0)+IFERROR(--ISNUMBER(SEARCH("R94",G197)),0)+IFERROR(--ISNUMBER(SEARCH("R95",G197)),0)+IFERROR(--ISNUMBER(SEARCH("R96",G197)),0)+IFERROR(--ISNUMBER(SEARCH("R98",G197)),0)+IFERROR(--ISNUMBER(SEARCH("R99",G197)),0)+IFERROR(--ISNUMBER(SEARCH("R100",G197)),0)+IFERROR(--ISNUMBER(SEARCH("R104",G197)),0)+IFERROR(--ISNUMBER(SEARCH("R105",G197)),0)+IFERROR(--ISNUMBER(SEARCH("R107",G197)),0)+IFERROR(--ISNUMBER(SEARCH("R108",G197)),0)+IFERROR(--ISNUMBER(SEARCH("R109",G197)),0)+IFERROR(--ISNUMBER(SEARCH("R110",G197)),0)+IFERROR(--ISNUMBER(SEARCH("R112",G197)),0)+IFERROR(--ISNUMBER(SEARCH("R113",G197)),0)+IFERROR(--ISNUMBER(SEARCH("R114",G197)),0)+IFERROR(--ISNUMBER(SEARCH("R118",G197)),0)+IFERROR(--ISNUMBER(SEARCH("R119",G197)),0)+IFERROR(--ISNUMBER(SEARCH("R120",G197)),0)+IFERROR(--ISNUMBER(SEARCH("R122",G197)),0)+IFERROR(--ISNUMBER(SEARCH("R123",G197)),0)+IFERROR(--ISNUMBER(SEARCH("R124",G197)),0)+IFERROR(--ISNUMBER(SEARCH("R128",G197)),0)+IFERROR(--ISNUMBER(SEARCH("R130",G197)),0)+IFERROR(--ISNUMBER(SEARCH("R131",G197)),0)+IFERROR(--ISNUMBER(SEARCH("R132",G197)),0)+IFERROR(--ISNUMBER(SEARCH("R135",G197)),0)+IFERROR(--ISNUMBER(SEARCH("R138",G197)),0)+IFERROR(--ISNUMBER(SEARCH("R141",G197)),0))</f>
        <v/>
      </c>
      <c r="U197" s="58">
        <f>IF(A197="","",IFERROR(--ISNUMBER(SEARCH("R28",G197))*28,0)+IFERROR(--ISNUMBER(SEARCH("R29",G197))*29,0)+IFERROR(--ISNUMBER(SEARCH("R30",G197))*30,0)+IFERROR(--ISNUMBER(SEARCH("R31",G197))*31,0)+IFERROR(--ISNUMBER(SEARCH("R32",G197))*32,0)+IFERROR(--ISNUMBER(SEARCH("R33",G197))*33,0)+IFERROR(--ISNUMBER(SEARCH("R34",G197))*34,0)+IFERROR(--ISNUMBER(SEARCH("R35",G197))*35,0)+IFERROR(--ISNUMBER(SEARCH("R36",G197))*36,0)+IFERROR(--ISNUMBER(SEARCH("R37",G197))*37,0)+IFERROR(--ISNUMBER(SEARCH("R38",G197))*38,0)+IFERROR(--ISNUMBER(SEARCH("R39",G197))*39,0)+IFERROR(--ISNUMBER(SEARCH("R40",G197))*40,0)+IFERROR(--ISNUMBER(SEARCH("R41",G197))*41,0)+IFERROR(--ISNUMBER(SEARCH("R42",G197))*42,0)+IFERROR(--ISNUMBER(SEARCH("R43",G197))*43,0)+IFERROR(--ISNUMBER(SEARCH("R44",G197))*44,0)+IFERROR(--ISNUMBER(SEARCH("R45",G197))*45,0)+IFERROR(--ISNUMBER(SEARCH("R46",G197))*46,0)+IFERROR(--ISNUMBER(SEARCH("R47",G197))*47,0)+IFERROR(--ISNUMBER(SEARCH("R48",G197))*48,0)+IFERROR(--ISNUMBER(SEARCH("R49",G197))*49,0)+IFERROR(--ISNUMBER(SEARCH("R50",G197))*50,0)+IFERROR(--ISNUMBER(SEARCH("R51",G197))*51,0)+IFERROR(--ISNUMBER(SEARCH("R52",G197))*52,0)+IFERROR(--ISNUMBER(SEARCH("R53",G197))*53,0)+IFERROR(--ISNUMBER(SEARCH("R54",G197))*54,0)+IFERROR(--ISNUMBER(SEARCH("R55",G197))*55,0)+IFERROR(--ISNUMBER(SEARCH("R56",G197))*56,0)+IFERROR(--ISNUMBER(SEARCH("R57",G197))*57,0)+IFERROR(--ISNUMBER(SEARCH("R58",G197))*58,0)+IFERROR(--ISNUMBER(SEARCH("R59",G197))*59,0)+IFERROR(--ISNUMBER(SEARCH("R60",G197))*60,0)+IFERROR(--ISNUMBER(SEARCH("R61",G197))*61,0)+IFERROR(--ISNUMBER(SEARCH("R62",G197))*62,0)+IFERROR(--ISNUMBER(SEARCH("R63",G197))*63,0)+IFERROR(--ISNUMBER(SEARCH("R64",G197))*64,0)+IFERROR(--ISNUMBER(SEARCH("R65",G197))*65,0)+IFERROR(--ISNUMBER(SEARCH("R66",G197))*66,0)+IFERROR(--ISNUMBER(SEARCH("R67",G197))*67,0)+IFERROR(--ISNUMBER(SEARCH("R68",G197))*68,0)+IFERROR(--ISNUMBER(SEARCH("R69",G197))*69,0)+IFERROR(--ISNUMBER(SEARCH("R70",G197))*70,0)+IFERROR(--ISNUMBER(SEARCH("R71",G197))*71,0)+IFERROR(--ISNUMBER(SEARCH("R72",G197))*72,0)+IFERROR(--ISNUMBER(SEARCH("R73",G197))*73,0)+IFERROR(--ISNUMBER(SEARCH("R74",G197))*74,0)+IFERROR(--ISNUMBER(SEARCH("R75",G197))*75,0)+IFERROR(--ISNUMBER(SEARCH("R76",G197))*76,0)+IFERROR(--ISNUMBER(SEARCH("R77",G197))*77,0)+IFERROR(--ISNUMBER(SEARCH("R78",G197))*78,0)+IFERROR(--ISNUMBER(SEARCH("R79",G197))*79,0)+IFERROR(--ISNUMBER(SEARCH("R80",G197))*80,0)+IFERROR(--ISNUMBER(SEARCH("R81",G197))*81,0)+IFERROR(--ISNUMBER(SEARCH("R82",G197))*82,0)+IFERROR(--ISNUMBER(SEARCH("R83",G197))*83,0)+IFERROR(--ISNUMBER(SEARCH("R84",G197))*84,0)+IFERROR(--ISNUMBER(SEARCH("R85",G197))*85,0)+IFERROR(--ISNUMBER(SEARCH("R86",G197))*86,0)+IFERROR(--ISNUMBER(SEARCH("R87",G197))*87,0)+IFERROR(--ISNUMBER(SEARCH("R88",G197))*88,0)+IFERROR(--ISNUMBER(SEARCH("R89",G197))*89,0)+IFERROR(--ISNUMBER(SEARCH("R90",G197))*90,0)+IFERROR(--ISNUMBER(SEARCH("R91",G197))*91,0)+IFERROR(--ISNUMBER(SEARCH("R92",G197))*92,0)+IFERROR(--ISNUMBER(SEARCH("R93",G197))*93,0)+IFERROR(--ISNUMBER(SEARCH("R94",G197))*94,0)+IFERROR(--ISNUMBER(SEARCH("R95",G197))*95,0)+IFERROR(--ISNUMBER(SEARCH("R96",G197))*96,0)+IFERROR(--ISNUMBER(SEARCH("R97",G197))*97,0)+IFERROR(--ISNUMBER(SEARCH("R98",G197))*98,0)+IFERROR(--ISNUMBER(SEARCH("R99",G197))*99,0)+IFERROR(--ISNUMBER(SEARCH("R100",G197))*100,0)+IFERROR(--ISNUMBER(SEARCH("R101",G197))*101,0)+IFERROR(--ISNUMBER(SEARCH("R102",G197))*102,0)+IFERROR(--ISNUMBER(SEARCH("R103",G197))*103,0)+IFERROR(--ISNUMBER(SEARCH("R104",G197))*104,0)+IFERROR(--ISNUMBER(SEARCH("R105",G197))*105,0)+IFERROR(--ISNUMBER(SEARCH("R106",G197))*106,0)+IFERROR(--ISNUMBER(SEARCH("R107",G197))*107,0)+IFERROR(--ISNUMBER(SEARCH("R108",G197))*108,0)+IFERROR(--ISNUMBER(SEARCH("R109",G197))*109,0)+IFERROR(--ISNUMBER(SEARCH("R110",G197))*110,0)+IFERROR(--ISNUMBER(SEARCH("R111",G197))*111,0)+IFERROR(--ISNUMBER(SEARCH("R112",G197))*112,0)+IFERROR(--ISNUMBER(SEARCH("R113",G197))*113,0)+IFERROR(--ISNUMBER(SEARCH("R114",G197))*114,0)+IFERROR(--ISNUMBER(SEARCH("R115",G197))*115,0)+IFERROR(--ISNUMBER(SEARCH("R116",G197))*116,0)+IFERROR(--ISNUMBER(SEARCH("R117",G197))*117,0)+IFERROR(--ISNUMBER(SEARCH("R118",G197))*118,0)+IFERROR(--ISNUMBER(SEARCH("R119",G197))*119,0)+IFERROR(--ISNUMBER(SEARCH("R120",G197))*120,0)+IFERROR(--ISNUMBER(SEARCH("R121",G197))*121,0)+IFERROR(--ISNUMBER(SEARCH("R122",G197))*122,0)+IFERROR(--ISNUMBER(SEARCH("R123",G197))*123,0)+IFERROR(--ISNUMBER(SEARCH("R124",G197))*124,0)+IFERROR(--ISNUMBER(SEARCH("R125",G197))*125,0)+IFERROR(--ISNUMBER(SEARCH("R126",G197))*126,0)+IFERROR(--ISNUMBER(SEARCH("R127",G197))*127,0)+IFERROR(--ISNUMBER(SEARCH("R128",G197))*128,0)+IFERROR(--ISNUMBER(SEARCH("R129",G197))*129,0)+IFERROR(--ISNUMBER(SEARCH("R130",G197))*130,0)+IFERROR(--ISNUMBER(SEARCH("R131",G197))*131,0)+IFERROR(--ISNUMBER(SEARCH("R132",G197))*132,0)+IFERROR(--ISNUMBER(SEARCH("R133",G197))*133,0)+IFERROR(--ISNUMBER(SEARCH("R134",G197))*134,0)+IFERROR(--ISNUMBER(SEARCH("R135",G197))*135,0)+IFERROR(--ISNUMBER(SEARCH("R136",G197))*136,0)+IFERROR(--ISNUMBER(SEARCH("R137",G197))*137,0)+IFERROR(--ISNUMBER(SEARCH("R138",G197))*138,0)+IFERROR(--ISNUMBER(SEARCH("R139",G197))*139,0)+IFERROR(--ISNUMBER(SEARCH("R140",G197))*140,0)+IFERROR(--ISNUMBER(SEARCH("R141",G197))*141,0))</f>
        <v/>
      </c>
      <c r="V197" s="59">
        <f>IF(A197="","",IF(K197&lt;&gt;"",K197,J197))</f>
        <v/>
      </c>
      <c r="W197" s="59">
        <f>IF(A197="","",IF(AND(V197=29,O197&lt;&gt;"",COUNTIFS($V$6:$V$505,29,$F$6:$F$505,F197,$C$6:$C$505,C197,$O$6:$O$505,"&lt;&gt;")&gt;1),IF(COUNTIFS($V$6:V197,29,$F$6:F197,F197,$C$6:C197,C197,$O$6:O197,"&lt;&gt;")=1,"Esta es la fila que se debe CONSERVAR (aparición 1 de "&amp;COUNTIFS($V$6:$V$505,29,$F$6:$F$505,F197,$C$6:$C$505,C197,$O$6:$O$505,"&lt;&gt;")&amp;" con el mismo tercero y valor, casilla 29). Si hay más filas iguales, bórreles el valor a ELLAS, no a esta.","DUPLICADO — ya existe otra fila con el mismo tercero y valor para casilla 29 (aparición "&amp;COUNTIFS($V$6:V197,29,$F$6:F197,F197,$C$6:C197,C197,$O$6:O197,"&lt;&gt;")&amp;" de "&amp;COUNTIFS($V$6:$V$505,29,$F$6:$F$505,F197,$C$6:$C$505,C197,$O$6:$O$505,"&lt;&gt;")&amp;"). Para resolverlo: seleccione la celda O"&amp;ROW()&amp;" (columna Valor a declarar de ESTA fila) y presione Supr."),""))</f>
        <v/>
      </c>
      <c r="X197" s="463">
        <f>IF(A197="","",F197)</f>
        <v/>
      </c>
      <c r="Y197" s="463">
        <f>IF(A197="","",SUMIF(Entrada_Manual!$I$88:$I$187,A197,Entrada_Manual!$F$88:$F$187))</f>
        <v/>
      </c>
      <c r="Z197" s="463">
        <f>IF(A197="","",X197-Y197)</f>
        <v/>
      </c>
      <c r="AA197">
        <f>IF(A197="","",SUMPRODUCT((Entrada_Manual!$I$88:$I$187=A197)*1))</f>
        <v/>
      </c>
      <c r="AB197">
        <f>IF(A197="","",IF(S197&lt;=1,"",IF(AA197=0,"PENDIENTE — SIN ASIGNAR",IF(Z197=0,"RESUELTO","PARCIAL — DIFERENCIA "&amp;TEXT(Z197,"#,##0")))))</f>
        <v/>
      </c>
    </row>
    <row r="198" ht="14.25" customHeight="1" s="235">
      <c r="A198" s="47">
        <f>IF(Exogena_RAW!E207&lt;&gt;"",ROW()-5,"")</f>
        <v/>
      </c>
      <c r="B198" s="48">
        <f>IF(A198="","",207)</f>
        <v/>
      </c>
      <c r="C198" s="48">
        <f>IF(A198="","",IFERROR(Exogena_RAW!A207,""))</f>
        <v/>
      </c>
      <c r="D198" s="48">
        <f>IF(A198="","",IFERROR(Exogena_RAW!B207,""))</f>
        <v/>
      </c>
      <c r="E198" s="48">
        <f>IF(A198="","",Exogena_RAW!E207)</f>
        <v/>
      </c>
      <c r="F198" s="461">
        <f>IF(A198="","",Exogena_RAW!F207)</f>
        <v/>
      </c>
      <c r="G198" s="48">
        <f>IF(A198="","",IFERROR(Exogena_RAW!G207,""))</f>
        <v/>
      </c>
      <c r="H198" s="48">
        <f>IF(A198="","",IFERROR(Exogena_RAW!H207,""))</f>
        <v/>
      </c>
      <c r="I198" s="48">
        <f>IF(A198="","",IFERROR(IF(S198&gt;1,"VARIAS CASILLAS",IF(S198=1,IF(T198=1,"PROPUESTA DE CASILLA","REVISIÓN: CASILLA NO DIRECTA"),IF(OR(ISNUMBER(SEARCH("TOPE",UPPER(E198))),ISNUMBER(SEARCH("TOPE",UPPER(G198)))),"SOLO CONTROL",IF(ISNUMBER(SEARCH("RETEN",UPPER(E198))),"RETENCIÓN","REVISAR")))),"REVISAR"))</f>
        <v/>
      </c>
      <c r="J198" s="48">
        <f>IF(A198="","",IF(ISNUMBER(SEARCH("ingreso laboral promedio de los últimos seis meses",E198)),"",IFERROR(IF(AND(S198=1,T198=1),U198,""),"")))</f>
        <v/>
      </c>
      <c r="K198" s="216" t="n"/>
      <c r="L198" s="48">
        <f>IF(A198="","",IFERROR(IF(K198&lt;&gt;"","Casilla elegida por usuario",IF(S198&gt;1,"Varias casillas — elegir en K",IF(J198&lt;&gt;"","Sugerencia directa",IF(S198=1,"No trasladar directo — revisar",IF(OR(ISNUMBER(SEARCH("TOPE",UPPER(E198))),ISNUMBER(SEARCH("TOPE",UPPER(G198)))),"Solo control","Revisar manualmente"))))),"Revisar manualmente"))</f>
        <v/>
      </c>
      <c r="M198" s="461">
        <f>IF(A198="","",IF(IF(K198&lt;&gt;"",K198,J198)="",0,IF(COUNTIFS(Reglas!$I$5:$I$118,IF(K198&lt;&gt;"",K198,J198),Reglas!$J$5:$J$118,"Sí")=1,F198,0)))</f>
        <v/>
      </c>
      <c r="N198" s="56" t="n"/>
      <c r="O198" s="462">
        <f>IF(A198="","",IF(M198=0,"",M198))</f>
        <v/>
      </c>
      <c r="P198" s="461">
        <f>IF(A198="","",IF(O198="",0,IF(ISNUMBER(O198),O198,0)))</f>
        <v/>
      </c>
      <c r="Q198" s="48">
        <f>IF(A198="","",IF(Exogena_RAW!$C$4="","BLOQUEADO: FALTA AÑO",IF(Exogena_RAW!$K$10&lt;&gt;Reglas!$B$5,"BLOQUEADO: AÑO",IF(IF(K198&lt;&gt;"",K198,J198)="",IF(S198&gt;1,"REQUIERE ASIGNACIÓN MANUAL (VARIAS CASILLAS)","INFORMATIVO (sin casilla — no se declara)"),IF(COUNTIFS(Reglas!$I$5:$I$118,IF(K198&lt;&gt;"",K198,J198),Reglas!$J$5:$J$118,"Sí")=0,"BLOQUEADO: CASILLA NO DIRECTA",IF(O198="","EXCLUIDO (valor borrado por el usuario)",IF(_xlfn.ISFORMULA(O198),IF(W198&lt;&gt;"","BORRADOR — VALOR SUGERIDO DIAN ⚠ VER ALERTA","BORRADOR — VALOR SUGERIDO DIAN"),IF(W198&lt;&gt;"","ACEPTADO ⚠ VER ALERTA","ACEPTADO"))))))))</f>
        <v/>
      </c>
      <c r="R198" s="218" t="n"/>
      <c r="S198" s="58">
        <f>IF(A198="","",IFERROR(--ISNUMBER(SEARCH("R28",G198)),0)+IFERROR(--ISNUMBER(SEARCH("R29",G198)),0)+IFERROR(--ISNUMBER(SEARCH("R30",G198)),0)+IFERROR(--ISNUMBER(SEARCH("R31",G198)),0)+IFERROR(--ISNUMBER(SEARCH("R32",G198)),0)+IFERROR(--ISNUMBER(SEARCH("R33",G198)),0)+IFERROR(--ISNUMBER(SEARCH("R34",G198)),0)+IFERROR(--ISNUMBER(SEARCH("R35",G198)),0)+IFERROR(--ISNUMBER(SEARCH("R36",G198)),0)+IFERROR(--ISNUMBER(SEARCH("R37",G198)),0)+IFERROR(--ISNUMBER(SEARCH("R38",G198)),0)+IFERROR(--ISNUMBER(SEARCH("R39",G198)),0)+IFERROR(--ISNUMBER(SEARCH("R40",G198)),0)+IFERROR(--ISNUMBER(SEARCH("R41",G198)),0)+IFERROR(--ISNUMBER(SEARCH("R42",G198)),0)+IFERROR(--ISNUMBER(SEARCH("R43",G198)),0)+IFERROR(--ISNUMBER(SEARCH("R44",G198)),0)+IFERROR(--ISNUMBER(SEARCH("R45",G198)),0)+IFERROR(--ISNUMBER(SEARCH("R46",G198)),0)+IFERROR(--ISNUMBER(SEARCH("R47",G198)),0)+IFERROR(--ISNUMBER(SEARCH("R48",G198)),0)+IFERROR(--ISNUMBER(SEARCH("R49",G198)),0)+IFERROR(--ISNUMBER(SEARCH("R50",G198)),0)+IFERROR(--ISNUMBER(SEARCH("R51",G198)),0)+IFERROR(--ISNUMBER(SEARCH("R52",G198)),0)+IFERROR(--ISNUMBER(SEARCH("R53",G198)),0)+IFERROR(--ISNUMBER(SEARCH("R54",G198)),0)+IFERROR(--ISNUMBER(SEARCH("R55",G198)),0)+IFERROR(--ISNUMBER(SEARCH("R56",G198)),0)+IFERROR(--ISNUMBER(SEARCH("R57",G198)),0)+IFERROR(--ISNUMBER(SEARCH("R58",G198)),0)+IFERROR(--ISNUMBER(SEARCH("R59",G198)),0)+IFERROR(--ISNUMBER(SEARCH("R60",G198)),0)+IFERROR(--ISNUMBER(SEARCH("R61",G198)),0)+IFERROR(--ISNUMBER(SEARCH("R62",G198)),0)+IFERROR(--ISNUMBER(SEARCH("R63",G198)),0)+IFERROR(--ISNUMBER(SEARCH("R64",G198)),0)+IFERROR(--ISNUMBER(SEARCH("R65",G198)),0)+IFERROR(--ISNUMBER(SEARCH("R66",G198)),0)+IFERROR(--ISNUMBER(SEARCH("R67",G198)),0)+IFERROR(--ISNUMBER(SEARCH("R68",G198)),0)+IFERROR(--ISNUMBER(SEARCH("R69",G198)),0)+IFERROR(--ISNUMBER(SEARCH("R70",G198)),0)+IFERROR(--ISNUMBER(SEARCH("R71",G198)),0)+IFERROR(--ISNUMBER(SEARCH("R72",G198)),0)+IFERROR(--ISNUMBER(SEARCH("R73",G198)),0)+IFERROR(--ISNUMBER(SEARCH("R74",G198)),0)+IFERROR(--ISNUMBER(SEARCH("R75",G198)),0)+IFERROR(--ISNUMBER(SEARCH("R76",G198)),0)+IFERROR(--ISNUMBER(SEARCH("R77",G198)),0)+IFERROR(--ISNUMBER(SEARCH("R78",G198)),0)+IFERROR(--ISNUMBER(SEARCH("R79",G198)),0)+IFERROR(--ISNUMBER(SEARCH("R80",G198)),0)+IFERROR(--ISNUMBER(SEARCH("R81",G198)),0)+IFERROR(--ISNUMBER(SEARCH("R82",G198)),0)+IFERROR(--ISNUMBER(SEARCH("R83",G198)),0)+IFERROR(--ISNUMBER(SEARCH("R84",G198)),0)+IFERROR(--ISNUMBER(SEARCH("R85",G198)),0)+IFERROR(--ISNUMBER(SEARCH("R86",G198)),0)+IFERROR(--ISNUMBER(SEARCH("R87",G198)),0)+IFERROR(--ISNUMBER(SEARCH("R88",G198)),0)+IFERROR(--ISNUMBER(SEARCH("R89",G198)),0)+IFERROR(--ISNUMBER(SEARCH("R90",G198)),0)+IFERROR(--ISNUMBER(SEARCH("R91",G198)),0)+IFERROR(--ISNUMBER(SEARCH("R92",G198)),0)+IFERROR(--ISNUMBER(SEARCH("R93",G198)),0)+IFERROR(--ISNUMBER(SEARCH("R94",G198)),0)+IFERROR(--ISNUMBER(SEARCH("R95",G198)),0)+IFERROR(--ISNUMBER(SEARCH("R96",G198)),0)+IFERROR(--ISNUMBER(SEARCH("R97",G198)),0)+IFERROR(--ISNUMBER(SEARCH("R98",G198)),0)+IFERROR(--ISNUMBER(SEARCH("R99",G198)),0)+IFERROR(--ISNUMBER(SEARCH("R100",G198)),0)+IFERROR(--ISNUMBER(SEARCH("R101",G198)),0)+IFERROR(--ISNUMBER(SEARCH("R102",G198)),0)+IFERROR(--ISNUMBER(SEARCH("R103",G198)),0)+IFERROR(--ISNUMBER(SEARCH("R104",G198)),0)+IFERROR(--ISNUMBER(SEARCH("R105",G198)),0)+IFERROR(--ISNUMBER(SEARCH("R106",G198)),0)+IFERROR(--ISNUMBER(SEARCH("R107",G198)),0)+IFERROR(--ISNUMBER(SEARCH("R108",G198)),0)+IFERROR(--ISNUMBER(SEARCH("R109",G198)),0)+IFERROR(--ISNUMBER(SEARCH("R110",G198)),0)+IFERROR(--ISNUMBER(SEARCH("R111",G198)),0)+IFERROR(--ISNUMBER(SEARCH("R112",G198)),0)+IFERROR(--ISNUMBER(SEARCH("R113",G198)),0)+IFERROR(--ISNUMBER(SEARCH("R114",G198)),0)+IFERROR(--ISNUMBER(SEARCH("R115",G198)),0)+IFERROR(--ISNUMBER(SEARCH("R116",G198)),0)+IFERROR(--ISNUMBER(SEARCH("R117",G198)),0)+IFERROR(--ISNUMBER(SEARCH("R118",G198)),0)+IFERROR(--ISNUMBER(SEARCH("R119",G198)),0)+IFERROR(--ISNUMBER(SEARCH("R120",G198)),0)+IFERROR(--ISNUMBER(SEARCH("R121",G198)),0)+IFERROR(--ISNUMBER(SEARCH("R122",G198)),0)+IFERROR(--ISNUMBER(SEARCH("R123",G198)),0)+IFERROR(--ISNUMBER(SEARCH("R124",G198)),0)+IFERROR(--ISNUMBER(SEARCH("R125",G198)),0)+IFERROR(--ISNUMBER(SEARCH("R126",G198)),0)+IFERROR(--ISNUMBER(SEARCH("R127",G198)),0)+IFERROR(--ISNUMBER(SEARCH("R128",G198)),0)+IFERROR(--ISNUMBER(SEARCH("R129",G198)),0)+IFERROR(--ISNUMBER(SEARCH("R130",G198)),0)+IFERROR(--ISNUMBER(SEARCH("R131",G198)),0)+IFERROR(--ISNUMBER(SEARCH("R132",G198)),0)+IFERROR(--ISNUMBER(SEARCH("R133",G198)),0)+IFERROR(--ISNUMBER(SEARCH("R134",G198)),0)+IFERROR(--ISNUMBER(SEARCH("R135",G198)),0)+IFERROR(--ISNUMBER(SEARCH("R136",G198)),0)+IFERROR(--ISNUMBER(SEARCH("R137",G198)),0)+IFERROR(--ISNUMBER(SEARCH("R138",G198)),0)+IFERROR(--ISNUMBER(SEARCH("R139",G198)),0)+IFERROR(--ISNUMBER(SEARCH("R140",G198)),0)+IFERROR(--ISNUMBER(SEARCH("R141",G198)),0))</f>
        <v/>
      </c>
      <c r="T198" s="58">
        <f>IF(A198="","",IFERROR(--ISNUMBER(SEARCH("R28",G198)),0)+IFERROR(--ISNUMBER(SEARCH("R29",G198)),0)+IFERROR(--ISNUMBER(SEARCH("R30",G198)),0)+IFERROR(--ISNUMBER(SEARCH("R32",G198)),0)+IFERROR(--ISNUMBER(SEARCH("R33",G198)),0)+IFERROR(--ISNUMBER(SEARCH("R35",G198)),0)+IFERROR(--ISNUMBER(SEARCH("R36",G198)),0)+IFERROR(--ISNUMBER(SEARCH("R38",G198)),0)+IFERROR(--ISNUMBER(SEARCH("R39",G198)),0)+IFERROR(--ISNUMBER(SEARCH("R43",G198)),0)+IFERROR(--ISNUMBER(SEARCH("R44",G198)),0)+IFERROR(--ISNUMBER(SEARCH("R45",G198)),0)+IFERROR(--ISNUMBER(SEARCH("R47",G198)),0)+IFERROR(--ISNUMBER(SEARCH("R48",G198)),0)+IFERROR(--ISNUMBER(SEARCH("R50",G198)),0)+IFERROR(--ISNUMBER(SEARCH("R51",G198)),0)+IFERROR(--ISNUMBER(SEARCH("R56",G198)),0)+IFERROR(--ISNUMBER(SEARCH("R58",G198)),0)+IFERROR(--ISNUMBER(SEARCH("R59",G198)),0)+IFERROR(--ISNUMBER(SEARCH("R60",G198)),0)+IFERROR(--ISNUMBER(SEARCH("R62",G198)),0)+IFERROR(--ISNUMBER(SEARCH("R63",G198)),0)+IFERROR(--ISNUMBER(SEARCH("R64",G198)),0)+IFERROR(--ISNUMBER(SEARCH("R66",G198)),0)+IFERROR(--ISNUMBER(SEARCH("R67",G198)),0)+IFERROR(--ISNUMBER(SEARCH("R72",G198)),0)+IFERROR(--ISNUMBER(SEARCH("R74",G198)),0)+IFERROR(--ISNUMBER(SEARCH("R75",G198)),0)+IFERROR(--ISNUMBER(SEARCH("R76",G198)),0)+IFERROR(--ISNUMBER(SEARCH("R77",G198)),0)+IFERROR(--ISNUMBER(SEARCH("R79",G198)),0)+IFERROR(--ISNUMBER(SEARCH("R80",G198)),0)+IFERROR(--ISNUMBER(SEARCH("R81",G198)),0)+IFERROR(--ISNUMBER(SEARCH("R83",G198)),0)+IFERROR(--ISNUMBER(SEARCH("R84",G198)),0)+IFERROR(--ISNUMBER(SEARCH("R89",G198)),0)+IFERROR(--ISNUMBER(SEARCH("R94",G198)),0)+IFERROR(--ISNUMBER(SEARCH("R95",G198)),0)+IFERROR(--ISNUMBER(SEARCH("R96",G198)),0)+IFERROR(--ISNUMBER(SEARCH("R98",G198)),0)+IFERROR(--ISNUMBER(SEARCH("R99",G198)),0)+IFERROR(--ISNUMBER(SEARCH("R100",G198)),0)+IFERROR(--ISNUMBER(SEARCH("R104",G198)),0)+IFERROR(--ISNUMBER(SEARCH("R105",G198)),0)+IFERROR(--ISNUMBER(SEARCH("R107",G198)),0)+IFERROR(--ISNUMBER(SEARCH("R108",G198)),0)+IFERROR(--ISNUMBER(SEARCH("R109",G198)),0)+IFERROR(--ISNUMBER(SEARCH("R110",G198)),0)+IFERROR(--ISNUMBER(SEARCH("R112",G198)),0)+IFERROR(--ISNUMBER(SEARCH("R113",G198)),0)+IFERROR(--ISNUMBER(SEARCH("R114",G198)),0)+IFERROR(--ISNUMBER(SEARCH("R118",G198)),0)+IFERROR(--ISNUMBER(SEARCH("R119",G198)),0)+IFERROR(--ISNUMBER(SEARCH("R120",G198)),0)+IFERROR(--ISNUMBER(SEARCH("R122",G198)),0)+IFERROR(--ISNUMBER(SEARCH("R123",G198)),0)+IFERROR(--ISNUMBER(SEARCH("R124",G198)),0)+IFERROR(--ISNUMBER(SEARCH("R128",G198)),0)+IFERROR(--ISNUMBER(SEARCH("R130",G198)),0)+IFERROR(--ISNUMBER(SEARCH("R131",G198)),0)+IFERROR(--ISNUMBER(SEARCH("R132",G198)),0)+IFERROR(--ISNUMBER(SEARCH("R135",G198)),0)+IFERROR(--ISNUMBER(SEARCH("R138",G198)),0)+IFERROR(--ISNUMBER(SEARCH("R141",G198)),0))</f>
        <v/>
      </c>
      <c r="U198" s="58">
        <f>IF(A198="","",IFERROR(--ISNUMBER(SEARCH("R28",G198))*28,0)+IFERROR(--ISNUMBER(SEARCH("R29",G198))*29,0)+IFERROR(--ISNUMBER(SEARCH("R30",G198))*30,0)+IFERROR(--ISNUMBER(SEARCH("R31",G198))*31,0)+IFERROR(--ISNUMBER(SEARCH("R32",G198))*32,0)+IFERROR(--ISNUMBER(SEARCH("R33",G198))*33,0)+IFERROR(--ISNUMBER(SEARCH("R34",G198))*34,0)+IFERROR(--ISNUMBER(SEARCH("R35",G198))*35,0)+IFERROR(--ISNUMBER(SEARCH("R36",G198))*36,0)+IFERROR(--ISNUMBER(SEARCH("R37",G198))*37,0)+IFERROR(--ISNUMBER(SEARCH("R38",G198))*38,0)+IFERROR(--ISNUMBER(SEARCH("R39",G198))*39,0)+IFERROR(--ISNUMBER(SEARCH("R40",G198))*40,0)+IFERROR(--ISNUMBER(SEARCH("R41",G198))*41,0)+IFERROR(--ISNUMBER(SEARCH("R42",G198))*42,0)+IFERROR(--ISNUMBER(SEARCH("R43",G198))*43,0)+IFERROR(--ISNUMBER(SEARCH("R44",G198))*44,0)+IFERROR(--ISNUMBER(SEARCH("R45",G198))*45,0)+IFERROR(--ISNUMBER(SEARCH("R46",G198))*46,0)+IFERROR(--ISNUMBER(SEARCH("R47",G198))*47,0)+IFERROR(--ISNUMBER(SEARCH("R48",G198))*48,0)+IFERROR(--ISNUMBER(SEARCH("R49",G198))*49,0)+IFERROR(--ISNUMBER(SEARCH("R50",G198))*50,0)+IFERROR(--ISNUMBER(SEARCH("R51",G198))*51,0)+IFERROR(--ISNUMBER(SEARCH("R52",G198))*52,0)+IFERROR(--ISNUMBER(SEARCH("R53",G198))*53,0)+IFERROR(--ISNUMBER(SEARCH("R54",G198))*54,0)+IFERROR(--ISNUMBER(SEARCH("R55",G198))*55,0)+IFERROR(--ISNUMBER(SEARCH("R56",G198))*56,0)+IFERROR(--ISNUMBER(SEARCH("R57",G198))*57,0)+IFERROR(--ISNUMBER(SEARCH("R58",G198))*58,0)+IFERROR(--ISNUMBER(SEARCH("R59",G198))*59,0)+IFERROR(--ISNUMBER(SEARCH("R60",G198))*60,0)+IFERROR(--ISNUMBER(SEARCH("R61",G198))*61,0)+IFERROR(--ISNUMBER(SEARCH("R62",G198))*62,0)+IFERROR(--ISNUMBER(SEARCH("R63",G198))*63,0)+IFERROR(--ISNUMBER(SEARCH("R64",G198))*64,0)+IFERROR(--ISNUMBER(SEARCH("R65",G198))*65,0)+IFERROR(--ISNUMBER(SEARCH("R66",G198))*66,0)+IFERROR(--ISNUMBER(SEARCH("R67",G198))*67,0)+IFERROR(--ISNUMBER(SEARCH("R68",G198))*68,0)+IFERROR(--ISNUMBER(SEARCH("R69",G198))*69,0)+IFERROR(--ISNUMBER(SEARCH("R70",G198))*70,0)+IFERROR(--ISNUMBER(SEARCH("R71",G198))*71,0)+IFERROR(--ISNUMBER(SEARCH("R72",G198))*72,0)+IFERROR(--ISNUMBER(SEARCH("R73",G198))*73,0)+IFERROR(--ISNUMBER(SEARCH("R74",G198))*74,0)+IFERROR(--ISNUMBER(SEARCH("R75",G198))*75,0)+IFERROR(--ISNUMBER(SEARCH("R76",G198))*76,0)+IFERROR(--ISNUMBER(SEARCH("R77",G198))*77,0)+IFERROR(--ISNUMBER(SEARCH("R78",G198))*78,0)+IFERROR(--ISNUMBER(SEARCH("R79",G198))*79,0)+IFERROR(--ISNUMBER(SEARCH("R80",G198))*80,0)+IFERROR(--ISNUMBER(SEARCH("R81",G198))*81,0)+IFERROR(--ISNUMBER(SEARCH("R82",G198))*82,0)+IFERROR(--ISNUMBER(SEARCH("R83",G198))*83,0)+IFERROR(--ISNUMBER(SEARCH("R84",G198))*84,0)+IFERROR(--ISNUMBER(SEARCH("R85",G198))*85,0)+IFERROR(--ISNUMBER(SEARCH("R86",G198))*86,0)+IFERROR(--ISNUMBER(SEARCH("R87",G198))*87,0)+IFERROR(--ISNUMBER(SEARCH("R88",G198))*88,0)+IFERROR(--ISNUMBER(SEARCH("R89",G198))*89,0)+IFERROR(--ISNUMBER(SEARCH("R90",G198))*90,0)+IFERROR(--ISNUMBER(SEARCH("R91",G198))*91,0)+IFERROR(--ISNUMBER(SEARCH("R92",G198))*92,0)+IFERROR(--ISNUMBER(SEARCH("R93",G198))*93,0)+IFERROR(--ISNUMBER(SEARCH("R94",G198))*94,0)+IFERROR(--ISNUMBER(SEARCH("R95",G198))*95,0)+IFERROR(--ISNUMBER(SEARCH("R96",G198))*96,0)+IFERROR(--ISNUMBER(SEARCH("R97",G198))*97,0)+IFERROR(--ISNUMBER(SEARCH("R98",G198))*98,0)+IFERROR(--ISNUMBER(SEARCH("R99",G198))*99,0)+IFERROR(--ISNUMBER(SEARCH("R100",G198))*100,0)+IFERROR(--ISNUMBER(SEARCH("R101",G198))*101,0)+IFERROR(--ISNUMBER(SEARCH("R102",G198))*102,0)+IFERROR(--ISNUMBER(SEARCH("R103",G198))*103,0)+IFERROR(--ISNUMBER(SEARCH("R104",G198))*104,0)+IFERROR(--ISNUMBER(SEARCH("R105",G198))*105,0)+IFERROR(--ISNUMBER(SEARCH("R106",G198))*106,0)+IFERROR(--ISNUMBER(SEARCH("R107",G198))*107,0)+IFERROR(--ISNUMBER(SEARCH("R108",G198))*108,0)+IFERROR(--ISNUMBER(SEARCH("R109",G198))*109,0)+IFERROR(--ISNUMBER(SEARCH("R110",G198))*110,0)+IFERROR(--ISNUMBER(SEARCH("R111",G198))*111,0)+IFERROR(--ISNUMBER(SEARCH("R112",G198))*112,0)+IFERROR(--ISNUMBER(SEARCH("R113",G198))*113,0)+IFERROR(--ISNUMBER(SEARCH("R114",G198))*114,0)+IFERROR(--ISNUMBER(SEARCH("R115",G198))*115,0)+IFERROR(--ISNUMBER(SEARCH("R116",G198))*116,0)+IFERROR(--ISNUMBER(SEARCH("R117",G198))*117,0)+IFERROR(--ISNUMBER(SEARCH("R118",G198))*118,0)+IFERROR(--ISNUMBER(SEARCH("R119",G198))*119,0)+IFERROR(--ISNUMBER(SEARCH("R120",G198))*120,0)+IFERROR(--ISNUMBER(SEARCH("R121",G198))*121,0)+IFERROR(--ISNUMBER(SEARCH("R122",G198))*122,0)+IFERROR(--ISNUMBER(SEARCH("R123",G198))*123,0)+IFERROR(--ISNUMBER(SEARCH("R124",G198))*124,0)+IFERROR(--ISNUMBER(SEARCH("R125",G198))*125,0)+IFERROR(--ISNUMBER(SEARCH("R126",G198))*126,0)+IFERROR(--ISNUMBER(SEARCH("R127",G198))*127,0)+IFERROR(--ISNUMBER(SEARCH("R128",G198))*128,0)+IFERROR(--ISNUMBER(SEARCH("R129",G198))*129,0)+IFERROR(--ISNUMBER(SEARCH("R130",G198))*130,0)+IFERROR(--ISNUMBER(SEARCH("R131",G198))*131,0)+IFERROR(--ISNUMBER(SEARCH("R132",G198))*132,0)+IFERROR(--ISNUMBER(SEARCH("R133",G198))*133,0)+IFERROR(--ISNUMBER(SEARCH("R134",G198))*134,0)+IFERROR(--ISNUMBER(SEARCH("R135",G198))*135,0)+IFERROR(--ISNUMBER(SEARCH("R136",G198))*136,0)+IFERROR(--ISNUMBER(SEARCH("R137",G198))*137,0)+IFERROR(--ISNUMBER(SEARCH("R138",G198))*138,0)+IFERROR(--ISNUMBER(SEARCH("R139",G198))*139,0)+IFERROR(--ISNUMBER(SEARCH("R140",G198))*140,0)+IFERROR(--ISNUMBER(SEARCH("R141",G198))*141,0))</f>
        <v/>
      </c>
      <c r="V198" s="59">
        <f>IF(A198="","",IF(K198&lt;&gt;"",K198,J198))</f>
        <v/>
      </c>
      <c r="W198" s="59">
        <f>IF(A198="","",IF(AND(V198=29,O198&lt;&gt;"",COUNTIFS($V$6:$V$505,29,$F$6:$F$505,F198,$C$6:$C$505,C198,$O$6:$O$505,"&lt;&gt;")&gt;1),IF(COUNTIFS($V$6:V198,29,$F$6:F198,F198,$C$6:C198,C198,$O$6:O198,"&lt;&gt;")=1,"Esta es la fila que se debe CONSERVAR (aparición 1 de "&amp;COUNTIFS($V$6:$V$505,29,$F$6:$F$505,F198,$C$6:$C$505,C198,$O$6:$O$505,"&lt;&gt;")&amp;" con el mismo tercero y valor, casilla 29). Si hay más filas iguales, bórreles el valor a ELLAS, no a esta.","DUPLICADO — ya existe otra fila con el mismo tercero y valor para casilla 29 (aparición "&amp;COUNTIFS($V$6:V198,29,$F$6:F198,F198,$C$6:C198,C198,$O$6:O198,"&lt;&gt;")&amp;" de "&amp;COUNTIFS($V$6:$V$505,29,$F$6:$F$505,F198,$C$6:$C$505,C198,$O$6:$O$505,"&lt;&gt;")&amp;"). Para resolverlo: seleccione la celda O"&amp;ROW()&amp;" (columna Valor a declarar de ESTA fila) y presione Supr."),""))</f>
        <v/>
      </c>
      <c r="X198" s="463">
        <f>IF(A198="","",F198)</f>
        <v/>
      </c>
      <c r="Y198" s="463">
        <f>IF(A198="","",SUMIF(Entrada_Manual!$I$88:$I$187,A198,Entrada_Manual!$F$88:$F$187))</f>
        <v/>
      </c>
      <c r="Z198" s="463">
        <f>IF(A198="","",X198-Y198)</f>
        <v/>
      </c>
      <c r="AA198">
        <f>IF(A198="","",SUMPRODUCT((Entrada_Manual!$I$88:$I$187=A198)*1))</f>
        <v/>
      </c>
      <c r="AB198">
        <f>IF(A198="","",IF(S198&lt;=1,"",IF(AA198=0,"PENDIENTE — SIN ASIGNAR",IF(Z198=0,"RESUELTO","PARCIAL — DIFERENCIA "&amp;TEXT(Z198,"#,##0")))))</f>
        <v/>
      </c>
    </row>
    <row r="199" ht="14.25" customHeight="1" s="235">
      <c r="A199" s="47">
        <f>IF(Exogena_RAW!E208&lt;&gt;"",ROW()-5,"")</f>
        <v/>
      </c>
      <c r="B199" s="48">
        <f>IF(A199="","",208)</f>
        <v/>
      </c>
      <c r="C199" s="48">
        <f>IF(A199="","",IFERROR(Exogena_RAW!A208,""))</f>
        <v/>
      </c>
      <c r="D199" s="48">
        <f>IF(A199="","",IFERROR(Exogena_RAW!B208,""))</f>
        <v/>
      </c>
      <c r="E199" s="48">
        <f>IF(A199="","",Exogena_RAW!E208)</f>
        <v/>
      </c>
      <c r="F199" s="461">
        <f>IF(A199="","",Exogena_RAW!F208)</f>
        <v/>
      </c>
      <c r="G199" s="48">
        <f>IF(A199="","",IFERROR(Exogena_RAW!G208,""))</f>
        <v/>
      </c>
      <c r="H199" s="48">
        <f>IF(A199="","",IFERROR(Exogena_RAW!H208,""))</f>
        <v/>
      </c>
      <c r="I199" s="48">
        <f>IF(A199="","",IFERROR(IF(S199&gt;1,"VARIAS CASILLAS",IF(S199=1,IF(T199=1,"PROPUESTA DE CASILLA","REVISIÓN: CASILLA NO DIRECTA"),IF(OR(ISNUMBER(SEARCH("TOPE",UPPER(E199))),ISNUMBER(SEARCH("TOPE",UPPER(G199)))),"SOLO CONTROL",IF(ISNUMBER(SEARCH("RETEN",UPPER(E199))),"RETENCIÓN","REVISAR")))),"REVISAR"))</f>
        <v/>
      </c>
      <c r="J199" s="48">
        <f>IF(A199="","",IF(ISNUMBER(SEARCH("ingreso laboral promedio de los últimos seis meses",E199)),"",IFERROR(IF(AND(S199=1,T199=1),U199,""),"")))</f>
        <v/>
      </c>
      <c r="K199" s="216" t="n"/>
      <c r="L199" s="48">
        <f>IF(A199="","",IFERROR(IF(K199&lt;&gt;"","Casilla elegida por usuario",IF(S199&gt;1,"Varias casillas — elegir en K",IF(J199&lt;&gt;"","Sugerencia directa",IF(S199=1,"No trasladar directo — revisar",IF(OR(ISNUMBER(SEARCH("TOPE",UPPER(E199))),ISNUMBER(SEARCH("TOPE",UPPER(G199)))),"Solo control","Revisar manualmente"))))),"Revisar manualmente"))</f>
        <v/>
      </c>
      <c r="M199" s="461">
        <f>IF(A199="","",IF(IF(K199&lt;&gt;"",K199,J199)="",0,IF(COUNTIFS(Reglas!$I$5:$I$118,IF(K199&lt;&gt;"",K199,J199),Reglas!$J$5:$J$118,"Sí")=1,F199,0)))</f>
        <v/>
      </c>
      <c r="N199" s="56" t="n"/>
      <c r="O199" s="462">
        <f>IF(A199="","",IF(M199=0,"",M199))</f>
        <v/>
      </c>
      <c r="P199" s="461">
        <f>IF(A199="","",IF(O199="",0,IF(ISNUMBER(O199),O199,0)))</f>
        <v/>
      </c>
      <c r="Q199" s="48">
        <f>IF(A199="","",IF(Exogena_RAW!$C$4="","BLOQUEADO: FALTA AÑO",IF(Exogena_RAW!$K$10&lt;&gt;Reglas!$B$5,"BLOQUEADO: AÑO",IF(IF(K199&lt;&gt;"",K199,J199)="",IF(S199&gt;1,"REQUIERE ASIGNACIÓN MANUAL (VARIAS CASILLAS)","INFORMATIVO (sin casilla — no se declara)"),IF(COUNTIFS(Reglas!$I$5:$I$118,IF(K199&lt;&gt;"",K199,J199),Reglas!$J$5:$J$118,"Sí")=0,"BLOQUEADO: CASILLA NO DIRECTA",IF(O199="","EXCLUIDO (valor borrado por el usuario)",IF(_xlfn.ISFORMULA(O199),IF(W199&lt;&gt;"","BORRADOR — VALOR SUGERIDO DIAN ⚠ VER ALERTA","BORRADOR — VALOR SUGERIDO DIAN"),IF(W199&lt;&gt;"","ACEPTADO ⚠ VER ALERTA","ACEPTADO"))))))))</f>
        <v/>
      </c>
      <c r="R199" s="218" t="n"/>
      <c r="S199" s="58">
        <f>IF(A199="","",IFERROR(--ISNUMBER(SEARCH("R28",G199)),0)+IFERROR(--ISNUMBER(SEARCH("R29",G199)),0)+IFERROR(--ISNUMBER(SEARCH("R30",G199)),0)+IFERROR(--ISNUMBER(SEARCH("R31",G199)),0)+IFERROR(--ISNUMBER(SEARCH("R32",G199)),0)+IFERROR(--ISNUMBER(SEARCH("R33",G199)),0)+IFERROR(--ISNUMBER(SEARCH("R34",G199)),0)+IFERROR(--ISNUMBER(SEARCH("R35",G199)),0)+IFERROR(--ISNUMBER(SEARCH("R36",G199)),0)+IFERROR(--ISNUMBER(SEARCH("R37",G199)),0)+IFERROR(--ISNUMBER(SEARCH("R38",G199)),0)+IFERROR(--ISNUMBER(SEARCH("R39",G199)),0)+IFERROR(--ISNUMBER(SEARCH("R40",G199)),0)+IFERROR(--ISNUMBER(SEARCH("R41",G199)),0)+IFERROR(--ISNUMBER(SEARCH("R42",G199)),0)+IFERROR(--ISNUMBER(SEARCH("R43",G199)),0)+IFERROR(--ISNUMBER(SEARCH("R44",G199)),0)+IFERROR(--ISNUMBER(SEARCH("R45",G199)),0)+IFERROR(--ISNUMBER(SEARCH("R46",G199)),0)+IFERROR(--ISNUMBER(SEARCH("R47",G199)),0)+IFERROR(--ISNUMBER(SEARCH("R48",G199)),0)+IFERROR(--ISNUMBER(SEARCH("R49",G199)),0)+IFERROR(--ISNUMBER(SEARCH("R50",G199)),0)+IFERROR(--ISNUMBER(SEARCH("R51",G199)),0)+IFERROR(--ISNUMBER(SEARCH("R52",G199)),0)+IFERROR(--ISNUMBER(SEARCH("R53",G199)),0)+IFERROR(--ISNUMBER(SEARCH("R54",G199)),0)+IFERROR(--ISNUMBER(SEARCH("R55",G199)),0)+IFERROR(--ISNUMBER(SEARCH("R56",G199)),0)+IFERROR(--ISNUMBER(SEARCH("R57",G199)),0)+IFERROR(--ISNUMBER(SEARCH("R58",G199)),0)+IFERROR(--ISNUMBER(SEARCH("R59",G199)),0)+IFERROR(--ISNUMBER(SEARCH("R60",G199)),0)+IFERROR(--ISNUMBER(SEARCH("R61",G199)),0)+IFERROR(--ISNUMBER(SEARCH("R62",G199)),0)+IFERROR(--ISNUMBER(SEARCH("R63",G199)),0)+IFERROR(--ISNUMBER(SEARCH("R64",G199)),0)+IFERROR(--ISNUMBER(SEARCH("R65",G199)),0)+IFERROR(--ISNUMBER(SEARCH("R66",G199)),0)+IFERROR(--ISNUMBER(SEARCH("R67",G199)),0)+IFERROR(--ISNUMBER(SEARCH("R68",G199)),0)+IFERROR(--ISNUMBER(SEARCH("R69",G199)),0)+IFERROR(--ISNUMBER(SEARCH("R70",G199)),0)+IFERROR(--ISNUMBER(SEARCH("R71",G199)),0)+IFERROR(--ISNUMBER(SEARCH("R72",G199)),0)+IFERROR(--ISNUMBER(SEARCH("R73",G199)),0)+IFERROR(--ISNUMBER(SEARCH("R74",G199)),0)+IFERROR(--ISNUMBER(SEARCH("R75",G199)),0)+IFERROR(--ISNUMBER(SEARCH("R76",G199)),0)+IFERROR(--ISNUMBER(SEARCH("R77",G199)),0)+IFERROR(--ISNUMBER(SEARCH("R78",G199)),0)+IFERROR(--ISNUMBER(SEARCH("R79",G199)),0)+IFERROR(--ISNUMBER(SEARCH("R80",G199)),0)+IFERROR(--ISNUMBER(SEARCH("R81",G199)),0)+IFERROR(--ISNUMBER(SEARCH("R82",G199)),0)+IFERROR(--ISNUMBER(SEARCH("R83",G199)),0)+IFERROR(--ISNUMBER(SEARCH("R84",G199)),0)+IFERROR(--ISNUMBER(SEARCH("R85",G199)),0)+IFERROR(--ISNUMBER(SEARCH("R86",G199)),0)+IFERROR(--ISNUMBER(SEARCH("R87",G199)),0)+IFERROR(--ISNUMBER(SEARCH("R88",G199)),0)+IFERROR(--ISNUMBER(SEARCH("R89",G199)),0)+IFERROR(--ISNUMBER(SEARCH("R90",G199)),0)+IFERROR(--ISNUMBER(SEARCH("R91",G199)),0)+IFERROR(--ISNUMBER(SEARCH("R92",G199)),0)+IFERROR(--ISNUMBER(SEARCH("R93",G199)),0)+IFERROR(--ISNUMBER(SEARCH("R94",G199)),0)+IFERROR(--ISNUMBER(SEARCH("R95",G199)),0)+IFERROR(--ISNUMBER(SEARCH("R96",G199)),0)+IFERROR(--ISNUMBER(SEARCH("R97",G199)),0)+IFERROR(--ISNUMBER(SEARCH("R98",G199)),0)+IFERROR(--ISNUMBER(SEARCH("R99",G199)),0)+IFERROR(--ISNUMBER(SEARCH("R100",G199)),0)+IFERROR(--ISNUMBER(SEARCH("R101",G199)),0)+IFERROR(--ISNUMBER(SEARCH("R102",G199)),0)+IFERROR(--ISNUMBER(SEARCH("R103",G199)),0)+IFERROR(--ISNUMBER(SEARCH("R104",G199)),0)+IFERROR(--ISNUMBER(SEARCH("R105",G199)),0)+IFERROR(--ISNUMBER(SEARCH("R106",G199)),0)+IFERROR(--ISNUMBER(SEARCH("R107",G199)),0)+IFERROR(--ISNUMBER(SEARCH("R108",G199)),0)+IFERROR(--ISNUMBER(SEARCH("R109",G199)),0)+IFERROR(--ISNUMBER(SEARCH("R110",G199)),0)+IFERROR(--ISNUMBER(SEARCH("R111",G199)),0)+IFERROR(--ISNUMBER(SEARCH("R112",G199)),0)+IFERROR(--ISNUMBER(SEARCH("R113",G199)),0)+IFERROR(--ISNUMBER(SEARCH("R114",G199)),0)+IFERROR(--ISNUMBER(SEARCH("R115",G199)),0)+IFERROR(--ISNUMBER(SEARCH("R116",G199)),0)+IFERROR(--ISNUMBER(SEARCH("R117",G199)),0)+IFERROR(--ISNUMBER(SEARCH("R118",G199)),0)+IFERROR(--ISNUMBER(SEARCH("R119",G199)),0)+IFERROR(--ISNUMBER(SEARCH("R120",G199)),0)+IFERROR(--ISNUMBER(SEARCH("R121",G199)),0)+IFERROR(--ISNUMBER(SEARCH("R122",G199)),0)+IFERROR(--ISNUMBER(SEARCH("R123",G199)),0)+IFERROR(--ISNUMBER(SEARCH("R124",G199)),0)+IFERROR(--ISNUMBER(SEARCH("R125",G199)),0)+IFERROR(--ISNUMBER(SEARCH("R126",G199)),0)+IFERROR(--ISNUMBER(SEARCH("R127",G199)),0)+IFERROR(--ISNUMBER(SEARCH("R128",G199)),0)+IFERROR(--ISNUMBER(SEARCH("R129",G199)),0)+IFERROR(--ISNUMBER(SEARCH("R130",G199)),0)+IFERROR(--ISNUMBER(SEARCH("R131",G199)),0)+IFERROR(--ISNUMBER(SEARCH("R132",G199)),0)+IFERROR(--ISNUMBER(SEARCH("R133",G199)),0)+IFERROR(--ISNUMBER(SEARCH("R134",G199)),0)+IFERROR(--ISNUMBER(SEARCH("R135",G199)),0)+IFERROR(--ISNUMBER(SEARCH("R136",G199)),0)+IFERROR(--ISNUMBER(SEARCH("R137",G199)),0)+IFERROR(--ISNUMBER(SEARCH("R138",G199)),0)+IFERROR(--ISNUMBER(SEARCH("R139",G199)),0)+IFERROR(--ISNUMBER(SEARCH("R140",G199)),0)+IFERROR(--ISNUMBER(SEARCH("R141",G199)),0))</f>
        <v/>
      </c>
      <c r="T199" s="58">
        <f>IF(A199="","",IFERROR(--ISNUMBER(SEARCH("R28",G199)),0)+IFERROR(--ISNUMBER(SEARCH("R29",G199)),0)+IFERROR(--ISNUMBER(SEARCH("R30",G199)),0)+IFERROR(--ISNUMBER(SEARCH("R32",G199)),0)+IFERROR(--ISNUMBER(SEARCH("R33",G199)),0)+IFERROR(--ISNUMBER(SEARCH("R35",G199)),0)+IFERROR(--ISNUMBER(SEARCH("R36",G199)),0)+IFERROR(--ISNUMBER(SEARCH("R38",G199)),0)+IFERROR(--ISNUMBER(SEARCH("R39",G199)),0)+IFERROR(--ISNUMBER(SEARCH("R43",G199)),0)+IFERROR(--ISNUMBER(SEARCH("R44",G199)),0)+IFERROR(--ISNUMBER(SEARCH("R45",G199)),0)+IFERROR(--ISNUMBER(SEARCH("R47",G199)),0)+IFERROR(--ISNUMBER(SEARCH("R48",G199)),0)+IFERROR(--ISNUMBER(SEARCH("R50",G199)),0)+IFERROR(--ISNUMBER(SEARCH("R51",G199)),0)+IFERROR(--ISNUMBER(SEARCH("R56",G199)),0)+IFERROR(--ISNUMBER(SEARCH("R58",G199)),0)+IFERROR(--ISNUMBER(SEARCH("R59",G199)),0)+IFERROR(--ISNUMBER(SEARCH("R60",G199)),0)+IFERROR(--ISNUMBER(SEARCH("R62",G199)),0)+IFERROR(--ISNUMBER(SEARCH("R63",G199)),0)+IFERROR(--ISNUMBER(SEARCH("R64",G199)),0)+IFERROR(--ISNUMBER(SEARCH("R66",G199)),0)+IFERROR(--ISNUMBER(SEARCH("R67",G199)),0)+IFERROR(--ISNUMBER(SEARCH("R72",G199)),0)+IFERROR(--ISNUMBER(SEARCH("R74",G199)),0)+IFERROR(--ISNUMBER(SEARCH("R75",G199)),0)+IFERROR(--ISNUMBER(SEARCH("R76",G199)),0)+IFERROR(--ISNUMBER(SEARCH("R77",G199)),0)+IFERROR(--ISNUMBER(SEARCH("R79",G199)),0)+IFERROR(--ISNUMBER(SEARCH("R80",G199)),0)+IFERROR(--ISNUMBER(SEARCH("R81",G199)),0)+IFERROR(--ISNUMBER(SEARCH("R83",G199)),0)+IFERROR(--ISNUMBER(SEARCH("R84",G199)),0)+IFERROR(--ISNUMBER(SEARCH("R89",G199)),0)+IFERROR(--ISNUMBER(SEARCH("R94",G199)),0)+IFERROR(--ISNUMBER(SEARCH("R95",G199)),0)+IFERROR(--ISNUMBER(SEARCH("R96",G199)),0)+IFERROR(--ISNUMBER(SEARCH("R98",G199)),0)+IFERROR(--ISNUMBER(SEARCH("R99",G199)),0)+IFERROR(--ISNUMBER(SEARCH("R100",G199)),0)+IFERROR(--ISNUMBER(SEARCH("R104",G199)),0)+IFERROR(--ISNUMBER(SEARCH("R105",G199)),0)+IFERROR(--ISNUMBER(SEARCH("R107",G199)),0)+IFERROR(--ISNUMBER(SEARCH("R108",G199)),0)+IFERROR(--ISNUMBER(SEARCH("R109",G199)),0)+IFERROR(--ISNUMBER(SEARCH("R110",G199)),0)+IFERROR(--ISNUMBER(SEARCH("R112",G199)),0)+IFERROR(--ISNUMBER(SEARCH("R113",G199)),0)+IFERROR(--ISNUMBER(SEARCH("R114",G199)),0)+IFERROR(--ISNUMBER(SEARCH("R118",G199)),0)+IFERROR(--ISNUMBER(SEARCH("R119",G199)),0)+IFERROR(--ISNUMBER(SEARCH("R120",G199)),0)+IFERROR(--ISNUMBER(SEARCH("R122",G199)),0)+IFERROR(--ISNUMBER(SEARCH("R123",G199)),0)+IFERROR(--ISNUMBER(SEARCH("R124",G199)),0)+IFERROR(--ISNUMBER(SEARCH("R128",G199)),0)+IFERROR(--ISNUMBER(SEARCH("R130",G199)),0)+IFERROR(--ISNUMBER(SEARCH("R131",G199)),0)+IFERROR(--ISNUMBER(SEARCH("R132",G199)),0)+IFERROR(--ISNUMBER(SEARCH("R135",G199)),0)+IFERROR(--ISNUMBER(SEARCH("R138",G199)),0)+IFERROR(--ISNUMBER(SEARCH("R141",G199)),0))</f>
        <v/>
      </c>
      <c r="U199" s="58">
        <f>IF(A199="","",IFERROR(--ISNUMBER(SEARCH("R28",G199))*28,0)+IFERROR(--ISNUMBER(SEARCH("R29",G199))*29,0)+IFERROR(--ISNUMBER(SEARCH("R30",G199))*30,0)+IFERROR(--ISNUMBER(SEARCH("R31",G199))*31,0)+IFERROR(--ISNUMBER(SEARCH("R32",G199))*32,0)+IFERROR(--ISNUMBER(SEARCH("R33",G199))*33,0)+IFERROR(--ISNUMBER(SEARCH("R34",G199))*34,0)+IFERROR(--ISNUMBER(SEARCH("R35",G199))*35,0)+IFERROR(--ISNUMBER(SEARCH("R36",G199))*36,0)+IFERROR(--ISNUMBER(SEARCH("R37",G199))*37,0)+IFERROR(--ISNUMBER(SEARCH("R38",G199))*38,0)+IFERROR(--ISNUMBER(SEARCH("R39",G199))*39,0)+IFERROR(--ISNUMBER(SEARCH("R40",G199))*40,0)+IFERROR(--ISNUMBER(SEARCH("R41",G199))*41,0)+IFERROR(--ISNUMBER(SEARCH("R42",G199))*42,0)+IFERROR(--ISNUMBER(SEARCH("R43",G199))*43,0)+IFERROR(--ISNUMBER(SEARCH("R44",G199))*44,0)+IFERROR(--ISNUMBER(SEARCH("R45",G199))*45,0)+IFERROR(--ISNUMBER(SEARCH("R46",G199))*46,0)+IFERROR(--ISNUMBER(SEARCH("R47",G199))*47,0)+IFERROR(--ISNUMBER(SEARCH("R48",G199))*48,0)+IFERROR(--ISNUMBER(SEARCH("R49",G199))*49,0)+IFERROR(--ISNUMBER(SEARCH("R50",G199))*50,0)+IFERROR(--ISNUMBER(SEARCH("R51",G199))*51,0)+IFERROR(--ISNUMBER(SEARCH("R52",G199))*52,0)+IFERROR(--ISNUMBER(SEARCH("R53",G199))*53,0)+IFERROR(--ISNUMBER(SEARCH("R54",G199))*54,0)+IFERROR(--ISNUMBER(SEARCH("R55",G199))*55,0)+IFERROR(--ISNUMBER(SEARCH("R56",G199))*56,0)+IFERROR(--ISNUMBER(SEARCH("R57",G199))*57,0)+IFERROR(--ISNUMBER(SEARCH("R58",G199))*58,0)+IFERROR(--ISNUMBER(SEARCH("R59",G199))*59,0)+IFERROR(--ISNUMBER(SEARCH("R60",G199))*60,0)+IFERROR(--ISNUMBER(SEARCH("R61",G199))*61,0)+IFERROR(--ISNUMBER(SEARCH("R62",G199))*62,0)+IFERROR(--ISNUMBER(SEARCH("R63",G199))*63,0)+IFERROR(--ISNUMBER(SEARCH("R64",G199))*64,0)+IFERROR(--ISNUMBER(SEARCH("R65",G199))*65,0)+IFERROR(--ISNUMBER(SEARCH("R66",G199))*66,0)+IFERROR(--ISNUMBER(SEARCH("R67",G199))*67,0)+IFERROR(--ISNUMBER(SEARCH("R68",G199))*68,0)+IFERROR(--ISNUMBER(SEARCH("R69",G199))*69,0)+IFERROR(--ISNUMBER(SEARCH("R70",G199))*70,0)+IFERROR(--ISNUMBER(SEARCH("R71",G199))*71,0)+IFERROR(--ISNUMBER(SEARCH("R72",G199))*72,0)+IFERROR(--ISNUMBER(SEARCH("R73",G199))*73,0)+IFERROR(--ISNUMBER(SEARCH("R74",G199))*74,0)+IFERROR(--ISNUMBER(SEARCH("R75",G199))*75,0)+IFERROR(--ISNUMBER(SEARCH("R76",G199))*76,0)+IFERROR(--ISNUMBER(SEARCH("R77",G199))*77,0)+IFERROR(--ISNUMBER(SEARCH("R78",G199))*78,0)+IFERROR(--ISNUMBER(SEARCH("R79",G199))*79,0)+IFERROR(--ISNUMBER(SEARCH("R80",G199))*80,0)+IFERROR(--ISNUMBER(SEARCH("R81",G199))*81,0)+IFERROR(--ISNUMBER(SEARCH("R82",G199))*82,0)+IFERROR(--ISNUMBER(SEARCH("R83",G199))*83,0)+IFERROR(--ISNUMBER(SEARCH("R84",G199))*84,0)+IFERROR(--ISNUMBER(SEARCH("R85",G199))*85,0)+IFERROR(--ISNUMBER(SEARCH("R86",G199))*86,0)+IFERROR(--ISNUMBER(SEARCH("R87",G199))*87,0)+IFERROR(--ISNUMBER(SEARCH("R88",G199))*88,0)+IFERROR(--ISNUMBER(SEARCH("R89",G199))*89,0)+IFERROR(--ISNUMBER(SEARCH("R90",G199))*90,0)+IFERROR(--ISNUMBER(SEARCH("R91",G199))*91,0)+IFERROR(--ISNUMBER(SEARCH("R92",G199))*92,0)+IFERROR(--ISNUMBER(SEARCH("R93",G199))*93,0)+IFERROR(--ISNUMBER(SEARCH("R94",G199))*94,0)+IFERROR(--ISNUMBER(SEARCH("R95",G199))*95,0)+IFERROR(--ISNUMBER(SEARCH("R96",G199))*96,0)+IFERROR(--ISNUMBER(SEARCH("R97",G199))*97,0)+IFERROR(--ISNUMBER(SEARCH("R98",G199))*98,0)+IFERROR(--ISNUMBER(SEARCH("R99",G199))*99,0)+IFERROR(--ISNUMBER(SEARCH("R100",G199))*100,0)+IFERROR(--ISNUMBER(SEARCH("R101",G199))*101,0)+IFERROR(--ISNUMBER(SEARCH("R102",G199))*102,0)+IFERROR(--ISNUMBER(SEARCH("R103",G199))*103,0)+IFERROR(--ISNUMBER(SEARCH("R104",G199))*104,0)+IFERROR(--ISNUMBER(SEARCH("R105",G199))*105,0)+IFERROR(--ISNUMBER(SEARCH("R106",G199))*106,0)+IFERROR(--ISNUMBER(SEARCH("R107",G199))*107,0)+IFERROR(--ISNUMBER(SEARCH("R108",G199))*108,0)+IFERROR(--ISNUMBER(SEARCH("R109",G199))*109,0)+IFERROR(--ISNUMBER(SEARCH("R110",G199))*110,0)+IFERROR(--ISNUMBER(SEARCH("R111",G199))*111,0)+IFERROR(--ISNUMBER(SEARCH("R112",G199))*112,0)+IFERROR(--ISNUMBER(SEARCH("R113",G199))*113,0)+IFERROR(--ISNUMBER(SEARCH("R114",G199))*114,0)+IFERROR(--ISNUMBER(SEARCH("R115",G199))*115,0)+IFERROR(--ISNUMBER(SEARCH("R116",G199))*116,0)+IFERROR(--ISNUMBER(SEARCH("R117",G199))*117,0)+IFERROR(--ISNUMBER(SEARCH("R118",G199))*118,0)+IFERROR(--ISNUMBER(SEARCH("R119",G199))*119,0)+IFERROR(--ISNUMBER(SEARCH("R120",G199))*120,0)+IFERROR(--ISNUMBER(SEARCH("R121",G199))*121,0)+IFERROR(--ISNUMBER(SEARCH("R122",G199))*122,0)+IFERROR(--ISNUMBER(SEARCH("R123",G199))*123,0)+IFERROR(--ISNUMBER(SEARCH("R124",G199))*124,0)+IFERROR(--ISNUMBER(SEARCH("R125",G199))*125,0)+IFERROR(--ISNUMBER(SEARCH("R126",G199))*126,0)+IFERROR(--ISNUMBER(SEARCH("R127",G199))*127,0)+IFERROR(--ISNUMBER(SEARCH("R128",G199))*128,0)+IFERROR(--ISNUMBER(SEARCH("R129",G199))*129,0)+IFERROR(--ISNUMBER(SEARCH("R130",G199))*130,0)+IFERROR(--ISNUMBER(SEARCH("R131",G199))*131,0)+IFERROR(--ISNUMBER(SEARCH("R132",G199))*132,0)+IFERROR(--ISNUMBER(SEARCH("R133",G199))*133,0)+IFERROR(--ISNUMBER(SEARCH("R134",G199))*134,0)+IFERROR(--ISNUMBER(SEARCH("R135",G199))*135,0)+IFERROR(--ISNUMBER(SEARCH("R136",G199))*136,0)+IFERROR(--ISNUMBER(SEARCH("R137",G199))*137,0)+IFERROR(--ISNUMBER(SEARCH("R138",G199))*138,0)+IFERROR(--ISNUMBER(SEARCH("R139",G199))*139,0)+IFERROR(--ISNUMBER(SEARCH("R140",G199))*140,0)+IFERROR(--ISNUMBER(SEARCH("R141",G199))*141,0))</f>
        <v/>
      </c>
      <c r="V199" s="59">
        <f>IF(A199="","",IF(K199&lt;&gt;"",K199,J199))</f>
        <v/>
      </c>
      <c r="W199" s="59">
        <f>IF(A199="","",IF(AND(V199=29,O199&lt;&gt;"",COUNTIFS($V$6:$V$505,29,$F$6:$F$505,F199,$C$6:$C$505,C199,$O$6:$O$505,"&lt;&gt;")&gt;1),IF(COUNTIFS($V$6:V199,29,$F$6:F199,F199,$C$6:C199,C199,$O$6:O199,"&lt;&gt;")=1,"Esta es la fila que se debe CONSERVAR (aparición 1 de "&amp;COUNTIFS($V$6:$V$505,29,$F$6:$F$505,F199,$C$6:$C$505,C199,$O$6:$O$505,"&lt;&gt;")&amp;" con el mismo tercero y valor, casilla 29). Si hay más filas iguales, bórreles el valor a ELLAS, no a esta.","DUPLICADO — ya existe otra fila con el mismo tercero y valor para casilla 29 (aparición "&amp;COUNTIFS($V$6:V199,29,$F$6:F199,F199,$C$6:C199,C199,$O$6:O199,"&lt;&gt;")&amp;" de "&amp;COUNTIFS($V$6:$V$505,29,$F$6:$F$505,F199,$C$6:$C$505,C199,$O$6:$O$505,"&lt;&gt;")&amp;"). Para resolverlo: seleccione la celda O"&amp;ROW()&amp;" (columna Valor a declarar de ESTA fila) y presione Supr."),""))</f>
        <v/>
      </c>
      <c r="X199" s="463">
        <f>IF(A199="","",F199)</f>
        <v/>
      </c>
      <c r="Y199" s="463">
        <f>IF(A199="","",SUMIF(Entrada_Manual!$I$88:$I$187,A199,Entrada_Manual!$F$88:$F$187))</f>
        <v/>
      </c>
      <c r="Z199" s="463">
        <f>IF(A199="","",X199-Y199)</f>
        <v/>
      </c>
      <c r="AA199">
        <f>IF(A199="","",SUMPRODUCT((Entrada_Manual!$I$88:$I$187=A199)*1))</f>
        <v/>
      </c>
      <c r="AB199">
        <f>IF(A199="","",IF(S199&lt;=1,"",IF(AA199=0,"PENDIENTE — SIN ASIGNAR",IF(Z199=0,"RESUELTO","PARCIAL — DIFERENCIA "&amp;TEXT(Z199,"#,##0")))))</f>
        <v/>
      </c>
    </row>
    <row r="200" ht="14.25" customHeight="1" s="235">
      <c r="A200" s="47">
        <f>IF(Exogena_RAW!E209&lt;&gt;"",ROW()-5,"")</f>
        <v/>
      </c>
      <c r="B200" s="48">
        <f>IF(A200="","",209)</f>
        <v/>
      </c>
      <c r="C200" s="48">
        <f>IF(A200="","",IFERROR(Exogena_RAW!A209,""))</f>
        <v/>
      </c>
      <c r="D200" s="48">
        <f>IF(A200="","",IFERROR(Exogena_RAW!B209,""))</f>
        <v/>
      </c>
      <c r="E200" s="48">
        <f>IF(A200="","",Exogena_RAW!E209)</f>
        <v/>
      </c>
      <c r="F200" s="461">
        <f>IF(A200="","",Exogena_RAW!F209)</f>
        <v/>
      </c>
      <c r="G200" s="48">
        <f>IF(A200="","",IFERROR(Exogena_RAW!G209,""))</f>
        <v/>
      </c>
      <c r="H200" s="48">
        <f>IF(A200="","",IFERROR(Exogena_RAW!H209,""))</f>
        <v/>
      </c>
      <c r="I200" s="48">
        <f>IF(A200="","",IFERROR(IF(S200&gt;1,"VARIAS CASILLAS",IF(S200=1,IF(T200=1,"PROPUESTA DE CASILLA","REVISIÓN: CASILLA NO DIRECTA"),IF(OR(ISNUMBER(SEARCH("TOPE",UPPER(E200))),ISNUMBER(SEARCH("TOPE",UPPER(G200)))),"SOLO CONTROL",IF(ISNUMBER(SEARCH("RETEN",UPPER(E200))),"RETENCIÓN","REVISAR")))),"REVISAR"))</f>
        <v/>
      </c>
      <c r="J200" s="48">
        <f>IF(A200="","",IF(ISNUMBER(SEARCH("ingreso laboral promedio de los últimos seis meses",E200)),"",IFERROR(IF(AND(S200=1,T200=1),U200,""),"")))</f>
        <v/>
      </c>
      <c r="K200" s="216" t="n"/>
      <c r="L200" s="48">
        <f>IF(A200="","",IFERROR(IF(K200&lt;&gt;"","Casilla elegida por usuario",IF(S200&gt;1,"Varias casillas — elegir en K",IF(J200&lt;&gt;"","Sugerencia directa",IF(S200=1,"No trasladar directo — revisar",IF(OR(ISNUMBER(SEARCH("TOPE",UPPER(E200))),ISNUMBER(SEARCH("TOPE",UPPER(G200)))),"Solo control","Revisar manualmente"))))),"Revisar manualmente"))</f>
        <v/>
      </c>
      <c r="M200" s="461">
        <f>IF(A200="","",IF(IF(K200&lt;&gt;"",K200,J200)="",0,IF(COUNTIFS(Reglas!$I$5:$I$118,IF(K200&lt;&gt;"",K200,J200),Reglas!$J$5:$J$118,"Sí")=1,F200,0)))</f>
        <v/>
      </c>
      <c r="N200" s="56" t="n"/>
      <c r="O200" s="462">
        <f>IF(A200="","",IF(M200=0,"",M200))</f>
        <v/>
      </c>
      <c r="P200" s="461">
        <f>IF(A200="","",IF(O200="",0,IF(ISNUMBER(O200),O200,0)))</f>
        <v/>
      </c>
      <c r="Q200" s="48">
        <f>IF(A200="","",IF(Exogena_RAW!$C$4="","BLOQUEADO: FALTA AÑO",IF(Exogena_RAW!$K$10&lt;&gt;Reglas!$B$5,"BLOQUEADO: AÑO",IF(IF(K200&lt;&gt;"",K200,J200)="",IF(S200&gt;1,"REQUIERE ASIGNACIÓN MANUAL (VARIAS CASILLAS)","INFORMATIVO (sin casilla — no se declara)"),IF(COUNTIFS(Reglas!$I$5:$I$118,IF(K200&lt;&gt;"",K200,J200),Reglas!$J$5:$J$118,"Sí")=0,"BLOQUEADO: CASILLA NO DIRECTA",IF(O200="","EXCLUIDO (valor borrado por el usuario)",IF(_xlfn.ISFORMULA(O200),IF(W200&lt;&gt;"","BORRADOR — VALOR SUGERIDO DIAN ⚠ VER ALERTA","BORRADOR — VALOR SUGERIDO DIAN"),IF(W200&lt;&gt;"","ACEPTADO ⚠ VER ALERTA","ACEPTADO"))))))))</f>
        <v/>
      </c>
      <c r="R200" s="218" t="n"/>
      <c r="S200" s="58">
        <f>IF(A200="","",IFERROR(--ISNUMBER(SEARCH("R28",G200)),0)+IFERROR(--ISNUMBER(SEARCH("R29",G200)),0)+IFERROR(--ISNUMBER(SEARCH("R30",G200)),0)+IFERROR(--ISNUMBER(SEARCH("R31",G200)),0)+IFERROR(--ISNUMBER(SEARCH("R32",G200)),0)+IFERROR(--ISNUMBER(SEARCH("R33",G200)),0)+IFERROR(--ISNUMBER(SEARCH("R34",G200)),0)+IFERROR(--ISNUMBER(SEARCH("R35",G200)),0)+IFERROR(--ISNUMBER(SEARCH("R36",G200)),0)+IFERROR(--ISNUMBER(SEARCH("R37",G200)),0)+IFERROR(--ISNUMBER(SEARCH("R38",G200)),0)+IFERROR(--ISNUMBER(SEARCH("R39",G200)),0)+IFERROR(--ISNUMBER(SEARCH("R40",G200)),0)+IFERROR(--ISNUMBER(SEARCH("R41",G200)),0)+IFERROR(--ISNUMBER(SEARCH("R42",G200)),0)+IFERROR(--ISNUMBER(SEARCH("R43",G200)),0)+IFERROR(--ISNUMBER(SEARCH("R44",G200)),0)+IFERROR(--ISNUMBER(SEARCH("R45",G200)),0)+IFERROR(--ISNUMBER(SEARCH("R46",G200)),0)+IFERROR(--ISNUMBER(SEARCH("R47",G200)),0)+IFERROR(--ISNUMBER(SEARCH("R48",G200)),0)+IFERROR(--ISNUMBER(SEARCH("R49",G200)),0)+IFERROR(--ISNUMBER(SEARCH("R50",G200)),0)+IFERROR(--ISNUMBER(SEARCH("R51",G200)),0)+IFERROR(--ISNUMBER(SEARCH("R52",G200)),0)+IFERROR(--ISNUMBER(SEARCH("R53",G200)),0)+IFERROR(--ISNUMBER(SEARCH("R54",G200)),0)+IFERROR(--ISNUMBER(SEARCH("R55",G200)),0)+IFERROR(--ISNUMBER(SEARCH("R56",G200)),0)+IFERROR(--ISNUMBER(SEARCH("R57",G200)),0)+IFERROR(--ISNUMBER(SEARCH("R58",G200)),0)+IFERROR(--ISNUMBER(SEARCH("R59",G200)),0)+IFERROR(--ISNUMBER(SEARCH("R60",G200)),0)+IFERROR(--ISNUMBER(SEARCH("R61",G200)),0)+IFERROR(--ISNUMBER(SEARCH("R62",G200)),0)+IFERROR(--ISNUMBER(SEARCH("R63",G200)),0)+IFERROR(--ISNUMBER(SEARCH("R64",G200)),0)+IFERROR(--ISNUMBER(SEARCH("R65",G200)),0)+IFERROR(--ISNUMBER(SEARCH("R66",G200)),0)+IFERROR(--ISNUMBER(SEARCH("R67",G200)),0)+IFERROR(--ISNUMBER(SEARCH("R68",G200)),0)+IFERROR(--ISNUMBER(SEARCH("R69",G200)),0)+IFERROR(--ISNUMBER(SEARCH("R70",G200)),0)+IFERROR(--ISNUMBER(SEARCH("R71",G200)),0)+IFERROR(--ISNUMBER(SEARCH("R72",G200)),0)+IFERROR(--ISNUMBER(SEARCH("R73",G200)),0)+IFERROR(--ISNUMBER(SEARCH("R74",G200)),0)+IFERROR(--ISNUMBER(SEARCH("R75",G200)),0)+IFERROR(--ISNUMBER(SEARCH("R76",G200)),0)+IFERROR(--ISNUMBER(SEARCH("R77",G200)),0)+IFERROR(--ISNUMBER(SEARCH("R78",G200)),0)+IFERROR(--ISNUMBER(SEARCH("R79",G200)),0)+IFERROR(--ISNUMBER(SEARCH("R80",G200)),0)+IFERROR(--ISNUMBER(SEARCH("R81",G200)),0)+IFERROR(--ISNUMBER(SEARCH("R82",G200)),0)+IFERROR(--ISNUMBER(SEARCH("R83",G200)),0)+IFERROR(--ISNUMBER(SEARCH("R84",G200)),0)+IFERROR(--ISNUMBER(SEARCH("R85",G200)),0)+IFERROR(--ISNUMBER(SEARCH("R86",G200)),0)+IFERROR(--ISNUMBER(SEARCH("R87",G200)),0)+IFERROR(--ISNUMBER(SEARCH("R88",G200)),0)+IFERROR(--ISNUMBER(SEARCH("R89",G200)),0)+IFERROR(--ISNUMBER(SEARCH("R90",G200)),0)+IFERROR(--ISNUMBER(SEARCH("R91",G200)),0)+IFERROR(--ISNUMBER(SEARCH("R92",G200)),0)+IFERROR(--ISNUMBER(SEARCH("R93",G200)),0)+IFERROR(--ISNUMBER(SEARCH("R94",G200)),0)+IFERROR(--ISNUMBER(SEARCH("R95",G200)),0)+IFERROR(--ISNUMBER(SEARCH("R96",G200)),0)+IFERROR(--ISNUMBER(SEARCH("R97",G200)),0)+IFERROR(--ISNUMBER(SEARCH("R98",G200)),0)+IFERROR(--ISNUMBER(SEARCH("R99",G200)),0)+IFERROR(--ISNUMBER(SEARCH("R100",G200)),0)+IFERROR(--ISNUMBER(SEARCH("R101",G200)),0)+IFERROR(--ISNUMBER(SEARCH("R102",G200)),0)+IFERROR(--ISNUMBER(SEARCH("R103",G200)),0)+IFERROR(--ISNUMBER(SEARCH("R104",G200)),0)+IFERROR(--ISNUMBER(SEARCH("R105",G200)),0)+IFERROR(--ISNUMBER(SEARCH("R106",G200)),0)+IFERROR(--ISNUMBER(SEARCH("R107",G200)),0)+IFERROR(--ISNUMBER(SEARCH("R108",G200)),0)+IFERROR(--ISNUMBER(SEARCH("R109",G200)),0)+IFERROR(--ISNUMBER(SEARCH("R110",G200)),0)+IFERROR(--ISNUMBER(SEARCH("R111",G200)),0)+IFERROR(--ISNUMBER(SEARCH("R112",G200)),0)+IFERROR(--ISNUMBER(SEARCH("R113",G200)),0)+IFERROR(--ISNUMBER(SEARCH("R114",G200)),0)+IFERROR(--ISNUMBER(SEARCH("R115",G200)),0)+IFERROR(--ISNUMBER(SEARCH("R116",G200)),0)+IFERROR(--ISNUMBER(SEARCH("R117",G200)),0)+IFERROR(--ISNUMBER(SEARCH("R118",G200)),0)+IFERROR(--ISNUMBER(SEARCH("R119",G200)),0)+IFERROR(--ISNUMBER(SEARCH("R120",G200)),0)+IFERROR(--ISNUMBER(SEARCH("R121",G200)),0)+IFERROR(--ISNUMBER(SEARCH("R122",G200)),0)+IFERROR(--ISNUMBER(SEARCH("R123",G200)),0)+IFERROR(--ISNUMBER(SEARCH("R124",G200)),0)+IFERROR(--ISNUMBER(SEARCH("R125",G200)),0)+IFERROR(--ISNUMBER(SEARCH("R126",G200)),0)+IFERROR(--ISNUMBER(SEARCH("R127",G200)),0)+IFERROR(--ISNUMBER(SEARCH("R128",G200)),0)+IFERROR(--ISNUMBER(SEARCH("R129",G200)),0)+IFERROR(--ISNUMBER(SEARCH("R130",G200)),0)+IFERROR(--ISNUMBER(SEARCH("R131",G200)),0)+IFERROR(--ISNUMBER(SEARCH("R132",G200)),0)+IFERROR(--ISNUMBER(SEARCH("R133",G200)),0)+IFERROR(--ISNUMBER(SEARCH("R134",G200)),0)+IFERROR(--ISNUMBER(SEARCH("R135",G200)),0)+IFERROR(--ISNUMBER(SEARCH("R136",G200)),0)+IFERROR(--ISNUMBER(SEARCH("R137",G200)),0)+IFERROR(--ISNUMBER(SEARCH("R138",G200)),0)+IFERROR(--ISNUMBER(SEARCH("R139",G200)),0)+IFERROR(--ISNUMBER(SEARCH("R140",G200)),0)+IFERROR(--ISNUMBER(SEARCH("R141",G200)),0))</f>
        <v/>
      </c>
      <c r="T200" s="58">
        <f>IF(A200="","",IFERROR(--ISNUMBER(SEARCH("R28",G200)),0)+IFERROR(--ISNUMBER(SEARCH("R29",G200)),0)+IFERROR(--ISNUMBER(SEARCH("R30",G200)),0)+IFERROR(--ISNUMBER(SEARCH("R32",G200)),0)+IFERROR(--ISNUMBER(SEARCH("R33",G200)),0)+IFERROR(--ISNUMBER(SEARCH("R35",G200)),0)+IFERROR(--ISNUMBER(SEARCH("R36",G200)),0)+IFERROR(--ISNUMBER(SEARCH("R38",G200)),0)+IFERROR(--ISNUMBER(SEARCH("R39",G200)),0)+IFERROR(--ISNUMBER(SEARCH("R43",G200)),0)+IFERROR(--ISNUMBER(SEARCH("R44",G200)),0)+IFERROR(--ISNUMBER(SEARCH("R45",G200)),0)+IFERROR(--ISNUMBER(SEARCH("R47",G200)),0)+IFERROR(--ISNUMBER(SEARCH("R48",G200)),0)+IFERROR(--ISNUMBER(SEARCH("R50",G200)),0)+IFERROR(--ISNUMBER(SEARCH("R51",G200)),0)+IFERROR(--ISNUMBER(SEARCH("R56",G200)),0)+IFERROR(--ISNUMBER(SEARCH("R58",G200)),0)+IFERROR(--ISNUMBER(SEARCH("R59",G200)),0)+IFERROR(--ISNUMBER(SEARCH("R60",G200)),0)+IFERROR(--ISNUMBER(SEARCH("R62",G200)),0)+IFERROR(--ISNUMBER(SEARCH("R63",G200)),0)+IFERROR(--ISNUMBER(SEARCH("R64",G200)),0)+IFERROR(--ISNUMBER(SEARCH("R66",G200)),0)+IFERROR(--ISNUMBER(SEARCH("R67",G200)),0)+IFERROR(--ISNUMBER(SEARCH("R72",G200)),0)+IFERROR(--ISNUMBER(SEARCH("R74",G200)),0)+IFERROR(--ISNUMBER(SEARCH("R75",G200)),0)+IFERROR(--ISNUMBER(SEARCH("R76",G200)),0)+IFERROR(--ISNUMBER(SEARCH("R77",G200)),0)+IFERROR(--ISNUMBER(SEARCH("R79",G200)),0)+IFERROR(--ISNUMBER(SEARCH("R80",G200)),0)+IFERROR(--ISNUMBER(SEARCH("R81",G200)),0)+IFERROR(--ISNUMBER(SEARCH("R83",G200)),0)+IFERROR(--ISNUMBER(SEARCH("R84",G200)),0)+IFERROR(--ISNUMBER(SEARCH("R89",G200)),0)+IFERROR(--ISNUMBER(SEARCH("R94",G200)),0)+IFERROR(--ISNUMBER(SEARCH("R95",G200)),0)+IFERROR(--ISNUMBER(SEARCH("R96",G200)),0)+IFERROR(--ISNUMBER(SEARCH("R98",G200)),0)+IFERROR(--ISNUMBER(SEARCH("R99",G200)),0)+IFERROR(--ISNUMBER(SEARCH("R100",G200)),0)+IFERROR(--ISNUMBER(SEARCH("R104",G200)),0)+IFERROR(--ISNUMBER(SEARCH("R105",G200)),0)+IFERROR(--ISNUMBER(SEARCH("R107",G200)),0)+IFERROR(--ISNUMBER(SEARCH("R108",G200)),0)+IFERROR(--ISNUMBER(SEARCH("R109",G200)),0)+IFERROR(--ISNUMBER(SEARCH("R110",G200)),0)+IFERROR(--ISNUMBER(SEARCH("R112",G200)),0)+IFERROR(--ISNUMBER(SEARCH("R113",G200)),0)+IFERROR(--ISNUMBER(SEARCH("R114",G200)),0)+IFERROR(--ISNUMBER(SEARCH("R118",G200)),0)+IFERROR(--ISNUMBER(SEARCH("R119",G200)),0)+IFERROR(--ISNUMBER(SEARCH("R120",G200)),0)+IFERROR(--ISNUMBER(SEARCH("R122",G200)),0)+IFERROR(--ISNUMBER(SEARCH("R123",G200)),0)+IFERROR(--ISNUMBER(SEARCH("R124",G200)),0)+IFERROR(--ISNUMBER(SEARCH("R128",G200)),0)+IFERROR(--ISNUMBER(SEARCH("R130",G200)),0)+IFERROR(--ISNUMBER(SEARCH("R131",G200)),0)+IFERROR(--ISNUMBER(SEARCH("R132",G200)),0)+IFERROR(--ISNUMBER(SEARCH("R135",G200)),0)+IFERROR(--ISNUMBER(SEARCH("R138",G200)),0)+IFERROR(--ISNUMBER(SEARCH("R141",G200)),0))</f>
        <v/>
      </c>
      <c r="U200" s="58">
        <f>IF(A200="","",IFERROR(--ISNUMBER(SEARCH("R28",G200))*28,0)+IFERROR(--ISNUMBER(SEARCH("R29",G200))*29,0)+IFERROR(--ISNUMBER(SEARCH("R30",G200))*30,0)+IFERROR(--ISNUMBER(SEARCH("R31",G200))*31,0)+IFERROR(--ISNUMBER(SEARCH("R32",G200))*32,0)+IFERROR(--ISNUMBER(SEARCH("R33",G200))*33,0)+IFERROR(--ISNUMBER(SEARCH("R34",G200))*34,0)+IFERROR(--ISNUMBER(SEARCH("R35",G200))*35,0)+IFERROR(--ISNUMBER(SEARCH("R36",G200))*36,0)+IFERROR(--ISNUMBER(SEARCH("R37",G200))*37,0)+IFERROR(--ISNUMBER(SEARCH("R38",G200))*38,0)+IFERROR(--ISNUMBER(SEARCH("R39",G200))*39,0)+IFERROR(--ISNUMBER(SEARCH("R40",G200))*40,0)+IFERROR(--ISNUMBER(SEARCH("R41",G200))*41,0)+IFERROR(--ISNUMBER(SEARCH("R42",G200))*42,0)+IFERROR(--ISNUMBER(SEARCH("R43",G200))*43,0)+IFERROR(--ISNUMBER(SEARCH("R44",G200))*44,0)+IFERROR(--ISNUMBER(SEARCH("R45",G200))*45,0)+IFERROR(--ISNUMBER(SEARCH("R46",G200))*46,0)+IFERROR(--ISNUMBER(SEARCH("R47",G200))*47,0)+IFERROR(--ISNUMBER(SEARCH("R48",G200))*48,0)+IFERROR(--ISNUMBER(SEARCH("R49",G200))*49,0)+IFERROR(--ISNUMBER(SEARCH("R50",G200))*50,0)+IFERROR(--ISNUMBER(SEARCH("R51",G200))*51,0)+IFERROR(--ISNUMBER(SEARCH("R52",G200))*52,0)+IFERROR(--ISNUMBER(SEARCH("R53",G200))*53,0)+IFERROR(--ISNUMBER(SEARCH("R54",G200))*54,0)+IFERROR(--ISNUMBER(SEARCH("R55",G200))*55,0)+IFERROR(--ISNUMBER(SEARCH("R56",G200))*56,0)+IFERROR(--ISNUMBER(SEARCH("R57",G200))*57,0)+IFERROR(--ISNUMBER(SEARCH("R58",G200))*58,0)+IFERROR(--ISNUMBER(SEARCH("R59",G200))*59,0)+IFERROR(--ISNUMBER(SEARCH("R60",G200))*60,0)+IFERROR(--ISNUMBER(SEARCH("R61",G200))*61,0)+IFERROR(--ISNUMBER(SEARCH("R62",G200))*62,0)+IFERROR(--ISNUMBER(SEARCH("R63",G200))*63,0)+IFERROR(--ISNUMBER(SEARCH("R64",G200))*64,0)+IFERROR(--ISNUMBER(SEARCH("R65",G200))*65,0)+IFERROR(--ISNUMBER(SEARCH("R66",G200))*66,0)+IFERROR(--ISNUMBER(SEARCH("R67",G200))*67,0)+IFERROR(--ISNUMBER(SEARCH("R68",G200))*68,0)+IFERROR(--ISNUMBER(SEARCH("R69",G200))*69,0)+IFERROR(--ISNUMBER(SEARCH("R70",G200))*70,0)+IFERROR(--ISNUMBER(SEARCH("R71",G200))*71,0)+IFERROR(--ISNUMBER(SEARCH("R72",G200))*72,0)+IFERROR(--ISNUMBER(SEARCH("R73",G200))*73,0)+IFERROR(--ISNUMBER(SEARCH("R74",G200))*74,0)+IFERROR(--ISNUMBER(SEARCH("R75",G200))*75,0)+IFERROR(--ISNUMBER(SEARCH("R76",G200))*76,0)+IFERROR(--ISNUMBER(SEARCH("R77",G200))*77,0)+IFERROR(--ISNUMBER(SEARCH("R78",G200))*78,0)+IFERROR(--ISNUMBER(SEARCH("R79",G200))*79,0)+IFERROR(--ISNUMBER(SEARCH("R80",G200))*80,0)+IFERROR(--ISNUMBER(SEARCH("R81",G200))*81,0)+IFERROR(--ISNUMBER(SEARCH("R82",G200))*82,0)+IFERROR(--ISNUMBER(SEARCH("R83",G200))*83,0)+IFERROR(--ISNUMBER(SEARCH("R84",G200))*84,0)+IFERROR(--ISNUMBER(SEARCH("R85",G200))*85,0)+IFERROR(--ISNUMBER(SEARCH("R86",G200))*86,0)+IFERROR(--ISNUMBER(SEARCH("R87",G200))*87,0)+IFERROR(--ISNUMBER(SEARCH("R88",G200))*88,0)+IFERROR(--ISNUMBER(SEARCH("R89",G200))*89,0)+IFERROR(--ISNUMBER(SEARCH("R90",G200))*90,0)+IFERROR(--ISNUMBER(SEARCH("R91",G200))*91,0)+IFERROR(--ISNUMBER(SEARCH("R92",G200))*92,0)+IFERROR(--ISNUMBER(SEARCH("R93",G200))*93,0)+IFERROR(--ISNUMBER(SEARCH("R94",G200))*94,0)+IFERROR(--ISNUMBER(SEARCH("R95",G200))*95,0)+IFERROR(--ISNUMBER(SEARCH("R96",G200))*96,0)+IFERROR(--ISNUMBER(SEARCH("R97",G200))*97,0)+IFERROR(--ISNUMBER(SEARCH("R98",G200))*98,0)+IFERROR(--ISNUMBER(SEARCH("R99",G200))*99,0)+IFERROR(--ISNUMBER(SEARCH("R100",G200))*100,0)+IFERROR(--ISNUMBER(SEARCH("R101",G200))*101,0)+IFERROR(--ISNUMBER(SEARCH("R102",G200))*102,0)+IFERROR(--ISNUMBER(SEARCH("R103",G200))*103,0)+IFERROR(--ISNUMBER(SEARCH("R104",G200))*104,0)+IFERROR(--ISNUMBER(SEARCH("R105",G200))*105,0)+IFERROR(--ISNUMBER(SEARCH("R106",G200))*106,0)+IFERROR(--ISNUMBER(SEARCH("R107",G200))*107,0)+IFERROR(--ISNUMBER(SEARCH("R108",G200))*108,0)+IFERROR(--ISNUMBER(SEARCH("R109",G200))*109,0)+IFERROR(--ISNUMBER(SEARCH("R110",G200))*110,0)+IFERROR(--ISNUMBER(SEARCH("R111",G200))*111,0)+IFERROR(--ISNUMBER(SEARCH("R112",G200))*112,0)+IFERROR(--ISNUMBER(SEARCH("R113",G200))*113,0)+IFERROR(--ISNUMBER(SEARCH("R114",G200))*114,0)+IFERROR(--ISNUMBER(SEARCH("R115",G200))*115,0)+IFERROR(--ISNUMBER(SEARCH("R116",G200))*116,0)+IFERROR(--ISNUMBER(SEARCH("R117",G200))*117,0)+IFERROR(--ISNUMBER(SEARCH("R118",G200))*118,0)+IFERROR(--ISNUMBER(SEARCH("R119",G200))*119,0)+IFERROR(--ISNUMBER(SEARCH("R120",G200))*120,0)+IFERROR(--ISNUMBER(SEARCH("R121",G200))*121,0)+IFERROR(--ISNUMBER(SEARCH("R122",G200))*122,0)+IFERROR(--ISNUMBER(SEARCH("R123",G200))*123,0)+IFERROR(--ISNUMBER(SEARCH("R124",G200))*124,0)+IFERROR(--ISNUMBER(SEARCH("R125",G200))*125,0)+IFERROR(--ISNUMBER(SEARCH("R126",G200))*126,0)+IFERROR(--ISNUMBER(SEARCH("R127",G200))*127,0)+IFERROR(--ISNUMBER(SEARCH("R128",G200))*128,0)+IFERROR(--ISNUMBER(SEARCH("R129",G200))*129,0)+IFERROR(--ISNUMBER(SEARCH("R130",G200))*130,0)+IFERROR(--ISNUMBER(SEARCH("R131",G200))*131,0)+IFERROR(--ISNUMBER(SEARCH("R132",G200))*132,0)+IFERROR(--ISNUMBER(SEARCH("R133",G200))*133,0)+IFERROR(--ISNUMBER(SEARCH("R134",G200))*134,0)+IFERROR(--ISNUMBER(SEARCH("R135",G200))*135,0)+IFERROR(--ISNUMBER(SEARCH("R136",G200))*136,0)+IFERROR(--ISNUMBER(SEARCH("R137",G200))*137,0)+IFERROR(--ISNUMBER(SEARCH("R138",G200))*138,0)+IFERROR(--ISNUMBER(SEARCH("R139",G200))*139,0)+IFERROR(--ISNUMBER(SEARCH("R140",G200))*140,0)+IFERROR(--ISNUMBER(SEARCH("R141",G200))*141,0))</f>
        <v/>
      </c>
      <c r="V200" s="59">
        <f>IF(A200="","",IF(K200&lt;&gt;"",K200,J200))</f>
        <v/>
      </c>
      <c r="W200" s="59">
        <f>IF(A200="","",IF(AND(V200=29,O200&lt;&gt;"",COUNTIFS($V$6:$V$505,29,$F$6:$F$505,F200,$C$6:$C$505,C200,$O$6:$O$505,"&lt;&gt;")&gt;1),IF(COUNTIFS($V$6:V200,29,$F$6:F200,F200,$C$6:C200,C200,$O$6:O200,"&lt;&gt;")=1,"Esta es la fila que se debe CONSERVAR (aparición 1 de "&amp;COUNTIFS($V$6:$V$505,29,$F$6:$F$505,F200,$C$6:$C$505,C200,$O$6:$O$505,"&lt;&gt;")&amp;" con el mismo tercero y valor, casilla 29). Si hay más filas iguales, bórreles el valor a ELLAS, no a esta.","DUPLICADO — ya existe otra fila con el mismo tercero y valor para casilla 29 (aparición "&amp;COUNTIFS($V$6:V200,29,$F$6:F200,F200,$C$6:C200,C200,$O$6:O200,"&lt;&gt;")&amp;" de "&amp;COUNTIFS($V$6:$V$505,29,$F$6:$F$505,F200,$C$6:$C$505,C200,$O$6:$O$505,"&lt;&gt;")&amp;"). Para resolverlo: seleccione la celda O"&amp;ROW()&amp;" (columna Valor a declarar de ESTA fila) y presione Supr."),""))</f>
        <v/>
      </c>
      <c r="X200" s="463">
        <f>IF(A200="","",F200)</f>
        <v/>
      </c>
      <c r="Y200" s="463">
        <f>IF(A200="","",SUMIF(Entrada_Manual!$I$88:$I$187,A200,Entrada_Manual!$F$88:$F$187))</f>
        <v/>
      </c>
      <c r="Z200" s="463">
        <f>IF(A200="","",X200-Y200)</f>
        <v/>
      </c>
      <c r="AA200">
        <f>IF(A200="","",SUMPRODUCT((Entrada_Manual!$I$88:$I$187=A200)*1))</f>
        <v/>
      </c>
      <c r="AB200">
        <f>IF(A200="","",IF(S200&lt;=1,"",IF(AA200=0,"PENDIENTE — SIN ASIGNAR",IF(Z200=0,"RESUELTO","PARCIAL — DIFERENCIA "&amp;TEXT(Z200,"#,##0")))))</f>
        <v/>
      </c>
    </row>
    <row r="201" ht="14.25" customHeight="1" s="235">
      <c r="A201" s="47">
        <f>IF(Exogena_RAW!E210&lt;&gt;"",ROW()-5,"")</f>
        <v/>
      </c>
      <c r="B201" s="48">
        <f>IF(A201="","",210)</f>
        <v/>
      </c>
      <c r="C201" s="48">
        <f>IF(A201="","",IFERROR(Exogena_RAW!A210,""))</f>
        <v/>
      </c>
      <c r="D201" s="48">
        <f>IF(A201="","",IFERROR(Exogena_RAW!B210,""))</f>
        <v/>
      </c>
      <c r="E201" s="48">
        <f>IF(A201="","",Exogena_RAW!E210)</f>
        <v/>
      </c>
      <c r="F201" s="461">
        <f>IF(A201="","",Exogena_RAW!F210)</f>
        <v/>
      </c>
      <c r="G201" s="48">
        <f>IF(A201="","",IFERROR(Exogena_RAW!G210,""))</f>
        <v/>
      </c>
      <c r="H201" s="48">
        <f>IF(A201="","",IFERROR(Exogena_RAW!H210,""))</f>
        <v/>
      </c>
      <c r="I201" s="48">
        <f>IF(A201="","",IFERROR(IF(S201&gt;1,"VARIAS CASILLAS",IF(S201=1,IF(T201=1,"PROPUESTA DE CASILLA","REVISIÓN: CASILLA NO DIRECTA"),IF(OR(ISNUMBER(SEARCH("TOPE",UPPER(E201))),ISNUMBER(SEARCH("TOPE",UPPER(G201)))),"SOLO CONTROL",IF(ISNUMBER(SEARCH("RETEN",UPPER(E201))),"RETENCIÓN","REVISAR")))),"REVISAR"))</f>
        <v/>
      </c>
      <c r="J201" s="48">
        <f>IF(A201="","",IF(ISNUMBER(SEARCH("ingreso laboral promedio de los últimos seis meses",E201)),"",IFERROR(IF(AND(S201=1,T201=1),U201,""),"")))</f>
        <v/>
      </c>
      <c r="K201" s="216" t="n"/>
      <c r="L201" s="48">
        <f>IF(A201="","",IFERROR(IF(K201&lt;&gt;"","Casilla elegida por usuario",IF(S201&gt;1,"Varias casillas — elegir en K",IF(J201&lt;&gt;"","Sugerencia directa",IF(S201=1,"No trasladar directo — revisar",IF(OR(ISNUMBER(SEARCH("TOPE",UPPER(E201))),ISNUMBER(SEARCH("TOPE",UPPER(G201)))),"Solo control","Revisar manualmente"))))),"Revisar manualmente"))</f>
        <v/>
      </c>
      <c r="M201" s="461">
        <f>IF(A201="","",IF(IF(K201&lt;&gt;"",K201,J201)="",0,IF(COUNTIFS(Reglas!$I$5:$I$118,IF(K201&lt;&gt;"",K201,J201),Reglas!$J$5:$J$118,"Sí")=1,F201,0)))</f>
        <v/>
      </c>
      <c r="N201" s="56" t="n"/>
      <c r="O201" s="462">
        <f>IF(A201="","",IF(M201=0,"",M201))</f>
        <v/>
      </c>
      <c r="P201" s="461">
        <f>IF(A201="","",IF(O201="",0,IF(ISNUMBER(O201),O201,0)))</f>
        <v/>
      </c>
      <c r="Q201" s="48">
        <f>IF(A201="","",IF(Exogena_RAW!$C$4="","BLOQUEADO: FALTA AÑO",IF(Exogena_RAW!$K$10&lt;&gt;Reglas!$B$5,"BLOQUEADO: AÑO",IF(IF(K201&lt;&gt;"",K201,J201)="",IF(S201&gt;1,"REQUIERE ASIGNACIÓN MANUAL (VARIAS CASILLAS)","INFORMATIVO (sin casilla — no se declara)"),IF(COUNTIFS(Reglas!$I$5:$I$118,IF(K201&lt;&gt;"",K201,J201),Reglas!$J$5:$J$118,"Sí")=0,"BLOQUEADO: CASILLA NO DIRECTA",IF(O201="","EXCLUIDO (valor borrado por el usuario)",IF(_xlfn.ISFORMULA(O201),IF(W201&lt;&gt;"","BORRADOR — VALOR SUGERIDO DIAN ⚠ VER ALERTA","BORRADOR — VALOR SUGERIDO DIAN"),IF(W201&lt;&gt;"","ACEPTADO ⚠ VER ALERTA","ACEPTADO"))))))))</f>
        <v/>
      </c>
      <c r="R201" s="218" t="n"/>
      <c r="S201" s="58">
        <f>IF(A201="","",IFERROR(--ISNUMBER(SEARCH("R28",G201)),0)+IFERROR(--ISNUMBER(SEARCH("R29",G201)),0)+IFERROR(--ISNUMBER(SEARCH("R30",G201)),0)+IFERROR(--ISNUMBER(SEARCH("R31",G201)),0)+IFERROR(--ISNUMBER(SEARCH("R32",G201)),0)+IFERROR(--ISNUMBER(SEARCH("R33",G201)),0)+IFERROR(--ISNUMBER(SEARCH("R34",G201)),0)+IFERROR(--ISNUMBER(SEARCH("R35",G201)),0)+IFERROR(--ISNUMBER(SEARCH("R36",G201)),0)+IFERROR(--ISNUMBER(SEARCH("R37",G201)),0)+IFERROR(--ISNUMBER(SEARCH("R38",G201)),0)+IFERROR(--ISNUMBER(SEARCH("R39",G201)),0)+IFERROR(--ISNUMBER(SEARCH("R40",G201)),0)+IFERROR(--ISNUMBER(SEARCH("R41",G201)),0)+IFERROR(--ISNUMBER(SEARCH("R42",G201)),0)+IFERROR(--ISNUMBER(SEARCH("R43",G201)),0)+IFERROR(--ISNUMBER(SEARCH("R44",G201)),0)+IFERROR(--ISNUMBER(SEARCH("R45",G201)),0)+IFERROR(--ISNUMBER(SEARCH("R46",G201)),0)+IFERROR(--ISNUMBER(SEARCH("R47",G201)),0)+IFERROR(--ISNUMBER(SEARCH("R48",G201)),0)+IFERROR(--ISNUMBER(SEARCH("R49",G201)),0)+IFERROR(--ISNUMBER(SEARCH("R50",G201)),0)+IFERROR(--ISNUMBER(SEARCH("R51",G201)),0)+IFERROR(--ISNUMBER(SEARCH("R52",G201)),0)+IFERROR(--ISNUMBER(SEARCH("R53",G201)),0)+IFERROR(--ISNUMBER(SEARCH("R54",G201)),0)+IFERROR(--ISNUMBER(SEARCH("R55",G201)),0)+IFERROR(--ISNUMBER(SEARCH("R56",G201)),0)+IFERROR(--ISNUMBER(SEARCH("R57",G201)),0)+IFERROR(--ISNUMBER(SEARCH("R58",G201)),0)+IFERROR(--ISNUMBER(SEARCH("R59",G201)),0)+IFERROR(--ISNUMBER(SEARCH("R60",G201)),0)+IFERROR(--ISNUMBER(SEARCH("R61",G201)),0)+IFERROR(--ISNUMBER(SEARCH("R62",G201)),0)+IFERROR(--ISNUMBER(SEARCH("R63",G201)),0)+IFERROR(--ISNUMBER(SEARCH("R64",G201)),0)+IFERROR(--ISNUMBER(SEARCH("R65",G201)),0)+IFERROR(--ISNUMBER(SEARCH("R66",G201)),0)+IFERROR(--ISNUMBER(SEARCH("R67",G201)),0)+IFERROR(--ISNUMBER(SEARCH("R68",G201)),0)+IFERROR(--ISNUMBER(SEARCH("R69",G201)),0)+IFERROR(--ISNUMBER(SEARCH("R70",G201)),0)+IFERROR(--ISNUMBER(SEARCH("R71",G201)),0)+IFERROR(--ISNUMBER(SEARCH("R72",G201)),0)+IFERROR(--ISNUMBER(SEARCH("R73",G201)),0)+IFERROR(--ISNUMBER(SEARCH("R74",G201)),0)+IFERROR(--ISNUMBER(SEARCH("R75",G201)),0)+IFERROR(--ISNUMBER(SEARCH("R76",G201)),0)+IFERROR(--ISNUMBER(SEARCH("R77",G201)),0)+IFERROR(--ISNUMBER(SEARCH("R78",G201)),0)+IFERROR(--ISNUMBER(SEARCH("R79",G201)),0)+IFERROR(--ISNUMBER(SEARCH("R80",G201)),0)+IFERROR(--ISNUMBER(SEARCH("R81",G201)),0)+IFERROR(--ISNUMBER(SEARCH("R82",G201)),0)+IFERROR(--ISNUMBER(SEARCH("R83",G201)),0)+IFERROR(--ISNUMBER(SEARCH("R84",G201)),0)+IFERROR(--ISNUMBER(SEARCH("R85",G201)),0)+IFERROR(--ISNUMBER(SEARCH("R86",G201)),0)+IFERROR(--ISNUMBER(SEARCH("R87",G201)),0)+IFERROR(--ISNUMBER(SEARCH("R88",G201)),0)+IFERROR(--ISNUMBER(SEARCH("R89",G201)),0)+IFERROR(--ISNUMBER(SEARCH("R90",G201)),0)+IFERROR(--ISNUMBER(SEARCH("R91",G201)),0)+IFERROR(--ISNUMBER(SEARCH("R92",G201)),0)+IFERROR(--ISNUMBER(SEARCH("R93",G201)),0)+IFERROR(--ISNUMBER(SEARCH("R94",G201)),0)+IFERROR(--ISNUMBER(SEARCH("R95",G201)),0)+IFERROR(--ISNUMBER(SEARCH("R96",G201)),0)+IFERROR(--ISNUMBER(SEARCH("R97",G201)),0)+IFERROR(--ISNUMBER(SEARCH("R98",G201)),0)+IFERROR(--ISNUMBER(SEARCH("R99",G201)),0)+IFERROR(--ISNUMBER(SEARCH("R100",G201)),0)+IFERROR(--ISNUMBER(SEARCH("R101",G201)),0)+IFERROR(--ISNUMBER(SEARCH("R102",G201)),0)+IFERROR(--ISNUMBER(SEARCH("R103",G201)),0)+IFERROR(--ISNUMBER(SEARCH("R104",G201)),0)+IFERROR(--ISNUMBER(SEARCH("R105",G201)),0)+IFERROR(--ISNUMBER(SEARCH("R106",G201)),0)+IFERROR(--ISNUMBER(SEARCH("R107",G201)),0)+IFERROR(--ISNUMBER(SEARCH("R108",G201)),0)+IFERROR(--ISNUMBER(SEARCH("R109",G201)),0)+IFERROR(--ISNUMBER(SEARCH("R110",G201)),0)+IFERROR(--ISNUMBER(SEARCH("R111",G201)),0)+IFERROR(--ISNUMBER(SEARCH("R112",G201)),0)+IFERROR(--ISNUMBER(SEARCH("R113",G201)),0)+IFERROR(--ISNUMBER(SEARCH("R114",G201)),0)+IFERROR(--ISNUMBER(SEARCH("R115",G201)),0)+IFERROR(--ISNUMBER(SEARCH("R116",G201)),0)+IFERROR(--ISNUMBER(SEARCH("R117",G201)),0)+IFERROR(--ISNUMBER(SEARCH("R118",G201)),0)+IFERROR(--ISNUMBER(SEARCH("R119",G201)),0)+IFERROR(--ISNUMBER(SEARCH("R120",G201)),0)+IFERROR(--ISNUMBER(SEARCH("R121",G201)),0)+IFERROR(--ISNUMBER(SEARCH("R122",G201)),0)+IFERROR(--ISNUMBER(SEARCH("R123",G201)),0)+IFERROR(--ISNUMBER(SEARCH("R124",G201)),0)+IFERROR(--ISNUMBER(SEARCH("R125",G201)),0)+IFERROR(--ISNUMBER(SEARCH("R126",G201)),0)+IFERROR(--ISNUMBER(SEARCH("R127",G201)),0)+IFERROR(--ISNUMBER(SEARCH("R128",G201)),0)+IFERROR(--ISNUMBER(SEARCH("R129",G201)),0)+IFERROR(--ISNUMBER(SEARCH("R130",G201)),0)+IFERROR(--ISNUMBER(SEARCH("R131",G201)),0)+IFERROR(--ISNUMBER(SEARCH("R132",G201)),0)+IFERROR(--ISNUMBER(SEARCH("R133",G201)),0)+IFERROR(--ISNUMBER(SEARCH("R134",G201)),0)+IFERROR(--ISNUMBER(SEARCH("R135",G201)),0)+IFERROR(--ISNUMBER(SEARCH("R136",G201)),0)+IFERROR(--ISNUMBER(SEARCH("R137",G201)),0)+IFERROR(--ISNUMBER(SEARCH("R138",G201)),0)+IFERROR(--ISNUMBER(SEARCH("R139",G201)),0)+IFERROR(--ISNUMBER(SEARCH("R140",G201)),0)+IFERROR(--ISNUMBER(SEARCH("R141",G201)),0))</f>
        <v/>
      </c>
      <c r="T201" s="58">
        <f>IF(A201="","",IFERROR(--ISNUMBER(SEARCH("R28",G201)),0)+IFERROR(--ISNUMBER(SEARCH("R29",G201)),0)+IFERROR(--ISNUMBER(SEARCH("R30",G201)),0)+IFERROR(--ISNUMBER(SEARCH("R32",G201)),0)+IFERROR(--ISNUMBER(SEARCH("R33",G201)),0)+IFERROR(--ISNUMBER(SEARCH("R35",G201)),0)+IFERROR(--ISNUMBER(SEARCH("R36",G201)),0)+IFERROR(--ISNUMBER(SEARCH("R38",G201)),0)+IFERROR(--ISNUMBER(SEARCH("R39",G201)),0)+IFERROR(--ISNUMBER(SEARCH("R43",G201)),0)+IFERROR(--ISNUMBER(SEARCH("R44",G201)),0)+IFERROR(--ISNUMBER(SEARCH("R45",G201)),0)+IFERROR(--ISNUMBER(SEARCH("R47",G201)),0)+IFERROR(--ISNUMBER(SEARCH("R48",G201)),0)+IFERROR(--ISNUMBER(SEARCH("R50",G201)),0)+IFERROR(--ISNUMBER(SEARCH("R51",G201)),0)+IFERROR(--ISNUMBER(SEARCH("R56",G201)),0)+IFERROR(--ISNUMBER(SEARCH("R58",G201)),0)+IFERROR(--ISNUMBER(SEARCH("R59",G201)),0)+IFERROR(--ISNUMBER(SEARCH("R60",G201)),0)+IFERROR(--ISNUMBER(SEARCH("R62",G201)),0)+IFERROR(--ISNUMBER(SEARCH("R63",G201)),0)+IFERROR(--ISNUMBER(SEARCH("R64",G201)),0)+IFERROR(--ISNUMBER(SEARCH("R66",G201)),0)+IFERROR(--ISNUMBER(SEARCH("R67",G201)),0)+IFERROR(--ISNUMBER(SEARCH("R72",G201)),0)+IFERROR(--ISNUMBER(SEARCH("R74",G201)),0)+IFERROR(--ISNUMBER(SEARCH("R75",G201)),0)+IFERROR(--ISNUMBER(SEARCH("R76",G201)),0)+IFERROR(--ISNUMBER(SEARCH("R77",G201)),0)+IFERROR(--ISNUMBER(SEARCH("R79",G201)),0)+IFERROR(--ISNUMBER(SEARCH("R80",G201)),0)+IFERROR(--ISNUMBER(SEARCH("R81",G201)),0)+IFERROR(--ISNUMBER(SEARCH("R83",G201)),0)+IFERROR(--ISNUMBER(SEARCH("R84",G201)),0)+IFERROR(--ISNUMBER(SEARCH("R89",G201)),0)+IFERROR(--ISNUMBER(SEARCH("R94",G201)),0)+IFERROR(--ISNUMBER(SEARCH("R95",G201)),0)+IFERROR(--ISNUMBER(SEARCH("R96",G201)),0)+IFERROR(--ISNUMBER(SEARCH("R98",G201)),0)+IFERROR(--ISNUMBER(SEARCH("R99",G201)),0)+IFERROR(--ISNUMBER(SEARCH("R100",G201)),0)+IFERROR(--ISNUMBER(SEARCH("R104",G201)),0)+IFERROR(--ISNUMBER(SEARCH("R105",G201)),0)+IFERROR(--ISNUMBER(SEARCH("R107",G201)),0)+IFERROR(--ISNUMBER(SEARCH("R108",G201)),0)+IFERROR(--ISNUMBER(SEARCH("R109",G201)),0)+IFERROR(--ISNUMBER(SEARCH("R110",G201)),0)+IFERROR(--ISNUMBER(SEARCH("R112",G201)),0)+IFERROR(--ISNUMBER(SEARCH("R113",G201)),0)+IFERROR(--ISNUMBER(SEARCH("R114",G201)),0)+IFERROR(--ISNUMBER(SEARCH("R118",G201)),0)+IFERROR(--ISNUMBER(SEARCH("R119",G201)),0)+IFERROR(--ISNUMBER(SEARCH("R120",G201)),0)+IFERROR(--ISNUMBER(SEARCH("R122",G201)),0)+IFERROR(--ISNUMBER(SEARCH("R123",G201)),0)+IFERROR(--ISNUMBER(SEARCH("R124",G201)),0)+IFERROR(--ISNUMBER(SEARCH("R128",G201)),0)+IFERROR(--ISNUMBER(SEARCH("R130",G201)),0)+IFERROR(--ISNUMBER(SEARCH("R131",G201)),0)+IFERROR(--ISNUMBER(SEARCH("R132",G201)),0)+IFERROR(--ISNUMBER(SEARCH("R135",G201)),0)+IFERROR(--ISNUMBER(SEARCH("R138",G201)),0)+IFERROR(--ISNUMBER(SEARCH("R141",G201)),0))</f>
        <v/>
      </c>
      <c r="U201" s="58">
        <f>IF(A201="","",IFERROR(--ISNUMBER(SEARCH("R28",G201))*28,0)+IFERROR(--ISNUMBER(SEARCH("R29",G201))*29,0)+IFERROR(--ISNUMBER(SEARCH("R30",G201))*30,0)+IFERROR(--ISNUMBER(SEARCH("R31",G201))*31,0)+IFERROR(--ISNUMBER(SEARCH("R32",G201))*32,0)+IFERROR(--ISNUMBER(SEARCH("R33",G201))*33,0)+IFERROR(--ISNUMBER(SEARCH("R34",G201))*34,0)+IFERROR(--ISNUMBER(SEARCH("R35",G201))*35,0)+IFERROR(--ISNUMBER(SEARCH("R36",G201))*36,0)+IFERROR(--ISNUMBER(SEARCH("R37",G201))*37,0)+IFERROR(--ISNUMBER(SEARCH("R38",G201))*38,0)+IFERROR(--ISNUMBER(SEARCH("R39",G201))*39,0)+IFERROR(--ISNUMBER(SEARCH("R40",G201))*40,0)+IFERROR(--ISNUMBER(SEARCH("R41",G201))*41,0)+IFERROR(--ISNUMBER(SEARCH("R42",G201))*42,0)+IFERROR(--ISNUMBER(SEARCH("R43",G201))*43,0)+IFERROR(--ISNUMBER(SEARCH("R44",G201))*44,0)+IFERROR(--ISNUMBER(SEARCH("R45",G201))*45,0)+IFERROR(--ISNUMBER(SEARCH("R46",G201))*46,0)+IFERROR(--ISNUMBER(SEARCH("R47",G201))*47,0)+IFERROR(--ISNUMBER(SEARCH("R48",G201))*48,0)+IFERROR(--ISNUMBER(SEARCH("R49",G201))*49,0)+IFERROR(--ISNUMBER(SEARCH("R50",G201))*50,0)+IFERROR(--ISNUMBER(SEARCH("R51",G201))*51,0)+IFERROR(--ISNUMBER(SEARCH("R52",G201))*52,0)+IFERROR(--ISNUMBER(SEARCH("R53",G201))*53,0)+IFERROR(--ISNUMBER(SEARCH("R54",G201))*54,0)+IFERROR(--ISNUMBER(SEARCH("R55",G201))*55,0)+IFERROR(--ISNUMBER(SEARCH("R56",G201))*56,0)+IFERROR(--ISNUMBER(SEARCH("R57",G201))*57,0)+IFERROR(--ISNUMBER(SEARCH("R58",G201))*58,0)+IFERROR(--ISNUMBER(SEARCH("R59",G201))*59,0)+IFERROR(--ISNUMBER(SEARCH("R60",G201))*60,0)+IFERROR(--ISNUMBER(SEARCH("R61",G201))*61,0)+IFERROR(--ISNUMBER(SEARCH("R62",G201))*62,0)+IFERROR(--ISNUMBER(SEARCH("R63",G201))*63,0)+IFERROR(--ISNUMBER(SEARCH("R64",G201))*64,0)+IFERROR(--ISNUMBER(SEARCH("R65",G201))*65,0)+IFERROR(--ISNUMBER(SEARCH("R66",G201))*66,0)+IFERROR(--ISNUMBER(SEARCH("R67",G201))*67,0)+IFERROR(--ISNUMBER(SEARCH("R68",G201))*68,0)+IFERROR(--ISNUMBER(SEARCH("R69",G201))*69,0)+IFERROR(--ISNUMBER(SEARCH("R70",G201))*70,0)+IFERROR(--ISNUMBER(SEARCH("R71",G201))*71,0)+IFERROR(--ISNUMBER(SEARCH("R72",G201))*72,0)+IFERROR(--ISNUMBER(SEARCH("R73",G201))*73,0)+IFERROR(--ISNUMBER(SEARCH("R74",G201))*74,0)+IFERROR(--ISNUMBER(SEARCH("R75",G201))*75,0)+IFERROR(--ISNUMBER(SEARCH("R76",G201))*76,0)+IFERROR(--ISNUMBER(SEARCH("R77",G201))*77,0)+IFERROR(--ISNUMBER(SEARCH("R78",G201))*78,0)+IFERROR(--ISNUMBER(SEARCH("R79",G201))*79,0)+IFERROR(--ISNUMBER(SEARCH("R80",G201))*80,0)+IFERROR(--ISNUMBER(SEARCH("R81",G201))*81,0)+IFERROR(--ISNUMBER(SEARCH("R82",G201))*82,0)+IFERROR(--ISNUMBER(SEARCH("R83",G201))*83,0)+IFERROR(--ISNUMBER(SEARCH("R84",G201))*84,0)+IFERROR(--ISNUMBER(SEARCH("R85",G201))*85,0)+IFERROR(--ISNUMBER(SEARCH("R86",G201))*86,0)+IFERROR(--ISNUMBER(SEARCH("R87",G201))*87,0)+IFERROR(--ISNUMBER(SEARCH("R88",G201))*88,0)+IFERROR(--ISNUMBER(SEARCH("R89",G201))*89,0)+IFERROR(--ISNUMBER(SEARCH("R90",G201))*90,0)+IFERROR(--ISNUMBER(SEARCH("R91",G201))*91,0)+IFERROR(--ISNUMBER(SEARCH("R92",G201))*92,0)+IFERROR(--ISNUMBER(SEARCH("R93",G201))*93,0)+IFERROR(--ISNUMBER(SEARCH("R94",G201))*94,0)+IFERROR(--ISNUMBER(SEARCH("R95",G201))*95,0)+IFERROR(--ISNUMBER(SEARCH("R96",G201))*96,0)+IFERROR(--ISNUMBER(SEARCH("R97",G201))*97,0)+IFERROR(--ISNUMBER(SEARCH("R98",G201))*98,0)+IFERROR(--ISNUMBER(SEARCH("R99",G201))*99,0)+IFERROR(--ISNUMBER(SEARCH("R100",G201))*100,0)+IFERROR(--ISNUMBER(SEARCH("R101",G201))*101,0)+IFERROR(--ISNUMBER(SEARCH("R102",G201))*102,0)+IFERROR(--ISNUMBER(SEARCH("R103",G201))*103,0)+IFERROR(--ISNUMBER(SEARCH("R104",G201))*104,0)+IFERROR(--ISNUMBER(SEARCH("R105",G201))*105,0)+IFERROR(--ISNUMBER(SEARCH("R106",G201))*106,0)+IFERROR(--ISNUMBER(SEARCH("R107",G201))*107,0)+IFERROR(--ISNUMBER(SEARCH("R108",G201))*108,0)+IFERROR(--ISNUMBER(SEARCH("R109",G201))*109,0)+IFERROR(--ISNUMBER(SEARCH("R110",G201))*110,0)+IFERROR(--ISNUMBER(SEARCH("R111",G201))*111,0)+IFERROR(--ISNUMBER(SEARCH("R112",G201))*112,0)+IFERROR(--ISNUMBER(SEARCH("R113",G201))*113,0)+IFERROR(--ISNUMBER(SEARCH("R114",G201))*114,0)+IFERROR(--ISNUMBER(SEARCH("R115",G201))*115,0)+IFERROR(--ISNUMBER(SEARCH("R116",G201))*116,0)+IFERROR(--ISNUMBER(SEARCH("R117",G201))*117,0)+IFERROR(--ISNUMBER(SEARCH("R118",G201))*118,0)+IFERROR(--ISNUMBER(SEARCH("R119",G201))*119,0)+IFERROR(--ISNUMBER(SEARCH("R120",G201))*120,0)+IFERROR(--ISNUMBER(SEARCH("R121",G201))*121,0)+IFERROR(--ISNUMBER(SEARCH("R122",G201))*122,0)+IFERROR(--ISNUMBER(SEARCH("R123",G201))*123,0)+IFERROR(--ISNUMBER(SEARCH("R124",G201))*124,0)+IFERROR(--ISNUMBER(SEARCH("R125",G201))*125,0)+IFERROR(--ISNUMBER(SEARCH("R126",G201))*126,0)+IFERROR(--ISNUMBER(SEARCH("R127",G201))*127,0)+IFERROR(--ISNUMBER(SEARCH("R128",G201))*128,0)+IFERROR(--ISNUMBER(SEARCH("R129",G201))*129,0)+IFERROR(--ISNUMBER(SEARCH("R130",G201))*130,0)+IFERROR(--ISNUMBER(SEARCH("R131",G201))*131,0)+IFERROR(--ISNUMBER(SEARCH("R132",G201))*132,0)+IFERROR(--ISNUMBER(SEARCH("R133",G201))*133,0)+IFERROR(--ISNUMBER(SEARCH("R134",G201))*134,0)+IFERROR(--ISNUMBER(SEARCH("R135",G201))*135,0)+IFERROR(--ISNUMBER(SEARCH("R136",G201))*136,0)+IFERROR(--ISNUMBER(SEARCH("R137",G201))*137,0)+IFERROR(--ISNUMBER(SEARCH("R138",G201))*138,0)+IFERROR(--ISNUMBER(SEARCH("R139",G201))*139,0)+IFERROR(--ISNUMBER(SEARCH("R140",G201))*140,0)+IFERROR(--ISNUMBER(SEARCH("R141",G201))*141,0))</f>
        <v/>
      </c>
      <c r="V201" s="59">
        <f>IF(A201="","",IF(K201&lt;&gt;"",K201,J201))</f>
        <v/>
      </c>
      <c r="W201" s="59">
        <f>IF(A201="","",IF(AND(V201=29,O201&lt;&gt;"",COUNTIFS($V$6:$V$505,29,$F$6:$F$505,F201,$C$6:$C$505,C201,$O$6:$O$505,"&lt;&gt;")&gt;1),IF(COUNTIFS($V$6:V201,29,$F$6:F201,F201,$C$6:C201,C201,$O$6:O201,"&lt;&gt;")=1,"Esta es la fila que se debe CONSERVAR (aparición 1 de "&amp;COUNTIFS($V$6:$V$505,29,$F$6:$F$505,F201,$C$6:$C$505,C201,$O$6:$O$505,"&lt;&gt;")&amp;" con el mismo tercero y valor, casilla 29). Si hay más filas iguales, bórreles el valor a ELLAS, no a esta.","DUPLICADO — ya existe otra fila con el mismo tercero y valor para casilla 29 (aparición "&amp;COUNTIFS($V$6:V201,29,$F$6:F201,F201,$C$6:C201,C201,$O$6:O201,"&lt;&gt;")&amp;" de "&amp;COUNTIFS($V$6:$V$505,29,$F$6:$F$505,F201,$C$6:$C$505,C201,$O$6:$O$505,"&lt;&gt;")&amp;"). Para resolverlo: seleccione la celda O"&amp;ROW()&amp;" (columna Valor a declarar de ESTA fila) y presione Supr."),""))</f>
        <v/>
      </c>
      <c r="X201" s="463">
        <f>IF(A201="","",F201)</f>
        <v/>
      </c>
      <c r="Y201" s="463">
        <f>IF(A201="","",SUMIF(Entrada_Manual!$I$88:$I$187,A201,Entrada_Manual!$F$88:$F$187))</f>
        <v/>
      </c>
      <c r="Z201" s="463">
        <f>IF(A201="","",X201-Y201)</f>
        <v/>
      </c>
      <c r="AA201">
        <f>IF(A201="","",SUMPRODUCT((Entrada_Manual!$I$88:$I$187=A201)*1))</f>
        <v/>
      </c>
      <c r="AB201">
        <f>IF(A201="","",IF(S201&lt;=1,"",IF(AA201=0,"PENDIENTE — SIN ASIGNAR",IF(Z201=0,"RESUELTO","PARCIAL — DIFERENCIA "&amp;TEXT(Z201,"#,##0")))))</f>
        <v/>
      </c>
    </row>
    <row r="202" ht="14.25" customHeight="1" s="235">
      <c r="A202" s="47">
        <f>IF(Exogena_RAW!E211&lt;&gt;"",ROW()-5,"")</f>
        <v/>
      </c>
      <c r="B202" s="48">
        <f>IF(A202="","",211)</f>
        <v/>
      </c>
      <c r="C202" s="48">
        <f>IF(A202="","",IFERROR(Exogena_RAW!A211,""))</f>
        <v/>
      </c>
      <c r="D202" s="48">
        <f>IF(A202="","",IFERROR(Exogena_RAW!B211,""))</f>
        <v/>
      </c>
      <c r="E202" s="48">
        <f>IF(A202="","",Exogena_RAW!E211)</f>
        <v/>
      </c>
      <c r="F202" s="461">
        <f>IF(A202="","",Exogena_RAW!F211)</f>
        <v/>
      </c>
      <c r="G202" s="48">
        <f>IF(A202="","",IFERROR(Exogena_RAW!G211,""))</f>
        <v/>
      </c>
      <c r="H202" s="48">
        <f>IF(A202="","",IFERROR(Exogena_RAW!H211,""))</f>
        <v/>
      </c>
      <c r="I202" s="48">
        <f>IF(A202="","",IFERROR(IF(S202&gt;1,"VARIAS CASILLAS",IF(S202=1,IF(T202=1,"PROPUESTA DE CASILLA","REVISIÓN: CASILLA NO DIRECTA"),IF(OR(ISNUMBER(SEARCH("TOPE",UPPER(E202))),ISNUMBER(SEARCH("TOPE",UPPER(G202)))),"SOLO CONTROL",IF(ISNUMBER(SEARCH("RETEN",UPPER(E202))),"RETENCIÓN","REVISAR")))),"REVISAR"))</f>
        <v/>
      </c>
      <c r="J202" s="48">
        <f>IF(A202="","",IF(ISNUMBER(SEARCH("ingreso laboral promedio de los últimos seis meses",E202)),"",IFERROR(IF(AND(S202=1,T202=1),U202,""),"")))</f>
        <v/>
      </c>
      <c r="K202" s="216" t="n"/>
      <c r="L202" s="48">
        <f>IF(A202="","",IFERROR(IF(K202&lt;&gt;"","Casilla elegida por usuario",IF(S202&gt;1,"Varias casillas — elegir en K",IF(J202&lt;&gt;"","Sugerencia directa",IF(S202=1,"No trasladar directo — revisar",IF(OR(ISNUMBER(SEARCH("TOPE",UPPER(E202))),ISNUMBER(SEARCH("TOPE",UPPER(G202)))),"Solo control","Revisar manualmente"))))),"Revisar manualmente"))</f>
        <v/>
      </c>
      <c r="M202" s="461">
        <f>IF(A202="","",IF(IF(K202&lt;&gt;"",K202,J202)="",0,IF(COUNTIFS(Reglas!$I$5:$I$118,IF(K202&lt;&gt;"",K202,J202),Reglas!$J$5:$J$118,"Sí")=1,F202,0)))</f>
        <v/>
      </c>
      <c r="N202" s="56" t="n"/>
      <c r="O202" s="462">
        <f>IF(A202="","",IF(M202=0,"",M202))</f>
        <v/>
      </c>
      <c r="P202" s="461">
        <f>IF(A202="","",IF(O202="",0,IF(ISNUMBER(O202),O202,0)))</f>
        <v/>
      </c>
      <c r="Q202" s="48">
        <f>IF(A202="","",IF(Exogena_RAW!$C$4="","BLOQUEADO: FALTA AÑO",IF(Exogena_RAW!$K$10&lt;&gt;Reglas!$B$5,"BLOQUEADO: AÑO",IF(IF(K202&lt;&gt;"",K202,J202)="",IF(S202&gt;1,"REQUIERE ASIGNACIÓN MANUAL (VARIAS CASILLAS)","INFORMATIVO (sin casilla — no se declara)"),IF(COUNTIFS(Reglas!$I$5:$I$118,IF(K202&lt;&gt;"",K202,J202),Reglas!$J$5:$J$118,"Sí")=0,"BLOQUEADO: CASILLA NO DIRECTA",IF(O202="","EXCLUIDO (valor borrado por el usuario)",IF(_xlfn.ISFORMULA(O202),IF(W202&lt;&gt;"","BORRADOR — VALOR SUGERIDO DIAN ⚠ VER ALERTA","BORRADOR — VALOR SUGERIDO DIAN"),IF(W202&lt;&gt;"","ACEPTADO ⚠ VER ALERTA","ACEPTADO"))))))))</f>
        <v/>
      </c>
      <c r="R202" s="218" t="n"/>
      <c r="S202" s="58">
        <f>IF(A202="","",IFERROR(--ISNUMBER(SEARCH("R28",G202)),0)+IFERROR(--ISNUMBER(SEARCH("R29",G202)),0)+IFERROR(--ISNUMBER(SEARCH("R30",G202)),0)+IFERROR(--ISNUMBER(SEARCH("R31",G202)),0)+IFERROR(--ISNUMBER(SEARCH("R32",G202)),0)+IFERROR(--ISNUMBER(SEARCH("R33",G202)),0)+IFERROR(--ISNUMBER(SEARCH("R34",G202)),0)+IFERROR(--ISNUMBER(SEARCH("R35",G202)),0)+IFERROR(--ISNUMBER(SEARCH("R36",G202)),0)+IFERROR(--ISNUMBER(SEARCH("R37",G202)),0)+IFERROR(--ISNUMBER(SEARCH("R38",G202)),0)+IFERROR(--ISNUMBER(SEARCH("R39",G202)),0)+IFERROR(--ISNUMBER(SEARCH("R40",G202)),0)+IFERROR(--ISNUMBER(SEARCH("R41",G202)),0)+IFERROR(--ISNUMBER(SEARCH("R42",G202)),0)+IFERROR(--ISNUMBER(SEARCH("R43",G202)),0)+IFERROR(--ISNUMBER(SEARCH("R44",G202)),0)+IFERROR(--ISNUMBER(SEARCH("R45",G202)),0)+IFERROR(--ISNUMBER(SEARCH("R46",G202)),0)+IFERROR(--ISNUMBER(SEARCH("R47",G202)),0)+IFERROR(--ISNUMBER(SEARCH("R48",G202)),0)+IFERROR(--ISNUMBER(SEARCH("R49",G202)),0)+IFERROR(--ISNUMBER(SEARCH("R50",G202)),0)+IFERROR(--ISNUMBER(SEARCH("R51",G202)),0)+IFERROR(--ISNUMBER(SEARCH("R52",G202)),0)+IFERROR(--ISNUMBER(SEARCH("R53",G202)),0)+IFERROR(--ISNUMBER(SEARCH("R54",G202)),0)+IFERROR(--ISNUMBER(SEARCH("R55",G202)),0)+IFERROR(--ISNUMBER(SEARCH("R56",G202)),0)+IFERROR(--ISNUMBER(SEARCH("R57",G202)),0)+IFERROR(--ISNUMBER(SEARCH("R58",G202)),0)+IFERROR(--ISNUMBER(SEARCH("R59",G202)),0)+IFERROR(--ISNUMBER(SEARCH("R60",G202)),0)+IFERROR(--ISNUMBER(SEARCH("R61",G202)),0)+IFERROR(--ISNUMBER(SEARCH("R62",G202)),0)+IFERROR(--ISNUMBER(SEARCH("R63",G202)),0)+IFERROR(--ISNUMBER(SEARCH("R64",G202)),0)+IFERROR(--ISNUMBER(SEARCH("R65",G202)),0)+IFERROR(--ISNUMBER(SEARCH("R66",G202)),0)+IFERROR(--ISNUMBER(SEARCH("R67",G202)),0)+IFERROR(--ISNUMBER(SEARCH("R68",G202)),0)+IFERROR(--ISNUMBER(SEARCH("R69",G202)),0)+IFERROR(--ISNUMBER(SEARCH("R70",G202)),0)+IFERROR(--ISNUMBER(SEARCH("R71",G202)),0)+IFERROR(--ISNUMBER(SEARCH("R72",G202)),0)+IFERROR(--ISNUMBER(SEARCH("R73",G202)),0)+IFERROR(--ISNUMBER(SEARCH("R74",G202)),0)+IFERROR(--ISNUMBER(SEARCH("R75",G202)),0)+IFERROR(--ISNUMBER(SEARCH("R76",G202)),0)+IFERROR(--ISNUMBER(SEARCH("R77",G202)),0)+IFERROR(--ISNUMBER(SEARCH("R78",G202)),0)+IFERROR(--ISNUMBER(SEARCH("R79",G202)),0)+IFERROR(--ISNUMBER(SEARCH("R80",G202)),0)+IFERROR(--ISNUMBER(SEARCH("R81",G202)),0)+IFERROR(--ISNUMBER(SEARCH("R82",G202)),0)+IFERROR(--ISNUMBER(SEARCH("R83",G202)),0)+IFERROR(--ISNUMBER(SEARCH("R84",G202)),0)+IFERROR(--ISNUMBER(SEARCH("R85",G202)),0)+IFERROR(--ISNUMBER(SEARCH("R86",G202)),0)+IFERROR(--ISNUMBER(SEARCH("R87",G202)),0)+IFERROR(--ISNUMBER(SEARCH("R88",G202)),0)+IFERROR(--ISNUMBER(SEARCH("R89",G202)),0)+IFERROR(--ISNUMBER(SEARCH("R90",G202)),0)+IFERROR(--ISNUMBER(SEARCH("R91",G202)),0)+IFERROR(--ISNUMBER(SEARCH("R92",G202)),0)+IFERROR(--ISNUMBER(SEARCH("R93",G202)),0)+IFERROR(--ISNUMBER(SEARCH("R94",G202)),0)+IFERROR(--ISNUMBER(SEARCH("R95",G202)),0)+IFERROR(--ISNUMBER(SEARCH("R96",G202)),0)+IFERROR(--ISNUMBER(SEARCH("R97",G202)),0)+IFERROR(--ISNUMBER(SEARCH("R98",G202)),0)+IFERROR(--ISNUMBER(SEARCH("R99",G202)),0)+IFERROR(--ISNUMBER(SEARCH("R100",G202)),0)+IFERROR(--ISNUMBER(SEARCH("R101",G202)),0)+IFERROR(--ISNUMBER(SEARCH("R102",G202)),0)+IFERROR(--ISNUMBER(SEARCH("R103",G202)),0)+IFERROR(--ISNUMBER(SEARCH("R104",G202)),0)+IFERROR(--ISNUMBER(SEARCH("R105",G202)),0)+IFERROR(--ISNUMBER(SEARCH("R106",G202)),0)+IFERROR(--ISNUMBER(SEARCH("R107",G202)),0)+IFERROR(--ISNUMBER(SEARCH("R108",G202)),0)+IFERROR(--ISNUMBER(SEARCH("R109",G202)),0)+IFERROR(--ISNUMBER(SEARCH("R110",G202)),0)+IFERROR(--ISNUMBER(SEARCH("R111",G202)),0)+IFERROR(--ISNUMBER(SEARCH("R112",G202)),0)+IFERROR(--ISNUMBER(SEARCH("R113",G202)),0)+IFERROR(--ISNUMBER(SEARCH("R114",G202)),0)+IFERROR(--ISNUMBER(SEARCH("R115",G202)),0)+IFERROR(--ISNUMBER(SEARCH("R116",G202)),0)+IFERROR(--ISNUMBER(SEARCH("R117",G202)),0)+IFERROR(--ISNUMBER(SEARCH("R118",G202)),0)+IFERROR(--ISNUMBER(SEARCH("R119",G202)),0)+IFERROR(--ISNUMBER(SEARCH("R120",G202)),0)+IFERROR(--ISNUMBER(SEARCH("R121",G202)),0)+IFERROR(--ISNUMBER(SEARCH("R122",G202)),0)+IFERROR(--ISNUMBER(SEARCH("R123",G202)),0)+IFERROR(--ISNUMBER(SEARCH("R124",G202)),0)+IFERROR(--ISNUMBER(SEARCH("R125",G202)),0)+IFERROR(--ISNUMBER(SEARCH("R126",G202)),0)+IFERROR(--ISNUMBER(SEARCH("R127",G202)),0)+IFERROR(--ISNUMBER(SEARCH("R128",G202)),0)+IFERROR(--ISNUMBER(SEARCH("R129",G202)),0)+IFERROR(--ISNUMBER(SEARCH("R130",G202)),0)+IFERROR(--ISNUMBER(SEARCH("R131",G202)),0)+IFERROR(--ISNUMBER(SEARCH("R132",G202)),0)+IFERROR(--ISNUMBER(SEARCH("R133",G202)),0)+IFERROR(--ISNUMBER(SEARCH("R134",G202)),0)+IFERROR(--ISNUMBER(SEARCH("R135",G202)),0)+IFERROR(--ISNUMBER(SEARCH("R136",G202)),0)+IFERROR(--ISNUMBER(SEARCH("R137",G202)),0)+IFERROR(--ISNUMBER(SEARCH("R138",G202)),0)+IFERROR(--ISNUMBER(SEARCH("R139",G202)),0)+IFERROR(--ISNUMBER(SEARCH("R140",G202)),0)+IFERROR(--ISNUMBER(SEARCH("R141",G202)),0))</f>
        <v/>
      </c>
      <c r="T202" s="58">
        <f>IF(A202="","",IFERROR(--ISNUMBER(SEARCH("R28",G202)),0)+IFERROR(--ISNUMBER(SEARCH("R29",G202)),0)+IFERROR(--ISNUMBER(SEARCH("R30",G202)),0)+IFERROR(--ISNUMBER(SEARCH("R32",G202)),0)+IFERROR(--ISNUMBER(SEARCH("R33",G202)),0)+IFERROR(--ISNUMBER(SEARCH("R35",G202)),0)+IFERROR(--ISNUMBER(SEARCH("R36",G202)),0)+IFERROR(--ISNUMBER(SEARCH("R38",G202)),0)+IFERROR(--ISNUMBER(SEARCH("R39",G202)),0)+IFERROR(--ISNUMBER(SEARCH("R43",G202)),0)+IFERROR(--ISNUMBER(SEARCH("R44",G202)),0)+IFERROR(--ISNUMBER(SEARCH("R45",G202)),0)+IFERROR(--ISNUMBER(SEARCH("R47",G202)),0)+IFERROR(--ISNUMBER(SEARCH("R48",G202)),0)+IFERROR(--ISNUMBER(SEARCH("R50",G202)),0)+IFERROR(--ISNUMBER(SEARCH("R51",G202)),0)+IFERROR(--ISNUMBER(SEARCH("R56",G202)),0)+IFERROR(--ISNUMBER(SEARCH("R58",G202)),0)+IFERROR(--ISNUMBER(SEARCH("R59",G202)),0)+IFERROR(--ISNUMBER(SEARCH("R60",G202)),0)+IFERROR(--ISNUMBER(SEARCH("R62",G202)),0)+IFERROR(--ISNUMBER(SEARCH("R63",G202)),0)+IFERROR(--ISNUMBER(SEARCH("R64",G202)),0)+IFERROR(--ISNUMBER(SEARCH("R66",G202)),0)+IFERROR(--ISNUMBER(SEARCH("R67",G202)),0)+IFERROR(--ISNUMBER(SEARCH("R72",G202)),0)+IFERROR(--ISNUMBER(SEARCH("R74",G202)),0)+IFERROR(--ISNUMBER(SEARCH("R75",G202)),0)+IFERROR(--ISNUMBER(SEARCH("R76",G202)),0)+IFERROR(--ISNUMBER(SEARCH("R77",G202)),0)+IFERROR(--ISNUMBER(SEARCH("R79",G202)),0)+IFERROR(--ISNUMBER(SEARCH("R80",G202)),0)+IFERROR(--ISNUMBER(SEARCH("R81",G202)),0)+IFERROR(--ISNUMBER(SEARCH("R83",G202)),0)+IFERROR(--ISNUMBER(SEARCH("R84",G202)),0)+IFERROR(--ISNUMBER(SEARCH("R89",G202)),0)+IFERROR(--ISNUMBER(SEARCH("R94",G202)),0)+IFERROR(--ISNUMBER(SEARCH("R95",G202)),0)+IFERROR(--ISNUMBER(SEARCH("R96",G202)),0)+IFERROR(--ISNUMBER(SEARCH("R98",G202)),0)+IFERROR(--ISNUMBER(SEARCH("R99",G202)),0)+IFERROR(--ISNUMBER(SEARCH("R100",G202)),0)+IFERROR(--ISNUMBER(SEARCH("R104",G202)),0)+IFERROR(--ISNUMBER(SEARCH("R105",G202)),0)+IFERROR(--ISNUMBER(SEARCH("R107",G202)),0)+IFERROR(--ISNUMBER(SEARCH("R108",G202)),0)+IFERROR(--ISNUMBER(SEARCH("R109",G202)),0)+IFERROR(--ISNUMBER(SEARCH("R110",G202)),0)+IFERROR(--ISNUMBER(SEARCH("R112",G202)),0)+IFERROR(--ISNUMBER(SEARCH("R113",G202)),0)+IFERROR(--ISNUMBER(SEARCH("R114",G202)),0)+IFERROR(--ISNUMBER(SEARCH("R118",G202)),0)+IFERROR(--ISNUMBER(SEARCH("R119",G202)),0)+IFERROR(--ISNUMBER(SEARCH("R120",G202)),0)+IFERROR(--ISNUMBER(SEARCH("R122",G202)),0)+IFERROR(--ISNUMBER(SEARCH("R123",G202)),0)+IFERROR(--ISNUMBER(SEARCH("R124",G202)),0)+IFERROR(--ISNUMBER(SEARCH("R128",G202)),0)+IFERROR(--ISNUMBER(SEARCH("R130",G202)),0)+IFERROR(--ISNUMBER(SEARCH("R131",G202)),0)+IFERROR(--ISNUMBER(SEARCH("R132",G202)),0)+IFERROR(--ISNUMBER(SEARCH("R135",G202)),0)+IFERROR(--ISNUMBER(SEARCH("R138",G202)),0)+IFERROR(--ISNUMBER(SEARCH("R141",G202)),0))</f>
        <v/>
      </c>
      <c r="U202" s="58">
        <f>IF(A202="","",IFERROR(--ISNUMBER(SEARCH("R28",G202))*28,0)+IFERROR(--ISNUMBER(SEARCH("R29",G202))*29,0)+IFERROR(--ISNUMBER(SEARCH("R30",G202))*30,0)+IFERROR(--ISNUMBER(SEARCH("R31",G202))*31,0)+IFERROR(--ISNUMBER(SEARCH("R32",G202))*32,0)+IFERROR(--ISNUMBER(SEARCH("R33",G202))*33,0)+IFERROR(--ISNUMBER(SEARCH("R34",G202))*34,0)+IFERROR(--ISNUMBER(SEARCH("R35",G202))*35,0)+IFERROR(--ISNUMBER(SEARCH("R36",G202))*36,0)+IFERROR(--ISNUMBER(SEARCH("R37",G202))*37,0)+IFERROR(--ISNUMBER(SEARCH("R38",G202))*38,0)+IFERROR(--ISNUMBER(SEARCH("R39",G202))*39,0)+IFERROR(--ISNUMBER(SEARCH("R40",G202))*40,0)+IFERROR(--ISNUMBER(SEARCH("R41",G202))*41,0)+IFERROR(--ISNUMBER(SEARCH("R42",G202))*42,0)+IFERROR(--ISNUMBER(SEARCH("R43",G202))*43,0)+IFERROR(--ISNUMBER(SEARCH("R44",G202))*44,0)+IFERROR(--ISNUMBER(SEARCH("R45",G202))*45,0)+IFERROR(--ISNUMBER(SEARCH("R46",G202))*46,0)+IFERROR(--ISNUMBER(SEARCH("R47",G202))*47,0)+IFERROR(--ISNUMBER(SEARCH("R48",G202))*48,0)+IFERROR(--ISNUMBER(SEARCH("R49",G202))*49,0)+IFERROR(--ISNUMBER(SEARCH("R50",G202))*50,0)+IFERROR(--ISNUMBER(SEARCH("R51",G202))*51,0)+IFERROR(--ISNUMBER(SEARCH("R52",G202))*52,0)+IFERROR(--ISNUMBER(SEARCH("R53",G202))*53,0)+IFERROR(--ISNUMBER(SEARCH("R54",G202))*54,0)+IFERROR(--ISNUMBER(SEARCH("R55",G202))*55,0)+IFERROR(--ISNUMBER(SEARCH("R56",G202))*56,0)+IFERROR(--ISNUMBER(SEARCH("R57",G202))*57,0)+IFERROR(--ISNUMBER(SEARCH("R58",G202))*58,0)+IFERROR(--ISNUMBER(SEARCH("R59",G202))*59,0)+IFERROR(--ISNUMBER(SEARCH("R60",G202))*60,0)+IFERROR(--ISNUMBER(SEARCH("R61",G202))*61,0)+IFERROR(--ISNUMBER(SEARCH("R62",G202))*62,0)+IFERROR(--ISNUMBER(SEARCH("R63",G202))*63,0)+IFERROR(--ISNUMBER(SEARCH("R64",G202))*64,0)+IFERROR(--ISNUMBER(SEARCH("R65",G202))*65,0)+IFERROR(--ISNUMBER(SEARCH("R66",G202))*66,0)+IFERROR(--ISNUMBER(SEARCH("R67",G202))*67,0)+IFERROR(--ISNUMBER(SEARCH("R68",G202))*68,0)+IFERROR(--ISNUMBER(SEARCH("R69",G202))*69,0)+IFERROR(--ISNUMBER(SEARCH("R70",G202))*70,0)+IFERROR(--ISNUMBER(SEARCH("R71",G202))*71,0)+IFERROR(--ISNUMBER(SEARCH("R72",G202))*72,0)+IFERROR(--ISNUMBER(SEARCH("R73",G202))*73,0)+IFERROR(--ISNUMBER(SEARCH("R74",G202))*74,0)+IFERROR(--ISNUMBER(SEARCH("R75",G202))*75,0)+IFERROR(--ISNUMBER(SEARCH("R76",G202))*76,0)+IFERROR(--ISNUMBER(SEARCH("R77",G202))*77,0)+IFERROR(--ISNUMBER(SEARCH("R78",G202))*78,0)+IFERROR(--ISNUMBER(SEARCH("R79",G202))*79,0)+IFERROR(--ISNUMBER(SEARCH("R80",G202))*80,0)+IFERROR(--ISNUMBER(SEARCH("R81",G202))*81,0)+IFERROR(--ISNUMBER(SEARCH("R82",G202))*82,0)+IFERROR(--ISNUMBER(SEARCH("R83",G202))*83,0)+IFERROR(--ISNUMBER(SEARCH("R84",G202))*84,0)+IFERROR(--ISNUMBER(SEARCH("R85",G202))*85,0)+IFERROR(--ISNUMBER(SEARCH("R86",G202))*86,0)+IFERROR(--ISNUMBER(SEARCH("R87",G202))*87,0)+IFERROR(--ISNUMBER(SEARCH("R88",G202))*88,0)+IFERROR(--ISNUMBER(SEARCH("R89",G202))*89,0)+IFERROR(--ISNUMBER(SEARCH("R90",G202))*90,0)+IFERROR(--ISNUMBER(SEARCH("R91",G202))*91,0)+IFERROR(--ISNUMBER(SEARCH("R92",G202))*92,0)+IFERROR(--ISNUMBER(SEARCH("R93",G202))*93,0)+IFERROR(--ISNUMBER(SEARCH("R94",G202))*94,0)+IFERROR(--ISNUMBER(SEARCH("R95",G202))*95,0)+IFERROR(--ISNUMBER(SEARCH("R96",G202))*96,0)+IFERROR(--ISNUMBER(SEARCH("R97",G202))*97,0)+IFERROR(--ISNUMBER(SEARCH("R98",G202))*98,0)+IFERROR(--ISNUMBER(SEARCH("R99",G202))*99,0)+IFERROR(--ISNUMBER(SEARCH("R100",G202))*100,0)+IFERROR(--ISNUMBER(SEARCH("R101",G202))*101,0)+IFERROR(--ISNUMBER(SEARCH("R102",G202))*102,0)+IFERROR(--ISNUMBER(SEARCH("R103",G202))*103,0)+IFERROR(--ISNUMBER(SEARCH("R104",G202))*104,0)+IFERROR(--ISNUMBER(SEARCH("R105",G202))*105,0)+IFERROR(--ISNUMBER(SEARCH("R106",G202))*106,0)+IFERROR(--ISNUMBER(SEARCH("R107",G202))*107,0)+IFERROR(--ISNUMBER(SEARCH("R108",G202))*108,0)+IFERROR(--ISNUMBER(SEARCH("R109",G202))*109,0)+IFERROR(--ISNUMBER(SEARCH("R110",G202))*110,0)+IFERROR(--ISNUMBER(SEARCH("R111",G202))*111,0)+IFERROR(--ISNUMBER(SEARCH("R112",G202))*112,0)+IFERROR(--ISNUMBER(SEARCH("R113",G202))*113,0)+IFERROR(--ISNUMBER(SEARCH("R114",G202))*114,0)+IFERROR(--ISNUMBER(SEARCH("R115",G202))*115,0)+IFERROR(--ISNUMBER(SEARCH("R116",G202))*116,0)+IFERROR(--ISNUMBER(SEARCH("R117",G202))*117,0)+IFERROR(--ISNUMBER(SEARCH("R118",G202))*118,0)+IFERROR(--ISNUMBER(SEARCH("R119",G202))*119,0)+IFERROR(--ISNUMBER(SEARCH("R120",G202))*120,0)+IFERROR(--ISNUMBER(SEARCH("R121",G202))*121,0)+IFERROR(--ISNUMBER(SEARCH("R122",G202))*122,0)+IFERROR(--ISNUMBER(SEARCH("R123",G202))*123,0)+IFERROR(--ISNUMBER(SEARCH("R124",G202))*124,0)+IFERROR(--ISNUMBER(SEARCH("R125",G202))*125,0)+IFERROR(--ISNUMBER(SEARCH("R126",G202))*126,0)+IFERROR(--ISNUMBER(SEARCH("R127",G202))*127,0)+IFERROR(--ISNUMBER(SEARCH("R128",G202))*128,0)+IFERROR(--ISNUMBER(SEARCH("R129",G202))*129,0)+IFERROR(--ISNUMBER(SEARCH("R130",G202))*130,0)+IFERROR(--ISNUMBER(SEARCH("R131",G202))*131,0)+IFERROR(--ISNUMBER(SEARCH("R132",G202))*132,0)+IFERROR(--ISNUMBER(SEARCH("R133",G202))*133,0)+IFERROR(--ISNUMBER(SEARCH("R134",G202))*134,0)+IFERROR(--ISNUMBER(SEARCH("R135",G202))*135,0)+IFERROR(--ISNUMBER(SEARCH("R136",G202))*136,0)+IFERROR(--ISNUMBER(SEARCH("R137",G202))*137,0)+IFERROR(--ISNUMBER(SEARCH("R138",G202))*138,0)+IFERROR(--ISNUMBER(SEARCH("R139",G202))*139,0)+IFERROR(--ISNUMBER(SEARCH("R140",G202))*140,0)+IFERROR(--ISNUMBER(SEARCH("R141",G202))*141,0))</f>
        <v/>
      </c>
      <c r="V202" s="59">
        <f>IF(A202="","",IF(K202&lt;&gt;"",K202,J202))</f>
        <v/>
      </c>
      <c r="W202" s="59">
        <f>IF(A202="","",IF(AND(V202=29,O202&lt;&gt;"",COUNTIFS($V$6:$V$505,29,$F$6:$F$505,F202,$C$6:$C$505,C202,$O$6:$O$505,"&lt;&gt;")&gt;1),IF(COUNTIFS($V$6:V202,29,$F$6:F202,F202,$C$6:C202,C202,$O$6:O202,"&lt;&gt;")=1,"Esta es la fila que se debe CONSERVAR (aparición 1 de "&amp;COUNTIFS($V$6:$V$505,29,$F$6:$F$505,F202,$C$6:$C$505,C202,$O$6:$O$505,"&lt;&gt;")&amp;" con el mismo tercero y valor, casilla 29). Si hay más filas iguales, bórreles el valor a ELLAS, no a esta.","DUPLICADO — ya existe otra fila con el mismo tercero y valor para casilla 29 (aparición "&amp;COUNTIFS($V$6:V202,29,$F$6:F202,F202,$C$6:C202,C202,$O$6:O202,"&lt;&gt;")&amp;" de "&amp;COUNTIFS($V$6:$V$505,29,$F$6:$F$505,F202,$C$6:$C$505,C202,$O$6:$O$505,"&lt;&gt;")&amp;"). Para resolverlo: seleccione la celda O"&amp;ROW()&amp;" (columna Valor a declarar de ESTA fila) y presione Supr."),""))</f>
        <v/>
      </c>
      <c r="X202" s="463">
        <f>IF(A202="","",F202)</f>
        <v/>
      </c>
      <c r="Y202" s="463">
        <f>IF(A202="","",SUMIF(Entrada_Manual!$I$88:$I$187,A202,Entrada_Manual!$F$88:$F$187))</f>
        <v/>
      </c>
      <c r="Z202" s="463">
        <f>IF(A202="","",X202-Y202)</f>
        <v/>
      </c>
      <c r="AA202">
        <f>IF(A202="","",SUMPRODUCT((Entrada_Manual!$I$88:$I$187=A202)*1))</f>
        <v/>
      </c>
      <c r="AB202">
        <f>IF(A202="","",IF(S202&lt;=1,"",IF(AA202=0,"PENDIENTE — SIN ASIGNAR",IF(Z202=0,"RESUELTO","PARCIAL — DIFERENCIA "&amp;TEXT(Z202,"#,##0")))))</f>
        <v/>
      </c>
    </row>
    <row r="203" ht="14.25" customHeight="1" s="235">
      <c r="A203" s="47">
        <f>IF(Exogena_RAW!E212&lt;&gt;"",ROW()-5,"")</f>
        <v/>
      </c>
      <c r="B203" s="48">
        <f>IF(A203="","",212)</f>
        <v/>
      </c>
      <c r="C203" s="48">
        <f>IF(A203="","",IFERROR(Exogena_RAW!A212,""))</f>
        <v/>
      </c>
      <c r="D203" s="48">
        <f>IF(A203="","",IFERROR(Exogena_RAW!B212,""))</f>
        <v/>
      </c>
      <c r="E203" s="48">
        <f>IF(A203="","",Exogena_RAW!E212)</f>
        <v/>
      </c>
      <c r="F203" s="461">
        <f>IF(A203="","",Exogena_RAW!F212)</f>
        <v/>
      </c>
      <c r="G203" s="48">
        <f>IF(A203="","",IFERROR(Exogena_RAW!G212,""))</f>
        <v/>
      </c>
      <c r="H203" s="48">
        <f>IF(A203="","",IFERROR(Exogena_RAW!H212,""))</f>
        <v/>
      </c>
      <c r="I203" s="48">
        <f>IF(A203="","",IFERROR(IF(S203&gt;1,"VARIAS CASILLAS",IF(S203=1,IF(T203=1,"PROPUESTA DE CASILLA","REVISIÓN: CASILLA NO DIRECTA"),IF(OR(ISNUMBER(SEARCH("TOPE",UPPER(E203))),ISNUMBER(SEARCH("TOPE",UPPER(G203)))),"SOLO CONTROL",IF(ISNUMBER(SEARCH("RETEN",UPPER(E203))),"RETENCIÓN","REVISAR")))),"REVISAR"))</f>
        <v/>
      </c>
      <c r="J203" s="48">
        <f>IF(A203="","",IF(ISNUMBER(SEARCH("ingreso laboral promedio de los últimos seis meses",E203)),"",IFERROR(IF(AND(S203=1,T203=1),U203,""),"")))</f>
        <v/>
      </c>
      <c r="K203" s="216" t="n"/>
      <c r="L203" s="48">
        <f>IF(A203="","",IFERROR(IF(K203&lt;&gt;"","Casilla elegida por usuario",IF(S203&gt;1,"Varias casillas — elegir en K",IF(J203&lt;&gt;"","Sugerencia directa",IF(S203=1,"No trasladar directo — revisar",IF(OR(ISNUMBER(SEARCH("TOPE",UPPER(E203))),ISNUMBER(SEARCH("TOPE",UPPER(G203)))),"Solo control","Revisar manualmente"))))),"Revisar manualmente"))</f>
        <v/>
      </c>
      <c r="M203" s="461">
        <f>IF(A203="","",IF(IF(K203&lt;&gt;"",K203,J203)="",0,IF(COUNTIFS(Reglas!$I$5:$I$118,IF(K203&lt;&gt;"",K203,J203),Reglas!$J$5:$J$118,"Sí")=1,F203,0)))</f>
        <v/>
      </c>
      <c r="N203" s="56" t="n"/>
      <c r="O203" s="462">
        <f>IF(A203="","",IF(M203=0,"",M203))</f>
        <v/>
      </c>
      <c r="P203" s="461">
        <f>IF(A203="","",IF(O203="",0,IF(ISNUMBER(O203),O203,0)))</f>
        <v/>
      </c>
      <c r="Q203" s="48">
        <f>IF(A203="","",IF(Exogena_RAW!$C$4="","BLOQUEADO: FALTA AÑO",IF(Exogena_RAW!$K$10&lt;&gt;Reglas!$B$5,"BLOQUEADO: AÑO",IF(IF(K203&lt;&gt;"",K203,J203)="",IF(S203&gt;1,"REQUIERE ASIGNACIÓN MANUAL (VARIAS CASILLAS)","INFORMATIVO (sin casilla — no se declara)"),IF(COUNTIFS(Reglas!$I$5:$I$118,IF(K203&lt;&gt;"",K203,J203),Reglas!$J$5:$J$118,"Sí")=0,"BLOQUEADO: CASILLA NO DIRECTA",IF(O203="","EXCLUIDO (valor borrado por el usuario)",IF(_xlfn.ISFORMULA(O203),IF(W203&lt;&gt;"","BORRADOR — VALOR SUGERIDO DIAN ⚠ VER ALERTA","BORRADOR — VALOR SUGERIDO DIAN"),IF(W203&lt;&gt;"","ACEPTADO ⚠ VER ALERTA","ACEPTADO"))))))))</f>
        <v/>
      </c>
      <c r="R203" s="218" t="n"/>
      <c r="S203" s="58">
        <f>IF(A203="","",IFERROR(--ISNUMBER(SEARCH("R28",G203)),0)+IFERROR(--ISNUMBER(SEARCH("R29",G203)),0)+IFERROR(--ISNUMBER(SEARCH("R30",G203)),0)+IFERROR(--ISNUMBER(SEARCH("R31",G203)),0)+IFERROR(--ISNUMBER(SEARCH("R32",G203)),0)+IFERROR(--ISNUMBER(SEARCH("R33",G203)),0)+IFERROR(--ISNUMBER(SEARCH("R34",G203)),0)+IFERROR(--ISNUMBER(SEARCH("R35",G203)),0)+IFERROR(--ISNUMBER(SEARCH("R36",G203)),0)+IFERROR(--ISNUMBER(SEARCH("R37",G203)),0)+IFERROR(--ISNUMBER(SEARCH("R38",G203)),0)+IFERROR(--ISNUMBER(SEARCH("R39",G203)),0)+IFERROR(--ISNUMBER(SEARCH("R40",G203)),0)+IFERROR(--ISNUMBER(SEARCH("R41",G203)),0)+IFERROR(--ISNUMBER(SEARCH("R42",G203)),0)+IFERROR(--ISNUMBER(SEARCH("R43",G203)),0)+IFERROR(--ISNUMBER(SEARCH("R44",G203)),0)+IFERROR(--ISNUMBER(SEARCH("R45",G203)),0)+IFERROR(--ISNUMBER(SEARCH("R46",G203)),0)+IFERROR(--ISNUMBER(SEARCH("R47",G203)),0)+IFERROR(--ISNUMBER(SEARCH("R48",G203)),0)+IFERROR(--ISNUMBER(SEARCH("R49",G203)),0)+IFERROR(--ISNUMBER(SEARCH("R50",G203)),0)+IFERROR(--ISNUMBER(SEARCH("R51",G203)),0)+IFERROR(--ISNUMBER(SEARCH("R52",G203)),0)+IFERROR(--ISNUMBER(SEARCH("R53",G203)),0)+IFERROR(--ISNUMBER(SEARCH("R54",G203)),0)+IFERROR(--ISNUMBER(SEARCH("R55",G203)),0)+IFERROR(--ISNUMBER(SEARCH("R56",G203)),0)+IFERROR(--ISNUMBER(SEARCH("R57",G203)),0)+IFERROR(--ISNUMBER(SEARCH("R58",G203)),0)+IFERROR(--ISNUMBER(SEARCH("R59",G203)),0)+IFERROR(--ISNUMBER(SEARCH("R60",G203)),0)+IFERROR(--ISNUMBER(SEARCH("R61",G203)),0)+IFERROR(--ISNUMBER(SEARCH("R62",G203)),0)+IFERROR(--ISNUMBER(SEARCH("R63",G203)),0)+IFERROR(--ISNUMBER(SEARCH("R64",G203)),0)+IFERROR(--ISNUMBER(SEARCH("R65",G203)),0)+IFERROR(--ISNUMBER(SEARCH("R66",G203)),0)+IFERROR(--ISNUMBER(SEARCH("R67",G203)),0)+IFERROR(--ISNUMBER(SEARCH("R68",G203)),0)+IFERROR(--ISNUMBER(SEARCH("R69",G203)),0)+IFERROR(--ISNUMBER(SEARCH("R70",G203)),0)+IFERROR(--ISNUMBER(SEARCH("R71",G203)),0)+IFERROR(--ISNUMBER(SEARCH("R72",G203)),0)+IFERROR(--ISNUMBER(SEARCH("R73",G203)),0)+IFERROR(--ISNUMBER(SEARCH("R74",G203)),0)+IFERROR(--ISNUMBER(SEARCH("R75",G203)),0)+IFERROR(--ISNUMBER(SEARCH("R76",G203)),0)+IFERROR(--ISNUMBER(SEARCH("R77",G203)),0)+IFERROR(--ISNUMBER(SEARCH("R78",G203)),0)+IFERROR(--ISNUMBER(SEARCH("R79",G203)),0)+IFERROR(--ISNUMBER(SEARCH("R80",G203)),0)+IFERROR(--ISNUMBER(SEARCH("R81",G203)),0)+IFERROR(--ISNUMBER(SEARCH("R82",G203)),0)+IFERROR(--ISNUMBER(SEARCH("R83",G203)),0)+IFERROR(--ISNUMBER(SEARCH("R84",G203)),0)+IFERROR(--ISNUMBER(SEARCH("R85",G203)),0)+IFERROR(--ISNUMBER(SEARCH("R86",G203)),0)+IFERROR(--ISNUMBER(SEARCH("R87",G203)),0)+IFERROR(--ISNUMBER(SEARCH("R88",G203)),0)+IFERROR(--ISNUMBER(SEARCH("R89",G203)),0)+IFERROR(--ISNUMBER(SEARCH("R90",G203)),0)+IFERROR(--ISNUMBER(SEARCH("R91",G203)),0)+IFERROR(--ISNUMBER(SEARCH("R92",G203)),0)+IFERROR(--ISNUMBER(SEARCH("R93",G203)),0)+IFERROR(--ISNUMBER(SEARCH("R94",G203)),0)+IFERROR(--ISNUMBER(SEARCH("R95",G203)),0)+IFERROR(--ISNUMBER(SEARCH("R96",G203)),0)+IFERROR(--ISNUMBER(SEARCH("R97",G203)),0)+IFERROR(--ISNUMBER(SEARCH("R98",G203)),0)+IFERROR(--ISNUMBER(SEARCH("R99",G203)),0)+IFERROR(--ISNUMBER(SEARCH("R100",G203)),0)+IFERROR(--ISNUMBER(SEARCH("R101",G203)),0)+IFERROR(--ISNUMBER(SEARCH("R102",G203)),0)+IFERROR(--ISNUMBER(SEARCH("R103",G203)),0)+IFERROR(--ISNUMBER(SEARCH("R104",G203)),0)+IFERROR(--ISNUMBER(SEARCH("R105",G203)),0)+IFERROR(--ISNUMBER(SEARCH("R106",G203)),0)+IFERROR(--ISNUMBER(SEARCH("R107",G203)),0)+IFERROR(--ISNUMBER(SEARCH("R108",G203)),0)+IFERROR(--ISNUMBER(SEARCH("R109",G203)),0)+IFERROR(--ISNUMBER(SEARCH("R110",G203)),0)+IFERROR(--ISNUMBER(SEARCH("R111",G203)),0)+IFERROR(--ISNUMBER(SEARCH("R112",G203)),0)+IFERROR(--ISNUMBER(SEARCH("R113",G203)),0)+IFERROR(--ISNUMBER(SEARCH("R114",G203)),0)+IFERROR(--ISNUMBER(SEARCH("R115",G203)),0)+IFERROR(--ISNUMBER(SEARCH("R116",G203)),0)+IFERROR(--ISNUMBER(SEARCH("R117",G203)),0)+IFERROR(--ISNUMBER(SEARCH("R118",G203)),0)+IFERROR(--ISNUMBER(SEARCH("R119",G203)),0)+IFERROR(--ISNUMBER(SEARCH("R120",G203)),0)+IFERROR(--ISNUMBER(SEARCH("R121",G203)),0)+IFERROR(--ISNUMBER(SEARCH("R122",G203)),0)+IFERROR(--ISNUMBER(SEARCH("R123",G203)),0)+IFERROR(--ISNUMBER(SEARCH("R124",G203)),0)+IFERROR(--ISNUMBER(SEARCH("R125",G203)),0)+IFERROR(--ISNUMBER(SEARCH("R126",G203)),0)+IFERROR(--ISNUMBER(SEARCH("R127",G203)),0)+IFERROR(--ISNUMBER(SEARCH("R128",G203)),0)+IFERROR(--ISNUMBER(SEARCH("R129",G203)),0)+IFERROR(--ISNUMBER(SEARCH("R130",G203)),0)+IFERROR(--ISNUMBER(SEARCH("R131",G203)),0)+IFERROR(--ISNUMBER(SEARCH("R132",G203)),0)+IFERROR(--ISNUMBER(SEARCH("R133",G203)),0)+IFERROR(--ISNUMBER(SEARCH("R134",G203)),0)+IFERROR(--ISNUMBER(SEARCH("R135",G203)),0)+IFERROR(--ISNUMBER(SEARCH("R136",G203)),0)+IFERROR(--ISNUMBER(SEARCH("R137",G203)),0)+IFERROR(--ISNUMBER(SEARCH("R138",G203)),0)+IFERROR(--ISNUMBER(SEARCH("R139",G203)),0)+IFERROR(--ISNUMBER(SEARCH("R140",G203)),0)+IFERROR(--ISNUMBER(SEARCH("R141",G203)),0))</f>
        <v/>
      </c>
      <c r="T203" s="58">
        <f>IF(A203="","",IFERROR(--ISNUMBER(SEARCH("R28",G203)),0)+IFERROR(--ISNUMBER(SEARCH("R29",G203)),0)+IFERROR(--ISNUMBER(SEARCH("R30",G203)),0)+IFERROR(--ISNUMBER(SEARCH("R32",G203)),0)+IFERROR(--ISNUMBER(SEARCH("R33",G203)),0)+IFERROR(--ISNUMBER(SEARCH("R35",G203)),0)+IFERROR(--ISNUMBER(SEARCH("R36",G203)),0)+IFERROR(--ISNUMBER(SEARCH("R38",G203)),0)+IFERROR(--ISNUMBER(SEARCH("R39",G203)),0)+IFERROR(--ISNUMBER(SEARCH("R43",G203)),0)+IFERROR(--ISNUMBER(SEARCH("R44",G203)),0)+IFERROR(--ISNUMBER(SEARCH("R45",G203)),0)+IFERROR(--ISNUMBER(SEARCH("R47",G203)),0)+IFERROR(--ISNUMBER(SEARCH("R48",G203)),0)+IFERROR(--ISNUMBER(SEARCH("R50",G203)),0)+IFERROR(--ISNUMBER(SEARCH("R51",G203)),0)+IFERROR(--ISNUMBER(SEARCH("R56",G203)),0)+IFERROR(--ISNUMBER(SEARCH("R58",G203)),0)+IFERROR(--ISNUMBER(SEARCH("R59",G203)),0)+IFERROR(--ISNUMBER(SEARCH("R60",G203)),0)+IFERROR(--ISNUMBER(SEARCH("R62",G203)),0)+IFERROR(--ISNUMBER(SEARCH("R63",G203)),0)+IFERROR(--ISNUMBER(SEARCH("R64",G203)),0)+IFERROR(--ISNUMBER(SEARCH("R66",G203)),0)+IFERROR(--ISNUMBER(SEARCH("R67",G203)),0)+IFERROR(--ISNUMBER(SEARCH("R72",G203)),0)+IFERROR(--ISNUMBER(SEARCH("R74",G203)),0)+IFERROR(--ISNUMBER(SEARCH("R75",G203)),0)+IFERROR(--ISNUMBER(SEARCH("R76",G203)),0)+IFERROR(--ISNUMBER(SEARCH("R77",G203)),0)+IFERROR(--ISNUMBER(SEARCH("R79",G203)),0)+IFERROR(--ISNUMBER(SEARCH("R80",G203)),0)+IFERROR(--ISNUMBER(SEARCH("R81",G203)),0)+IFERROR(--ISNUMBER(SEARCH("R83",G203)),0)+IFERROR(--ISNUMBER(SEARCH("R84",G203)),0)+IFERROR(--ISNUMBER(SEARCH("R89",G203)),0)+IFERROR(--ISNUMBER(SEARCH("R94",G203)),0)+IFERROR(--ISNUMBER(SEARCH("R95",G203)),0)+IFERROR(--ISNUMBER(SEARCH("R96",G203)),0)+IFERROR(--ISNUMBER(SEARCH("R98",G203)),0)+IFERROR(--ISNUMBER(SEARCH("R99",G203)),0)+IFERROR(--ISNUMBER(SEARCH("R100",G203)),0)+IFERROR(--ISNUMBER(SEARCH("R104",G203)),0)+IFERROR(--ISNUMBER(SEARCH("R105",G203)),0)+IFERROR(--ISNUMBER(SEARCH("R107",G203)),0)+IFERROR(--ISNUMBER(SEARCH("R108",G203)),0)+IFERROR(--ISNUMBER(SEARCH("R109",G203)),0)+IFERROR(--ISNUMBER(SEARCH("R110",G203)),0)+IFERROR(--ISNUMBER(SEARCH("R112",G203)),0)+IFERROR(--ISNUMBER(SEARCH("R113",G203)),0)+IFERROR(--ISNUMBER(SEARCH("R114",G203)),0)+IFERROR(--ISNUMBER(SEARCH("R118",G203)),0)+IFERROR(--ISNUMBER(SEARCH("R119",G203)),0)+IFERROR(--ISNUMBER(SEARCH("R120",G203)),0)+IFERROR(--ISNUMBER(SEARCH("R122",G203)),0)+IFERROR(--ISNUMBER(SEARCH("R123",G203)),0)+IFERROR(--ISNUMBER(SEARCH("R124",G203)),0)+IFERROR(--ISNUMBER(SEARCH("R128",G203)),0)+IFERROR(--ISNUMBER(SEARCH("R130",G203)),0)+IFERROR(--ISNUMBER(SEARCH("R131",G203)),0)+IFERROR(--ISNUMBER(SEARCH("R132",G203)),0)+IFERROR(--ISNUMBER(SEARCH("R135",G203)),0)+IFERROR(--ISNUMBER(SEARCH("R138",G203)),0)+IFERROR(--ISNUMBER(SEARCH("R141",G203)),0))</f>
        <v/>
      </c>
      <c r="U203" s="58">
        <f>IF(A203="","",IFERROR(--ISNUMBER(SEARCH("R28",G203))*28,0)+IFERROR(--ISNUMBER(SEARCH("R29",G203))*29,0)+IFERROR(--ISNUMBER(SEARCH("R30",G203))*30,0)+IFERROR(--ISNUMBER(SEARCH("R31",G203))*31,0)+IFERROR(--ISNUMBER(SEARCH("R32",G203))*32,0)+IFERROR(--ISNUMBER(SEARCH("R33",G203))*33,0)+IFERROR(--ISNUMBER(SEARCH("R34",G203))*34,0)+IFERROR(--ISNUMBER(SEARCH("R35",G203))*35,0)+IFERROR(--ISNUMBER(SEARCH("R36",G203))*36,0)+IFERROR(--ISNUMBER(SEARCH("R37",G203))*37,0)+IFERROR(--ISNUMBER(SEARCH("R38",G203))*38,0)+IFERROR(--ISNUMBER(SEARCH("R39",G203))*39,0)+IFERROR(--ISNUMBER(SEARCH("R40",G203))*40,0)+IFERROR(--ISNUMBER(SEARCH("R41",G203))*41,0)+IFERROR(--ISNUMBER(SEARCH("R42",G203))*42,0)+IFERROR(--ISNUMBER(SEARCH("R43",G203))*43,0)+IFERROR(--ISNUMBER(SEARCH("R44",G203))*44,0)+IFERROR(--ISNUMBER(SEARCH("R45",G203))*45,0)+IFERROR(--ISNUMBER(SEARCH("R46",G203))*46,0)+IFERROR(--ISNUMBER(SEARCH("R47",G203))*47,0)+IFERROR(--ISNUMBER(SEARCH("R48",G203))*48,0)+IFERROR(--ISNUMBER(SEARCH("R49",G203))*49,0)+IFERROR(--ISNUMBER(SEARCH("R50",G203))*50,0)+IFERROR(--ISNUMBER(SEARCH("R51",G203))*51,0)+IFERROR(--ISNUMBER(SEARCH("R52",G203))*52,0)+IFERROR(--ISNUMBER(SEARCH("R53",G203))*53,0)+IFERROR(--ISNUMBER(SEARCH("R54",G203))*54,0)+IFERROR(--ISNUMBER(SEARCH("R55",G203))*55,0)+IFERROR(--ISNUMBER(SEARCH("R56",G203))*56,0)+IFERROR(--ISNUMBER(SEARCH("R57",G203))*57,0)+IFERROR(--ISNUMBER(SEARCH("R58",G203))*58,0)+IFERROR(--ISNUMBER(SEARCH("R59",G203))*59,0)+IFERROR(--ISNUMBER(SEARCH("R60",G203))*60,0)+IFERROR(--ISNUMBER(SEARCH("R61",G203))*61,0)+IFERROR(--ISNUMBER(SEARCH("R62",G203))*62,0)+IFERROR(--ISNUMBER(SEARCH("R63",G203))*63,0)+IFERROR(--ISNUMBER(SEARCH("R64",G203))*64,0)+IFERROR(--ISNUMBER(SEARCH("R65",G203))*65,0)+IFERROR(--ISNUMBER(SEARCH("R66",G203))*66,0)+IFERROR(--ISNUMBER(SEARCH("R67",G203))*67,0)+IFERROR(--ISNUMBER(SEARCH("R68",G203))*68,0)+IFERROR(--ISNUMBER(SEARCH("R69",G203))*69,0)+IFERROR(--ISNUMBER(SEARCH("R70",G203))*70,0)+IFERROR(--ISNUMBER(SEARCH("R71",G203))*71,0)+IFERROR(--ISNUMBER(SEARCH("R72",G203))*72,0)+IFERROR(--ISNUMBER(SEARCH("R73",G203))*73,0)+IFERROR(--ISNUMBER(SEARCH("R74",G203))*74,0)+IFERROR(--ISNUMBER(SEARCH("R75",G203))*75,0)+IFERROR(--ISNUMBER(SEARCH("R76",G203))*76,0)+IFERROR(--ISNUMBER(SEARCH("R77",G203))*77,0)+IFERROR(--ISNUMBER(SEARCH("R78",G203))*78,0)+IFERROR(--ISNUMBER(SEARCH("R79",G203))*79,0)+IFERROR(--ISNUMBER(SEARCH("R80",G203))*80,0)+IFERROR(--ISNUMBER(SEARCH("R81",G203))*81,0)+IFERROR(--ISNUMBER(SEARCH("R82",G203))*82,0)+IFERROR(--ISNUMBER(SEARCH("R83",G203))*83,0)+IFERROR(--ISNUMBER(SEARCH("R84",G203))*84,0)+IFERROR(--ISNUMBER(SEARCH("R85",G203))*85,0)+IFERROR(--ISNUMBER(SEARCH("R86",G203))*86,0)+IFERROR(--ISNUMBER(SEARCH("R87",G203))*87,0)+IFERROR(--ISNUMBER(SEARCH("R88",G203))*88,0)+IFERROR(--ISNUMBER(SEARCH("R89",G203))*89,0)+IFERROR(--ISNUMBER(SEARCH("R90",G203))*90,0)+IFERROR(--ISNUMBER(SEARCH("R91",G203))*91,0)+IFERROR(--ISNUMBER(SEARCH("R92",G203))*92,0)+IFERROR(--ISNUMBER(SEARCH("R93",G203))*93,0)+IFERROR(--ISNUMBER(SEARCH("R94",G203))*94,0)+IFERROR(--ISNUMBER(SEARCH("R95",G203))*95,0)+IFERROR(--ISNUMBER(SEARCH("R96",G203))*96,0)+IFERROR(--ISNUMBER(SEARCH("R97",G203))*97,0)+IFERROR(--ISNUMBER(SEARCH("R98",G203))*98,0)+IFERROR(--ISNUMBER(SEARCH("R99",G203))*99,0)+IFERROR(--ISNUMBER(SEARCH("R100",G203))*100,0)+IFERROR(--ISNUMBER(SEARCH("R101",G203))*101,0)+IFERROR(--ISNUMBER(SEARCH("R102",G203))*102,0)+IFERROR(--ISNUMBER(SEARCH("R103",G203))*103,0)+IFERROR(--ISNUMBER(SEARCH("R104",G203))*104,0)+IFERROR(--ISNUMBER(SEARCH("R105",G203))*105,0)+IFERROR(--ISNUMBER(SEARCH("R106",G203))*106,0)+IFERROR(--ISNUMBER(SEARCH("R107",G203))*107,0)+IFERROR(--ISNUMBER(SEARCH("R108",G203))*108,0)+IFERROR(--ISNUMBER(SEARCH("R109",G203))*109,0)+IFERROR(--ISNUMBER(SEARCH("R110",G203))*110,0)+IFERROR(--ISNUMBER(SEARCH("R111",G203))*111,0)+IFERROR(--ISNUMBER(SEARCH("R112",G203))*112,0)+IFERROR(--ISNUMBER(SEARCH("R113",G203))*113,0)+IFERROR(--ISNUMBER(SEARCH("R114",G203))*114,0)+IFERROR(--ISNUMBER(SEARCH("R115",G203))*115,0)+IFERROR(--ISNUMBER(SEARCH("R116",G203))*116,0)+IFERROR(--ISNUMBER(SEARCH("R117",G203))*117,0)+IFERROR(--ISNUMBER(SEARCH("R118",G203))*118,0)+IFERROR(--ISNUMBER(SEARCH("R119",G203))*119,0)+IFERROR(--ISNUMBER(SEARCH("R120",G203))*120,0)+IFERROR(--ISNUMBER(SEARCH("R121",G203))*121,0)+IFERROR(--ISNUMBER(SEARCH("R122",G203))*122,0)+IFERROR(--ISNUMBER(SEARCH("R123",G203))*123,0)+IFERROR(--ISNUMBER(SEARCH("R124",G203))*124,0)+IFERROR(--ISNUMBER(SEARCH("R125",G203))*125,0)+IFERROR(--ISNUMBER(SEARCH("R126",G203))*126,0)+IFERROR(--ISNUMBER(SEARCH("R127",G203))*127,0)+IFERROR(--ISNUMBER(SEARCH("R128",G203))*128,0)+IFERROR(--ISNUMBER(SEARCH("R129",G203))*129,0)+IFERROR(--ISNUMBER(SEARCH("R130",G203))*130,0)+IFERROR(--ISNUMBER(SEARCH("R131",G203))*131,0)+IFERROR(--ISNUMBER(SEARCH("R132",G203))*132,0)+IFERROR(--ISNUMBER(SEARCH("R133",G203))*133,0)+IFERROR(--ISNUMBER(SEARCH("R134",G203))*134,0)+IFERROR(--ISNUMBER(SEARCH("R135",G203))*135,0)+IFERROR(--ISNUMBER(SEARCH("R136",G203))*136,0)+IFERROR(--ISNUMBER(SEARCH("R137",G203))*137,0)+IFERROR(--ISNUMBER(SEARCH("R138",G203))*138,0)+IFERROR(--ISNUMBER(SEARCH("R139",G203))*139,0)+IFERROR(--ISNUMBER(SEARCH("R140",G203))*140,0)+IFERROR(--ISNUMBER(SEARCH("R141",G203))*141,0))</f>
        <v/>
      </c>
      <c r="V203" s="59">
        <f>IF(A203="","",IF(K203&lt;&gt;"",K203,J203))</f>
        <v/>
      </c>
      <c r="W203" s="59">
        <f>IF(A203="","",IF(AND(V203=29,O203&lt;&gt;"",COUNTIFS($V$6:$V$505,29,$F$6:$F$505,F203,$C$6:$C$505,C203,$O$6:$O$505,"&lt;&gt;")&gt;1),IF(COUNTIFS($V$6:V203,29,$F$6:F203,F203,$C$6:C203,C203,$O$6:O203,"&lt;&gt;")=1,"Esta es la fila que se debe CONSERVAR (aparición 1 de "&amp;COUNTIFS($V$6:$V$505,29,$F$6:$F$505,F203,$C$6:$C$505,C203,$O$6:$O$505,"&lt;&gt;")&amp;" con el mismo tercero y valor, casilla 29). Si hay más filas iguales, bórreles el valor a ELLAS, no a esta.","DUPLICADO — ya existe otra fila con el mismo tercero y valor para casilla 29 (aparición "&amp;COUNTIFS($V$6:V203,29,$F$6:F203,F203,$C$6:C203,C203,$O$6:O203,"&lt;&gt;")&amp;" de "&amp;COUNTIFS($V$6:$V$505,29,$F$6:$F$505,F203,$C$6:$C$505,C203,$O$6:$O$505,"&lt;&gt;")&amp;"). Para resolverlo: seleccione la celda O"&amp;ROW()&amp;" (columna Valor a declarar de ESTA fila) y presione Supr."),""))</f>
        <v/>
      </c>
      <c r="X203" s="463">
        <f>IF(A203="","",F203)</f>
        <v/>
      </c>
      <c r="Y203" s="463">
        <f>IF(A203="","",SUMIF(Entrada_Manual!$I$88:$I$187,A203,Entrada_Manual!$F$88:$F$187))</f>
        <v/>
      </c>
      <c r="Z203" s="463">
        <f>IF(A203="","",X203-Y203)</f>
        <v/>
      </c>
      <c r="AA203">
        <f>IF(A203="","",SUMPRODUCT((Entrada_Manual!$I$88:$I$187=A203)*1))</f>
        <v/>
      </c>
      <c r="AB203">
        <f>IF(A203="","",IF(S203&lt;=1,"",IF(AA203=0,"PENDIENTE — SIN ASIGNAR",IF(Z203=0,"RESUELTO","PARCIAL — DIFERENCIA "&amp;TEXT(Z203,"#,##0")))))</f>
        <v/>
      </c>
    </row>
    <row r="204" ht="14.25" customHeight="1" s="235">
      <c r="A204" s="47">
        <f>IF(Exogena_RAW!E213&lt;&gt;"",ROW()-5,"")</f>
        <v/>
      </c>
      <c r="B204" s="48">
        <f>IF(A204="","",213)</f>
        <v/>
      </c>
      <c r="C204" s="48">
        <f>IF(A204="","",IFERROR(Exogena_RAW!A213,""))</f>
        <v/>
      </c>
      <c r="D204" s="48">
        <f>IF(A204="","",IFERROR(Exogena_RAW!B213,""))</f>
        <v/>
      </c>
      <c r="E204" s="48">
        <f>IF(A204="","",Exogena_RAW!E213)</f>
        <v/>
      </c>
      <c r="F204" s="461">
        <f>IF(A204="","",Exogena_RAW!F213)</f>
        <v/>
      </c>
      <c r="G204" s="48">
        <f>IF(A204="","",IFERROR(Exogena_RAW!G213,""))</f>
        <v/>
      </c>
      <c r="H204" s="48">
        <f>IF(A204="","",IFERROR(Exogena_RAW!H213,""))</f>
        <v/>
      </c>
      <c r="I204" s="48">
        <f>IF(A204="","",IFERROR(IF(S204&gt;1,"VARIAS CASILLAS",IF(S204=1,IF(T204=1,"PROPUESTA DE CASILLA","REVISIÓN: CASILLA NO DIRECTA"),IF(OR(ISNUMBER(SEARCH("TOPE",UPPER(E204))),ISNUMBER(SEARCH("TOPE",UPPER(G204)))),"SOLO CONTROL",IF(ISNUMBER(SEARCH("RETEN",UPPER(E204))),"RETENCIÓN","REVISAR")))),"REVISAR"))</f>
        <v/>
      </c>
      <c r="J204" s="48">
        <f>IF(A204="","",IF(ISNUMBER(SEARCH("ingreso laboral promedio de los últimos seis meses",E204)),"",IFERROR(IF(AND(S204=1,T204=1),U204,""),"")))</f>
        <v/>
      </c>
      <c r="K204" s="216" t="n"/>
      <c r="L204" s="48">
        <f>IF(A204="","",IFERROR(IF(K204&lt;&gt;"","Casilla elegida por usuario",IF(S204&gt;1,"Varias casillas — elegir en K",IF(J204&lt;&gt;"","Sugerencia directa",IF(S204=1,"No trasladar directo — revisar",IF(OR(ISNUMBER(SEARCH("TOPE",UPPER(E204))),ISNUMBER(SEARCH("TOPE",UPPER(G204)))),"Solo control","Revisar manualmente"))))),"Revisar manualmente"))</f>
        <v/>
      </c>
      <c r="M204" s="461">
        <f>IF(A204="","",IF(IF(K204&lt;&gt;"",K204,J204)="",0,IF(COUNTIFS(Reglas!$I$5:$I$118,IF(K204&lt;&gt;"",K204,J204),Reglas!$J$5:$J$118,"Sí")=1,F204,0)))</f>
        <v/>
      </c>
      <c r="N204" s="56" t="n"/>
      <c r="O204" s="462">
        <f>IF(A204="","",IF(M204=0,"",M204))</f>
        <v/>
      </c>
      <c r="P204" s="461">
        <f>IF(A204="","",IF(O204="",0,IF(ISNUMBER(O204),O204,0)))</f>
        <v/>
      </c>
      <c r="Q204" s="48">
        <f>IF(A204="","",IF(Exogena_RAW!$C$4="","BLOQUEADO: FALTA AÑO",IF(Exogena_RAW!$K$10&lt;&gt;Reglas!$B$5,"BLOQUEADO: AÑO",IF(IF(K204&lt;&gt;"",K204,J204)="",IF(S204&gt;1,"REQUIERE ASIGNACIÓN MANUAL (VARIAS CASILLAS)","INFORMATIVO (sin casilla — no se declara)"),IF(COUNTIFS(Reglas!$I$5:$I$118,IF(K204&lt;&gt;"",K204,J204),Reglas!$J$5:$J$118,"Sí")=0,"BLOQUEADO: CASILLA NO DIRECTA",IF(O204="","EXCLUIDO (valor borrado por el usuario)",IF(_xlfn.ISFORMULA(O204),IF(W204&lt;&gt;"","BORRADOR — VALOR SUGERIDO DIAN ⚠ VER ALERTA","BORRADOR — VALOR SUGERIDO DIAN"),IF(W204&lt;&gt;"","ACEPTADO ⚠ VER ALERTA","ACEPTADO"))))))))</f>
        <v/>
      </c>
      <c r="R204" s="218" t="n"/>
      <c r="S204" s="58">
        <f>IF(A204="","",IFERROR(--ISNUMBER(SEARCH("R28",G204)),0)+IFERROR(--ISNUMBER(SEARCH("R29",G204)),0)+IFERROR(--ISNUMBER(SEARCH("R30",G204)),0)+IFERROR(--ISNUMBER(SEARCH("R31",G204)),0)+IFERROR(--ISNUMBER(SEARCH("R32",G204)),0)+IFERROR(--ISNUMBER(SEARCH("R33",G204)),0)+IFERROR(--ISNUMBER(SEARCH("R34",G204)),0)+IFERROR(--ISNUMBER(SEARCH("R35",G204)),0)+IFERROR(--ISNUMBER(SEARCH("R36",G204)),0)+IFERROR(--ISNUMBER(SEARCH("R37",G204)),0)+IFERROR(--ISNUMBER(SEARCH("R38",G204)),0)+IFERROR(--ISNUMBER(SEARCH("R39",G204)),0)+IFERROR(--ISNUMBER(SEARCH("R40",G204)),0)+IFERROR(--ISNUMBER(SEARCH("R41",G204)),0)+IFERROR(--ISNUMBER(SEARCH("R42",G204)),0)+IFERROR(--ISNUMBER(SEARCH("R43",G204)),0)+IFERROR(--ISNUMBER(SEARCH("R44",G204)),0)+IFERROR(--ISNUMBER(SEARCH("R45",G204)),0)+IFERROR(--ISNUMBER(SEARCH("R46",G204)),0)+IFERROR(--ISNUMBER(SEARCH("R47",G204)),0)+IFERROR(--ISNUMBER(SEARCH("R48",G204)),0)+IFERROR(--ISNUMBER(SEARCH("R49",G204)),0)+IFERROR(--ISNUMBER(SEARCH("R50",G204)),0)+IFERROR(--ISNUMBER(SEARCH("R51",G204)),0)+IFERROR(--ISNUMBER(SEARCH("R52",G204)),0)+IFERROR(--ISNUMBER(SEARCH("R53",G204)),0)+IFERROR(--ISNUMBER(SEARCH("R54",G204)),0)+IFERROR(--ISNUMBER(SEARCH("R55",G204)),0)+IFERROR(--ISNUMBER(SEARCH("R56",G204)),0)+IFERROR(--ISNUMBER(SEARCH("R57",G204)),0)+IFERROR(--ISNUMBER(SEARCH("R58",G204)),0)+IFERROR(--ISNUMBER(SEARCH("R59",G204)),0)+IFERROR(--ISNUMBER(SEARCH("R60",G204)),0)+IFERROR(--ISNUMBER(SEARCH("R61",G204)),0)+IFERROR(--ISNUMBER(SEARCH("R62",G204)),0)+IFERROR(--ISNUMBER(SEARCH("R63",G204)),0)+IFERROR(--ISNUMBER(SEARCH("R64",G204)),0)+IFERROR(--ISNUMBER(SEARCH("R65",G204)),0)+IFERROR(--ISNUMBER(SEARCH("R66",G204)),0)+IFERROR(--ISNUMBER(SEARCH("R67",G204)),0)+IFERROR(--ISNUMBER(SEARCH("R68",G204)),0)+IFERROR(--ISNUMBER(SEARCH("R69",G204)),0)+IFERROR(--ISNUMBER(SEARCH("R70",G204)),0)+IFERROR(--ISNUMBER(SEARCH("R71",G204)),0)+IFERROR(--ISNUMBER(SEARCH("R72",G204)),0)+IFERROR(--ISNUMBER(SEARCH("R73",G204)),0)+IFERROR(--ISNUMBER(SEARCH("R74",G204)),0)+IFERROR(--ISNUMBER(SEARCH("R75",G204)),0)+IFERROR(--ISNUMBER(SEARCH("R76",G204)),0)+IFERROR(--ISNUMBER(SEARCH("R77",G204)),0)+IFERROR(--ISNUMBER(SEARCH("R78",G204)),0)+IFERROR(--ISNUMBER(SEARCH("R79",G204)),0)+IFERROR(--ISNUMBER(SEARCH("R80",G204)),0)+IFERROR(--ISNUMBER(SEARCH("R81",G204)),0)+IFERROR(--ISNUMBER(SEARCH("R82",G204)),0)+IFERROR(--ISNUMBER(SEARCH("R83",G204)),0)+IFERROR(--ISNUMBER(SEARCH("R84",G204)),0)+IFERROR(--ISNUMBER(SEARCH("R85",G204)),0)+IFERROR(--ISNUMBER(SEARCH("R86",G204)),0)+IFERROR(--ISNUMBER(SEARCH("R87",G204)),0)+IFERROR(--ISNUMBER(SEARCH("R88",G204)),0)+IFERROR(--ISNUMBER(SEARCH("R89",G204)),0)+IFERROR(--ISNUMBER(SEARCH("R90",G204)),0)+IFERROR(--ISNUMBER(SEARCH("R91",G204)),0)+IFERROR(--ISNUMBER(SEARCH("R92",G204)),0)+IFERROR(--ISNUMBER(SEARCH("R93",G204)),0)+IFERROR(--ISNUMBER(SEARCH("R94",G204)),0)+IFERROR(--ISNUMBER(SEARCH("R95",G204)),0)+IFERROR(--ISNUMBER(SEARCH("R96",G204)),0)+IFERROR(--ISNUMBER(SEARCH("R97",G204)),0)+IFERROR(--ISNUMBER(SEARCH("R98",G204)),0)+IFERROR(--ISNUMBER(SEARCH("R99",G204)),0)+IFERROR(--ISNUMBER(SEARCH("R100",G204)),0)+IFERROR(--ISNUMBER(SEARCH("R101",G204)),0)+IFERROR(--ISNUMBER(SEARCH("R102",G204)),0)+IFERROR(--ISNUMBER(SEARCH("R103",G204)),0)+IFERROR(--ISNUMBER(SEARCH("R104",G204)),0)+IFERROR(--ISNUMBER(SEARCH("R105",G204)),0)+IFERROR(--ISNUMBER(SEARCH("R106",G204)),0)+IFERROR(--ISNUMBER(SEARCH("R107",G204)),0)+IFERROR(--ISNUMBER(SEARCH("R108",G204)),0)+IFERROR(--ISNUMBER(SEARCH("R109",G204)),0)+IFERROR(--ISNUMBER(SEARCH("R110",G204)),0)+IFERROR(--ISNUMBER(SEARCH("R111",G204)),0)+IFERROR(--ISNUMBER(SEARCH("R112",G204)),0)+IFERROR(--ISNUMBER(SEARCH("R113",G204)),0)+IFERROR(--ISNUMBER(SEARCH("R114",G204)),0)+IFERROR(--ISNUMBER(SEARCH("R115",G204)),0)+IFERROR(--ISNUMBER(SEARCH("R116",G204)),0)+IFERROR(--ISNUMBER(SEARCH("R117",G204)),0)+IFERROR(--ISNUMBER(SEARCH("R118",G204)),0)+IFERROR(--ISNUMBER(SEARCH("R119",G204)),0)+IFERROR(--ISNUMBER(SEARCH("R120",G204)),0)+IFERROR(--ISNUMBER(SEARCH("R121",G204)),0)+IFERROR(--ISNUMBER(SEARCH("R122",G204)),0)+IFERROR(--ISNUMBER(SEARCH("R123",G204)),0)+IFERROR(--ISNUMBER(SEARCH("R124",G204)),0)+IFERROR(--ISNUMBER(SEARCH("R125",G204)),0)+IFERROR(--ISNUMBER(SEARCH("R126",G204)),0)+IFERROR(--ISNUMBER(SEARCH("R127",G204)),0)+IFERROR(--ISNUMBER(SEARCH("R128",G204)),0)+IFERROR(--ISNUMBER(SEARCH("R129",G204)),0)+IFERROR(--ISNUMBER(SEARCH("R130",G204)),0)+IFERROR(--ISNUMBER(SEARCH("R131",G204)),0)+IFERROR(--ISNUMBER(SEARCH("R132",G204)),0)+IFERROR(--ISNUMBER(SEARCH("R133",G204)),0)+IFERROR(--ISNUMBER(SEARCH("R134",G204)),0)+IFERROR(--ISNUMBER(SEARCH("R135",G204)),0)+IFERROR(--ISNUMBER(SEARCH("R136",G204)),0)+IFERROR(--ISNUMBER(SEARCH("R137",G204)),0)+IFERROR(--ISNUMBER(SEARCH("R138",G204)),0)+IFERROR(--ISNUMBER(SEARCH("R139",G204)),0)+IFERROR(--ISNUMBER(SEARCH("R140",G204)),0)+IFERROR(--ISNUMBER(SEARCH("R141",G204)),0))</f>
        <v/>
      </c>
      <c r="T204" s="58">
        <f>IF(A204="","",IFERROR(--ISNUMBER(SEARCH("R28",G204)),0)+IFERROR(--ISNUMBER(SEARCH("R29",G204)),0)+IFERROR(--ISNUMBER(SEARCH("R30",G204)),0)+IFERROR(--ISNUMBER(SEARCH("R32",G204)),0)+IFERROR(--ISNUMBER(SEARCH("R33",G204)),0)+IFERROR(--ISNUMBER(SEARCH("R35",G204)),0)+IFERROR(--ISNUMBER(SEARCH("R36",G204)),0)+IFERROR(--ISNUMBER(SEARCH("R38",G204)),0)+IFERROR(--ISNUMBER(SEARCH("R39",G204)),0)+IFERROR(--ISNUMBER(SEARCH("R43",G204)),0)+IFERROR(--ISNUMBER(SEARCH("R44",G204)),0)+IFERROR(--ISNUMBER(SEARCH("R45",G204)),0)+IFERROR(--ISNUMBER(SEARCH("R47",G204)),0)+IFERROR(--ISNUMBER(SEARCH("R48",G204)),0)+IFERROR(--ISNUMBER(SEARCH("R50",G204)),0)+IFERROR(--ISNUMBER(SEARCH("R51",G204)),0)+IFERROR(--ISNUMBER(SEARCH("R56",G204)),0)+IFERROR(--ISNUMBER(SEARCH("R58",G204)),0)+IFERROR(--ISNUMBER(SEARCH("R59",G204)),0)+IFERROR(--ISNUMBER(SEARCH("R60",G204)),0)+IFERROR(--ISNUMBER(SEARCH("R62",G204)),0)+IFERROR(--ISNUMBER(SEARCH("R63",G204)),0)+IFERROR(--ISNUMBER(SEARCH("R64",G204)),0)+IFERROR(--ISNUMBER(SEARCH("R66",G204)),0)+IFERROR(--ISNUMBER(SEARCH("R67",G204)),0)+IFERROR(--ISNUMBER(SEARCH("R72",G204)),0)+IFERROR(--ISNUMBER(SEARCH("R74",G204)),0)+IFERROR(--ISNUMBER(SEARCH("R75",G204)),0)+IFERROR(--ISNUMBER(SEARCH("R76",G204)),0)+IFERROR(--ISNUMBER(SEARCH("R77",G204)),0)+IFERROR(--ISNUMBER(SEARCH("R79",G204)),0)+IFERROR(--ISNUMBER(SEARCH("R80",G204)),0)+IFERROR(--ISNUMBER(SEARCH("R81",G204)),0)+IFERROR(--ISNUMBER(SEARCH("R83",G204)),0)+IFERROR(--ISNUMBER(SEARCH("R84",G204)),0)+IFERROR(--ISNUMBER(SEARCH("R89",G204)),0)+IFERROR(--ISNUMBER(SEARCH("R94",G204)),0)+IFERROR(--ISNUMBER(SEARCH("R95",G204)),0)+IFERROR(--ISNUMBER(SEARCH("R96",G204)),0)+IFERROR(--ISNUMBER(SEARCH("R98",G204)),0)+IFERROR(--ISNUMBER(SEARCH("R99",G204)),0)+IFERROR(--ISNUMBER(SEARCH("R100",G204)),0)+IFERROR(--ISNUMBER(SEARCH("R104",G204)),0)+IFERROR(--ISNUMBER(SEARCH("R105",G204)),0)+IFERROR(--ISNUMBER(SEARCH("R107",G204)),0)+IFERROR(--ISNUMBER(SEARCH("R108",G204)),0)+IFERROR(--ISNUMBER(SEARCH("R109",G204)),0)+IFERROR(--ISNUMBER(SEARCH("R110",G204)),0)+IFERROR(--ISNUMBER(SEARCH("R112",G204)),0)+IFERROR(--ISNUMBER(SEARCH("R113",G204)),0)+IFERROR(--ISNUMBER(SEARCH("R114",G204)),0)+IFERROR(--ISNUMBER(SEARCH("R118",G204)),0)+IFERROR(--ISNUMBER(SEARCH("R119",G204)),0)+IFERROR(--ISNUMBER(SEARCH("R120",G204)),0)+IFERROR(--ISNUMBER(SEARCH("R122",G204)),0)+IFERROR(--ISNUMBER(SEARCH("R123",G204)),0)+IFERROR(--ISNUMBER(SEARCH("R124",G204)),0)+IFERROR(--ISNUMBER(SEARCH("R128",G204)),0)+IFERROR(--ISNUMBER(SEARCH("R130",G204)),0)+IFERROR(--ISNUMBER(SEARCH("R131",G204)),0)+IFERROR(--ISNUMBER(SEARCH("R132",G204)),0)+IFERROR(--ISNUMBER(SEARCH("R135",G204)),0)+IFERROR(--ISNUMBER(SEARCH("R138",G204)),0)+IFERROR(--ISNUMBER(SEARCH("R141",G204)),0))</f>
        <v/>
      </c>
      <c r="U204" s="58">
        <f>IF(A204="","",IFERROR(--ISNUMBER(SEARCH("R28",G204))*28,0)+IFERROR(--ISNUMBER(SEARCH("R29",G204))*29,0)+IFERROR(--ISNUMBER(SEARCH("R30",G204))*30,0)+IFERROR(--ISNUMBER(SEARCH("R31",G204))*31,0)+IFERROR(--ISNUMBER(SEARCH("R32",G204))*32,0)+IFERROR(--ISNUMBER(SEARCH("R33",G204))*33,0)+IFERROR(--ISNUMBER(SEARCH("R34",G204))*34,0)+IFERROR(--ISNUMBER(SEARCH("R35",G204))*35,0)+IFERROR(--ISNUMBER(SEARCH("R36",G204))*36,0)+IFERROR(--ISNUMBER(SEARCH("R37",G204))*37,0)+IFERROR(--ISNUMBER(SEARCH("R38",G204))*38,0)+IFERROR(--ISNUMBER(SEARCH("R39",G204))*39,0)+IFERROR(--ISNUMBER(SEARCH("R40",G204))*40,0)+IFERROR(--ISNUMBER(SEARCH("R41",G204))*41,0)+IFERROR(--ISNUMBER(SEARCH("R42",G204))*42,0)+IFERROR(--ISNUMBER(SEARCH("R43",G204))*43,0)+IFERROR(--ISNUMBER(SEARCH("R44",G204))*44,0)+IFERROR(--ISNUMBER(SEARCH("R45",G204))*45,0)+IFERROR(--ISNUMBER(SEARCH("R46",G204))*46,0)+IFERROR(--ISNUMBER(SEARCH("R47",G204))*47,0)+IFERROR(--ISNUMBER(SEARCH("R48",G204))*48,0)+IFERROR(--ISNUMBER(SEARCH("R49",G204))*49,0)+IFERROR(--ISNUMBER(SEARCH("R50",G204))*50,0)+IFERROR(--ISNUMBER(SEARCH("R51",G204))*51,0)+IFERROR(--ISNUMBER(SEARCH("R52",G204))*52,0)+IFERROR(--ISNUMBER(SEARCH("R53",G204))*53,0)+IFERROR(--ISNUMBER(SEARCH("R54",G204))*54,0)+IFERROR(--ISNUMBER(SEARCH("R55",G204))*55,0)+IFERROR(--ISNUMBER(SEARCH("R56",G204))*56,0)+IFERROR(--ISNUMBER(SEARCH("R57",G204))*57,0)+IFERROR(--ISNUMBER(SEARCH("R58",G204))*58,0)+IFERROR(--ISNUMBER(SEARCH("R59",G204))*59,0)+IFERROR(--ISNUMBER(SEARCH("R60",G204))*60,0)+IFERROR(--ISNUMBER(SEARCH("R61",G204))*61,0)+IFERROR(--ISNUMBER(SEARCH("R62",G204))*62,0)+IFERROR(--ISNUMBER(SEARCH("R63",G204))*63,0)+IFERROR(--ISNUMBER(SEARCH("R64",G204))*64,0)+IFERROR(--ISNUMBER(SEARCH("R65",G204))*65,0)+IFERROR(--ISNUMBER(SEARCH("R66",G204))*66,0)+IFERROR(--ISNUMBER(SEARCH("R67",G204))*67,0)+IFERROR(--ISNUMBER(SEARCH("R68",G204))*68,0)+IFERROR(--ISNUMBER(SEARCH("R69",G204))*69,0)+IFERROR(--ISNUMBER(SEARCH("R70",G204))*70,0)+IFERROR(--ISNUMBER(SEARCH("R71",G204))*71,0)+IFERROR(--ISNUMBER(SEARCH("R72",G204))*72,0)+IFERROR(--ISNUMBER(SEARCH("R73",G204))*73,0)+IFERROR(--ISNUMBER(SEARCH("R74",G204))*74,0)+IFERROR(--ISNUMBER(SEARCH("R75",G204))*75,0)+IFERROR(--ISNUMBER(SEARCH("R76",G204))*76,0)+IFERROR(--ISNUMBER(SEARCH("R77",G204))*77,0)+IFERROR(--ISNUMBER(SEARCH("R78",G204))*78,0)+IFERROR(--ISNUMBER(SEARCH("R79",G204))*79,0)+IFERROR(--ISNUMBER(SEARCH("R80",G204))*80,0)+IFERROR(--ISNUMBER(SEARCH("R81",G204))*81,0)+IFERROR(--ISNUMBER(SEARCH("R82",G204))*82,0)+IFERROR(--ISNUMBER(SEARCH("R83",G204))*83,0)+IFERROR(--ISNUMBER(SEARCH("R84",G204))*84,0)+IFERROR(--ISNUMBER(SEARCH("R85",G204))*85,0)+IFERROR(--ISNUMBER(SEARCH("R86",G204))*86,0)+IFERROR(--ISNUMBER(SEARCH("R87",G204))*87,0)+IFERROR(--ISNUMBER(SEARCH("R88",G204))*88,0)+IFERROR(--ISNUMBER(SEARCH("R89",G204))*89,0)+IFERROR(--ISNUMBER(SEARCH("R90",G204))*90,0)+IFERROR(--ISNUMBER(SEARCH("R91",G204))*91,0)+IFERROR(--ISNUMBER(SEARCH("R92",G204))*92,0)+IFERROR(--ISNUMBER(SEARCH("R93",G204))*93,0)+IFERROR(--ISNUMBER(SEARCH("R94",G204))*94,0)+IFERROR(--ISNUMBER(SEARCH("R95",G204))*95,0)+IFERROR(--ISNUMBER(SEARCH("R96",G204))*96,0)+IFERROR(--ISNUMBER(SEARCH("R97",G204))*97,0)+IFERROR(--ISNUMBER(SEARCH("R98",G204))*98,0)+IFERROR(--ISNUMBER(SEARCH("R99",G204))*99,0)+IFERROR(--ISNUMBER(SEARCH("R100",G204))*100,0)+IFERROR(--ISNUMBER(SEARCH("R101",G204))*101,0)+IFERROR(--ISNUMBER(SEARCH("R102",G204))*102,0)+IFERROR(--ISNUMBER(SEARCH("R103",G204))*103,0)+IFERROR(--ISNUMBER(SEARCH("R104",G204))*104,0)+IFERROR(--ISNUMBER(SEARCH("R105",G204))*105,0)+IFERROR(--ISNUMBER(SEARCH("R106",G204))*106,0)+IFERROR(--ISNUMBER(SEARCH("R107",G204))*107,0)+IFERROR(--ISNUMBER(SEARCH("R108",G204))*108,0)+IFERROR(--ISNUMBER(SEARCH("R109",G204))*109,0)+IFERROR(--ISNUMBER(SEARCH("R110",G204))*110,0)+IFERROR(--ISNUMBER(SEARCH("R111",G204))*111,0)+IFERROR(--ISNUMBER(SEARCH("R112",G204))*112,0)+IFERROR(--ISNUMBER(SEARCH("R113",G204))*113,0)+IFERROR(--ISNUMBER(SEARCH("R114",G204))*114,0)+IFERROR(--ISNUMBER(SEARCH("R115",G204))*115,0)+IFERROR(--ISNUMBER(SEARCH("R116",G204))*116,0)+IFERROR(--ISNUMBER(SEARCH("R117",G204))*117,0)+IFERROR(--ISNUMBER(SEARCH("R118",G204))*118,0)+IFERROR(--ISNUMBER(SEARCH("R119",G204))*119,0)+IFERROR(--ISNUMBER(SEARCH("R120",G204))*120,0)+IFERROR(--ISNUMBER(SEARCH("R121",G204))*121,0)+IFERROR(--ISNUMBER(SEARCH("R122",G204))*122,0)+IFERROR(--ISNUMBER(SEARCH("R123",G204))*123,0)+IFERROR(--ISNUMBER(SEARCH("R124",G204))*124,0)+IFERROR(--ISNUMBER(SEARCH("R125",G204))*125,0)+IFERROR(--ISNUMBER(SEARCH("R126",G204))*126,0)+IFERROR(--ISNUMBER(SEARCH("R127",G204))*127,0)+IFERROR(--ISNUMBER(SEARCH("R128",G204))*128,0)+IFERROR(--ISNUMBER(SEARCH("R129",G204))*129,0)+IFERROR(--ISNUMBER(SEARCH("R130",G204))*130,0)+IFERROR(--ISNUMBER(SEARCH("R131",G204))*131,0)+IFERROR(--ISNUMBER(SEARCH("R132",G204))*132,0)+IFERROR(--ISNUMBER(SEARCH("R133",G204))*133,0)+IFERROR(--ISNUMBER(SEARCH("R134",G204))*134,0)+IFERROR(--ISNUMBER(SEARCH("R135",G204))*135,0)+IFERROR(--ISNUMBER(SEARCH("R136",G204))*136,0)+IFERROR(--ISNUMBER(SEARCH("R137",G204))*137,0)+IFERROR(--ISNUMBER(SEARCH("R138",G204))*138,0)+IFERROR(--ISNUMBER(SEARCH("R139",G204))*139,0)+IFERROR(--ISNUMBER(SEARCH("R140",G204))*140,0)+IFERROR(--ISNUMBER(SEARCH("R141",G204))*141,0))</f>
        <v/>
      </c>
      <c r="V204" s="59">
        <f>IF(A204="","",IF(K204&lt;&gt;"",K204,J204))</f>
        <v/>
      </c>
      <c r="W204" s="59">
        <f>IF(A204="","",IF(AND(V204=29,O204&lt;&gt;"",COUNTIFS($V$6:$V$505,29,$F$6:$F$505,F204,$C$6:$C$505,C204,$O$6:$O$505,"&lt;&gt;")&gt;1),IF(COUNTIFS($V$6:V204,29,$F$6:F204,F204,$C$6:C204,C204,$O$6:O204,"&lt;&gt;")=1,"Esta es la fila que se debe CONSERVAR (aparición 1 de "&amp;COUNTIFS($V$6:$V$505,29,$F$6:$F$505,F204,$C$6:$C$505,C204,$O$6:$O$505,"&lt;&gt;")&amp;" con el mismo tercero y valor, casilla 29). Si hay más filas iguales, bórreles el valor a ELLAS, no a esta.","DUPLICADO — ya existe otra fila con el mismo tercero y valor para casilla 29 (aparición "&amp;COUNTIFS($V$6:V204,29,$F$6:F204,F204,$C$6:C204,C204,$O$6:O204,"&lt;&gt;")&amp;" de "&amp;COUNTIFS($V$6:$V$505,29,$F$6:$F$505,F204,$C$6:$C$505,C204,$O$6:$O$505,"&lt;&gt;")&amp;"). Para resolverlo: seleccione la celda O"&amp;ROW()&amp;" (columna Valor a declarar de ESTA fila) y presione Supr."),""))</f>
        <v/>
      </c>
      <c r="X204" s="463">
        <f>IF(A204="","",F204)</f>
        <v/>
      </c>
      <c r="Y204" s="463">
        <f>IF(A204="","",SUMIF(Entrada_Manual!$I$88:$I$187,A204,Entrada_Manual!$F$88:$F$187))</f>
        <v/>
      </c>
      <c r="Z204" s="463">
        <f>IF(A204="","",X204-Y204)</f>
        <v/>
      </c>
      <c r="AA204">
        <f>IF(A204="","",SUMPRODUCT((Entrada_Manual!$I$88:$I$187=A204)*1))</f>
        <v/>
      </c>
      <c r="AB204">
        <f>IF(A204="","",IF(S204&lt;=1,"",IF(AA204=0,"PENDIENTE — SIN ASIGNAR",IF(Z204=0,"RESUELTO","PARCIAL — DIFERENCIA "&amp;TEXT(Z204,"#,##0")))))</f>
        <v/>
      </c>
    </row>
    <row r="205" ht="14.25" customHeight="1" s="235">
      <c r="A205" s="47">
        <f>IF(Exogena_RAW!E214&lt;&gt;"",ROW()-5,"")</f>
        <v/>
      </c>
      <c r="B205" s="48">
        <f>IF(A205="","",214)</f>
        <v/>
      </c>
      <c r="C205" s="48">
        <f>IF(A205="","",IFERROR(Exogena_RAW!A214,""))</f>
        <v/>
      </c>
      <c r="D205" s="48">
        <f>IF(A205="","",IFERROR(Exogena_RAW!B214,""))</f>
        <v/>
      </c>
      <c r="E205" s="48">
        <f>IF(A205="","",Exogena_RAW!E214)</f>
        <v/>
      </c>
      <c r="F205" s="461">
        <f>IF(A205="","",Exogena_RAW!F214)</f>
        <v/>
      </c>
      <c r="G205" s="48">
        <f>IF(A205="","",IFERROR(Exogena_RAW!G214,""))</f>
        <v/>
      </c>
      <c r="H205" s="48">
        <f>IF(A205="","",IFERROR(Exogena_RAW!H214,""))</f>
        <v/>
      </c>
      <c r="I205" s="48">
        <f>IF(A205="","",IFERROR(IF(S205&gt;1,"VARIAS CASILLAS",IF(S205=1,IF(T205=1,"PROPUESTA DE CASILLA","REVISIÓN: CASILLA NO DIRECTA"),IF(OR(ISNUMBER(SEARCH("TOPE",UPPER(E205))),ISNUMBER(SEARCH("TOPE",UPPER(G205)))),"SOLO CONTROL",IF(ISNUMBER(SEARCH("RETEN",UPPER(E205))),"RETENCIÓN","REVISAR")))),"REVISAR"))</f>
        <v/>
      </c>
      <c r="J205" s="48">
        <f>IF(A205="","",IF(ISNUMBER(SEARCH("ingreso laboral promedio de los últimos seis meses",E205)),"",IFERROR(IF(AND(S205=1,T205=1),U205,""),"")))</f>
        <v/>
      </c>
      <c r="K205" s="216" t="n"/>
      <c r="L205" s="48">
        <f>IF(A205="","",IFERROR(IF(K205&lt;&gt;"","Casilla elegida por usuario",IF(S205&gt;1,"Varias casillas — elegir en K",IF(J205&lt;&gt;"","Sugerencia directa",IF(S205=1,"No trasladar directo — revisar",IF(OR(ISNUMBER(SEARCH("TOPE",UPPER(E205))),ISNUMBER(SEARCH("TOPE",UPPER(G205)))),"Solo control","Revisar manualmente"))))),"Revisar manualmente"))</f>
        <v/>
      </c>
      <c r="M205" s="461">
        <f>IF(A205="","",IF(IF(K205&lt;&gt;"",K205,J205)="",0,IF(COUNTIFS(Reglas!$I$5:$I$118,IF(K205&lt;&gt;"",K205,J205),Reglas!$J$5:$J$118,"Sí")=1,F205,0)))</f>
        <v/>
      </c>
      <c r="N205" s="56" t="n"/>
      <c r="O205" s="462">
        <f>IF(A205="","",IF(M205=0,"",M205))</f>
        <v/>
      </c>
      <c r="P205" s="461">
        <f>IF(A205="","",IF(O205="",0,IF(ISNUMBER(O205),O205,0)))</f>
        <v/>
      </c>
      <c r="Q205" s="48">
        <f>IF(A205="","",IF(Exogena_RAW!$C$4="","BLOQUEADO: FALTA AÑO",IF(Exogena_RAW!$K$10&lt;&gt;Reglas!$B$5,"BLOQUEADO: AÑO",IF(IF(K205&lt;&gt;"",K205,J205)="",IF(S205&gt;1,"REQUIERE ASIGNACIÓN MANUAL (VARIAS CASILLAS)","INFORMATIVO (sin casilla — no se declara)"),IF(COUNTIFS(Reglas!$I$5:$I$118,IF(K205&lt;&gt;"",K205,J205),Reglas!$J$5:$J$118,"Sí")=0,"BLOQUEADO: CASILLA NO DIRECTA",IF(O205="","EXCLUIDO (valor borrado por el usuario)",IF(_xlfn.ISFORMULA(O205),IF(W205&lt;&gt;"","BORRADOR — VALOR SUGERIDO DIAN ⚠ VER ALERTA","BORRADOR — VALOR SUGERIDO DIAN"),IF(W205&lt;&gt;"","ACEPTADO ⚠ VER ALERTA","ACEPTADO"))))))))</f>
        <v/>
      </c>
      <c r="R205" s="218" t="n"/>
      <c r="S205" s="58">
        <f>IF(A205="","",IFERROR(--ISNUMBER(SEARCH("R28",G205)),0)+IFERROR(--ISNUMBER(SEARCH("R29",G205)),0)+IFERROR(--ISNUMBER(SEARCH("R30",G205)),0)+IFERROR(--ISNUMBER(SEARCH("R31",G205)),0)+IFERROR(--ISNUMBER(SEARCH("R32",G205)),0)+IFERROR(--ISNUMBER(SEARCH("R33",G205)),0)+IFERROR(--ISNUMBER(SEARCH("R34",G205)),0)+IFERROR(--ISNUMBER(SEARCH("R35",G205)),0)+IFERROR(--ISNUMBER(SEARCH("R36",G205)),0)+IFERROR(--ISNUMBER(SEARCH("R37",G205)),0)+IFERROR(--ISNUMBER(SEARCH("R38",G205)),0)+IFERROR(--ISNUMBER(SEARCH("R39",G205)),0)+IFERROR(--ISNUMBER(SEARCH("R40",G205)),0)+IFERROR(--ISNUMBER(SEARCH("R41",G205)),0)+IFERROR(--ISNUMBER(SEARCH("R42",G205)),0)+IFERROR(--ISNUMBER(SEARCH("R43",G205)),0)+IFERROR(--ISNUMBER(SEARCH("R44",G205)),0)+IFERROR(--ISNUMBER(SEARCH("R45",G205)),0)+IFERROR(--ISNUMBER(SEARCH("R46",G205)),0)+IFERROR(--ISNUMBER(SEARCH("R47",G205)),0)+IFERROR(--ISNUMBER(SEARCH("R48",G205)),0)+IFERROR(--ISNUMBER(SEARCH("R49",G205)),0)+IFERROR(--ISNUMBER(SEARCH("R50",G205)),0)+IFERROR(--ISNUMBER(SEARCH("R51",G205)),0)+IFERROR(--ISNUMBER(SEARCH("R52",G205)),0)+IFERROR(--ISNUMBER(SEARCH("R53",G205)),0)+IFERROR(--ISNUMBER(SEARCH("R54",G205)),0)+IFERROR(--ISNUMBER(SEARCH("R55",G205)),0)+IFERROR(--ISNUMBER(SEARCH("R56",G205)),0)+IFERROR(--ISNUMBER(SEARCH("R57",G205)),0)+IFERROR(--ISNUMBER(SEARCH("R58",G205)),0)+IFERROR(--ISNUMBER(SEARCH("R59",G205)),0)+IFERROR(--ISNUMBER(SEARCH("R60",G205)),0)+IFERROR(--ISNUMBER(SEARCH("R61",G205)),0)+IFERROR(--ISNUMBER(SEARCH("R62",G205)),0)+IFERROR(--ISNUMBER(SEARCH("R63",G205)),0)+IFERROR(--ISNUMBER(SEARCH("R64",G205)),0)+IFERROR(--ISNUMBER(SEARCH("R65",G205)),0)+IFERROR(--ISNUMBER(SEARCH("R66",G205)),0)+IFERROR(--ISNUMBER(SEARCH("R67",G205)),0)+IFERROR(--ISNUMBER(SEARCH("R68",G205)),0)+IFERROR(--ISNUMBER(SEARCH("R69",G205)),0)+IFERROR(--ISNUMBER(SEARCH("R70",G205)),0)+IFERROR(--ISNUMBER(SEARCH("R71",G205)),0)+IFERROR(--ISNUMBER(SEARCH("R72",G205)),0)+IFERROR(--ISNUMBER(SEARCH("R73",G205)),0)+IFERROR(--ISNUMBER(SEARCH("R74",G205)),0)+IFERROR(--ISNUMBER(SEARCH("R75",G205)),0)+IFERROR(--ISNUMBER(SEARCH("R76",G205)),0)+IFERROR(--ISNUMBER(SEARCH("R77",G205)),0)+IFERROR(--ISNUMBER(SEARCH("R78",G205)),0)+IFERROR(--ISNUMBER(SEARCH("R79",G205)),0)+IFERROR(--ISNUMBER(SEARCH("R80",G205)),0)+IFERROR(--ISNUMBER(SEARCH("R81",G205)),0)+IFERROR(--ISNUMBER(SEARCH("R82",G205)),0)+IFERROR(--ISNUMBER(SEARCH("R83",G205)),0)+IFERROR(--ISNUMBER(SEARCH("R84",G205)),0)+IFERROR(--ISNUMBER(SEARCH("R85",G205)),0)+IFERROR(--ISNUMBER(SEARCH("R86",G205)),0)+IFERROR(--ISNUMBER(SEARCH("R87",G205)),0)+IFERROR(--ISNUMBER(SEARCH("R88",G205)),0)+IFERROR(--ISNUMBER(SEARCH("R89",G205)),0)+IFERROR(--ISNUMBER(SEARCH("R90",G205)),0)+IFERROR(--ISNUMBER(SEARCH("R91",G205)),0)+IFERROR(--ISNUMBER(SEARCH("R92",G205)),0)+IFERROR(--ISNUMBER(SEARCH("R93",G205)),0)+IFERROR(--ISNUMBER(SEARCH("R94",G205)),0)+IFERROR(--ISNUMBER(SEARCH("R95",G205)),0)+IFERROR(--ISNUMBER(SEARCH("R96",G205)),0)+IFERROR(--ISNUMBER(SEARCH("R97",G205)),0)+IFERROR(--ISNUMBER(SEARCH("R98",G205)),0)+IFERROR(--ISNUMBER(SEARCH("R99",G205)),0)+IFERROR(--ISNUMBER(SEARCH("R100",G205)),0)+IFERROR(--ISNUMBER(SEARCH("R101",G205)),0)+IFERROR(--ISNUMBER(SEARCH("R102",G205)),0)+IFERROR(--ISNUMBER(SEARCH("R103",G205)),0)+IFERROR(--ISNUMBER(SEARCH("R104",G205)),0)+IFERROR(--ISNUMBER(SEARCH("R105",G205)),0)+IFERROR(--ISNUMBER(SEARCH("R106",G205)),0)+IFERROR(--ISNUMBER(SEARCH("R107",G205)),0)+IFERROR(--ISNUMBER(SEARCH("R108",G205)),0)+IFERROR(--ISNUMBER(SEARCH("R109",G205)),0)+IFERROR(--ISNUMBER(SEARCH("R110",G205)),0)+IFERROR(--ISNUMBER(SEARCH("R111",G205)),0)+IFERROR(--ISNUMBER(SEARCH("R112",G205)),0)+IFERROR(--ISNUMBER(SEARCH("R113",G205)),0)+IFERROR(--ISNUMBER(SEARCH("R114",G205)),0)+IFERROR(--ISNUMBER(SEARCH("R115",G205)),0)+IFERROR(--ISNUMBER(SEARCH("R116",G205)),0)+IFERROR(--ISNUMBER(SEARCH("R117",G205)),0)+IFERROR(--ISNUMBER(SEARCH("R118",G205)),0)+IFERROR(--ISNUMBER(SEARCH("R119",G205)),0)+IFERROR(--ISNUMBER(SEARCH("R120",G205)),0)+IFERROR(--ISNUMBER(SEARCH("R121",G205)),0)+IFERROR(--ISNUMBER(SEARCH("R122",G205)),0)+IFERROR(--ISNUMBER(SEARCH("R123",G205)),0)+IFERROR(--ISNUMBER(SEARCH("R124",G205)),0)+IFERROR(--ISNUMBER(SEARCH("R125",G205)),0)+IFERROR(--ISNUMBER(SEARCH("R126",G205)),0)+IFERROR(--ISNUMBER(SEARCH("R127",G205)),0)+IFERROR(--ISNUMBER(SEARCH("R128",G205)),0)+IFERROR(--ISNUMBER(SEARCH("R129",G205)),0)+IFERROR(--ISNUMBER(SEARCH("R130",G205)),0)+IFERROR(--ISNUMBER(SEARCH("R131",G205)),0)+IFERROR(--ISNUMBER(SEARCH("R132",G205)),0)+IFERROR(--ISNUMBER(SEARCH("R133",G205)),0)+IFERROR(--ISNUMBER(SEARCH("R134",G205)),0)+IFERROR(--ISNUMBER(SEARCH("R135",G205)),0)+IFERROR(--ISNUMBER(SEARCH("R136",G205)),0)+IFERROR(--ISNUMBER(SEARCH("R137",G205)),0)+IFERROR(--ISNUMBER(SEARCH("R138",G205)),0)+IFERROR(--ISNUMBER(SEARCH("R139",G205)),0)+IFERROR(--ISNUMBER(SEARCH("R140",G205)),0)+IFERROR(--ISNUMBER(SEARCH("R141",G205)),0))</f>
        <v/>
      </c>
      <c r="T205" s="58">
        <f>IF(A205="","",IFERROR(--ISNUMBER(SEARCH("R28",G205)),0)+IFERROR(--ISNUMBER(SEARCH("R29",G205)),0)+IFERROR(--ISNUMBER(SEARCH("R30",G205)),0)+IFERROR(--ISNUMBER(SEARCH("R32",G205)),0)+IFERROR(--ISNUMBER(SEARCH("R33",G205)),0)+IFERROR(--ISNUMBER(SEARCH("R35",G205)),0)+IFERROR(--ISNUMBER(SEARCH("R36",G205)),0)+IFERROR(--ISNUMBER(SEARCH("R38",G205)),0)+IFERROR(--ISNUMBER(SEARCH("R39",G205)),0)+IFERROR(--ISNUMBER(SEARCH("R43",G205)),0)+IFERROR(--ISNUMBER(SEARCH("R44",G205)),0)+IFERROR(--ISNUMBER(SEARCH("R45",G205)),0)+IFERROR(--ISNUMBER(SEARCH("R47",G205)),0)+IFERROR(--ISNUMBER(SEARCH("R48",G205)),0)+IFERROR(--ISNUMBER(SEARCH("R50",G205)),0)+IFERROR(--ISNUMBER(SEARCH("R51",G205)),0)+IFERROR(--ISNUMBER(SEARCH("R56",G205)),0)+IFERROR(--ISNUMBER(SEARCH("R58",G205)),0)+IFERROR(--ISNUMBER(SEARCH("R59",G205)),0)+IFERROR(--ISNUMBER(SEARCH("R60",G205)),0)+IFERROR(--ISNUMBER(SEARCH("R62",G205)),0)+IFERROR(--ISNUMBER(SEARCH("R63",G205)),0)+IFERROR(--ISNUMBER(SEARCH("R64",G205)),0)+IFERROR(--ISNUMBER(SEARCH("R66",G205)),0)+IFERROR(--ISNUMBER(SEARCH("R67",G205)),0)+IFERROR(--ISNUMBER(SEARCH("R72",G205)),0)+IFERROR(--ISNUMBER(SEARCH("R74",G205)),0)+IFERROR(--ISNUMBER(SEARCH("R75",G205)),0)+IFERROR(--ISNUMBER(SEARCH("R76",G205)),0)+IFERROR(--ISNUMBER(SEARCH("R77",G205)),0)+IFERROR(--ISNUMBER(SEARCH("R79",G205)),0)+IFERROR(--ISNUMBER(SEARCH("R80",G205)),0)+IFERROR(--ISNUMBER(SEARCH("R81",G205)),0)+IFERROR(--ISNUMBER(SEARCH("R83",G205)),0)+IFERROR(--ISNUMBER(SEARCH("R84",G205)),0)+IFERROR(--ISNUMBER(SEARCH("R89",G205)),0)+IFERROR(--ISNUMBER(SEARCH("R94",G205)),0)+IFERROR(--ISNUMBER(SEARCH("R95",G205)),0)+IFERROR(--ISNUMBER(SEARCH("R96",G205)),0)+IFERROR(--ISNUMBER(SEARCH("R98",G205)),0)+IFERROR(--ISNUMBER(SEARCH("R99",G205)),0)+IFERROR(--ISNUMBER(SEARCH("R100",G205)),0)+IFERROR(--ISNUMBER(SEARCH("R104",G205)),0)+IFERROR(--ISNUMBER(SEARCH("R105",G205)),0)+IFERROR(--ISNUMBER(SEARCH("R107",G205)),0)+IFERROR(--ISNUMBER(SEARCH("R108",G205)),0)+IFERROR(--ISNUMBER(SEARCH("R109",G205)),0)+IFERROR(--ISNUMBER(SEARCH("R110",G205)),0)+IFERROR(--ISNUMBER(SEARCH("R112",G205)),0)+IFERROR(--ISNUMBER(SEARCH("R113",G205)),0)+IFERROR(--ISNUMBER(SEARCH("R114",G205)),0)+IFERROR(--ISNUMBER(SEARCH("R118",G205)),0)+IFERROR(--ISNUMBER(SEARCH("R119",G205)),0)+IFERROR(--ISNUMBER(SEARCH("R120",G205)),0)+IFERROR(--ISNUMBER(SEARCH("R122",G205)),0)+IFERROR(--ISNUMBER(SEARCH("R123",G205)),0)+IFERROR(--ISNUMBER(SEARCH("R124",G205)),0)+IFERROR(--ISNUMBER(SEARCH("R128",G205)),0)+IFERROR(--ISNUMBER(SEARCH("R130",G205)),0)+IFERROR(--ISNUMBER(SEARCH("R131",G205)),0)+IFERROR(--ISNUMBER(SEARCH("R132",G205)),0)+IFERROR(--ISNUMBER(SEARCH("R135",G205)),0)+IFERROR(--ISNUMBER(SEARCH("R138",G205)),0)+IFERROR(--ISNUMBER(SEARCH("R141",G205)),0))</f>
        <v/>
      </c>
      <c r="U205" s="58">
        <f>IF(A205="","",IFERROR(--ISNUMBER(SEARCH("R28",G205))*28,0)+IFERROR(--ISNUMBER(SEARCH("R29",G205))*29,0)+IFERROR(--ISNUMBER(SEARCH("R30",G205))*30,0)+IFERROR(--ISNUMBER(SEARCH("R31",G205))*31,0)+IFERROR(--ISNUMBER(SEARCH("R32",G205))*32,0)+IFERROR(--ISNUMBER(SEARCH("R33",G205))*33,0)+IFERROR(--ISNUMBER(SEARCH("R34",G205))*34,0)+IFERROR(--ISNUMBER(SEARCH("R35",G205))*35,0)+IFERROR(--ISNUMBER(SEARCH("R36",G205))*36,0)+IFERROR(--ISNUMBER(SEARCH("R37",G205))*37,0)+IFERROR(--ISNUMBER(SEARCH("R38",G205))*38,0)+IFERROR(--ISNUMBER(SEARCH("R39",G205))*39,0)+IFERROR(--ISNUMBER(SEARCH("R40",G205))*40,0)+IFERROR(--ISNUMBER(SEARCH("R41",G205))*41,0)+IFERROR(--ISNUMBER(SEARCH("R42",G205))*42,0)+IFERROR(--ISNUMBER(SEARCH("R43",G205))*43,0)+IFERROR(--ISNUMBER(SEARCH("R44",G205))*44,0)+IFERROR(--ISNUMBER(SEARCH("R45",G205))*45,0)+IFERROR(--ISNUMBER(SEARCH("R46",G205))*46,0)+IFERROR(--ISNUMBER(SEARCH("R47",G205))*47,0)+IFERROR(--ISNUMBER(SEARCH("R48",G205))*48,0)+IFERROR(--ISNUMBER(SEARCH("R49",G205))*49,0)+IFERROR(--ISNUMBER(SEARCH("R50",G205))*50,0)+IFERROR(--ISNUMBER(SEARCH("R51",G205))*51,0)+IFERROR(--ISNUMBER(SEARCH("R52",G205))*52,0)+IFERROR(--ISNUMBER(SEARCH("R53",G205))*53,0)+IFERROR(--ISNUMBER(SEARCH("R54",G205))*54,0)+IFERROR(--ISNUMBER(SEARCH("R55",G205))*55,0)+IFERROR(--ISNUMBER(SEARCH("R56",G205))*56,0)+IFERROR(--ISNUMBER(SEARCH("R57",G205))*57,0)+IFERROR(--ISNUMBER(SEARCH("R58",G205))*58,0)+IFERROR(--ISNUMBER(SEARCH("R59",G205))*59,0)+IFERROR(--ISNUMBER(SEARCH("R60",G205))*60,0)+IFERROR(--ISNUMBER(SEARCH("R61",G205))*61,0)+IFERROR(--ISNUMBER(SEARCH("R62",G205))*62,0)+IFERROR(--ISNUMBER(SEARCH("R63",G205))*63,0)+IFERROR(--ISNUMBER(SEARCH("R64",G205))*64,0)+IFERROR(--ISNUMBER(SEARCH("R65",G205))*65,0)+IFERROR(--ISNUMBER(SEARCH("R66",G205))*66,0)+IFERROR(--ISNUMBER(SEARCH("R67",G205))*67,0)+IFERROR(--ISNUMBER(SEARCH("R68",G205))*68,0)+IFERROR(--ISNUMBER(SEARCH("R69",G205))*69,0)+IFERROR(--ISNUMBER(SEARCH("R70",G205))*70,0)+IFERROR(--ISNUMBER(SEARCH("R71",G205))*71,0)+IFERROR(--ISNUMBER(SEARCH("R72",G205))*72,0)+IFERROR(--ISNUMBER(SEARCH("R73",G205))*73,0)+IFERROR(--ISNUMBER(SEARCH("R74",G205))*74,0)+IFERROR(--ISNUMBER(SEARCH("R75",G205))*75,0)+IFERROR(--ISNUMBER(SEARCH("R76",G205))*76,0)+IFERROR(--ISNUMBER(SEARCH("R77",G205))*77,0)+IFERROR(--ISNUMBER(SEARCH("R78",G205))*78,0)+IFERROR(--ISNUMBER(SEARCH("R79",G205))*79,0)+IFERROR(--ISNUMBER(SEARCH("R80",G205))*80,0)+IFERROR(--ISNUMBER(SEARCH("R81",G205))*81,0)+IFERROR(--ISNUMBER(SEARCH("R82",G205))*82,0)+IFERROR(--ISNUMBER(SEARCH("R83",G205))*83,0)+IFERROR(--ISNUMBER(SEARCH("R84",G205))*84,0)+IFERROR(--ISNUMBER(SEARCH("R85",G205))*85,0)+IFERROR(--ISNUMBER(SEARCH("R86",G205))*86,0)+IFERROR(--ISNUMBER(SEARCH("R87",G205))*87,0)+IFERROR(--ISNUMBER(SEARCH("R88",G205))*88,0)+IFERROR(--ISNUMBER(SEARCH("R89",G205))*89,0)+IFERROR(--ISNUMBER(SEARCH("R90",G205))*90,0)+IFERROR(--ISNUMBER(SEARCH("R91",G205))*91,0)+IFERROR(--ISNUMBER(SEARCH("R92",G205))*92,0)+IFERROR(--ISNUMBER(SEARCH("R93",G205))*93,0)+IFERROR(--ISNUMBER(SEARCH("R94",G205))*94,0)+IFERROR(--ISNUMBER(SEARCH("R95",G205))*95,0)+IFERROR(--ISNUMBER(SEARCH("R96",G205))*96,0)+IFERROR(--ISNUMBER(SEARCH("R97",G205))*97,0)+IFERROR(--ISNUMBER(SEARCH("R98",G205))*98,0)+IFERROR(--ISNUMBER(SEARCH("R99",G205))*99,0)+IFERROR(--ISNUMBER(SEARCH("R100",G205))*100,0)+IFERROR(--ISNUMBER(SEARCH("R101",G205))*101,0)+IFERROR(--ISNUMBER(SEARCH("R102",G205))*102,0)+IFERROR(--ISNUMBER(SEARCH("R103",G205))*103,0)+IFERROR(--ISNUMBER(SEARCH("R104",G205))*104,0)+IFERROR(--ISNUMBER(SEARCH("R105",G205))*105,0)+IFERROR(--ISNUMBER(SEARCH("R106",G205))*106,0)+IFERROR(--ISNUMBER(SEARCH("R107",G205))*107,0)+IFERROR(--ISNUMBER(SEARCH("R108",G205))*108,0)+IFERROR(--ISNUMBER(SEARCH("R109",G205))*109,0)+IFERROR(--ISNUMBER(SEARCH("R110",G205))*110,0)+IFERROR(--ISNUMBER(SEARCH("R111",G205))*111,0)+IFERROR(--ISNUMBER(SEARCH("R112",G205))*112,0)+IFERROR(--ISNUMBER(SEARCH("R113",G205))*113,0)+IFERROR(--ISNUMBER(SEARCH("R114",G205))*114,0)+IFERROR(--ISNUMBER(SEARCH("R115",G205))*115,0)+IFERROR(--ISNUMBER(SEARCH("R116",G205))*116,0)+IFERROR(--ISNUMBER(SEARCH("R117",G205))*117,0)+IFERROR(--ISNUMBER(SEARCH("R118",G205))*118,0)+IFERROR(--ISNUMBER(SEARCH("R119",G205))*119,0)+IFERROR(--ISNUMBER(SEARCH("R120",G205))*120,0)+IFERROR(--ISNUMBER(SEARCH("R121",G205))*121,0)+IFERROR(--ISNUMBER(SEARCH("R122",G205))*122,0)+IFERROR(--ISNUMBER(SEARCH("R123",G205))*123,0)+IFERROR(--ISNUMBER(SEARCH("R124",G205))*124,0)+IFERROR(--ISNUMBER(SEARCH("R125",G205))*125,0)+IFERROR(--ISNUMBER(SEARCH("R126",G205))*126,0)+IFERROR(--ISNUMBER(SEARCH("R127",G205))*127,0)+IFERROR(--ISNUMBER(SEARCH("R128",G205))*128,0)+IFERROR(--ISNUMBER(SEARCH("R129",G205))*129,0)+IFERROR(--ISNUMBER(SEARCH("R130",G205))*130,0)+IFERROR(--ISNUMBER(SEARCH("R131",G205))*131,0)+IFERROR(--ISNUMBER(SEARCH("R132",G205))*132,0)+IFERROR(--ISNUMBER(SEARCH("R133",G205))*133,0)+IFERROR(--ISNUMBER(SEARCH("R134",G205))*134,0)+IFERROR(--ISNUMBER(SEARCH("R135",G205))*135,0)+IFERROR(--ISNUMBER(SEARCH("R136",G205))*136,0)+IFERROR(--ISNUMBER(SEARCH("R137",G205))*137,0)+IFERROR(--ISNUMBER(SEARCH("R138",G205))*138,0)+IFERROR(--ISNUMBER(SEARCH("R139",G205))*139,0)+IFERROR(--ISNUMBER(SEARCH("R140",G205))*140,0)+IFERROR(--ISNUMBER(SEARCH("R141",G205))*141,0))</f>
        <v/>
      </c>
      <c r="V205" s="59">
        <f>IF(A205="","",IF(K205&lt;&gt;"",K205,J205))</f>
        <v/>
      </c>
      <c r="W205" s="59">
        <f>IF(A205="","",IF(AND(V205=29,O205&lt;&gt;"",COUNTIFS($V$6:$V$505,29,$F$6:$F$505,F205,$C$6:$C$505,C205,$O$6:$O$505,"&lt;&gt;")&gt;1),IF(COUNTIFS($V$6:V205,29,$F$6:F205,F205,$C$6:C205,C205,$O$6:O205,"&lt;&gt;")=1,"Esta es la fila que se debe CONSERVAR (aparición 1 de "&amp;COUNTIFS($V$6:$V$505,29,$F$6:$F$505,F205,$C$6:$C$505,C205,$O$6:$O$505,"&lt;&gt;")&amp;" con el mismo tercero y valor, casilla 29). Si hay más filas iguales, bórreles el valor a ELLAS, no a esta.","DUPLICADO — ya existe otra fila con el mismo tercero y valor para casilla 29 (aparición "&amp;COUNTIFS($V$6:V205,29,$F$6:F205,F205,$C$6:C205,C205,$O$6:O205,"&lt;&gt;")&amp;" de "&amp;COUNTIFS($V$6:$V$505,29,$F$6:$F$505,F205,$C$6:$C$505,C205,$O$6:$O$505,"&lt;&gt;")&amp;"). Para resolverlo: seleccione la celda O"&amp;ROW()&amp;" (columna Valor a declarar de ESTA fila) y presione Supr."),""))</f>
        <v/>
      </c>
      <c r="X205" s="463">
        <f>IF(A205="","",F205)</f>
        <v/>
      </c>
      <c r="Y205" s="463">
        <f>IF(A205="","",SUMIF(Entrada_Manual!$I$88:$I$187,A205,Entrada_Manual!$F$88:$F$187))</f>
        <v/>
      </c>
      <c r="Z205" s="463">
        <f>IF(A205="","",X205-Y205)</f>
        <v/>
      </c>
      <c r="AA205">
        <f>IF(A205="","",SUMPRODUCT((Entrada_Manual!$I$88:$I$187=A205)*1))</f>
        <v/>
      </c>
      <c r="AB205">
        <f>IF(A205="","",IF(S205&lt;=1,"",IF(AA205=0,"PENDIENTE — SIN ASIGNAR",IF(Z205=0,"RESUELTO","PARCIAL — DIFERENCIA "&amp;TEXT(Z205,"#,##0")))))</f>
        <v/>
      </c>
    </row>
    <row r="206" ht="14.25" customHeight="1" s="235">
      <c r="A206" s="47">
        <f>IF(Exogena_RAW!E215&lt;&gt;"",ROW()-5,"")</f>
        <v/>
      </c>
      <c r="B206" s="48">
        <f>IF(A206="","",215)</f>
        <v/>
      </c>
      <c r="C206" s="48">
        <f>IF(A206="","",IFERROR(Exogena_RAW!A215,""))</f>
        <v/>
      </c>
      <c r="D206" s="48">
        <f>IF(A206="","",IFERROR(Exogena_RAW!B215,""))</f>
        <v/>
      </c>
      <c r="E206" s="48">
        <f>IF(A206="","",Exogena_RAW!E215)</f>
        <v/>
      </c>
      <c r="F206" s="461">
        <f>IF(A206="","",Exogena_RAW!F215)</f>
        <v/>
      </c>
      <c r="G206" s="48">
        <f>IF(A206="","",IFERROR(Exogena_RAW!G215,""))</f>
        <v/>
      </c>
      <c r="H206" s="48">
        <f>IF(A206="","",IFERROR(Exogena_RAW!H215,""))</f>
        <v/>
      </c>
      <c r="I206" s="48">
        <f>IF(A206="","",IFERROR(IF(S206&gt;1,"VARIAS CASILLAS",IF(S206=1,IF(T206=1,"PROPUESTA DE CASILLA","REVISIÓN: CASILLA NO DIRECTA"),IF(OR(ISNUMBER(SEARCH("TOPE",UPPER(E206))),ISNUMBER(SEARCH("TOPE",UPPER(G206)))),"SOLO CONTROL",IF(ISNUMBER(SEARCH("RETEN",UPPER(E206))),"RETENCIÓN","REVISAR")))),"REVISAR"))</f>
        <v/>
      </c>
      <c r="J206" s="48">
        <f>IF(A206="","",IF(ISNUMBER(SEARCH("ingreso laboral promedio de los últimos seis meses",E206)),"",IFERROR(IF(AND(S206=1,T206=1),U206,""),"")))</f>
        <v/>
      </c>
      <c r="K206" s="216" t="n"/>
      <c r="L206" s="48">
        <f>IF(A206="","",IFERROR(IF(K206&lt;&gt;"","Casilla elegida por usuario",IF(S206&gt;1,"Varias casillas — elegir en K",IF(J206&lt;&gt;"","Sugerencia directa",IF(S206=1,"No trasladar directo — revisar",IF(OR(ISNUMBER(SEARCH("TOPE",UPPER(E206))),ISNUMBER(SEARCH("TOPE",UPPER(G206)))),"Solo control","Revisar manualmente"))))),"Revisar manualmente"))</f>
        <v/>
      </c>
      <c r="M206" s="461">
        <f>IF(A206="","",IF(IF(K206&lt;&gt;"",K206,J206)="",0,IF(COUNTIFS(Reglas!$I$5:$I$118,IF(K206&lt;&gt;"",K206,J206),Reglas!$J$5:$J$118,"Sí")=1,F206,0)))</f>
        <v/>
      </c>
      <c r="N206" s="56" t="n"/>
      <c r="O206" s="462">
        <f>IF(A206="","",IF(M206=0,"",M206))</f>
        <v/>
      </c>
      <c r="P206" s="461">
        <f>IF(A206="","",IF(O206="",0,IF(ISNUMBER(O206),O206,0)))</f>
        <v/>
      </c>
      <c r="Q206" s="48">
        <f>IF(A206="","",IF(Exogena_RAW!$C$4="","BLOQUEADO: FALTA AÑO",IF(Exogena_RAW!$K$10&lt;&gt;Reglas!$B$5,"BLOQUEADO: AÑO",IF(IF(K206&lt;&gt;"",K206,J206)="",IF(S206&gt;1,"REQUIERE ASIGNACIÓN MANUAL (VARIAS CASILLAS)","INFORMATIVO (sin casilla — no se declara)"),IF(COUNTIFS(Reglas!$I$5:$I$118,IF(K206&lt;&gt;"",K206,J206),Reglas!$J$5:$J$118,"Sí")=0,"BLOQUEADO: CASILLA NO DIRECTA",IF(O206="","EXCLUIDO (valor borrado por el usuario)",IF(_xlfn.ISFORMULA(O206),IF(W206&lt;&gt;"","BORRADOR — VALOR SUGERIDO DIAN ⚠ VER ALERTA","BORRADOR — VALOR SUGERIDO DIAN"),IF(W206&lt;&gt;"","ACEPTADO ⚠ VER ALERTA","ACEPTADO"))))))))</f>
        <v/>
      </c>
      <c r="R206" s="218" t="n"/>
      <c r="S206" s="58">
        <f>IF(A206="","",IFERROR(--ISNUMBER(SEARCH("R28",G206)),0)+IFERROR(--ISNUMBER(SEARCH("R29",G206)),0)+IFERROR(--ISNUMBER(SEARCH("R30",G206)),0)+IFERROR(--ISNUMBER(SEARCH("R31",G206)),0)+IFERROR(--ISNUMBER(SEARCH("R32",G206)),0)+IFERROR(--ISNUMBER(SEARCH("R33",G206)),0)+IFERROR(--ISNUMBER(SEARCH("R34",G206)),0)+IFERROR(--ISNUMBER(SEARCH("R35",G206)),0)+IFERROR(--ISNUMBER(SEARCH("R36",G206)),0)+IFERROR(--ISNUMBER(SEARCH("R37",G206)),0)+IFERROR(--ISNUMBER(SEARCH("R38",G206)),0)+IFERROR(--ISNUMBER(SEARCH("R39",G206)),0)+IFERROR(--ISNUMBER(SEARCH("R40",G206)),0)+IFERROR(--ISNUMBER(SEARCH("R41",G206)),0)+IFERROR(--ISNUMBER(SEARCH("R42",G206)),0)+IFERROR(--ISNUMBER(SEARCH("R43",G206)),0)+IFERROR(--ISNUMBER(SEARCH("R44",G206)),0)+IFERROR(--ISNUMBER(SEARCH("R45",G206)),0)+IFERROR(--ISNUMBER(SEARCH("R46",G206)),0)+IFERROR(--ISNUMBER(SEARCH("R47",G206)),0)+IFERROR(--ISNUMBER(SEARCH("R48",G206)),0)+IFERROR(--ISNUMBER(SEARCH("R49",G206)),0)+IFERROR(--ISNUMBER(SEARCH("R50",G206)),0)+IFERROR(--ISNUMBER(SEARCH("R51",G206)),0)+IFERROR(--ISNUMBER(SEARCH("R52",G206)),0)+IFERROR(--ISNUMBER(SEARCH("R53",G206)),0)+IFERROR(--ISNUMBER(SEARCH("R54",G206)),0)+IFERROR(--ISNUMBER(SEARCH("R55",G206)),0)+IFERROR(--ISNUMBER(SEARCH("R56",G206)),0)+IFERROR(--ISNUMBER(SEARCH("R57",G206)),0)+IFERROR(--ISNUMBER(SEARCH("R58",G206)),0)+IFERROR(--ISNUMBER(SEARCH("R59",G206)),0)+IFERROR(--ISNUMBER(SEARCH("R60",G206)),0)+IFERROR(--ISNUMBER(SEARCH("R61",G206)),0)+IFERROR(--ISNUMBER(SEARCH("R62",G206)),0)+IFERROR(--ISNUMBER(SEARCH("R63",G206)),0)+IFERROR(--ISNUMBER(SEARCH("R64",G206)),0)+IFERROR(--ISNUMBER(SEARCH("R65",G206)),0)+IFERROR(--ISNUMBER(SEARCH("R66",G206)),0)+IFERROR(--ISNUMBER(SEARCH("R67",G206)),0)+IFERROR(--ISNUMBER(SEARCH("R68",G206)),0)+IFERROR(--ISNUMBER(SEARCH("R69",G206)),0)+IFERROR(--ISNUMBER(SEARCH("R70",G206)),0)+IFERROR(--ISNUMBER(SEARCH("R71",G206)),0)+IFERROR(--ISNUMBER(SEARCH("R72",G206)),0)+IFERROR(--ISNUMBER(SEARCH("R73",G206)),0)+IFERROR(--ISNUMBER(SEARCH("R74",G206)),0)+IFERROR(--ISNUMBER(SEARCH("R75",G206)),0)+IFERROR(--ISNUMBER(SEARCH("R76",G206)),0)+IFERROR(--ISNUMBER(SEARCH("R77",G206)),0)+IFERROR(--ISNUMBER(SEARCH("R78",G206)),0)+IFERROR(--ISNUMBER(SEARCH("R79",G206)),0)+IFERROR(--ISNUMBER(SEARCH("R80",G206)),0)+IFERROR(--ISNUMBER(SEARCH("R81",G206)),0)+IFERROR(--ISNUMBER(SEARCH("R82",G206)),0)+IFERROR(--ISNUMBER(SEARCH("R83",G206)),0)+IFERROR(--ISNUMBER(SEARCH("R84",G206)),0)+IFERROR(--ISNUMBER(SEARCH("R85",G206)),0)+IFERROR(--ISNUMBER(SEARCH("R86",G206)),0)+IFERROR(--ISNUMBER(SEARCH("R87",G206)),0)+IFERROR(--ISNUMBER(SEARCH("R88",G206)),0)+IFERROR(--ISNUMBER(SEARCH("R89",G206)),0)+IFERROR(--ISNUMBER(SEARCH("R90",G206)),0)+IFERROR(--ISNUMBER(SEARCH("R91",G206)),0)+IFERROR(--ISNUMBER(SEARCH("R92",G206)),0)+IFERROR(--ISNUMBER(SEARCH("R93",G206)),0)+IFERROR(--ISNUMBER(SEARCH("R94",G206)),0)+IFERROR(--ISNUMBER(SEARCH("R95",G206)),0)+IFERROR(--ISNUMBER(SEARCH("R96",G206)),0)+IFERROR(--ISNUMBER(SEARCH("R97",G206)),0)+IFERROR(--ISNUMBER(SEARCH("R98",G206)),0)+IFERROR(--ISNUMBER(SEARCH("R99",G206)),0)+IFERROR(--ISNUMBER(SEARCH("R100",G206)),0)+IFERROR(--ISNUMBER(SEARCH("R101",G206)),0)+IFERROR(--ISNUMBER(SEARCH("R102",G206)),0)+IFERROR(--ISNUMBER(SEARCH("R103",G206)),0)+IFERROR(--ISNUMBER(SEARCH("R104",G206)),0)+IFERROR(--ISNUMBER(SEARCH("R105",G206)),0)+IFERROR(--ISNUMBER(SEARCH("R106",G206)),0)+IFERROR(--ISNUMBER(SEARCH("R107",G206)),0)+IFERROR(--ISNUMBER(SEARCH("R108",G206)),0)+IFERROR(--ISNUMBER(SEARCH("R109",G206)),0)+IFERROR(--ISNUMBER(SEARCH("R110",G206)),0)+IFERROR(--ISNUMBER(SEARCH("R111",G206)),0)+IFERROR(--ISNUMBER(SEARCH("R112",G206)),0)+IFERROR(--ISNUMBER(SEARCH("R113",G206)),0)+IFERROR(--ISNUMBER(SEARCH("R114",G206)),0)+IFERROR(--ISNUMBER(SEARCH("R115",G206)),0)+IFERROR(--ISNUMBER(SEARCH("R116",G206)),0)+IFERROR(--ISNUMBER(SEARCH("R117",G206)),0)+IFERROR(--ISNUMBER(SEARCH("R118",G206)),0)+IFERROR(--ISNUMBER(SEARCH("R119",G206)),0)+IFERROR(--ISNUMBER(SEARCH("R120",G206)),0)+IFERROR(--ISNUMBER(SEARCH("R121",G206)),0)+IFERROR(--ISNUMBER(SEARCH("R122",G206)),0)+IFERROR(--ISNUMBER(SEARCH("R123",G206)),0)+IFERROR(--ISNUMBER(SEARCH("R124",G206)),0)+IFERROR(--ISNUMBER(SEARCH("R125",G206)),0)+IFERROR(--ISNUMBER(SEARCH("R126",G206)),0)+IFERROR(--ISNUMBER(SEARCH("R127",G206)),0)+IFERROR(--ISNUMBER(SEARCH("R128",G206)),0)+IFERROR(--ISNUMBER(SEARCH("R129",G206)),0)+IFERROR(--ISNUMBER(SEARCH("R130",G206)),0)+IFERROR(--ISNUMBER(SEARCH("R131",G206)),0)+IFERROR(--ISNUMBER(SEARCH("R132",G206)),0)+IFERROR(--ISNUMBER(SEARCH("R133",G206)),0)+IFERROR(--ISNUMBER(SEARCH("R134",G206)),0)+IFERROR(--ISNUMBER(SEARCH("R135",G206)),0)+IFERROR(--ISNUMBER(SEARCH("R136",G206)),0)+IFERROR(--ISNUMBER(SEARCH("R137",G206)),0)+IFERROR(--ISNUMBER(SEARCH("R138",G206)),0)+IFERROR(--ISNUMBER(SEARCH("R139",G206)),0)+IFERROR(--ISNUMBER(SEARCH("R140",G206)),0)+IFERROR(--ISNUMBER(SEARCH("R141",G206)),0))</f>
        <v/>
      </c>
      <c r="T206" s="58">
        <f>IF(A206="","",IFERROR(--ISNUMBER(SEARCH("R28",G206)),0)+IFERROR(--ISNUMBER(SEARCH("R29",G206)),0)+IFERROR(--ISNUMBER(SEARCH("R30",G206)),0)+IFERROR(--ISNUMBER(SEARCH("R32",G206)),0)+IFERROR(--ISNUMBER(SEARCH("R33",G206)),0)+IFERROR(--ISNUMBER(SEARCH("R35",G206)),0)+IFERROR(--ISNUMBER(SEARCH("R36",G206)),0)+IFERROR(--ISNUMBER(SEARCH("R38",G206)),0)+IFERROR(--ISNUMBER(SEARCH("R39",G206)),0)+IFERROR(--ISNUMBER(SEARCH("R43",G206)),0)+IFERROR(--ISNUMBER(SEARCH("R44",G206)),0)+IFERROR(--ISNUMBER(SEARCH("R45",G206)),0)+IFERROR(--ISNUMBER(SEARCH("R47",G206)),0)+IFERROR(--ISNUMBER(SEARCH("R48",G206)),0)+IFERROR(--ISNUMBER(SEARCH("R50",G206)),0)+IFERROR(--ISNUMBER(SEARCH("R51",G206)),0)+IFERROR(--ISNUMBER(SEARCH("R56",G206)),0)+IFERROR(--ISNUMBER(SEARCH("R58",G206)),0)+IFERROR(--ISNUMBER(SEARCH("R59",G206)),0)+IFERROR(--ISNUMBER(SEARCH("R60",G206)),0)+IFERROR(--ISNUMBER(SEARCH("R62",G206)),0)+IFERROR(--ISNUMBER(SEARCH("R63",G206)),0)+IFERROR(--ISNUMBER(SEARCH("R64",G206)),0)+IFERROR(--ISNUMBER(SEARCH("R66",G206)),0)+IFERROR(--ISNUMBER(SEARCH("R67",G206)),0)+IFERROR(--ISNUMBER(SEARCH("R72",G206)),0)+IFERROR(--ISNUMBER(SEARCH("R74",G206)),0)+IFERROR(--ISNUMBER(SEARCH("R75",G206)),0)+IFERROR(--ISNUMBER(SEARCH("R76",G206)),0)+IFERROR(--ISNUMBER(SEARCH("R77",G206)),0)+IFERROR(--ISNUMBER(SEARCH("R79",G206)),0)+IFERROR(--ISNUMBER(SEARCH("R80",G206)),0)+IFERROR(--ISNUMBER(SEARCH("R81",G206)),0)+IFERROR(--ISNUMBER(SEARCH("R83",G206)),0)+IFERROR(--ISNUMBER(SEARCH("R84",G206)),0)+IFERROR(--ISNUMBER(SEARCH("R89",G206)),0)+IFERROR(--ISNUMBER(SEARCH("R94",G206)),0)+IFERROR(--ISNUMBER(SEARCH("R95",G206)),0)+IFERROR(--ISNUMBER(SEARCH("R96",G206)),0)+IFERROR(--ISNUMBER(SEARCH("R98",G206)),0)+IFERROR(--ISNUMBER(SEARCH("R99",G206)),0)+IFERROR(--ISNUMBER(SEARCH("R100",G206)),0)+IFERROR(--ISNUMBER(SEARCH("R104",G206)),0)+IFERROR(--ISNUMBER(SEARCH("R105",G206)),0)+IFERROR(--ISNUMBER(SEARCH("R107",G206)),0)+IFERROR(--ISNUMBER(SEARCH("R108",G206)),0)+IFERROR(--ISNUMBER(SEARCH("R109",G206)),0)+IFERROR(--ISNUMBER(SEARCH("R110",G206)),0)+IFERROR(--ISNUMBER(SEARCH("R112",G206)),0)+IFERROR(--ISNUMBER(SEARCH("R113",G206)),0)+IFERROR(--ISNUMBER(SEARCH("R114",G206)),0)+IFERROR(--ISNUMBER(SEARCH("R118",G206)),0)+IFERROR(--ISNUMBER(SEARCH("R119",G206)),0)+IFERROR(--ISNUMBER(SEARCH("R120",G206)),0)+IFERROR(--ISNUMBER(SEARCH("R122",G206)),0)+IFERROR(--ISNUMBER(SEARCH("R123",G206)),0)+IFERROR(--ISNUMBER(SEARCH("R124",G206)),0)+IFERROR(--ISNUMBER(SEARCH("R128",G206)),0)+IFERROR(--ISNUMBER(SEARCH("R130",G206)),0)+IFERROR(--ISNUMBER(SEARCH("R131",G206)),0)+IFERROR(--ISNUMBER(SEARCH("R132",G206)),0)+IFERROR(--ISNUMBER(SEARCH("R135",G206)),0)+IFERROR(--ISNUMBER(SEARCH("R138",G206)),0)+IFERROR(--ISNUMBER(SEARCH("R141",G206)),0))</f>
        <v/>
      </c>
      <c r="U206" s="58">
        <f>IF(A206="","",IFERROR(--ISNUMBER(SEARCH("R28",G206))*28,0)+IFERROR(--ISNUMBER(SEARCH("R29",G206))*29,0)+IFERROR(--ISNUMBER(SEARCH("R30",G206))*30,0)+IFERROR(--ISNUMBER(SEARCH("R31",G206))*31,0)+IFERROR(--ISNUMBER(SEARCH("R32",G206))*32,0)+IFERROR(--ISNUMBER(SEARCH("R33",G206))*33,0)+IFERROR(--ISNUMBER(SEARCH("R34",G206))*34,0)+IFERROR(--ISNUMBER(SEARCH("R35",G206))*35,0)+IFERROR(--ISNUMBER(SEARCH("R36",G206))*36,0)+IFERROR(--ISNUMBER(SEARCH("R37",G206))*37,0)+IFERROR(--ISNUMBER(SEARCH("R38",G206))*38,0)+IFERROR(--ISNUMBER(SEARCH("R39",G206))*39,0)+IFERROR(--ISNUMBER(SEARCH("R40",G206))*40,0)+IFERROR(--ISNUMBER(SEARCH("R41",G206))*41,0)+IFERROR(--ISNUMBER(SEARCH("R42",G206))*42,0)+IFERROR(--ISNUMBER(SEARCH("R43",G206))*43,0)+IFERROR(--ISNUMBER(SEARCH("R44",G206))*44,0)+IFERROR(--ISNUMBER(SEARCH("R45",G206))*45,0)+IFERROR(--ISNUMBER(SEARCH("R46",G206))*46,0)+IFERROR(--ISNUMBER(SEARCH("R47",G206))*47,0)+IFERROR(--ISNUMBER(SEARCH("R48",G206))*48,0)+IFERROR(--ISNUMBER(SEARCH("R49",G206))*49,0)+IFERROR(--ISNUMBER(SEARCH("R50",G206))*50,0)+IFERROR(--ISNUMBER(SEARCH("R51",G206))*51,0)+IFERROR(--ISNUMBER(SEARCH("R52",G206))*52,0)+IFERROR(--ISNUMBER(SEARCH("R53",G206))*53,0)+IFERROR(--ISNUMBER(SEARCH("R54",G206))*54,0)+IFERROR(--ISNUMBER(SEARCH("R55",G206))*55,0)+IFERROR(--ISNUMBER(SEARCH("R56",G206))*56,0)+IFERROR(--ISNUMBER(SEARCH("R57",G206))*57,0)+IFERROR(--ISNUMBER(SEARCH("R58",G206))*58,0)+IFERROR(--ISNUMBER(SEARCH("R59",G206))*59,0)+IFERROR(--ISNUMBER(SEARCH("R60",G206))*60,0)+IFERROR(--ISNUMBER(SEARCH("R61",G206))*61,0)+IFERROR(--ISNUMBER(SEARCH("R62",G206))*62,0)+IFERROR(--ISNUMBER(SEARCH("R63",G206))*63,0)+IFERROR(--ISNUMBER(SEARCH("R64",G206))*64,0)+IFERROR(--ISNUMBER(SEARCH("R65",G206))*65,0)+IFERROR(--ISNUMBER(SEARCH("R66",G206))*66,0)+IFERROR(--ISNUMBER(SEARCH("R67",G206))*67,0)+IFERROR(--ISNUMBER(SEARCH("R68",G206))*68,0)+IFERROR(--ISNUMBER(SEARCH("R69",G206))*69,0)+IFERROR(--ISNUMBER(SEARCH("R70",G206))*70,0)+IFERROR(--ISNUMBER(SEARCH("R71",G206))*71,0)+IFERROR(--ISNUMBER(SEARCH("R72",G206))*72,0)+IFERROR(--ISNUMBER(SEARCH("R73",G206))*73,0)+IFERROR(--ISNUMBER(SEARCH("R74",G206))*74,0)+IFERROR(--ISNUMBER(SEARCH("R75",G206))*75,0)+IFERROR(--ISNUMBER(SEARCH("R76",G206))*76,0)+IFERROR(--ISNUMBER(SEARCH("R77",G206))*77,0)+IFERROR(--ISNUMBER(SEARCH("R78",G206))*78,0)+IFERROR(--ISNUMBER(SEARCH("R79",G206))*79,0)+IFERROR(--ISNUMBER(SEARCH("R80",G206))*80,0)+IFERROR(--ISNUMBER(SEARCH("R81",G206))*81,0)+IFERROR(--ISNUMBER(SEARCH("R82",G206))*82,0)+IFERROR(--ISNUMBER(SEARCH("R83",G206))*83,0)+IFERROR(--ISNUMBER(SEARCH("R84",G206))*84,0)+IFERROR(--ISNUMBER(SEARCH("R85",G206))*85,0)+IFERROR(--ISNUMBER(SEARCH("R86",G206))*86,0)+IFERROR(--ISNUMBER(SEARCH("R87",G206))*87,0)+IFERROR(--ISNUMBER(SEARCH("R88",G206))*88,0)+IFERROR(--ISNUMBER(SEARCH("R89",G206))*89,0)+IFERROR(--ISNUMBER(SEARCH("R90",G206))*90,0)+IFERROR(--ISNUMBER(SEARCH("R91",G206))*91,0)+IFERROR(--ISNUMBER(SEARCH("R92",G206))*92,0)+IFERROR(--ISNUMBER(SEARCH("R93",G206))*93,0)+IFERROR(--ISNUMBER(SEARCH("R94",G206))*94,0)+IFERROR(--ISNUMBER(SEARCH("R95",G206))*95,0)+IFERROR(--ISNUMBER(SEARCH("R96",G206))*96,0)+IFERROR(--ISNUMBER(SEARCH("R97",G206))*97,0)+IFERROR(--ISNUMBER(SEARCH("R98",G206))*98,0)+IFERROR(--ISNUMBER(SEARCH("R99",G206))*99,0)+IFERROR(--ISNUMBER(SEARCH("R100",G206))*100,0)+IFERROR(--ISNUMBER(SEARCH("R101",G206))*101,0)+IFERROR(--ISNUMBER(SEARCH("R102",G206))*102,0)+IFERROR(--ISNUMBER(SEARCH("R103",G206))*103,0)+IFERROR(--ISNUMBER(SEARCH("R104",G206))*104,0)+IFERROR(--ISNUMBER(SEARCH("R105",G206))*105,0)+IFERROR(--ISNUMBER(SEARCH("R106",G206))*106,0)+IFERROR(--ISNUMBER(SEARCH("R107",G206))*107,0)+IFERROR(--ISNUMBER(SEARCH("R108",G206))*108,0)+IFERROR(--ISNUMBER(SEARCH("R109",G206))*109,0)+IFERROR(--ISNUMBER(SEARCH("R110",G206))*110,0)+IFERROR(--ISNUMBER(SEARCH("R111",G206))*111,0)+IFERROR(--ISNUMBER(SEARCH("R112",G206))*112,0)+IFERROR(--ISNUMBER(SEARCH("R113",G206))*113,0)+IFERROR(--ISNUMBER(SEARCH("R114",G206))*114,0)+IFERROR(--ISNUMBER(SEARCH("R115",G206))*115,0)+IFERROR(--ISNUMBER(SEARCH("R116",G206))*116,0)+IFERROR(--ISNUMBER(SEARCH("R117",G206))*117,0)+IFERROR(--ISNUMBER(SEARCH("R118",G206))*118,0)+IFERROR(--ISNUMBER(SEARCH("R119",G206))*119,0)+IFERROR(--ISNUMBER(SEARCH("R120",G206))*120,0)+IFERROR(--ISNUMBER(SEARCH("R121",G206))*121,0)+IFERROR(--ISNUMBER(SEARCH("R122",G206))*122,0)+IFERROR(--ISNUMBER(SEARCH("R123",G206))*123,0)+IFERROR(--ISNUMBER(SEARCH("R124",G206))*124,0)+IFERROR(--ISNUMBER(SEARCH("R125",G206))*125,0)+IFERROR(--ISNUMBER(SEARCH("R126",G206))*126,0)+IFERROR(--ISNUMBER(SEARCH("R127",G206))*127,0)+IFERROR(--ISNUMBER(SEARCH("R128",G206))*128,0)+IFERROR(--ISNUMBER(SEARCH("R129",G206))*129,0)+IFERROR(--ISNUMBER(SEARCH("R130",G206))*130,0)+IFERROR(--ISNUMBER(SEARCH("R131",G206))*131,0)+IFERROR(--ISNUMBER(SEARCH("R132",G206))*132,0)+IFERROR(--ISNUMBER(SEARCH("R133",G206))*133,0)+IFERROR(--ISNUMBER(SEARCH("R134",G206))*134,0)+IFERROR(--ISNUMBER(SEARCH("R135",G206))*135,0)+IFERROR(--ISNUMBER(SEARCH("R136",G206))*136,0)+IFERROR(--ISNUMBER(SEARCH("R137",G206))*137,0)+IFERROR(--ISNUMBER(SEARCH("R138",G206))*138,0)+IFERROR(--ISNUMBER(SEARCH("R139",G206))*139,0)+IFERROR(--ISNUMBER(SEARCH("R140",G206))*140,0)+IFERROR(--ISNUMBER(SEARCH("R141",G206))*141,0))</f>
        <v/>
      </c>
      <c r="V206" s="59">
        <f>IF(A206="","",IF(K206&lt;&gt;"",K206,J206))</f>
        <v/>
      </c>
      <c r="W206" s="59">
        <f>IF(A206="","",IF(AND(V206=29,O206&lt;&gt;"",COUNTIFS($V$6:$V$505,29,$F$6:$F$505,F206,$C$6:$C$505,C206,$O$6:$O$505,"&lt;&gt;")&gt;1),IF(COUNTIFS($V$6:V206,29,$F$6:F206,F206,$C$6:C206,C206,$O$6:O206,"&lt;&gt;")=1,"Esta es la fila que se debe CONSERVAR (aparición 1 de "&amp;COUNTIFS($V$6:$V$505,29,$F$6:$F$505,F206,$C$6:$C$505,C206,$O$6:$O$505,"&lt;&gt;")&amp;" con el mismo tercero y valor, casilla 29). Si hay más filas iguales, bórreles el valor a ELLAS, no a esta.","DUPLICADO — ya existe otra fila con el mismo tercero y valor para casilla 29 (aparición "&amp;COUNTIFS($V$6:V206,29,$F$6:F206,F206,$C$6:C206,C206,$O$6:O206,"&lt;&gt;")&amp;" de "&amp;COUNTIFS($V$6:$V$505,29,$F$6:$F$505,F206,$C$6:$C$505,C206,$O$6:$O$505,"&lt;&gt;")&amp;"). Para resolverlo: seleccione la celda O"&amp;ROW()&amp;" (columna Valor a declarar de ESTA fila) y presione Supr."),""))</f>
        <v/>
      </c>
      <c r="X206" s="463">
        <f>IF(A206="","",F206)</f>
        <v/>
      </c>
      <c r="Y206" s="463">
        <f>IF(A206="","",SUMIF(Entrada_Manual!$I$88:$I$187,A206,Entrada_Manual!$F$88:$F$187))</f>
        <v/>
      </c>
      <c r="Z206" s="463">
        <f>IF(A206="","",X206-Y206)</f>
        <v/>
      </c>
      <c r="AA206">
        <f>IF(A206="","",SUMPRODUCT((Entrada_Manual!$I$88:$I$187=A206)*1))</f>
        <v/>
      </c>
      <c r="AB206">
        <f>IF(A206="","",IF(S206&lt;=1,"",IF(AA206=0,"PENDIENTE — SIN ASIGNAR",IF(Z206=0,"RESUELTO","PARCIAL — DIFERENCIA "&amp;TEXT(Z206,"#,##0")))))</f>
        <v/>
      </c>
    </row>
    <row r="207" ht="14.25" customHeight="1" s="235">
      <c r="A207" s="47">
        <f>IF(Exogena_RAW!E216&lt;&gt;"",ROW()-5,"")</f>
        <v/>
      </c>
      <c r="B207" s="48">
        <f>IF(A207="","",216)</f>
        <v/>
      </c>
      <c r="C207" s="48">
        <f>IF(A207="","",IFERROR(Exogena_RAW!A216,""))</f>
        <v/>
      </c>
      <c r="D207" s="48">
        <f>IF(A207="","",IFERROR(Exogena_RAW!B216,""))</f>
        <v/>
      </c>
      <c r="E207" s="48">
        <f>IF(A207="","",Exogena_RAW!E216)</f>
        <v/>
      </c>
      <c r="F207" s="461">
        <f>IF(A207="","",Exogena_RAW!F216)</f>
        <v/>
      </c>
      <c r="G207" s="48">
        <f>IF(A207="","",IFERROR(Exogena_RAW!G216,""))</f>
        <v/>
      </c>
      <c r="H207" s="48">
        <f>IF(A207="","",IFERROR(Exogena_RAW!H216,""))</f>
        <v/>
      </c>
      <c r="I207" s="48">
        <f>IF(A207="","",IFERROR(IF(S207&gt;1,"VARIAS CASILLAS",IF(S207=1,IF(T207=1,"PROPUESTA DE CASILLA","REVISIÓN: CASILLA NO DIRECTA"),IF(OR(ISNUMBER(SEARCH("TOPE",UPPER(E207))),ISNUMBER(SEARCH("TOPE",UPPER(G207)))),"SOLO CONTROL",IF(ISNUMBER(SEARCH("RETEN",UPPER(E207))),"RETENCIÓN","REVISAR")))),"REVISAR"))</f>
        <v/>
      </c>
      <c r="J207" s="48">
        <f>IF(A207="","",IF(ISNUMBER(SEARCH("ingreso laboral promedio de los últimos seis meses",E207)),"",IFERROR(IF(AND(S207=1,T207=1),U207,""),"")))</f>
        <v/>
      </c>
      <c r="K207" s="216" t="n"/>
      <c r="L207" s="48">
        <f>IF(A207="","",IFERROR(IF(K207&lt;&gt;"","Casilla elegida por usuario",IF(S207&gt;1,"Varias casillas — elegir en K",IF(J207&lt;&gt;"","Sugerencia directa",IF(S207=1,"No trasladar directo — revisar",IF(OR(ISNUMBER(SEARCH("TOPE",UPPER(E207))),ISNUMBER(SEARCH("TOPE",UPPER(G207)))),"Solo control","Revisar manualmente"))))),"Revisar manualmente"))</f>
        <v/>
      </c>
      <c r="M207" s="461">
        <f>IF(A207="","",IF(IF(K207&lt;&gt;"",K207,J207)="",0,IF(COUNTIFS(Reglas!$I$5:$I$118,IF(K207&lt;&gt;"",K207,J207),Reglas!$J$5:$J$118,"Sí")=1,F207,0)))</f>
        <v/>
      </c>
      <c r="N207" s="56" t="n"/>
      <c r="O207" s="462">
        <f>IF(A207="","",IF(M207=0,"",M207))</f>
        <v/>
      </c>
      <c r="P207" s="461">
        <f>IF(A207="","",IF(O207="",0,IF(ISNUMBER(O207),O207,0)))</f>
        <v/>
      </c>
      <c r="Q207" s="48">
        <f>IF(A207="","",IF(Exogena_RAW!$C$4="","BLOQUEADO: FALTA AÑO",IF(Exogena_RAW!$K$10&lt;&gt;Reglas!$B$5,"BLOQUEADO: AÑO",IF(IF(K207&lt;&gt;"",K207,J207)="",IF(S207&gt;1,"REQUIERE ASIGNACIÓN MANUAL (VARIAS CASILLAS)","INFORMATIVO (sin casilla — no se declara)"),IF(COUNTIFS(Reglas!$I$5:$I$118,IF(K207&lt;&gt;"",K207,J207),Reglas!$J$5:$J$118,"Sí")=0,"BLOQUEADO: CASILLA NO DIRECTA",IF(O207="","EXCLUIDO (valor borrado por el usuario)",IF(_xlfn.ISFORMULA(O207),IF(W207&lt;&gt;"","BORRADOR — VALOR SUGERIDO DIAN ⚠ VER ALERTA","BORRADOR — VALOR SUGERIDO DIAN"),IF(W207&lt;&gt;"","ACEPTADO ⚠ VER ALERTA","ACEPTADO"))))))))</f>
        <v/>
      </c>
      <c r="R207" s="218" t="n"/>
      <c r="S207" s="58">
        <f>IF(A207="","",IFERROR(--ISNUMBER(SEARCH("R28",G207)),0)+IFERROR(--ISNUMBER(SEARCH("R29",G207)),0)+IFERROR(--ISNUMBER(SEARCH("R30",G207)),0)+IFERROR(--ISNUMBER(SEARCH("R31",G207)),0)+IFERROR(--ISNUMBER(SEARCH("R32",G207)),0)+IFERROR(--ISNUMBER(SEARCH("R33",G207)),0)+IFERROR(--ISNUMBER(SEARCH("R34",G207)),0)+IFERROR(--ISNUMBER(SEARCH("R35",G207)),0)+IFERROR(--ISNUMBER(SEARCH("R36",G207)),0)+IFERROR(--ISNUMBER(SEARCH("R37",G207)),0)+IFERROR(--ISNUMBER(SEARCH("R38",G207)),0)+IFERROR(--ISNUMBER(SEARCH("R39",G207)),0)+IFERROR(--ISNUMBER(SEARCH("R40",G207)),0)+IFERROR(--ISNUMBER(SEARCH("R41",G207)),0)+IFERROR(--ISNUMBER(SEARCH("R42",G207)),0)+IFERROR(--ISNUMBER(SEARCH("R43",G207)),0)+IFERROR(--ISNUMBER(SEARCH("R44",G207)),0)+IFERROR(--ISNUMBER(SEARCH("R45",G207)),0)+IFERROR(--ISNUMBER(SEARCH("R46",G207)),0)+IFERROR(--ISNUMBER(SEARCH("R47",G207)),0)+IFERROR(--ISNUMBER(SEARCH("R48",G207)),0)+IFERROR(--ISNUMBER(SEARCH("R49",G207)),0)+IFERROR(--ISNUMBER(SEARCH("R50",G207)),0)+IFERROR(--ISNUMBER(SEARCH("R51",G207)),0)+IFERROR(--ISNUMBER(SEARCH("R52",G207)),0)+IFERROR(--ISNUMBER(SEARCH("R53",G207)),0)+IFERROR(--ISNUMBER(SEARCH("R54",G207)),0)+IFERROR(--ISNUMBER(SEARCH("R55",G207)),0)+IFERROR(--ISNUMBER(SEARCH("R56",G207)),0)+IFERROR(--ISNUMBER(SEARCH("R57",G207)),0)+IFERROR(--ISNUMBER(SEARCH("R58",G207)),0)+IFERROR(--ISNUMBER(SEARCH("R59",G207)),0)+IFERROR(--ISNUMBER(SEARCH("R60",G207)),0)+IFERROR(--ISNUMBER(SEARCH("R61",G207)),0)+IFERROR(--ISNUMBER(SEARCH("R62",G207)),0)+IFERROR(--ISNUMBER(SEARCH("R63",G207)),0)+IFERROR(--ISNUMBER(SEARCH("R64",G207)),0)+IFERROR(--ISNUMBER(SEARCH("R65",G207)),0)+IFERROR(--ISNUMBER(SEARCH("R66",G207)),0)+IFERROR(--ISNUMBER(SEARCH("R67",G207)),0)+IFERROR(--ISNUMBER(SEARCH("R68",G207)),0)+IFERROR(--ISNUMBER(SEARCH("R69",G207)),0)+IFERROR(--ISNUMBER(SEARCH("R70",G207)),0)+IFERROR(--ISNUMBER(SEARCH("R71",G207)),0)+IFERROR(--ISNUMBER(SEARCH("R72",G207)),0)+IFERROR(--ISNUMBER(SEARCH("R73",G207)),0)+IFERROR(--ISNUMBER(SEARCH("R74",G207)),0)+IFERROR(--ISNUMBER(SEARCH("R75",G207)),0)+IFERROR(--ISNUMBER(SEARCH("R76",G207)),0)+IFERROR(--ISNUMBER(SEARCH("R77",G207)),0)+IFERROR(--ISNUMBER(SEARCH("R78",G207)),0)+IFERROR(--ISNUMBER(SEARCH("R79",G207)),0)+IFERROR(--ISNUMBER(SEARCH("R80",G207)),0)+IFERROR(--ISNUMBER(SEARCH("R81",G207)),0)+IFERROR(--ISNUMBER(SEARCH("R82",G207)),0)+IFERROR(--ISNUMBER(SEARCH("R83",G207)),0)+IFERROR(--ISNUMBER(SEARCH("R84",G207)),0)+IFERROR(--ISNUMBER(SEARCH("R85",G207)),0)+IFERROR(--ISNUMBER(SEARCH("R86",G207)),0)+IFERROR(--ISNUMBER(SEARCH("R87",G207)),0)+IFERROR(--ISNUMBER(SEARCH("R88",G207)),0)+IFERROR(--ISNUMBER(SEARCH("R89",G207)),0)+IFERROR(--ISNUMBER(SEARCH("R90",G207)),0)+IFERROR(--ISNUMBER(SEARCH("R91",G207)),0)+IFERROR(--ISNUMBER(SEARCH("R92",G207)),0)+IFERROR(--ISNUMBER(SEARCH("R93",G207)),0)+IFERROR(--ISNUMBER(SEARCH("R94",G207)),0)+IFERROR(--ISNUMBER(SEARCH("R95",G207)),0)+IFERROR(--ISNUMBER(SEARCH("R96",G207)),0)+IFERROR(--ISNUMBER(SEARCH("R97",G207)),0)+IFERROR(--ISNUMBER(SEARCH("R98",G207)),0)+IFERROR(--ISNUMBER(SEARCH("R99",G207)),0)+IFERROR(--ISNUMBER(SEARCH("R100",G207)),0)+IFERROR(--ISNUMBER(SEARCH("R101",G207)),0)+IFERROR(--ISNUMBER(SEARCH("R102",G207)),0)+IFERROR(--ISNUMBER(SEARCH("R103",G207)),0)+IFERROR(--ISNUMBER(SEARCH("R104",G207)),0)+IFERROR(--ISNUMBER(SEARCH("R105",G207)),0)+IFERROR(--ISNUMBER(SEARCH("R106",G207)),0)+IFERROR(--ISNUMBER(SEARCH("R107",G207)),0)+IFERROR(--ISNUMBER(SEARCH("R108",G207)),0)+IFERROR(--ISNUMBER(SEARCH("R109",G207)),0)+IFERROR(--ISNUMBER(SEARCH("R110",G207)),0)+IFERROR(--ISNUMBER(SEARCH("R111",G207)),0)+IFERROR(--ISNUMBER(SEARCH("R112",G207)),0)+IFERROR(--ISNUMBER(SEARCH("R113",G207)),0)+IFERROR(--ISNUMBER(SEARCH("R114",G207)),0)+IFERROR(--ISNUMBER(SEARCH("R115",G207)),0)+IFERROR(--ISNUMBER(SEARCH("R116",G207)),0)+IFERROR(--ISNUMBER(SEARCH("R117",G207)),0)+IFERROR(--ISNUMBER(SEARCH("R118",G207)),0)+IFERROR(--ISNUMBER(SEARCH("R119",G207)),0)+IFERROR(--ISNUMBER(SEARCH("R120",G207)),0)+IFERROR(--ISNUMBER(SEARCH("R121",G207)),0)+IFERROR(--ISNUMBER(SEARCH("R122",G207)),0)+IFERROR(--ISNUMBER(SEARCH("R123",G207)),0)+IFERROR(--ISNUMBER(SEARCH("R124",G207)),0)+IFERROR(--ISNUMBER(SEARCH("R125",G207)),0)+IFERROR(--ISNUMBER(SEARCH("R126",G207)),0)+IFERROR(--ISNUMBER(SEARCH("R127",G207)),0)+IFERROR(--ISNUMBER(SEARCH("R128",G207)),0)+IFERROR(--ISNUMBER(SEARCH("R129",G207)),0)+IFERROR(--ISNUMBER(SEARCH("R130",G207)),0)+IFERROR(--ISNUMBER(SEARCH("R131",G207)),0)+IFERROR(--ISNUMBER(SEARCH("R132",G207)),0)+IFERROR(--ISNUMBER(SEARCH("R133",G207)),0)+IFERROR(--ISNUMBER(SEARCH("R134",G207)),0)+IFERROR(--ISNUMBER(SEARCH("R135",G207)),0)+IFERROR(--ISNUMBER(SEARCH("R136",G207)),0)+IFERROR(--ISNUMBER(SEARCH("R137",G207)),0)+IFERROR(--ISNUMBER(SEARCH("R138",G207)),0)+IFERROR(--ISNUMBER(SEARCH("R139",G207)),0)+IFERROR(--ISNUMBER(SEARCH("R140",G207)),0)+IFERROR(--ISNUMBER(SEARCH("R141",G207)),0))</f>
        <v/>
      </c>
      <c r="T207" s="58">
        <f>IF(A207="","",IFERROR(--ISNUMBER(SEARCH("R28",G207)),0)+IFERROR(--ISNUMBER(SEARCH("R29",G207)),0)+IFERROR(--ISNUMBER(SEARCH("R30",G207)),0)+IFERROR(--ISNUMBER(SEARCH("R32",G207)),0)+IFERROR(--ISNUMBER(SEARCH("R33",G207)),0)+IFERROR(--ISNUMBER(SEARCH("R35",G207)),0)+IFERROR(--ISNUMBER(SEARCH("R36",G207)),0)+IFERROR(--ISNUMBER(SEARCH("R38",G207)),0)+IFERROR(--ISNUMBER(SEARCH("R39",G207)),0)+IFERROR(--ISNUMBER(SEARCH("R43",G207)),0)+IFERROR(--ISNUMBER(SEARCH("R44",G207)),0)+IFERROR(--ISNUMBER(SEARCH("R45",G207)),0)+IFERROR(--ISNUMBER(SEARCH("R47",G207)),0)+IFERROR(--ISNUMBER(SEARCH("R48",G207)),0)+IFERROR(--ISNUMBER(SEARCH("R50",G207)),0)+IFERROR(--ISNUMBER(SEARCH("R51",G207)),0)+IFERROR(--ISNUMBER(SEARCH("R56",G207)),0)+IFERROR(--ISNUMBER(SEARCH("R58",G207)),0)+IFERROR(--ISNUMBER(SEARCH("R59",G207)),0)+IFERROR(--ISNUMBER(SEARCH("R60",G207)),0)+IFERROR(--ISNUMBER(SEARCH("R62",G207)),0)+IFERROR(--ISNUMBER(SEARCH("R63",G207)),0)+IFERROR(--ISNUMBER(SEARCH("R64",G207)),0)+IFERROR(--ISNUMBER(SEARCH("R66",G207)),0)+IFERROR(--ISNUMBER(SEARCH("R67",G207)),0)+IFERROR(--ISNUMBER(SEARCH("R72",G207)),0)+IFERROR(--ISNUMBER(SEARCH("R74",G207)),0)+IFERROR(--ISNUMBER(SEARCH("R75",G207)),0)+IFERROR(--ISNUMBER(SEARCH("R76",G207)),0)+IFERROR(--ISNUMBER(SEARCH("R77",G207)),0)+IFERROR(--ISNUMBER(SEARCH("R79",G207)),0)+IFERROR(--ISNUMBER(SEARCH("R80",G207)),0)+IFERROR(--ISNUMBER(SEARCH("R81",G207)),0)+IFERROR(--ISNUMBER(SEARCH("R83",G207)),0)+IFERROR(--ISNUMBER(SEARCH("R84",G207)),0)+IFERROR(--ISNUMBER(SEARCH("R89",G207)),0)+IFERROR(--ISNUMBER(SEARCH("R94",G207)),0)+IFERROR(--ISNUMBER(SEARCH("R95",G207)),0)+IFERROR(--ISNUMBER(SEARCH("R96",G207)),0)+IFERROR(--ISNUMBER(SEARCH("R98",G207)),0)+IFERROR(--ISNUMBER(SEARCH("R99",G207)),0)+IFERROR(--ISNUMBER(SEARCH("R100",G207)),0)+IFERROR(--ISNUMBER(SEARCH("R104",G207)),0)+IFERROR(--ISNUMBER(SEARCH("R105",G207)),0)+IFERROR(--ISNUMBER(SEARCH("R107",G207)),0)+IFERROR(--ISNUMBER(SEARCH("R108",G207)),0)+IFERROR(--ISNUMBER(SEARCH("R109",G207)),0)+IFERROR(--ISNUMBER(SEARCH("R110",G207)),0)+IFERROR(--ISNUMBER(SEARCH("R112",G207)),0)+IFERROR(--ISNUMBER(SEARCH("R113",G207)),0)+IFERROR(--ISNUMBER(SEARCH("R114",G207)),0)+IFERROR(--ISNUMBER(SEARCH("R118",G207)),0)+IFERROR(--ISNUMBER(SEARCH("R119",G207)),0)+IFERROR(--ISNUMBER(SEARCH("R120",G207)),0)+IFERROR(--ISNUMBER(SEARCH("R122",G207)),0)+IFERROR(--ISNUMBER(SEARCH("R123",G207)),0)+IFERROR(--ISNUMBER(SEARCH("R124",G207)),0)+IFERROR(--ISNUMBER(SEARCH("R128",G207)),0)+IFERROR(--ISNUMBER(SEARCH("R130",G207)),0)+IFERROR(--ISNUMBER(SEARCH("R131",G207)),0)+IFERROR(--ISNUMBER(SEARCH("R132",G207)),0)+IFERROR(--ISNUMBER(SEARCH("R135",G207)),0)+IFERROR(--ISNUMBER(SEARCH("R138",G207)),0)+IFERROR(--ISNUMBER(SEARCH("R141",G207)),0))</f>
        <v/>
      </c>
      <c r="U207" s="58">
        <f>IF(A207="","",IFERROR(--ISNUMBER(SEARCH("R28",G207))*28,0)+IFERROR(--ISNUMBER(SEARCH("R29",G207))*29,0)+IFERROR(--ISNUMBER(SEARCH("R30",G207))*30,0)+IFERROR(--ISNUMBER(SEARCH("R31",G207))*31,0)+IFERROR(--ISNUMBER(SEARCH("R32",G207))*32,0)+IFERROR(--ISNUMBER(SEARCH("R33",G207))*33,0)+IFERROR(--ISNUMBER(SEARCH("R34",G207))*34,0)+IFERROR(--ISNUMBER(SEARCH("R35",G207))*35,0)+IFERROR(--ISNUMBER(SEARCH("R36",G207))*36,0)+IFERROR(--ISNUMBER(SEARCH("R37",G207))*37,0)+IFERROR(--ISNUMBER(SEARCH("R38",G207))*38,0)+IFERROR(--ISNUMBER(SEARCH("R39",G207))*39,0)+IFERROR(--ISNUMBER(SEARCH("R40",G207))*40,0)+IFERROR(--ISNUMBER(SEARCH("R41",G207))*41,0)+IFERROR(--ISNUMBER(SEARCH("R42",G207))*42,0)+IFERROR(--ISNUMBER(SEARCH("R43",G207))*43,0)+IFERROR(--ISNUMBER(SEARCH("R44",G207))*44,0)+IFERROR(--ISNUMBER(SEARCH("R45",G207))*45,0)+IFERROR(--ISNUMBER(SEARCH("R46",G207))*46,0)+IFERROR(--ISNUMBER(SEARCH("R47",G207))*47,0)+IFERROR(--ISNUMBER(SEARCH("R48",G207))*48,0)+IFERROR(--ISNUMBER(SEARCH("R49",G207))*49,0)+IFERROR(--ISNUMBER(SEARCH("R50",G207))*50,0)+IFERROR(--ISNUMBER(SEARCH("R51",G207))*51,0)+IFERROR(--ISNUMBER(SEARCH("R52",G207))*52,0)+IFERROR(--ISNUMBER(SEARCH("R53",G207))*53,0)+IFERROR(--ISNUMBER(SEARCH("R54",G207))*54,0)+IFERROR(--ISNUMBER(SEARCH("R55",G207))*55,0)+IFERROR(--ISNUMBER(SEARCH("R56",G207))*56,0)+IFERROR(--ISNUMBER(SEARCH("R57",G207))*57,0)+IFERROR(--ISNUMBER(SEARCH("R58",G207))*58,0)+IFERROR(--ISNUMBER(SEARCH("R59",G207))*59,0)+IFERROR(--ISNUMBER(SEARCH("R60",G207))*60,0)+IFERROR(--ISNUMBER(SEARCH("R61",G207))*61,0)+IFERROR(--ISNUMBER(SEARCH("R62",G207))*62,0)+IFERROR(--ISNUMBER(SEARCH("R63",G207))*63,0)+IFERROR(--ISNUMBER(SEARCH("R64",G207))*64,0)+IFERROR(--ISNUMBER(SEARCH("R65",G207))*65,0)+IFERROR(--ISNUMBER(SEARCH("R66",G207))*66,0)+IFERROR(--ISNUMBER(SEARCH("R67",G207))*67,0)+IFERROR(--ISNUMBER(SEARCH("R68",G207))*68,0)+IFERROR(--ISNUMBER(SEARCH("R69",G207))*69,0)+IFERROR(--ISNUMBER(SEARCH("R70",G207))*70,0)+IFERROR(--ISNUMBER(SEARCH("R71",G207))*71,0)+IFERROR(--ISNUMBER(SEARCH("R72",G207))*72,0)+IFERROR(--ISNUMBER(SEARCH("R73",G207))*73,0)+IFERROR(--ISNUMBER(SEARCH("R74",G207))*74,0)+IFERROR(--ISNUMBER(SEARCH("R75",G207))*75,0)+IFERROR(--ISNUMBER(SEARCH("R76",G207))*76,0)+IFERROR(--ISNUMBER(SEARCH("R77",G207))*77,0)+IFERROR(--ISNUMBER(SEARCH("R78",G207))*78,0)+IFERROR(--ISNUMBER(SEARCH("R79",G207))*79,0)+IFERROR(--ISNUMBER(SEARCH("R80",G207))*80,0)+IFERROR(--ISNUMBER(SEARCH("R81",G207))*81,0)+IFERROR(--ISNUMBER(SEARCH("R82",G207))*82,0)+IFERROR(--ISNUMBER(SEARCH("R83",G207))*83,0)+IFERROR(--ISNUMBER(SEARCH("R84",G207))*84,0)+IFERROR(--ISNUMBER(SEARCH("R85",G207))*85,0)+IFERROR(--ISNUMBER(SEARCH("R86",G207))*86,0)+IFERROR(--ISNUMBER(SEARCH("R87",G207))*87,0)+IFERROR(--ISNUMBER(SEARCH("R88",G207))*88,0)+IFERROR(--ISNUMBER(SEARCH("R89",G207))*89,0)+IFERROR(--ISNUMBER(SEARCH("R90",G207))*90,0)+IFERROR(--ISNUMBER(SEARCH("R91",G207))*91,0)+IFERROR(--ISNUMBER(SEARCH("R92",G207))*92,0)+IFERROR(--ISNUMBER(SEARCH("R93",G207))*93,0)+IFERROR(--ISNUMBER(SEARCH("R94",G207))*94,0)+IFERROR(--ISNUMBER(SEARCH("R95",G207))*95,0)+IFERROR(--ISNUMBER(SEARCH("R96",G207))*96,0)+IFERROR(--ISNUMBER(SEARCH("R97",G207))*97,0)+IFERROR(--ISNUMBER(SEARCH("R98",G207))*98,0)+IFERROR(--ISNUMBER(SEARCH("R99",G207))*99,0)+IFERROR(--ISNUMBER(SEARCH("R100",G207))*100,0)+IFERROR(--ISNUMBER(SEARCH("R101",G207))*101,0)+IFERROR(--ISNUMBER(SEARCH("R102",G207))*102,0)+IFERROR(--ISNUMBER(SEARCH("R103",G207))*103,0)+IFERROR(--ISNUMBER(SEARCH("R104",G207))*104,0)+IFERROR(--ISNUMBER(SEARCH("R105",G207))*105,0)+IFERROR(--ISNUMBER(SEARCH("R106",G207))*106,0)+IFERROR(--ISNUMBER(SEARCH("R107",G207))*107,0)+IFERROR(--ISNUMBER(SEARCH("R108",G207))*108,0)+IFERROR(--ISNUMBER(SEARCH("R109",G207))*109,0)+IFERROR(--ISNUMBER(SEARCH("R110",G207))*110,0)+IFERROR(--ISNUMBER(SEARCH("R111",G207))*111,0)+IFERROR(--ISNUMBER(SEARCH("R112",G207))*112,0)+IFERROR(--ISNUMBER(SEARCH("R113",G207))*113,0)+IFERROR(--ISNUMBER(SEARCH("R114",G207))*114,0)+IFERROR(--ISNUMBER(SEARCH("R115",G207))*115,0)+IFERROR(--ISNUMBER(SEARCH("R116",G207))*116,0)+IFERROR(--ISNUMBER(SEARCH("R117",G207))*117,0)+IFERROR(--ISNUMBER(SEARCH("R118",G207))*118,0)+IFERROR(--ISNUMBER(SEARCH("R119",G207))*119,0)+IFERROR(--ISNUMBER(SEARCH("R120",G207))*120,0)+IFERROR(--ISNUMBER(SEARCH("R121",G207))*121,0)+IFERROR(--ISNUMBER(SEARCH("R122",G207))*122,0)+IFERROR(--ISNUMBER(SEARCH("R123",G207))*123,0)+IFERROR(--ISNUMBER(SEARCH("R124",G207))*124,0)+IFERROR(--ISNUMBER(SEARCH("R125",G207))*125,0)+IFERROR(--ISNUMBER(SEARCH("R126",G207))*126,0)+IFERROR(--ISNUMBER(SEARCH("R127",G207))*127,0)+IFERROR(--ISNUMBER(SEARCH("R128",G207))*128,0)+IFERROR(--ISNUMBER(SEARCH("R129",G207))*129,0)+IFERROR(--ISNUMBER(SEARCH("R130",G207))*130,0)+IFERROR(--ISNUMBER(SEARCH("R131",G207))*131,0)+IFERROR(--ISNUMBER(SEARCH("R132",G207))*132,0)+IFERROR(--ISNUMBER(SEARCH("R133",G207))*133,0)+IFERROR(--ISNUMBER(SEARCH("R134",G207))*134,0)+IFERROR(--ISNUMBER(SEARCH("R135",G207))*135,0)+IFERROR(--ISNUMBER(SEARCH("R136",G207))*136,0)+IFERROR(--ISNUMBER(SEARCH("R137",G207))*137,0)+IFERROR(--ISNUMBER(SEARCH("R138",G207))*138,0)+IFERROR(--ISNUMBER(SEARCH("R139",G207))*139,0)+IFERROR(--ISNUMBER(SEARCH("R140",G207))*140,0)+IFERROR(--ISNUMBER(SEARCH("R141",G207))*141,0))</f>
        <v/>
      </c>
      <c r="V207" s="59">
        <f>IF(A207="","",IF(K207&lt;&gt;"",K207,J207))</f>
        <v/>
      </c>
      <c r="W207" s="59">
        <f>IF(A207="","",IF(AND(V207=29,O207&lt;&gt;"",COUNTIFS($V$6:$V$505,29,$F$6:$F$505,F207,$C$6:$C$505,C207,$O$6:$O$505,"&lt;&gt;")&gt;1),IF(COUNTIFS($V$6:V207,29,$F$6:F207,F207,$C$6:C207,C207,$O$6:O207,"&lt;&gt;")=1,"Esta es la fila que se debe CONSERVAR (aparición 1 de "&amp;COUNTIFS($V$6:$V$505,29,$F$6:$F$505,F207,$C$6:$C$505,C207,$O$6:$O$505,"&lt;&gt;")&amp;" con el mismo tercero y valor, casilla 29). Si hay más filas iguales, bórreles el valor a ELLAS, no a esta.","DUPLICADO — ya existe otra fila con el mismo tercero y valor para casilla 29 (aparición "&amp;COUNTIFS($V$6:V207,29,$F$6:F207,F207,$C$6:C207,C207,$O$6:O207,"&lt;&gt;")&amp;" de "&amp;COUNTIFS($V$6:$V$505,29,$F$6:$F$505,F207,$C$6:$C$505,C207,$O$6:$O$505,"&lt;&gt;")&amp;"). Para resolverlo: seleccione la celda O"&amp;ROW()&amp;" (columna Valor a declarar de ESTA fila) y presione Supr."),""))</f>
        <v/>
      </c>
      <c r="X207" s="463">
        <f>IF(A207="","",F207)</f>
        <v/>
      </c>
      <c r="Y207" s="463">
        <f>IF(A207="","",SUMIF(Entrada_Manual!$I$88:$I$187,A207,Entrada_Manual!$F$88:$F$187))</f>
        <v/>
      </c>
      <c r="Z207" s="463">
        <f>IF(A207="","",X207-Y207)</f>
        <v/>
      </c>
      <c r="AA207">
        <f>IF(A207="","",SUMPRODUCT((Entrada_Manual!$I$88:$I$187=A207)*1))</f>
        <v/>
      </c>
      <c r="AB207">
        <f>IF(A207="","",IF(S207&lt;=1,"",IF(AA207=0,"PENDIENTE — SIN ASIGNAR",IF(Z207=0,"RESUELTO","PARCIAL — DIFERENCIA "&amp;TEXT(Z207,"#,##0")))))</f>
        <v/>
      </c>
    </row>
    <row r="208" ht="14.25" customHeight="1" s="235">
      <c r="A208" s="47">
        <f>IF(Exogena_RAW!E217&lt;&gt;"",ROW()-5,"")</f>
        <v/>
      </c>
      <c r="B208" s="48">
        <f>IF(A208="","",217)</f>
        <v/>
      </c>
      <c r="C208" s="48">
        <f>IF(A208="","",IFERROR(Exogena_RAW!A217,""))</f>
        <v/>
      </c>
      <c r="D208" s="48">
        <f>IF(A208="","",IFERROR(Exogena_RAW!B217,""))</f>
        <v/>
      </c>
      <c r="E208" s="48">
        <f>IF(A208="","",Exogena_RAW!E217)</f>
        <v/>
      </c>
      <c r="F208" s="461">
        <f>IF(A208="","",Exogena_RAW!F217)</f>
        <v/>
      </c>
      <c r="G208" s="48">
        <f>IF(A208="","",IFERROR(Exogena_RAW!G217,""))</f>
        <v/>
      </c>
      <c r="H208" s="48">
        <f>IF(A208="","",IFERROR(Exogena_RAW!H217,""))</f>
        <v/>
      </c>
      <c r="I208" s="48">
        <f>IF(A208="","",IFERROR(IF(S208&gt;1,"VARIAS CASILLAS",IF(S208=1,IF(T208=1,"PROPUESTA DE CASILLA","REVISIÓN: CASILLA NO DIRECTA"),IF(OR(ISNUMBER(SEARCH("TOPE",UPPER(E208))),ISNUMBER(SEARCH("TOPE",UPPER(G208)))),"SOLO CONTROL",IF(ISNUMBER(SEARCH("RETEN",UPPER(E208))),"RETENCIÓN","REVISAR")))),"REVISAR"))</f>
        <v/>
      </c>
      <c r="J208" s="48">
        <f>IF(A208="","",IF(ISNUMBER(SEARCH("ingreso laboral promedio de los últimos seis meses",E208)),"",IFERROR(IF(AND(S208=1,T208=1),U208,""),"")))</f>
        <v/>
      </c>
      <c r="K208" s="216" t="n"/>
      <c r="L208" s="48">
        <f>IF(A208="","",IFERROR(IF(K208&lt;&gt;"","Casilla elegida por usuario",IF(S208&gt;1,"Varias casillas — elegir en K",IF(J208&lt;&gt;"","Sugerencia directa",IF(S208=1,"No trasladar directo — revisar",IF(OR(ISNUMBER(SEARCH("TOPE",UPPER(E208))),ISNUMBER(SEARCH("TOPE",UPPER(G208)))),"Solo control","Revisar manualmente"))))),"Revisar manualmente"))</f>
        <v/>
      </c>
      <c r="M208" s="461">
        <f>IF(A208="","",IF(IF(K208&lt;&gt;"",K208,J208)="",0,IF(COUNTIFS(Reglas!$I$5:$I$118,IF(K208&lt;&gt;"",K208,J208),Reglas!$J$5:$J$118,"Sí")=1,F208,0)))</f>
        <v/>
      </c>
      <c r="N208" s="56" t="n"/>
      <c r="O208" s="462">
        <f>IF(A208="","",IF(M208=0,"",M208))</f>
        <v/>
      </c>
      <c r="P208" s="461">
        <f>IF(A208="","",IF(O208="",0,IF(ISNUMBER(O208),O208,0)))</f>
        <v/>
      </c>
      <c r="Q208" s="48">
        <f>IF(A208="","",IF(Exogena_RAW!$C$4="","BLOQUEADO: FALTA AÑO",IF(Exogena_RAW!$K$10&lt;&gt;Reglas!$B$5,"BLOQUEADO: AÑO",IF(IF(K208&lt;&gt;"",K208,J208)="",IF(S208&gt;1,"REQUIERE ASIGNACIÓN MANUAL (VARIAS CASILLAS)","INFORMATIVO (sin casilla — no se declara)"),IF(COUNTIFS(Reglas!$I$5:$I$118,IF(K208&lt;&gt;"",K208,J208),Reglas!$J$5:$J$118,"Sí")=0,"BLOQUEADO: CASILLA NO DIRECTA",IF(O208="","EXCLUIDO (valor borrado por el usuario)",IF(_xlfn.ISFORMULA(O208),IF(W208&lt;&gt;"","BORRADOR — VALOR SUGERIDO DIAN ⚠ VER ALERTA","BORRADOR — VALOR SUGERIDO DIAN"),IF(W208&lt;&gt;"","ACEPTADO ⚠ VER ALERTA","ACEPTADO"))))))))</f>
        <v/>
      </c>
      <c r="R208" s="218" t="n"/>
      <c r="S208" s="58">
        <f>IF(A208="","",IFERROR(--ISNUMBER(SEARCH("R28",G208)),0)+IFERROR(--ISNUMBER(SEARCH("R29",G208)),0)+IFERROR(--ISNUMBER(SEARCH("R30",G208)),0)+IFERROR(--ISNUMBER(SEARCH("R31",G208)),0)+IFERROR(--ISNUMBER(SEARCH("R32",G208)),0)+IFERROR(--ISNUMBER(SEARCH("R33",G208)),0)+IFERROR(--ISNUMBER(SEARCH("R34",G208)),0)+IFERROR(--ISNUMBER(SEARCH("R35",G208)),0)+IFERROR(--ISNUMBER(SEARCH("R36",G208)),0)+IFERROR(--ISNUMBER(SEARCH("R37",G208)),0)+IFERROR(--ISNUMBER(SEARCH("R38",G208)),0)+IFERROR(--ISNUMBER(SEARCH("R39",G208)),0)+IFERROR(--ISNUMBER(SEARCH("R40",G208)),0)+IFERROR(--ISNUMBER(SEARCH("R41",G208)),0)+IFERROR(--ISNUMBER(SEARCH("R42",G208)),0)+IFERROR(--ISNUMBER(SEARCH("R43",G208)),0)+IFERROR(--ISNUMBER(SEARCH("R44",G208)),0)+IFERROR(--ISNUMBER(SEARCH("R45",G208)),0)+IFERROR(--ISNUMBER(SEARCH("R46",G208)),0)+IFERROR(--ISNUMBER(SEARCH("R47",G208)),0)+IFERROR(--ISNUMBER(SEARCH("R48",G208)),0)+IFERROR(--ISNUMBER(SEARCH("R49",G208)),0)+IFERROR(--ISNUMBER(SEARCH("R50",G208)),0)+IFERROR(--ISNUMBER(SEARCH("R51",G208)),0)+IFERROR(--ISNUMBER(SEARCH("R52",G208)),0)+IFERROR(--ISNUMBER(SEARCH("R53",G208)),0)+IFERROR(--ISNUMBER(SEARCH("R54",G208)),0)+IFERROR(--ISNUMBER(SEARCH("R55",G208)),0)+IFERROR(--ISNUMBER(SEARCH("R56",G208)),0)+IFERROR(--ISNUMBER(SEARCH("R57",G208)),0)+IFERROR(--ISNUMBER(SEARCH("R58",G208)),0)+IFERROR(--ISNUMBER(SEARCH("R59",G208)),0)+IFERROR(--ISNUMBER(SEARCH("R60",G208)),0)+IFERROR(--ISNUMBER(SEARCH("R61",G208)),0)+IFERROR(--ISNUMBER(SEARCH("R62",G208)),0)+IFERROR(--ISNUMBER(SEARCH("R63",G208)),0)+IFERROR(--ISNUMBER(SEARCH("R64",G208)),0)+IFERROR(--ISNUMBER(SEARCH("R65",G208)),0)+IFERROR(--ISNUMBER(SEARCH("R66",G208)),0)+IFERROR(--ISNUMBER(SEARCH("R67",G208)),0)+IFERROR(--ISNUMBER(SEARCH("R68",G208)),0)+IFERROR(--ISNUMBER(SEARCH("R69",G208)),0)+IFERROR(--ISNUMBER(SEARCH("R70",G208)),0)+IFERROR(--ISNUMBER(SEARCH("R71",G208)),0)+IFERROR(--ISNUMBER(SEARCH("R72",G208)),0)+IFERROR(--ISNUMBER(SEARCH("R73",G208)),0)+IFERROR(--ISNUMBER(SEARCH("R74",G208)),0)+IFERROR(--ISNUMBER(SEARCH("R75",G208)),0)+IFERROR(--ISNUMBER(SEARCH("R76",G208)),0)+IFERROR(--ISNUMBER(SEARCH("R77",G208)),0)+IFERROR(--ISNUMBER(SEARCH("R78",G208)),0)+IFERROR(--ISNUMBER(SEARCH("R79",G208)),0)+IFERROR(--ISNUMBER(SEARCH("R80",G208)),0)+IFERROR(--ISNUMBER(SEARCH("R81",G208)),0)+IFERROR(--ISNUMBER(SEARCH("R82",G208)),0)+IFERROR(--ISNUMBER(SEARCH("R83",G208)),0)+IFERROR(--ISNUMBER(SEARCH("R84",G208)),0)+IFERROR(--ISNUMBER(SEARCH("R85",G208)),0)+IFERROR(--ISNUMBER(SEARCH("R86",G208)),0)+IFERROR(--ISNUMBER(SEARCH("R87",G208)),0)+IFERROR(--ISNUMBER(SEARCH("R88",G208)),0)+IFERROR(--ISNUMBER(SEARCH("R89",G208)),0)+IFERROR(--ISNUMBER(SEARCH("R90",G208)),0)+IFERROR(--ISNUMBER(SEARCH("R91",G208)),0)+IFERROR(--ISNUMBER(SEARCH("R92",G208)),0)+IFERROR(--ISNUMBER(SEARCH("R93",G208)),0)+IFERROR(--ISNUMBER(SEARCH("R94",G208)),0)+IFERROR(--ISNUMBER(SEARCH("R95",G208)),0)+IFERROR(--ISNUMBER(SEARCH("R96",G208)),0)+IFERROR(--ISNUMBER(SEARCH("R97",G208)),0)+IFERROR(--ISNUMBER(SEARCH("R98",G208)),0)+IFERROR(--ISNUMBER(SEARCH("R99",G208)),0)+IFERROR(--ISNUMBER(SEARCH("R100",G208)),0)+IFERROR(--ISNUMBER(SEARCH("R101",G208)),0)+IFERROR(--ISNUMBER(SEARCH("R102",G208)),0)+IFERROR(--ISNUMBER(SEARCH("R103",G208)),0)+IFERROR(--ISNUMBER(SEARCH("R104",G208)),0)+IFERROR(--ISNUMBER(SEARCH("R105",G208)),0)+IFERROR(--ISNUMBER(SEARCH("R106",G208)),0)+IFERROR(--ISNUMBER(SEARCH("R107",G208)),0)+IFERROR(--ISNUMBER(SEARCH("R108",G208)),0)+IFERROR(--ISNUMBER(SEARCH("R109",G208)),0)+IFERROR(--ISNUMBER(SEARCH("R110",G208)),0)+IFERROR(--ISNUMBER(SEARCH("R111",G208)),0)+IFERROR(--ISNUMBER(SEARCH("R112",G208)),0)+IFERROR(--ISNUMBER(SEARCH("R113",G208)),0)+IFERROR(--ISNUMBER(SEARCH("R114",G208)),0)+IFERROR(--ISNUMBER(SEARCH("R115",G208)),0)+IFERROR(--ISNUMBER(SEARCH("R116",G208)),0)+IFERROR(--ISNUMBER(SEARCH("R117",G208)),0)+IFERROR(--ISNUMBER(SEARCH("R118",G208)),0)+IFERROR(--ISNUMBER(SEARCH("R119",G208)),0)+IFERROR(--ISNUMBER(SEARCH("R120",G208)),0)+IFERROR(--ISNUMBER(SEARCH("R121",G208)),0)+IFERROR(--ISNUMBER(SEARCH("R122",G208)),0)+IFERROR(--ISNUMBER(SEARCH("R123",G208)),0)+IFERROR(--ISNUMBER(SEARCH("R124",G208)),0)+IFERROR(--ISNUMBER(SEARCH("R125",G208)),0)+IFERROR(--ISNUMBER(SEARCH("R126",G208)),0)+IFERROR(--ISNUMBER(SEARCH("R127",G208)),0)+IFERROR(--ISNUMBER(SEARCH("R128",G208)),0)+IFERROR(--ISNUMBER(SEARCH("R129",G208)),0)+IFERROR(--ISNUMBER(SEARCH("R130",G208)),0)+IFERROR(--ISNUMBER(SEARCH("R131",G208)),0)+IFERROR(--ISNUMBER(SEARCH("R132",G208)),0)+IFERROR(--ISNUMBER(SEARCH("R133",G208)),0)+IFERROR(--ISNUMBER(SEARCH("R134",G208)),0)+IFERROR(--ISNUMBER(SEARCH("R135",G208)),0)+IFERROR(--ISNUMBER(SEARCH("R136",G208)),0)+IFERROR(--ISNUMBER(SEARCH("R137",G208)),0)+IFERROR(--ISNUMBER(SEARCH("R138",G208)),0)+IFERROR(--ISNUMBER(SEARCH("R139",G208)),0)+IFERROR(--ISNUMBER(SEARCH("R140",G208)),0)+IFERROR(--ISNUMBER(SEARCH("R141",G208)),0))</f>
        <v/>
      </c>
      <c r="T208" s="58">
        <f>IF(A208="","",IFERROR(--ISNUMBER(SEARCH("R28",G208)),0)+IFERROR(--ISNUMBER(SEARCH("R29",G208)),0)+IFERROR(--ISNUMBER(SEARCH("R30",G208)),0)+IFERROR(--ISNUMBER(SEARCH("R32",G208)),0)+IFERROR(--ISNUMBER(SEARCH("R33",G208)),0)+IFERROR(--ISNUMBER(SEARCH("R35",G208)),0)+IFERROR(--ISNUMBER(SEARCH("R36",G208)),0)+IFERROR(--ISNUMBER(SEARCH("R38",G208)),0)+IFERROR(--ISNUMBER(SEARCH("R39",G208)),0)+IFERROR(--ISNUMBER(SEARCH("R43",G208)),0)+IFERROR(--ISNUMBER(SEARCH("R44",G208)),0)+IFERROR(--ISNUMBER(SEARCH("R45",G208)),0)+IFERROR(--ISNUMBER(SEARCH("R47",G208)),0)+IFERROR(--ISNUMBER(SEARCH("R48",G208)),0)+IFERROR(--ISNUMBER(SEARCH("R50",G208)),0)+IFERROR(--ISNUMBER(SEARCH("R51",G208)),0)+IFERROR(--ISNUMBER(SEARCH("R56",G208)),0)+IFERROR(--ISNUMBER(SEARCH("R58",G208)),0)+IFERROR(--ISNUMBER(SEARCH("R59",G208)),0)+IFERROR(--ISNUMBER(SEARCH("R60",G208)),0)+IFERROR(--ISNUMBER(SEARCH("R62",G208)),0)+IFERROR(--ISNUMBER(SEARCH("R63",G208)),0)+IFERROR(--ISNUMBER(SEARCH("R64",G208)),0)+IFERROR(--ISNUMBER(SEARCH("R66",G208)),0)+IFERROR(--ISNUMBER(SEARCH("R67",G208)),0)+IFERROR(--ISNUMBER(SEARCH("R72",G208)),0)+IFERROR(--ISNUMBER(SEARCH("R74",G208)),0)+IFERROR(--ISNUMBER(SEARCH("R75",G208)),0)+IFERROR(--ISNUMBER(SEARCH("R76",G208)),0)+IFERROR(--ISNUMBER(SEARCH("R77",G208)),0)+IFERROR(--ISNUMBER(SEARCH("R79",G208)),0)+IFERROR(--ISNUMBER(SEARCH("R80",G208)),0)+IFERROR(--ISNUMBER(SEARCH("R81",G208)),0)+IFERROR(--ISNUMBER(SEARCH("R83",G208)),0)+IFERROR(--ISNUMBER(SEARCH("R84",G208)),0)+IFERROR(--ISNUMBER(SEARCH("R89",G208)),0)+IFERROR(--ISNUMBER(SEARCH("R94",G208)),0)+IFERROR(--ISNUMBER(SEARCH("R95",G208)),0)+IFERROR(--ISNUMBER(SEARCH("R96",G208)),0)+IFERROR(--ISNUMBER(SEARCH("R98",G208)),0)+IFERROR(--ISNUMBER(SEARCH("R99",G208)),0)+IFERROR(--ISNUMBER(SEARCH("R100",G208)),0)+IFERROR(--ISNUMBER(SEARCH("R104",G208)),0)+IFERROR(--ISNUMBER(SEARCH("R105",G208)),0)+IFERROR(--ISNUMBER(SEARCH("R107",G208)),0)+IFERROR(--ISNUMBER(SEARCH("R108",G208)),0)+IFERROR(--ISNUMBER(SEARCH("R109",G208)),0)+IFERROR(--ISNUMBER(SEARCH("R110",G208)),0)+IFERROR(--ISNUMBER(SEARCH("R112",G208)),0)+IFERROR(--ISNUMBER(SEARCH("R113",G208)),0)+IFERROR(--ISNUMBER(SEARCH("R114",G208)),0)+IFERROR(--ISNUMBER(SEARCH("R118",G208)),0)+IFERROR(--ISNUMBER(SEARCH("R119",G208)),0)+IFERROR(--ISNUMBER(SEARCH("R120",G208)),0)+IFERROR(--ISNUMBER(SEARCH("R122",G208)),0)+IFERROR(--ISNUMBER(SEARCH("R123",G208)),0)+IFERROR(--ISNUMBER(SEARCH("R124",G208)),0)+IFERROR(--ISNUMBER(SEARCH("R128",G208)),0)+IFERROR(--ISNUMBER(SEARCH("R130",G208)),0)+IFERROR(--ISNUMBER(SEARCH("R131",G208)),0)+IFERROR(--ISNUMBER(SEARCH("R132",G208)),0)+IFERROR(--ISNUMBER(SEARCH("R135",G208)),0)+IFERROR(--ISNUMBER(SEARCH("R138",G208)),0)+IFERROR(--ISNUMBER(SEARCH("R141",G208)),0))</f>
        <v/>
      </c>
      <c r="U208" s="58">
        <f>IF(A208="","",IFERROR(--ISNUMBER(SEARCH("R28",G208))*28,0)+IFERROR(--ISNUMBER(SEARCH("R29",G208))*29,0)+IFERROR(--ISNUMBER(SEARCH("R30",G208))*30,0)+IFERROR(--ISNUMBER(SEARCH("R31",G208))*31,0)+IFERROR(--ISNUMBER(SEARCH("R32",G208))*32,0)+IFERROR(--ISNUMBER(SEARCH("R33",G208))*33,0)+IFERROR(--ISNUMBER(SEARCH("R34",G208))*34,0)+IFERROR(--ISNUMBER(SEARCH("R35",G208))*35,0)+IFERROR(--ISNUMBER(SEARCH("R36",G208))*36,0)+IFERROR(--ISNUMBER(SEARCH("R37",G208))*37,0)+IFERROR(--ISNUMBER(SEARCH("R38",G208))*38,0)+IFERROR(--ISNUMBER(SEARCH("R39",G208))*39,0)+IFERROR(--ISNUMBER(SEARCH("R40",G208))*40,0)+IFERROR(--ISNUMBER(SEARCH("R41",G208))*41,0)+IFERROR(--ISNUMBER(SEARCH("R42",G208))*42,0)+IFERROR(--ISNUMBER(SEARCH("R43",G208))*43,0)+IFERROR(--ISNUMBER(SEARCH("R44",G208))*44,0)+IFERROR(--ISNUMBER(SEARCH("R45",G208))*45,0)+IFERROR(--ISNUMBER(SEARCH("R46",G208))*46,0)+IFERROR(--ISNUMBER(SEARCH("R47",G208))*47,0)+IFERROR(--ISNUMBER(SEARCH("R48",G208))*48,0)+IFERROR(--ISNUMBER(SEARCH("R49",G208))*49,0)+IFERROR(--ISNUMBER(SEARCH("R50",G208))*50,0)+IFERROR(--ISNUMBER(SEARCH("R51",G208))*51,0)+IFERROR(--ISNUMBER(SEARCH("R52",G208))*52,0)+IFERROR(--ISNUMBER(SEARCH("R53",G208))*53,0)+IFERROR(--ISNUMBER(SEARCH("R54",G208))*54,0)+IFERROR(--ISNUMBER(SEARCH("R55",G208))*55,0)+IFERROR(--ISNUMBER(SEARCH("R56",G208))*56,0)+IFERROR(--ISNUMBER(SEARCH("R57",G208))*57,0)+IFERROR(--ISNUMBER(SEARCH("R58",G208))*58,0)+IFERROR(--ISNUMBER(SEARCH("R59",G208))*59,0)+IFERROR(--ISNUMBER(SEARCH("R60",G208))*60,0)+IFERROR(--ISNUMBER(SEARCH("R61",G208))*61,0)+IFERROR(--ISNUMBER(SEARCH("R62",G208))*62,0)+IFERROR(--ISNUMBER(SEARCH("R63",G208))*63,0)+IFERROR(--ISNUMBER(SEARCH("R64",G208))*64,0)+IFERROR(--ISNUMBER(SEARCH("R65",G208))*65,0)+IFERROR(--ISNUMBER(SEARCH("R66",G208))*66,0)+IFERROR(--ISNUMBER(SEARCH("R67",G208))*67,0)+IFERROR(--ISNUMBER(SEARCH("R68",G208))*68,0)+IFERROR(--ISNUMBER(SEARCH("R69",G208))*69,0)+IFERROR(--ISNUMBER(SEARCH("R70",G208))*70,0)+IFERROR(--ISNUMBER(SEARCH("R71",G208))*71,0)+IFERROR(--ISNUMBER(SEARCH("R72",G208))*72,0)+IFERROR(--ISNUMBER(SEARCH("R73",G208))*73,0)+IFERROR(--ISNUMBER(SEARCH("R74",G208))*74,0)+IFERROR(--ISNUMBER(SEARCH("R75",G208))*75,0)+IFERROR(--ISNUMBER(SEARCH("R76",G208))*76,0)+IFERROR(--ISNUMBER(SEARCH("R77",G208))*77,0)+IFERROR(--ISNUMBER(SEARCH("R78",G208))*78,0)+IFERROR(--ISNUMBER(SEARCH("R79",G208))*79,0)+IFERROR(--ISNUMBER(SEARCH("R80",G208))*80,0)+IFERROR(--ISNUMBER(SEARCH("R81",G208))*81,0)+IFERROR(--ISNUMBER(SEARCH("R82",G208))*82,0)+IFERROR(--ISNUMBER(SEARCH("R83",G208))*83,0)+IFERROR(--ISNUMBER(SEARCH("R84",G208))*84,0)+IFERROR(--ISNUMBER(SEARCH("R85",G208))*85,0)+IFERROR(--ISNUMBER(SEARCH("R86",G208))*86,0)+IFERROR(--ISNUMBER(SEARCH("R87",G208))*87,0)+IFERROR(--ISNUMBER(SEARCH("R88",G208))*88,0)+IFERROR(--ISNUMBER(SEARCH("R89",G208))*89,0)+IFERROR(--ISNUMBER(SEARCH("R90",G208))*90,0)+IFERROR(--ISNUMBER(SEARCH("R91",G208))*91,0)+IFERROR(--ISNUMBER(SEARCH("R92",G208))*92,0)+IFERROR(--ISNUMBER(SEARCH("R93",G208))*93,0)+IFERROR(--ISNUMBER(SEARCH("R94",G208))*94,0)+IFERROR(--ISNUMBER(SEARCH("R95",G208))*95,0)+IFERROR(--ISNUMBER(SEARCH("R96",G208))*96,0)+IFERROR(--ISNUMBER(SEARCH("R97",G208))*97,0)+IFERROR(--ISNUMBER(SEARCH("R98",G208))*98,0)+IFERROR(--ISNUMBER(SEARCH("R99",G208))*99,0)+IFERROR(--ISNUMBER(SEARCH("R100",G208))*100,0)+IFERROR(--ISNUMBER(SEARCH("R101",G208))*101,0)+IFERROR(--ISNUMBER(SEARCH("R102",G208))*102,0)+IFERROR(--ISNUMBER(SEARCH("R103",G208))*103,0)+IFERROR(--ISNUMBER(SEARCH("R104",G208))*104,0)+IFERROR(--ISNUMBER(SEARCH("R105",G208))*105,0)+IFERROR(--ISNUMBER(SEARCH("R106",G208))*106,0)+IFERROR(--ISNUMBER(SEARCH("R107",G208))*107,0)+IFERROR(--ISNUMBER(SEARCH("R108",G208))*108,0)+IFERROR(--ISNUMBER(SEARCH("R109",G208))*109,0)+IFERROR(--ISNUMBER(SEARCH("R110",G208))*110,0)+IFERROR(--ISNUMBER(SEARCH("R111",G208))*111,0)+IFERROR(--ISNUMBER(SEARCH("R112",G208))*112,0)+IFERROR(--ISNUMBER(SEARCH("R113",G208))*113,0)+IFERROR(--ISNUMBER(SEARCH("R114",G208))*114,0)+IFERROR(--ISNUMBER(SEARCH("R115",G208))*115,0)+IFERROR(--ISNUMBER(SEARCH("R116",G208))*116,0)+IFERROR(--ISNUMBER(SEARCH("R117",G208))*117,0)+IFERROR(--ISNUMBER(SEARCH("R118",G208))*118,0)+IFERROR(--ISNUMBER(SEARCH("R119",G208))*119,0)+IFERROR(--ISNUMBER(SEARCH("R120",G208))*120,0)+IFERROR(--ISNUMBER(SEARCH("R121",G208))*121,0)+IFERROR(--ISNUMBER(SEARCH("R122",G208))*122,0)+IFERROR(--ISNUMBER(SEARCH("R123",G208))*123,0)+IFERROR(--ISNUMBER(SEARCH("R124",G208))*124,0)+IFERROR(--ISNUMBER(SEARCH("R125",G208))*125,0)+IFERROR(--ISNUMBER(SEARCH("R126",G208))*126,0)+IFERROR(--ISNUMBER(SEARCH("R127",G208))*127,0)+IFERROR(--ISNUMBER(SEARCH("R128",G208))*128,0)+IFERROR(--ISNUMBER(SEARCH("R129",G208))*129,0)+IFERROR(--ISNUMBER(SEARCH("R130",G208))*130,0)+IFERROR(--ISNUMBER(SEARCH("R131",G208))*131,0)+IFERROR(--ISNUMBER(SEARCH("R132",G208))*132,0)+IFERROR(--ISNUMBER(SEARCH("R133",G208))*133,0)+IFERROR(--ISNUMBER(SEARCH("R134",G208))*134,0)+IFERROR(--ISNUMBER(SEARCH("R135",G208))*135,0)+IFERROR(--ISNUMBER(SEARCH("R136",G208))*136,0)+IFERROR(--ISNUMBER(SEARCH("R137",G208))*137,0)+IFERROR(--ISNUMBER(SEARCH("R138",G208))*138,0)+IFERROR(--ISNUMBER(SEARCH("R139",G208))*139,0)+IFERROR(--ISNUMBER(SEARCH("R140",G208))*140,0)+IFERROR(--ISNUMBER(SEARCH("R141",G208))*141,0))</f>
        <v/>
      </c>
      <c r="V208" s="59">
        <f>IF(A208="","",IF(K208&lt;&gt;"",K208,J208))</f>
        <v/>
      </c>
      <c r="W208" s="59">
        <f>IF(A208="","",IF(AND(V208=29,O208&lt;&gt;"",COUNTIFS($V$6:$V$505,29,$F$6:$F$505,F208,$C$6:$C$505,C208,$O$6:$O$505,"&lt;&gt;")&gt;1),IF(COUNTIFS($V$6:V208,29,$F$6:F208,F208,$C$6:C208,C208,$O$6:O208,"&lt;&gt;")=1,"Esta es la fila que se debe CONSERVAR (aparición 1 de "&amp;COUNTIFS($V$6:$V$505,29,$F$6:$F$505,F208,$C$6:$C$505,C208,$O$6:$O$505,"&lt;&gt;")&amp;" con el mismo tercero y valor, casilla 29). Si hay más filas iguales, bórreles el valor a ELLAS, no a esta.","DUPLICADO — ya existe otra fila con el mismo tercero y valor para casilla 29 (aparición "&amp;COUNTIFS($V$6:V208,29,$F$6:F208,F208,$C$6:C208,C208,$O$6:O208,"&lt;&gt;")&amp;" de "&amp;COUNTIFS($V$6:$V$505,29,$F$6:$F$505,F208,$C$6:$C$505,C208,$O$6:$O$505,"&lt;&gt;")&amp;"). Para resolverlo: seleccione la celda O"&amp;ROW()&amp;" (columna Valor a declarar de ESTA fila) y presione Supr."),""))</f>
        <v/>
      </c>
      <c r="X208" s="463">
        <f>IF(A208="","",F208)</f>
        <v/>
      </c>
      <c r="Y208" s="463">
        <f>IF(A208="","",SUMIF(Entrada_Manual!$I$88:$I$187,A208,Entrada_Manual!$F$88:$F$187))</f>
        <v/>
      </c>
      <c r="Z208" s="463">
        <f>IF(A208="","",X208-Y208)</f>
        <v/>
      </c>
      <c r="AA208">
        <f>IF(A208="","",SUMPRODUCT((Entrada_Manual!$I$88:$I$187=A208)*1))</f>
        <v/>
      </c>
      <c r="AB208">
        <f>IF(A208="","",IF(S208&lt;=1,"",IF(AA208=0,"PENDIENTE — SIN ASIGNAR",IF(Z208=0,"RESUELTO","PARCIAL — DIFERENCIA "&amp;TEXT(Z208,"#,##0")))))</f>
        <v/>
      </c>
    </row>
    <row r="209" ht="14.25" customHeight="1" s="235">
      <c r="A209" s="47">
        <f>IF(Exogena_RAW!E218&lt;&gt;"",ROW()-5,"")</f>
        <v/>
      </c>
      <c r="B209" s="48">
        <f>IF(A209="","",218)</f>
        <v/>
      </c>
      <c r="C209" s="48">
        <f>IF(A209="","",IFERROR(Exogena_RAW!A218,""))</f>
        <v/>
      </c>
      <c r="D209" s="48">
        <f>IF(A209="","",IFERROR(Exogena_RAW!B218,""))</f>
        <v/>
      </c>
      <c r="E209" s="48">
        <f>IF(A209="","",Exogena_RAW!E218)</f>
        <v/>
      </c>
      <c r="F209" s="461">
        <f>IF(A209="","",Exogena_RAW!F218)</f>
        <v/>
      </c>
      <c r="G209" s="48">
        <f>IF(A209="","",IFERROR(Exogena_RAW!G218,""))</f>
        <v/>
      </c>
      <c r="H209" s="48">
        <f>IF(A209="","",IFERROR(Exogena_RAW!H218,""))</f>
        <v/>
      </c>
      <c r="I209" s="48">
        <f>IF(A209="","",IFERROR(IF(S209&gt;1,"VARIAS CASILLAS",IF(S209=1,IF(T209=1,"PROPUESTA DE CASILLA","REVISIÓN: CASILLA NO DIRECTA"),IF(OR(ISNUMBER(SEARCH("TOPE",UPPER(E209))),ISNUMBER(SEARCH("TOPE",UPPER(G209)))),"SOLO CONTROL",IF(ISNUMBER(SEARCH("RETEN",UPPER(E209))),"RETENCIÓN","REVISAR")))),"REVISAR"))</f>
        <v/>
      </c>
      <c r="J209" s="48">
        <f>IF(A209="","",IF(ISNUMBER(SEARCH("ingreso laboral promedio de los últimos seis meses",E209)),"",IFERROR(IF(AND(S209=1,T209=1),U209,""),"")))</f>
        <v/>
      </c>
      <c r="K209" s="216" t="n"/>
      <c r="L209" s="48">
        <f>IF(A209="","",IFERROR(IF(K209&lt;&gt;"","Casilla elegida por usuario",IF(S209&gt;1,"Varias casillas — elegir en K",IF(J209&lt;&gt;"","Sugerencia directa",IF(S209=1,"No trasladar directo — revisar",IF(OR(ISNUMBER(SEARCH("TOPE",UPPER(E209))),ISNUMBER(SEARCH("TOPE",UPPER(G209)))),"Solo control","Revisar manualmente"))))),"Revisar manualmente"))</f>
        <v/>
      </c>
      <c r="M209" s="461">
        <f>IF(A209="","",IF(IF(K209&lt;&gt;"",K209,J209)="",0,IF(COUNTIFS(Reglas!$I$5:$I$118,IF(K209&lt;&gt;"",K209,J209),Reglas!$J$5:$J$118,"Sí")=1,F209,0)))</f>
        <v/>
      </c>
      <c r="N209" s="56" t="n"/>
      <c r="O209" s="462">
        <f>IF(A209="","",IF(M209=0,"",M209))</f>
        <v/>
      </c>
      <c r="P209" s="461">
        <f>IF(A209="","",IF(O209="",0,IF(ISNUMBER(O209),O209,0)))</f>
        <v/>
      </c>
      <c r="Q209" s="48">
        <f>IF(A209="","",IF(Exogena_RAW!$C$4="","BLOQUEADO: FALTA AÑO",IF(Exogena_RAW!$K$10&lt;&gt;Reglas!$B$5,"BLOQUEADO: AÑO",IF(IF(K209&lt;&gt;"",K209,J209)="",IF(S209&gt;1,"REQUIERE ASIGNACIÓN MANUAL (VARIAS CASILLAS)","INFORMATIVO (sin casilla — no se declara)"),IF(COUNTIFS(Reglas!$I$5:$I$118,IF(K209&lt;&gt;"",K209,J209),Reglas!$J$5:$J$118,"Sí")=0,"BLOQUEADO: CASILLA NO DIRECTA",IF(O209="","EXCLUIDO (valor borrado por el usuario)",IF(_xlfn.ISFORMULA(O209),IF(W209&lt;&gt;"","BORRADOR — VALOR SUGERIDO DIAN ⚠ VER ALERTA","BORRADOR — VALOR SUGERIDO DIAN"),IF(W209&lt;&gt;"","ACEPTADO ⚠ VER ALERTA","ACEPTADO"))))))))</f>
        <v/>
      </c>
      <c r="R209" s="218" t="n"/>
      <c r="S209" s="58">
        <f>IF(A209="","",IFERROR(--ISNUMBER(SEARCH("R28",G209)),0)+IFERROR(--ISNUMBER(SEARCH("R29",G209)),0)+IFERROR(--ISNUMBER(SEARCH("R30",G209)),0)+IFERROR(--ISNUMBER(SEARCH("R31",G209)),0)+IFERROR(--ISNUMBER(SEARCH("R32",G209)),0)+IFERROR(--ISNUMBER(SEARCH("R33",G209)),0)+IFERROR(--ISNUMBER(SEARCH("R34",G209)),0)+IFERROR(--ISNUMBER(SEARCH("R35",G209)),0)+IFERROR(--ISNUMBER(SEARCH("R36",G209)),0)+IFERROR(--ISNUMBER(SEARCH("R37",G209)),0)+IFERROR(--ISNUMBER(SEARCH("R38",G209)),0)+IFERROR(--ISNUMBER(SEARCH("R39",G209)),0)+IFERROR(--ISNUMBER(SEARCH("R40",G209)),0)+IFERROR(--ISNUMBER(SEARCH("R41",G209)),0)+IFERROR(--ISNUMBER(SEARCH("R42",G209)),0)+IFERROR(--ISNUMBER(SEARCH("R43",G209)),0)+IFERROR(--ISNUMBER(SEARCH("R44",G209)),0)+IFERROR(--ISNUMBER(SEARCH("R45",G209)),0)+IFERROR(--ISNUMBER(SEARCH("R46",G209)),0)+IFERROR(--ISNUMBER(SEARCH("R47",G209)),0)+IFERROR(--ISNUMBER(SEARCH("R48",G209)),0)+IFERROR(--ISNUMBER(SEARCH("R49",G209)),0)+IFERROR(--ISNUMBER(SEARCH("R50",G209)),0)+IFERROR(--ISNUMBER(SEARCH("R51",G209)),0)+IFERROR(--ISNUMBER(SEARCH("R52",G209)),0)+IFERROR(--ISNUMBER(SEARCH("R53",G209)),0)+IFERROR(--ISNUMBER(SEARCH("R54",G209)),0)+IFERROR(--ISNUMBER(SEARCH("R55",G209)),0)+IFERROR(--ISNUMBER(SEARCH("R56",G209)),0)+IFERROR(--ISNUMBER(SEARCH("R57",G209)),0)+IFERROR(--ISNUMBER(SEARCH("R58",G209)),0)+IFERROR(--ISNUMBER(SEARCH("R59",G209)),0)+IFERROR(--ISNUMBER(SEARCH("R60",G209)),0)+IFERROR(--ISNUMBER(SEARCH("R61",G209)),0)+IFERROR(--ISNUMBER(SEARCH("R62",G209)),0)+IFERROR(--ISNUMBER(SEARCH("R63",G209)),0)+IFERROR(--ISNUMBER(SEARCH("R64",G209)),0)+IFERROR(--ISNUMBER(SEARCH("R65",G209)),0)+IFERROR(--ISNUMBER(SEARCH("R66",G209)),0)+IFERROR(--ISNUMBER(SEARCH("R67",G209)),0)+IFERROR(--ISNUMBER(SEARCH("R68",G209)),0)+IFERROR(--ISNUMBER(SEARCH("R69",G209)),0)+IFERROR(--ISNUMBER(SEARCH("R70",G209)),0)+IFERROR(--ISNUMBER(SEARCH("R71",G209)),0)+IFERROR(--ISNUMBER(SEARCH("R72",G209)),0)+IFERROR(--ISNUMBER(SEARCH("R73",G209)),0)+IFERROR(--ISNUMBER(SEARCH("R74",G209)),0)+IFERROR(--ISNUMBER(SEARCH("R75",G209)),0)+IFERROR(--ISNUMBER(SEARCH("R76",G209)),0)+IFERROR(--ISNUMBER(SEARCH("R77",G209)),0)+IFERROR(--ISNUMBER(SEARCH("R78",G209)),0)+IFERROR(--ISNUMBER(SEARCH("R79",G209)),0)+IFERROR(--ISNUMBER(SEARCH("R80",G209)),0)+IFERROR(--ISNUMBER(SEARCH("R81",G209)),0)+IFERROR(--ISNUMBER(SEARCH("R82",G209)),0)+IFERROR(--ISNUMBER(SEARCH("R83",G209)),0)+IFERROR(--ISNUMBER(SEARCH("R84",G209)),0)+IFERROR(--ISNUMBER(SEARCH("R85",G209)),0)+IFERROR(--ISNUMBER(SEARCH("R86",G209)),0)+IFERROR(--ISNUMBER(SEARCH("R87",G209)),0)+IFERROR(--ISNUMBER(SEARCH("R88",G209)),0)+IFERROR(--ISNUMBER(SEARCH("R89",G209)),0)+IFERROR(--ISNUMBER(SEARCH("R90",G209)),0)+IFERROR(--ISNUMBER(SEARCH("R91",G209)),0)+IFERROR(--ISNUMBER(SEARCH("R92",G209)),0)+IFERROR(--ISNUMBER(SEARCH("R93",G209)),0)+IFERROR(--ISNUMBER(SEARCH("R94",G209)),0)+IFERROR(--ISNUMBER(SEARCH("R95",G209)),0)+IFERROR(--ISNUMBER(SEARCH("R96",G209)),0)+IFERROR(--ISNUMBER(SEARCH("R97",G209)),0)+IFERROR(--ISNUMBER(SEARCH("R98",G209)),0)+IFERROR(--ISNUMBER(SEARCH("R99",G209)),0)+IFERROR(--ISNUMBER(SEARCH("R100",G209)),0)+IFERROR(--ISNUMBER(SEARCH("R101",G209)),0)+IFERROR(--ISNUMBER(SEARCH("R102",G209)),0)+IFERROR(--ISNUMBER(SEARCH("R103",G209)),0)+IFERROR(--ISNUMBER(SEARCH("R104",G209)),0)+IFERROR(--ISNUMBER(SEARCH("R105",G209)),0)+IFERROR(--ISNUMBER(SEARCH("R106",G209)),0)+IFERROR(--ISNUMBER(SEARCH("R107",G209)),0)+IFERROR(--ISNUMBER(SEARCH("R108",G209)),0)+IFERROR(--ISNUMBER(SEARCH("R109",G209)),0)+IFERROR(--ISNUMBER(SEARCH("R110",G209)),0)+IFERROR(--ISNUMBER(SEARCH("R111",G209)),0)+IFERROR(--ISNUMBER(SEARCH("R112",G209)),0)+IFERROR(--ISNUMBER(SEARCH("R113",G209)),0)+IFERROR(--ISNUMBER(SEARCH("R114",G209)),0)+IFERROR(--ISNUMBER(SEARCH("R115",G209)),0)+IFERROR(--ISNUMBER(SEARCH("R116",G209)),0)+IFERROR(--ISNUMBER(SEARCH("R117",G209)),0)+IFERROR(--ISNUMBER(SEARCH("R118",G209)),0)+IFERROR(--ISNUMBER(SEARCH("R119",G209)),0)+IFERROR(--ISNUMBER(SEARCH("R120",G209)),0)+IFERROR(--ISNUMBER(SEARCH("R121",G209)),0)+IFERROR(--ISNUMBER(SEARCH("R122",G209)),0)+IFERROR(--ISNUMBER(SEARCH("R123",G209)),0)+IFERROR(--ISNUMBER(SEARCH("R124",G209)),0)+IFERROR(--ISNUMBER(SEARCH("R125",G209)),0)+IFERROR(--ISNUMBER(SEARCH("R126",G209)),0)+IFERROR(--ISNUMBER(SEARCH("R127",G209)),0)+IFERROR(--ISNUMBER(SEARCH("R128",G209)),0)+IFERROR(--ISNUMBER(SEARCH("R129",G209)),0)+IFERROR(--ISNUMBER(SEARCH("R130",G209)),0)+IFERROR(--ISNUMBER(SEARCH("R131",G209)),0)+IFERROR(--ISNUMBER(SEARCH("R132",G209)),0)+IFERROR(--ISNUMBER(SEARCH("R133",G209)),0)+IFERROR(--ISNUMBER(SEARCH("R134",G209)),0)+IFERROR(--ISNUMBER(SEARCH("R135",G209)),0)+IFERROR(--ISNUMBER(SEARCH("R136",G209)),0)+IFERROR(--ISNUMBER(SEARCH("R137",G209)),0)+IFERROR(--ISNUMBER(SEARCH("R138",G209)),0)+IFERROR(--ISNUMBER(SEARCH("R139",G209)),0)+IFERROR(--ISNUMBER(SEARCH("R140",G209)),0)+IFERROR(--ISNUMBER(SEARCH("R141",G209)),0))</f>
        <v/>
      </c>
      <c r="T209" s="58">
        <f>IF(A209="","",IFERROR(--ISNUMBER(SEARCH("R28",G209)),0)+IFERROR(--ISNUMBER(SEARCH("R29",G209)),0)+IFERROR(--ISNUMBER(SEARCH("R30",G209)),0)+IFERROR(--ISNUMBER(SEARCH("R32",G209)),0)+IFERROR(--ISNUMBER(SEARCH("R33",G209)),0)+IFERROR(--ISNUMBER(SEARCH("R35",G209)),0)+IFERROR(--ISNUMBER(SEARCH("R36",G209)),0)+IFERROR(--ISNUMBER(SEARCH("R38",G209)),0)+IFERROR(--ISNUMBER(SEARCH("R39",G209)),0)+IFERROR(--ISNUMBER(SEARCH("R43",G209)),0)+IFERROR(--ISNUMBER(SEARCH("R44",G209)),0)+IFERROR(--ISNUMBER(SEARCH("R45",G209)),0)+IFERROR(--ISNUMBER(SEARCH("R47",G209)),0)+IFERROR(--ISNUMBER(SEARCH("R48",G209)),0)+IFERROR(--ISNUMBER(SEARCH("R50",G209)),0)+IFERROR(--ISNUMBER(SEARCH("R51",G209)),0)+IFERROR(--ISNUMBER(SEARCH("R56",G209)),0)+IFERROR(--ISNUMBER(SEARCH("R58",G209)),0)+IFERROR(--ISNUMBER(SEARCH("R59",G209)),0)+IFERROR(--ISNUMBER(SEARCH("R60",G209)),0)+IFERROR(--ISNUMBER(SEARCH("R62",G209)),0)+IFERROR(--ISNUMBER(SEARCH("R63",G209)),0)+IFERROR(--ISNUMBER(SEARCH("R64",G209)),0)+IFERROR(--ISNUMBER(SEARCH("R66",G209)),0)+IFERROR(--ISNUMBER(SEARCH("R67",G209)),0)+IFERROR(--ISNUMBER(SEARCH("R72",G209)),0)+IFERROR(--ISNUMBER(SEARCH("R74",G209)),0)+IFERROR(--ISNUMBER(SEARCH("R75",G209)),0)+IFERROR(--ISNUMBER(SEARCH("R76",G209)),0)+IFERROR(--ISNUMBER(SEARCH("R77",G209)),0)+IFERROR(--ISNUMBER(SEARCH("R79",G209)),0)+IFERROR(--ISNUMBER(SEARCH("R80",G209)),0)+IFERROR(--ISNUMBER(SEARCH("R81",G209)),0)+IFERROR(--ISNUMBER(SEARCH("R83",G209)),0)+IFERROR(--ISNUMBER(SEARCH("R84",G209)),0)+IFERROR(--ISNUMBER(SEARCH("R89",G209)),0)+IFERROR(--ISNUMBER(SEARCH("R94",G209)),0)+IFERROR(--ISNUMBER(SEARCH("R95",G209)),0)+IFERROR(--ISNUMBER(SEARCH("R96",G209)),0)+IFERROR(--ISNUMBER(SEARCH("R98",G209)),0)+IFERROR(--ISNUMBER(SEARCH("R99",G209)),0)+IFERROR(--ISNUMBER(SEARCH("R100",G209)),0)+IFERROR(--ISNUMBER(SEARCH("R104",G209)),0)+IFERROR(--ISNUMBER(SEARCH("R105",G209)),0)+IFERROR(--ISNUMBER(SEARCH("R107",G209)),0)+IFERROR(--ISNUMBER(SEARCH("R108",G209)),0)+IFERROR(--ISNUMBER(SEARCH("R109",G209)),0)+IFERROR(--ISNUMBER(SEARCH("R110",G209)),0)+IFERROR(--ISNUMBER(SEARCH("R112",G209)),0)+IFERROR(--ISNUMBER(SEARCH("R113",G209)),0)+IFERROR(--ISNUMBER(SEARCH("R114",G209)),0)+IFERROR(--ISNUMBER(SEARCH("R118",G209)),0)+IFERROR(--ISNUMBER(SEARCH("R119",G209)),0)+IFERROR(--ISNUMBER(SEARCH("R120",G209)),0)+IFERROR(--ISNUMBER(SEARCH("R122",G209)),0)+IFERROR(--ISNUMBER(SEARCH("R123",G209)),0)+IFERROR(--ISNUMBER(SEARCH("R124",G209)),0)+IFERROR(--ISNUMBER(SEARCH("R128",G209)),0)+IFERROR(--ISNUMBER(SEARCH("R130",G209)),0)+IFERROR(--ISNUMBER(SEARCH("R131",G209)),0)+IFERROR(--ISNUMBER(SEARCH("R132",G209)),0)+IFERROR(--ISNUMBER(SEARCH("R135",G209)),0)+IFERROR(--ISNUMBER(SEARCH("R138",G209)),0)+IFERROR(--ISNUMBER(SEARCH("R141",G209)),0))</f>
        <v/>
      </c>
      <c r="U209" s="58">
        <f>IF(A209="","",IFERROR(--ISNUMBER(SEARCH("R28",G209))*28,0)+IFERROR(--ISNUMBER(SEARCH("R29",G209))*29,0)+IFERROR(--ISNUMBER(SEARCH("R30",G209))*30,0)+IFERROR(--ISNUMBER(SEARCH("R31",G209))*31,0)+IFERROR(--ISNUMBER(SEARCH("R32",G209))*32,0)+IFERROR(--ISNUMBER(SEARCH("R33",G209))*33,0)+IFERROR(--ISNUMBER(SEARCH("R34",G209))*34,0)+IFERROR(--ISNUMBER(SEARCH("R35",G209))*35,0)+IFERROR(--ISNUMBER(SEARCH("R36",G209))*36,0)+IFERROR(--ISNUMBER(SEARCH("R37",G209))*37,0)+IFERROR(--ISNUMBER(SEARCH("R38",G209))*38,0)+IFERROR(--ISNUMBER(SEARCH("R39",G209))*39,0)+IFERROR(--ISNUMBER(SEARCH("R40",G209))*40,0)+IFERROR(--ISNUMBER(SEARCH("R41",G209))*41,0)+IFERROR(--ISNUMBER(SEARCH("R42",G209))*42,0)+IFERROR(--ISNUMBER(SEARCH("R43",G209))*43,0)+IFERROR(--ISNUMBER(SEARCH("R44",G209))*44,0)+IFERROR(--ISNUMBER(SEARCH("R45",G209))*45,0)+IFERROR(--ISNUMBER(SEARCH("R46",G209))*46,0)+IFERROR(--ISNUMBER(SEARCH("R47",G209))*47,0)+IFERROR(--ISNUMBER(SEARCH("R48",G209))*48,0)+IFERROR(--ISNUMBER(SEARCH("R49",G209))*49,0)+IFERROR(--ISNUMBER(SEARCH("R50",G209))*50,0)+IFERROR(--ISNUMBER(SEARCH("R51",G209))*51,0)+IFERROR(--ISNUMBER(SEARCH("R52",G209))*52,0)+IFERROR(--ISNUMBER(SEARCH("R53",G209))*53,0)+IFERROR(--ISNUMBER(SEARCH("R54",G209))*54,0)+IFERROR(--ISNUMBER(SEARCH("R55",G209))*55,0)+IFERROR(--ISNUMBER(SEARCH("R56",G209))*56,0)+IFERROR(--ISNUMBER(SEARCH("R57",G209))*57,0)+IFERROR(--ISNUMBER(SEARCH("R58",G209))*58,0)+IFERROR(--ISNUMBER(SEARCH("R59",G209))*59,0)+IFERROR(--ISNUMBER(SEARCH("R60",G209))*60,0)+IFERROR(--ISNUMBER(SEARCH("R61",G209))*61,0)+IFERROR(--ISNUMBER(SEARCH("R62",G209))*62,0)+IFERROR(--ISNUMBER(SEARCH("R63",G209))*63,0)+IFERROR(--ISNUMBER(SEARCH("R64",G209))*64,0)+IFERROR(--ISNUMBER(SEARCH("R65",G209))*65,0)+IFERROR(--ISNUMBER(SEARCH("R66",G209))*66,0)+IFERROR(--ISNUMBER(SEARCH("R67",G209))*67,0)+IFERROR(--ISNUMBER(SEARCH("R68",G209))*68,0)+IFERROR(--ISNUMBER(SEARCH("R69",G209))*69,0)+IFERROR(--ISNUMBER(SEARCH("R70",G209))*70,0)+IFERROR(--ISNUMBER(SEARCH("R71",G209))*71,0)+IFERROR(--ISNUMBER(SEARCH("R72",G209))*72,0)+IFERROR(--ISNUMBER(SEARCH("R73",G209))*73,0)+IFERROR(--ISNUMBER(SEARCH("R74",G209))*74,0)+IFERROR(--ISNUMBER(SEARCH("R75",G209))*75,0)+IFERROR(--ISNUMBER(SEARCH("R76",G209))*76,0)+IFERROR(--ISNUMBER(SEARCH("R77",G209))*77,0)+IFERROR(--ISNUMBER(SEARCH("R78",G209))*78,0)+IFERROR(--ISNUMBER(SEARCH("R79",G209))*79,0)+IFERROR(--ISNUMBER(SEARCH("R80",G209))*80,0)+IFERROR(--ISNUMBER(SEARCH("R81",G209))*81,0)+IFERROR(--ISNUMBER(SEARCH("R82",G209))*82,0)+IFERROR(--ISNUMBER(SEARCH("R83",G209))*83,0)+IFERROR(--ISNUMBER(SEARCH("R84",G209))*84,0)+IFERROR(--ISNUMBER(SEARCH("R85",G209))*85,0)+IFERROR(--ISNUMBER(SEARCH("R86",G209))*86,0)+IFERROR(--ISNUMBER(SEARCH("R87",G209))*87,0)+IFERROR(--ISNUMBER(SEARCH("R88",G209))*88,0)+IFERROR(--ISNUMBER(SEARCH("R89",G209))*89,0)+IFERROR(--ISNUMBER(SEARCH("R90",G209))*90,0)+IFERROR(--ISNUMBER(SEARCH("R91",G209))*91,0)+IFERROR(--ISNUMBER(SEARCH("R92",G209))*92,0)+IFERROR(--ISNUMBER(SEARCH("R93",G209))*93,0)+IFERROR(--ISNUMBER(SEARCH("R94",G209))*94,0)+IFERROR(--ISNUMBER(SEARCH("R95",G209))*95,0)+IFERROR(--ISNUMBER(SEARCH("R96",G209))*96,0)+IFERROR(--ISNUMBER(SEARCH("R97",G209))*97,0)+IFERROR(--ISNUMBER(SEARCH("R98",G209))*98,0)+IFERROR(--ISNUMBER(SEARCH("R99",G209))*99,0)+IFERROR(--ISNUMBER(SEARCH("R100",G209))*100,0)+IFERROR(--ISNUMBER(SEARCH("R101",G209))*101,0)+IFERROR(--ISNUMBER(SEARCH("R102",G209))*102,0)+IFERROR(--ISNUMBER(SEARCH("R103",G209))*103,0)+IFERROR(--ISNUMBER(SEARCH("R104",G209))*104,0)+IFERROR(--ISNUMBER(SEARCH("R105",G209))*105,0)+IFERROR(--ISNUMBER(SEARCH("R106",G209))*106,0)+IFERROR(--ISNUMBER(SEARCH("R107",G209))*107,0)+IFERROR(--ISNUMBER(SEARCH("R108",G209))*108,0)+IFERROR(--ISNUMBER(SEARCH("R109",G209))*109,0)+IFERROR(--ISNUMBER(SEARCH("R110",G209))*110,0)+IFERROR(--ISNUMBER(SEARCH("R111",G209))*111,0)+IFERROR(--ISNUMBER(SEARCH("R112",G209))*112,0)+IFERROR(--ISNUMBER(SEARCH("R113",G209))*113,0)+IFERROR(--ISNUMBER(SEARCH("R114",G209))*114,0)+IFERROR(--ISNUMBER(SEARCH("R115",G209))*115,0)+IFERROR(--ISNUMBER(SEARCH("R116",G209))*116,0)+IFERROR(--ISNUMBER(SEARCH("R117",G209))*117,0)+IFERROR(--ISNUMBER(SEARCH("R118",G209))*118,0)+IFERROR(--ISNUMBER(SEARCH("R119",G209))*119,0)+IFERROR(--ISNUMBER(SEARCH("R120",G209))*120,0)+IFERROR(--ISNUMBER(SEARCH("R121",G209))*121,0)+IFERROR(--ISNUMBER(SEARCH("R122",G209))*122,0)+IFERROR(--ISNUMBER(SEARCH("R123",G209))*123,0)+IFERROR(--ISNUMBER(SEARCH("R124",G209))*124,0)+IFERROR(--ISNUMBER(SEARCH("R125",G209))*125,0)+IFERROR(--ISNUMBER(SEARCH("R126",G209))*126,0)+IFERROR(--ISNUMBER(SEARCH("R127",G209))*127,0)+IFERROR(--ISNUMBER(SEARCH("R128",G209))*128,0)+IFERROR(--ISNUMBER(SEARCH("R129",G209))*129,0)+IFERROR(--ISNUMBER(SEARCH("R130",G209))*130,0)+IFERROR(--ISNUMBER(SEARCH("R131",G209))*131,0)+IFERROR(--ISNUMBER(SEARCH("R132",G209))*132,0)+IFERROR(--ISNUMBER(SEARCH("R133",G209))*133,0)+IFERROR(--ISNUMBER(SEARCH("R134",G209))*134,0)+IFERROR(--ISNUMBER(SEARCH("R135",G209))*135,0)+IFERROR(--ISNUMBER(SEARCH("R136",G209))*136,0)+IFERROR(--ISNUMBER(SEARCH("R137",G209))*137,0)+IFERROR(--ISNUMBER(SEARCH("R138",G209))*138,0)+IFERROR(--ISNUMBER(SEARCH("R139",G209))*139,0)+IFERROR(--ISNUMBER(SEARCH("R140",G209))*140,0)+IFERROR(--ISNUMBER(SEARCH("R141",G209))*141,0))</f>
        <v/>
      </c>
      <c r="V209" s="59">
        <f>IF(A209="","",IF(K209&lt;&gt;"",K209,J209))</f>
        <v/>
      </c>
      <c r="W209" s="59">
        <f>IF(A209="","",IF(AND(V209=29,O209&lt;&gt;"",COUNTIFS($V$6:$V$505,29,$F$6:$F$505,F209,$C$6:$C$505,C209,$O$6:$O$505,"&lt;&gt;")&gt;1),IF(COUNTIFS($V$6:V209,29,$F$6:F209,F209,$C$6:C209,C209,$O$6:O209,"&lt;&gt;")=1,"Esta es la fila que se debe CONSERVAR (aparición 1 de "&amp;COUNTIFS($V$6:$V$505,29,$F$6:$F$505,F209,$C$6:$C$505,C209,$O$6:$O$505,"&lt;&gt;")&amp;" con el mismo tercero y valor, casilla 29). Si hay más filas iguales, bórreles el valor a ELLAS, no a esta.","DUPLICADO — ya existe otra fila con el mismo tercero y valor para casilla 29 (aparición "&amp;COUNTIFS($V$6:V209,29,$F$6:F209,F209,$C$6:C209,C209,$O$6:O209,"&lt;&gt;")&amp;" de "&amp;COUNTIFS($V$6:$V$505,29,$F$6:$F$505,F209,$C$6:$C$505,C209,$O$6:$O$505,"&lt;&gt;")&amp;"). Para resolverlo: seleccione la celda O"&amp;ROW()&amp;" (columna Valor a declarar de ESTA fila) y presione Supr."),""))</f>
        <v/>
      </c>
      <c r="X209" s="463">
        <f>IF(A209="","",F209)</f>
        <v/>
      </c>
      <c r="Y209" s="463">
        <f>IF(A209="","",SUMIF(Entrada_Manual!$I$88:$I$187,A209,Entrada_Manual!$F$88:$F$187))</f>
        <v/>
      </c>
      <c r="Z209" s="463">
        <f>IF(A209="","",X209-Y209)</f>
        <v/>
      </c>
      <c r="AA209">
        <f>IF(A209="","",SUMPRODUCT((Entrada_Manual!$I$88:$I$187=A209)*1))</f>
        <v/>
      </c>
      <c r="AB209">
        <f>IF(A209="","",IF(S209&lt;=1,"",IF(AA209=0,"PENDIENTE — SIN ASIGNAR",IF(Z209=0,"RESUELTO","PARCIAL — DIFERENCIA "&amp;TEXT(Z209,"#,##0")))))</f>
        <v/>
      </c>
    </row>
    <row r="210" ht="14.25" customHeight="1" s="235">
      <c r="A210" s="47">
        <f>IF(Exogena_RAW!E219&lt;&gt;"",ROW()-5,"")</f>
        <v/>
      </c>
      <c r="B210" s="48">
        <f>IF(A210="","",219)</f>
        <v/>
      </c>
      <c r="C210" s="48">
        <f>IF(A210="","",IFERROR(Exogena_RAW!A219,""))</f>
        <v/>
      </c>
      <c r="D210" s="48">
        <f>IF(A210="","",IFERROR(Exogena_RAW!B219,""))</f>
        <v/>
      </c>
      <c r="E210" s="48">
        <f>IF(A210="","",Exogena_RAW!E219)</f>
        <v/>
      </c>
      <c r="F210" s="461">
        <f>IF(A210="","",Exogena_RAW!F219)</f>
        <v/>
      </c>
      <c r="G210" s="48">
        <f>IF(A210="","",IFERROR(Exogena_RAW!G219,""))</f>
        <v/>
      </c>
      <c r="H210" s="48">
        <f>IF(A210="","",IFERROR(Exogena_RAW!H219,""))</f>
        <v/>
      </c>
      <c r="I210" s="48">
        <f>IF(A210="","",IFERROR(IF(S210&gt;1,"VARIAS CASILLAS",IF(S210=1,IF(T210=1,"PROPUESTA DE CASILLA","REVISIÓN: CASILLA NO DIRECTA"),IF(OR(ISNUMBER(SEARCH("TOPE",UPPER(E210))),ISNUMBER(SEARCH("TOPE",UPPER(G210)))),"SOLO CONTROL",IF(ISNUMBER(SEARCH("RETEN",UPPER(E210))),"RETENCIÓN","REVISAR")))),"REVISAR"))</f>
        <v/>
      </c>
      <c r="J210" s="48">
        <f>IF(A210="","",IF(ISNUMBER(SEARCH("ingreso laboral promedio de los últimos seis meses",E210)),"",IFERROR(IF(AND(S210=1,T210=1),U210,""),"")))</f>
        <v/>
      </c>
      <c r="K210" s="216" t="n"/>
      <c r="L210" s="48">
        <f>IF(A210="","",IFERROR(IF(K210&lt;&gt;"","Casilla elegida por usuario",IF(S210&gt;1,"Varias casillas — elegir en K",IF(J210&lt;&gt;"","Sugerencia directa",IF(S210=1,"No trasladar directo — revisar",IF(OR(ISNUMBER(SEARCH("TOPE",UPPER(E210))),ISNUMBER(SEARCH("TOPE",UPPER(G210)))),"Solo control","Revisar manualmente"))))),"Revisar manualmente"))</f>
        <v/>
      </c>
      <c r="M210" s="461">
        <f>IF(A210="","",IF(IF(K210&lt;&gt;"",K210,J210)="",0,IF(COUNTIFS(Reglas!$I$5:$I$118,IF(K210&lt;&gt;"",K210,J210),Reglas!$J$5:$J$118,"Sí")=1,F210,0)))</f>
        <v/>
      </c>
      <c r="N210" s="56" t="n"/>
      <c r="O210" s="462">
        <f>IF(A210="","",IF(M210=0,"",M210))</f>
        <v/>
      </c>
      <c r="P210" s="461">
        <f>IF(A210="","",IF(O210="",0,IF(ISNUMBER(O210),O210,0)))</f>
        <v/>
      </c>
      <c r="Q210" s="48">
        <f>IF(A210="","",IF(Exogena_RAW!$C$4="","BLOQUEADO: FALTA AÑO",IF(Exogena_RAW!$K$10&lt;&gt;Reglas!$B$5,"BLOQUEADO: AÑO",IF(IF(K210&lt;&gt;"",K210,J210)="",IF(S210&gt;1,"REQUIERE ASIGNACIÓN MANUAL (VARIAS CASILLAS)","INFORMATIVO (sin casilla — no se declara)"),IF(COUNTIFS(Reglas!$I$5:$I$118,IF(K210&lt;&gt;"",K210,J210),Reglas!$J$5:$J$118,"Sí")=0,"BLOQUEADO: CASILLA NO DIRECTA",IF(O210="","EXCLUIDO (valor borrado por el usuario)",IF(_xlfn.ISFORMULA(O210),IF(W210&lt;&gt;"","BORRADOR — VALOR SUGERIDO DIAN ⚠ VER ALERTA","BORRADOR — VALOR SUGERIDO DIAN"),IF(W210&lt;&gt;"","ACEPTADO ⚠ VER ALERTA","ACEPTADO"))))))))</f>
        <v/>
      </c>
      <c r="R210" s="218" t="n"/>
      <c r="S210" s="58">
        <f>IF(A210="","",IFERROR(--ISNUMBER(SEARCH("R28",G210)),0)+IFERROR(--ISNUMBER(SEARCH("R29",G210)),0)+IFERROR(--ISNUMBER(SEARCH("R30",G210)),0)+IFERROR(--ISNUMBER(SEARCH("R31",G210)),0)+IFERROR(--ISNUMBER(SEARCH("R32",G210)),0)+IFERROR(--ISNUMBER(SEARCH("R33",G210)),0)+IFERROR(--ISNUMBER(SEARCH("R34",G210)),0)+IFERROR(--ISNUMBER(SEARCH("R35",G210)),0)+IFERROR(--ISNUMBER(SEARCH("R36",G210)),0)+IFERROR(--ISNUMBER(SEARCH("R37",G210)),0)+IFERROR(--ISNUMBER(SEARCH("R38",G210)),0)+IFERROR(--ISNUMBER(SEARCH("R39",G210)),0)+IFERROR(--ISNUMBER(SEARCH("R40",G210)),0)+IFERROR(--ISNUMBER(SEARCH("R41",G210)),0)+IFERROR(--ISNUMBER(SEARCH("R42",G210)),0)+IFERROR(--ISNUMBER(SEARCH("R43",G210)),0)+IFERROR(--ISNUMBER(SEARCH("R44",G210)),0)+IFERROR(--ISNUMBER(SEARCH("R45",G210)),0)+IFERROR(--ISNUMBER(SEARCH("R46",G210)),0)+IFERROR(--ISNUMBER(SEARCH("R47",G210)),0)+IFERROR(--ISNUMBER(SEARCH("R48",G210)),0)+IFERROR(--ISNUMBER(SEARCH("R49",G210)),0)+IFERROR(--ISNUMBER(SEARCH("R50",G210)),0)+IFERROR(--ISNUMBER(SEARCH("R51",G210)),0)+IFERROR(--ISNUMBER(SEARCH("R52",G210)),0)+IFERROR(--ISNUMBER(SEARCH("R53",G210)),0)+IFERROR(--ISNUMBER(SEARCH("R54",G210)),0)+IFERROR(--ISNUMBER(SEARCH("R55",G210)),0)+IFERROR(--ISNUMBER(SEARCH("R56",G210)),0)+IFERROR(--ISNUMBER(SEARCH("R57",G210)),0)+IFERROR(--ISNUMBER(SEARCH("R58",G210)),0)+IFERROR(--ISNUMBER(SEARCH("R59",G210)),0)+IFERROR(--ISNUMBER(SEARCH("R60",G210)),0)+IFERROR(--ISNUMBER(SEARCH("R61",G210)),0)+IFERROR(--ISNUMBER(SEARCH("R62",G210)),0)+IFERROR(--ISNUMBER(SEARCH("R63",G210)),0)+IFERROR(--ISNUMBER(SEARCH("R64",G210)),0)+IFERROR(--ISNUMBER(SEARCH("R65",G210)),0)+IFERROR(--ISNUMBER(SEARCH("R66",G210)),0)+IFERROR(--ISNUMBER(SEARCH("R67",G210)),0)+IFERROR(--ISNUMBER(SEARCH("R68",G210)),0)+IFERROR(--ISNUMBER(SEARCH("R69",G210)),0)+IFERROR(--ISNUMBER(SEARCH("R70",G210)),0)+IFERROR(--ISNUMBER(SEARCH("R71",G210)),0)+IFERROR(--ISNUMBER(SEARCH("R72",G210)),0)+IFERROR(--ISNUMBER(SEARCH("R73",G210)),0)+IFERROR(--ISNUMBER(SEARCH("R74",G210)),0)+IFERROR(--ISNUMBER(SEARCH("R75",G210)),0)+IFERROR(--ISNUMBER(SEARCH("R76",G210)),0)+IFERROR(--ISNUMBER(SEARCH("R77",G210)),0)+IFERROR(--ISNUMBER(SEARCH("R78",G210)),0)+IFERROR(--ISNUMBER(SEARCH("R79",G210)),0)+IFERROR(--ISNUMBER(SEARCH("R80",G210)),0)+IFERROR(--ISNUMBER(SEARCH("R81",G210)),0)+IFERROR(--ISNUMBER(SEARCH("R82",G210)),0)+IFERROR(--ISNUMBER(SEARCH("R83",G210)),0)+IFERROR(--ISNUMBER(SEARCH("R84",G210)),0)+IFERROR(--ISNUMBER(SEARCH("R85",G210)),0)+IFERROR(--ISNUMBER(SEARCH("R86",G210)),0)+IFERROR(--ISNUMBER(SEARCH("R87",G210)),0)+IFERROR(--ISNUMBER(SEARCH("R88",G210)),0)+IFERROR(--ISNUMBER(SEARCH("R89",G210)),0)+IFERROR(--ISNUMBER(SEARCH("R90",G210)),0)+IFERROR(--ISNUMBER(SEARCH("R91",G210)),0)+IFERROR(--ISNUMBER(SEARCH("R92",G210)),0)+IFERROR(--ISNUMBER(SEARCH("R93",G210)),0)+IFERROR(--ISNUMBER(SEARCH("R94",G210)),0)+IFERROR(--ISNUMBER(SEARCH("R95",G210)),0)+IFERROR(--ISNUMBER(SEARCH("R96",G210)),0)+IFERROR(--ISNUMBER(SEARCH("R97",G210)),0)+IFERROR(--ISNUMBER(SEARCH("R98",G210)),0)+IFERROR(--ISNUMBER(SEARCH("R99",G210)),0)+IFERROR(--ISNUMBER(SEARCH("R100",G210)),0)+IFERROR(--ISNUMBER(SEARCH("R101",G210)),0)+IFERROR(--ISNUMBER(SEARCH("R102",G210)),0)+IFERROR(--ISNUMBER(SEARCH("R103",G210)),0)+IFERROR(--ISNUMBER(SEARCH("R104",G210)),0)+IFERROR(--ISNUMBER(SEARCH("R105",G210)),0)+IFERROR(--ISNUMBER(SEARCH("R106",G210)),0)+IFERROR(--ISNUMBER(SEARCH("R107",G210)),0)+IFERROR(--ISNUMBER(SEARCH("R108",G210)),0)+IFERROR(--ISNUMBER(SEARCH("R109",G210)),0)+IFERROR(--ISNUMBER(SEARCH("R110",G210)),0)+IFERROR(--ISNUMBER(SEARCH("R111",G210)),0)+IFERROR(--ISNUMBER(SEARCH("R112",G210)),0)+IFERROR(--ISNUMBER(SEARCH("R113",G210)),0)+IFERROR(--ISNUMBER(SEARCH("R114",G210)),0)+IFERROR(--ISNUMBER(SEARCH("R115",G210)),0)+IFERROR(--ISNUMBER(SEARCH("R116",G210)),0)+IFERROR(--ISNUMBER(SEARCH("R117",G210)),0)+IFERROR(--ISNUMBER(SEARCH("R118",G210)),0)+IFERROR(--ISNUMBER(SEARCH("R119",G210)),0)+IFERROR(--ISNUMBER(SEARCH("R120",G210)),0)+IFERROR(--ISNUMBER(SEARCH("R121",G210)),0)+IFERROR(--ISNUMBER(SEARCH("R122",G210)),0)+IFERROR(--ISNUMBER(SEARCH("R123",G210)),0)+IFERROR(--ISNUMBER(SEARCH("R124",G210)),0)+IFERROR(--ISNUMBER(SEARCH("R125",G210)),0)+IFERROR(--ISNUMBER(SEARCH("R126",G210)),0)+IFERROR(--ISNUMBER(SEARCH("R127",G210)),0)+IFERROR(--ISNUMBER(SEARCH("R128",G210)),0)+IFERROR(--ISNUMBER(SEARCH("R129",G210)),0)+IFERROR(--ISNUMBER(SEARCH("R130",G210)),0)+IFERROR(--ISNUMBER(SEARCH("R131",G210)),0)+IFERROR(--ISNUMBER(SEARCH("R132",G210)),0)+IFERROR(--ISNUMBER(SEARCH("R133",G210)),0)+IFERROR(--ISNUMBER(SEARCH("R134",G210)),0)+IFERROR(--ISNUMBER(SEARCH("R135",G210)),0)+IFERROR(--ISNUMBER(SEARCH("R136",G210)),0)+IFERROR(--ISNUMBER(SEARCH("R137",G210)),0)+IFERROR(--ISNUMBER(SEARCH("R138",G210)),0)+IFERROR(--ISNUMBER(SEARCH("R139",G210)),0)+IFERROR(--ISNUMBER(SEARCH("R140",G210)),0)+IFERROR(--ISNUMBER(SEARCH("R141",G210)),0))</f>
        <v/>
      </c>
      <c r="T210" s="58">
        <f>IF(A210="","",IFERROR(--ISNUMBER(SEARCH("R28",G210)),0)+IFERROR(--ISNUMBER(SEARCH("R29",G210)),0)+IFERROR(--ISNUMBER(SEARCH("R30",G210)),0)+IFERROR(--ISNUMBER(SEARCH("R32",G210)),0)+IFERROR(--ISNUMBER(SEARCH("R33",G210)),0)+IFERROR(--ISNUMBER(SEARCH("R35",G210)),0)+IFERROR(--ISNUMBER(SEARCH("R36",G210)),0)+IFERROR(--ISNUMBER(SEARCH("R38",G210)),0)+IFERROR(--ISNUMBER(SEARCH("R39",G210)),0)+IFERROR(--ISNUMBER(SEARCH("R43",G210)),0)+IFERROR(--ISNUMBER(SEARCH("R44",G210)),0)+IFERROR(--ISNUMBER(SEARCH("R45",G210)),0)+IFERROR(--ISNUMBER(SEARCH("R47",G210)),0)+IFERROR(--ISNUMBER(SEARCH("R48",G210)),0)+IFERROR(--ISNUMBER(SEARCH("R50",G210)),0)+IFERROR(--ISNUMBER(SEARCH("R51",G210)),0)+IFERROR(--ISNUMBER(SEARCH("R56",G210)),0)+IFERROR(--ISNUMBER(SEARCH("R58",G210)),0)+IFERROR(--ISNUMBER(SEARCH("R59",G210)),0)+IFERROR(--ISNUMBER(SEARCH("R60",G210)),0)+IFERROR(--ISNUMBER(SEARCH("R62",G210)),0)+IFERROR(--ISNUMBER(SEARCH("R63",G210)),0)+IFERROR(--ISNUMBER(SEARCH("R64",G210)),0)+IFERROR(--ISNUMBER(SEARCH("R66",G210)),0)+IFERROR(--ISNUMBER(SEARCH("R67",G210)),0)+IFERROR(--ISNUMBER(SEARCH("R72",G210)),0)+IFERROR(--ISNUMBER(SEARCH("R74",G210)),0)+IFERROR(--ISNUMBER(SEARCH("R75",G210)),0)+IFERROR(--ISNUMBER(SEARCH("R76",G210)),0)+IFERROR(--ISNUMBER(SEARCH("R77",G210)),0)+IFERROR(--ISNUMBER(SEARCH("R79",G210)),0)+IFERROR(--ISNUMBER(SEARCH("R80",G210)),0)+IFERROR(--ISNUMBER(SEARCH("R81",G210)),0)+IFERROR(--ISNUMBER(SEARCH("R83",G210)),0)+IFERROR(--ISNUMBER(SEARCH("R84",G210)),0)+IFERROR(--ISNUMBER(SEARCH("R89",G210)),0)+IFERROR(--ISNUMBER(SEARCH("R94",G210)),0)+IFERROR(--ISNUMBER(SEARCH("R95",G210)),0)+IFERROR(--ISNUMBER(SEARCH("R96",G210)),0)+IFERROR(--ISNUMBER(SEARCH("R98",G210)),0)+IFERROR(--ISNUMBER(SEARCH("R99",G210)),0)+IFERROR(--ISNUMBER(SEARCH("R100",G210)),0)+IFERROR(--ISNUMBER(SEARCH("R104",G210)),0)+IFERROR(--ISNUMBER(SEARCH("R105",G210)),0)+IFERROR(--ISNUMBER(SEARCH("R107",G210)),0)+IFERROR(--ISNUMBER(SEARCH("R108",G210)),0)+IFERROR(--ISNUMBER(SEARCH("R109",G210)),0)+IFERROR(--ISNUMBER(SEARCH("R110",G210)),0)+IFERROR(--ISNUMBER(SEARCH("R112",G210)),0)+IFERROR(--ISNUMBER(SEARCH("R113",G210)),0)+IFERROR(--ISNUMBER(SEARCH("R114",G210)),0)+IFERROR(--ISNUMBER(SEARCH("R118",G210)),0)+IFERROR(--ISNUMBER(SEARCH("R119",G210)),0)+IFERROR(--ISNUMBER(SEARCH("R120",G210)),0)+IFERROR(--ISNUMBER(SEARCH("R122",G210)),0)+IFERROR(--ISNUMBER(SEARCH("R123",G210)),0)+IFERROR(--ISNUMBER(SEARCH("R124",G210)),0)+IFERROR(--ISNUMBER(SEARCH("R128",G210)),0)+IFERROR(--ISNUMBER(SEARCH("R130",G210)),0)+IFERROR(--ISNUMBER(SEARCH("R131",G210)),0)+IFERROR(--ISNUMBER(SEARCH("R132",G210)),0)+IFERROR(--ISNUMBER(SEARCH("R135",G210)),0)+IFERROR(--ISNUMBER(SEARCH("R138",G210)),0)+IFERROR(--ISNUMBER(SEARCH("R141",G210)),0))</f>
        <v/>
      </c>
      <c r="U210" s="58">
        <f>IF(A210="","",IFERROR(--ISNUMBER(SEARCH("R28",G210))*28,0)+IFERROR(--ISNUMBER(SEARCH("R29",G210))*29,0)+IFERROR(--ISNUMBER(SEARCH("R30",G210))*30,0)+IFERROR(--ISNUMBER(SEARCH("R31",G210))*31,0)+IFERROR(--ISNUMBER(SEARCH("R32",G210))*32,0)+IFERROR(--ISNUMBER(SEARCH("R33",G210))*33,0)+IFERROR(--ISNUMBER(SEARCH("R34",G210))*34,0)+IFERROR(--ISNUMBER(SEARCH("R35",G210))*35,0)+IFERROR(--ISNUMBER(SEARCH("R36",G210))*36,0)+IFERROR(--ISNUMBER(SEARCH("R37",G210))*37,0)+IFERROR(--ISNUMBER(SEARCH("R38",G210))*38,0)+IFERROR(--ISNUMBER(SEARCH("R39",G210))*39,0)+IFERROR(--ISNUMBER(SEARCH("R40",G210))*40,0)+IFERROR(--ISNUMBER(SEARCH("R41",G210))*41,0)+IFERROR(--ISNUMBER(SEARCH("R42",G210))*42,0)+IFERROR(--ISNUMBER(SEARCH("R43",G210))*43,0)+IFERROR(--ISNUMBER(SEARCH("R44",G210))*44,0)+IFERROR(--ISNUMBER(SEARCH("R45",G210))*45,0)+IFERROR(--ISNUMBER(SEARCH("R46",G210))*46,0)+IFERROR(--ISNUMBER(SEARCH("R47",G210))*47,0)+IFERROR(--ISNUMBER(SEARCH("R48",G210))*48,0)+IFERROR(--ISNUMBER(SEARCH("R49",G210))*49,0)+IFERROR(--ISNUMBER(SEARCH("R50",G210))*50,0)+IFERROR(--ISNUMBER(SEARCH("R51",G210))*51,0)+IFERROR(--ISNUMBER(SEARCH("R52",G210))*52,0)+IFERROR(--ISNUMBER(SEARCH("R53",G210))*53,0)+IFERROR(--ISNUMBER(SEARCH("R54",G210))*54,0)+IFERROR(--ISNUMBER(SEARCH("R55",G210))*55,0)+IFERROR(--ISNUMBER(SEARCH("R56",G210))*56,0)+IFERROR(--ISNUMBER(SEARCH("R57",G210))*57,0)+IFERROR(--ISNUMBER(SEARCH("R58",G210))*58,0)+IFERROR(--ISNUMBER(SEARCH("R59",G210))*59,0)+IFERROR(--ISNUMBER(SEARCH("R60",G210))*60,0)+IFERROR(--ISNUMBER(SEARCH("R61",G210))*61,0)+IFERROR(--ISNUMBER(SEARCH("R62",G210))*62,0)+IFERROR(--ISNUMBER(SEARCH("R63",G210))*63,0)+IFERROR(--ISNUMBER(SEARCH("R64",G210))*64,0)+IFERROR(--ISNUMBER(SEARCH("R65",G210))*65,0)+IFERROR(--ISNUMBER(SEARCH("R66",G210))*66,0)+IFERROR(--ISNUMBER(SEARCH("R67",G210))*67,0)+IFERROR(--ISNUMBER(SEARCH("R68",G210))*68,0)+IFERROR(--ISNUMBER(SEARCH("R69",G210))*69,0)+IFERROR(--ISNUMBER(SEARCH("R70",G210))*70,0)+IFERROR(--ISNUMBER(SEARCH("R71",G210))*71,0)+IFERROR(--ISNUMBER(SEARCH("R72",G210))*72,0)+IFERROR(--ISNUMBER(SEARCH("R73",G210))*73,0)+IFERROR(--ISNUMBER(SEARCH("R74",G210))*74,0)+IFERROR(--ISNUMBER(SEARCH("R75",G210))*75,0)+IFERROR(--ISNUMBER(SEARCH("R76",G210))*76,0)+IFERROR(--ISNUMBER(SEARCH("R77",G210))*77,0)+IFERROR(--ISNUMBER(SEARCH("R78",G210))*78,0)+IFERROR(--ISNUMBER(SEARCH("R79",G210))*79,0)+IFERROR(--ISNUMBER(SEARCH("R80",G210))*80,0)+IFERROR(--ISNUMBER(SEARCH("R81",G210))*81,0)+IFERROR(--ISNUMBER(SEARCH("R82",G210))*82,0)+IFERROR(--ISNUMBER(SEARCH("R83",G210))*83,0)+IFERROR(--ISNUMBER(SEARCH("R84",G210))*84,0)+IFERROR(--ISNUMBER(SEARCH("R85",G210))*85,0)+IFERROR(--ISNUMBER(SEARCH("R86",G210))*86,0)+IFERROR(--ISNUMBER(SEARCH("R87",G210))*87,0)+IFERROR(--ISNUMBER(SEARCH("R88",G210))*88,0)+IFERROR(--ISNUMBER(SEARCH("R89",G210))*89,0)+IFERROR(--ISNUMBER(SEARCH("R90",G210))*90,0)+IFERROR(--ISNUMBER(SEARCH("R91",G210))*91,0)+IFERROR(--ISNUMBER(SEARCH("R92",G210))*92,0)+IFERROR(--ISNUMBER(SEARCH("R93",G210))*93,0)+IFERROR(--ISNUMBER(SEARCH("R94",G210))*94,0)+IFERROR(--ISNUMBER(SEARCH("R95",G210))*95,0)+IFERROR(--ISNUMBER(SEARCH("R96",G210))*96,0)+IFERROR(--ISNUMBER(SEARCH("R97",G210))*97,0)+IFERROR(--ISNUMBER(SEARCH("R98",G210))*98,0)+IFERROR(--ISNUMBER(SEARCH("R99",G210))*99,0)+IFERROR(--ISNUMBER(SEARCH("R100",G210))*100,0)+IFERROR(--ISNUMBER(SEARCH("R101",G210))*101,0)+IFERROR(--ISNUMBER(SEARCH("R102",G210))*102,0)+IFERROR(--ISNUMBER(SEARCH("R103",G210))*103,0)+IFERROR(--ISNUMBER(SEARCH("R104",G210))*104,0)+IFERROR(--ISNUMBER(SEARCH("R105",G210))*105,0)+IFERROR(--ISNUMBER(SEARCH("R106",G210))*106,0)+IFERROR(--ISNUMBER(SEARCH("R107",G210))*107,0)+IFERROR(--ISNUMBER(SEARCH("R108",G210))*108,0)+IFERROR(--ISNUMBER(SEARCH("R109",G210))*109,0)+IFERROR(--ISNUMBER(SEARCH("R110",G210))*110,0)+IFERROR(--ISNUMBER(SEARCH("R111",G210))*111,0)+IFERROR(--ISNUMBER(SEARCH("R112",G210))*112,0)+IFERROR(--ISNUMBER(SEARCH("R113",G210))*113,0)+IFERROR(--ISNUMBER(SEARCH("R114",G210))*114,0)+IFERROR(--ISNUMBER(SEARCH("R115",G210))*115,0)+IFERROR(--ISNUMBER(SEARCH("R116",G210))*116,0)+IFERROR(--ISNUMBER(SEARCH("R117",G210))*117,0)+IFERROR(--ISNUMBER(SEARCH("R118",G210))*118,0)+IFERROR(--ISNUMBER(SEARCH("R119",G210))*119,0)+IFERROR(--ISNUMBER(SEARCH("R120",G210))*120,0)+IFERROR(--ISNUMBER(SEARCH("R121",G210))*121,0)+IFERROR(--ISNUMBER(SEARCH("R122",G210))*122,0)+IFERROR(--ISNUMBER(SEARCH("R123",G210))*123,0)+IFERROR(--ISNUMBER(SEARCH("R124",G210))*124,0)+IFERROR(--ISNUMBER(SEARCH("R125",G210))*125,0)+IFERROR(--ISNUMBER(SEARCH("R126",G210))*126,0)+IFERROR(--ISNUMBER(SEARCH("R127",G210))*127,0)+IFERROR(--ISNUMBER(SEARCH("R128",G210))*128,0)+IFERROR(--ISNUMBER(SEARCH("R129",G210))*129,0)+IFERROR(--ISNUMBER(SEARCH("R130",G210))*130,0)+IFERROR(--ISNUMBER(SEARCH("R131",G210))*131,0)+IFERROR(--ISNUMBER(SEARCH("R132",G210))*132,0)+IFERROR(--ISNUMBER(SEARCH("R133",G210))*133,0)+IFERROR(--ISNUMBER(SEARCH("R134",G210))*134,0)+IFERROR(--ISNUMBER(SEARCH("R135",G210))*135,0)+IFERROR(--ISNUMBER(SEARCH("R136",G210))*136,0)+IFERROR(--ISNUMBER(SEARCH("R137",G210))*137,0)+IFERROR(--ISNUMBER(SEARCH("R138",G210))*138,0)+IFERROR(--ISNUMBER(SEARCH("R139",G210))*139,0)+IFERROR(--ISNUMBER(SEARCH("R140",G210))*140,0)+IFERROR(--ISNUMBER(SEARCH("R141",G210))*141,0))</f>
        <v/>
      </c>
      <c r="V210" s="59">
        <f>IF(A210="","",IF(K210&lt;&gt;"",K210,J210))</f>
        <v/>
      </c>
      <c r="W210" s="59">
        <f>IF(A210="","",IF(AND(V210=29,O210&lt;&gt;"",COUNTIFS($V$6:$V$505,29,$F$6:$F$505,F210,$C$6:$C$505,C210,$O$6:$O$505,"&lt;&gt;")&gt;1),IF(COUNTIFS($V$6:V210,29,$F$6:F210,F210,$C$6:C210,C210,$O$6:O210,"&lt;&gt;")=1,"Esta es la fila que se debe CONSERVAR (aparición 1 de "&amp;COUNTIFS($V$6:$V$505,29,$F$6:$F$505,F210,$C$6:$C$505,C210,$O$6:$O$505,"&lt;&gt;")&amp;" con el mismo tercero y valor, casilla 29). Si hay más filas iguales, bórreles el valor a ELLAS, no a esta.","DUPLICADO — ya existe otra fila con el mismo tercero y valor para casilla 29 (aparición "&amp;COUNTIFS($V$6:V210,29,$F$6:F210,F210,$C$6:C210,C210,$O$6:O210,"&lt;&gt;")&amp;" de "&amp;COUNTIFS($V$6:$V$505,29,$F$6:$F$505,F210,$C$6:$C$505,C210,$O$6:$O$505,"&lt;&gt;")&amp;"). Para resolverlo: seleccione la celda O"&amp;ROW()&amp;" (columna Valor a declarar de ESTA fila) y presione Supr."),""))</f>
        <v/>
      </c>
      <c r="X210" s="463">
        <f>IF(A210="","",F210)</f>
        <v/>
      </c>
      <c r="Y210" s="463">
        <f>IF(A210="","",SUMIF(Entrada_Manual!$I$88:$I$187,A210,Entrada_Manual!$F$88:$F$187))</f>
        <v/>
      </c>
      <c r="Z210" s="463">
        <f>IF(A210="","",X210-Y210)</f>
        <v/>
      </c>
      <c r="AA210">
        <f>IF(A210="","",SUMPRODUCT((Entrada_Manual!$I$88:$I$187=A210)*1))</f>
        <v/>
      </c>
      <c r="AB210">
        <f>IF(A210="","",IF(S210&lt;=1,"",IF(AA210=0,"PENDIENTE — SIN ASIGNAR",IF(Z210=0,"RESUELTO","PARCIAL — DIFERENCIA "&amp;TEXT(Z210,"#,##0")))))</f>
        <v/>
      </c>
    </row>
    <row r="211" ht="14.25" customHeight="1" s="235">
      <c r="A211" s="47">
        <f>IF(Exogena_RAW!E220&lt;&gt;"",ROW()-5,"")</f>
        <v/>
      </c>
      <c r="B211" s="48">
        <f>IF(A211="","",220)</f>
        <v/>
      </c>
      <c r="C211" s="48">
        <f>IF(A211="","",IFERROR(Exogena_RAW!A220,""))</f>
        <v/>
      </c>
      <c r="D211" s="48">
        <f>IF(A211="","",IFERROR(Exogena_RAW!B220,""))</f>
        <v/>
      </c>
      <c r="E211" s="48">
        <f>IF(A211="","",Exogena_RAW!E220)</f>
        <v/>
      </c>
      <c r="F211" s="461">
        <f>IF(A211="","",Exogena_RAW!F220)</f>
        <v/>
      </c>
      <c r="G211" s="48">
        <f>IF(A211="","",IFERROR(Exogena_RAW!G220,""))</f>
        <v/>
      </c>
      <c r="H211" s="48">
        <f>IF(A211="","",IFERROR(Exogena_RAW!H220,""))</f>
        <v/>
      </c>
      <c r="I211" s="48">
        <f>IF(A211="","",IFERROR(IF(S211&gt;1,"VARIAS CASILLAS",IF(S211=1,IF(T211=1,"PROPUESTA DE CASILLA","REVISIÓN: CASILLA NO DIRECTA"),IF(OR(ISNUMBER(SEARCH("TOPE",UPPER(E211))),ISNUMBER(SEARCH("TOPE",UPPER(G211)))),"SOLO CONTROL",IF(ISNUMBER(SEARCH("RETEN",UPPER(E211))),"RETENCIÓN","REVISAR")))),"REVISAR"))</f>
        <v/>
      </c>
      <c r="J211" s="48">
        <f>IF(A211="","",IF(ISNUMBER(SEARCH("ingreso laboral promedio de los últimos seis meses",E211)),"",IFERROR(IF(AND(S211=1,T211=1),U211,""),"")))</f>
        <v/>
      </c>
      <c r="K211" s="216" t="n"/>
      <c r="L211" s="48">
        <f>IF(A211="","",IFERROR(IF(K211&lt;&gt;"","Casilla elegida por usuario",IF(S211&gt;1,"Varias casillas — elegir en K",IF(J211&lt;&gt;"","Sugerencia directa",IF(S211=1,"No trasladar directo — revisar",IF(OR(ISNUMBER(SEARCH("TOPE",UPPER(E211))),ISNUMBER(SEARCH("TOPE",UPPER(G211)))),"Solo control","Revisar manualmente"))))),"Revisar manualmente"))</f>
        <v/>
      </c>
      <c r="M211" s="461">
        <f>IF(A211="","",IF(IF(K211&lt;&gt;"",K211,J211)="",0,IF(COUNTIFS(Reglas!$I$5:$I$118,IF(K211&lt;&gt;"",K211,J211),Reglas!$J$5:$J$118,"Sí")=1,F211,0)))</f>
        <v/>
      </c>
      <c r="N211" s="56" t="n"/>
      <c r="O211" s="462">
        <f>IF(A211="","",IF(M211=0,"",M211))</f>
        <v/>
      </c>
      <c r="P211" s="461">
        <f>IF(A211="","",IF(O211="",0,IF(ISNUMBER(O211),O211,0)))</f>
        <v/>
      </c>
      <c r="Q211" s="48">
        <f>IF(A211="","",IF(Exogena_RAW!$C$4="","BLOQUEADO: FALTA AÑO",IF(Exogena_RAW!$K$10&lt;&gt;Reglas!$B$5,"BLOQUEADO: AÑO",IF(IF(K211&lt;&gt;"",K211,J211)="",IF(S211&gt;1,"REQUIERE ASIGNACIÓN MANUAL (VARIAS CASILLAS)","INFORMATIVO (sin casilla — no se declara)"),IF(COUNTIFS(Reglas!$I$5:$I$118,IF(K211&lt;&gt;"",K211,J211),Reglas!$J$5:$J$118,"Sí")=0,"BLOQUEADO: CASILLA NO DIRECTA",IF(O211="","EXCLUIDO (valor borrado por el usuario)",IF(_xlfn.ISFORMULA(O211),IF(W211&lt;&gt;"","BORRADOR — VALOR SUGERIDO DIAN ⚠ VER ALERTA","BORRADOR — VALOR SUGERIDO DIAN"),IF(W211&lt;&gt;"","ACEPTADO ⚠ VER ALERTA","ACEPTADO"))))))))</f>
        <v/>
      </c>
      <c r="R211" s="218" t="n"/>
      <c r="S211" s="58">
        <f>IF(A211="","",IFERROR(--ISNUMBER(SEARCH("R28",G211)),0)+IFERROR(--ISNUMBER(SEARCH("R29",G211)),0)+IFERROR(--ISNUMBER(SEARCH("R30",G211)),0)+IFERROR(--ISNUMBER(SEARCH("R31",G211)),0)+IFERROR(--ISNUMBER(SEARCH("R32",G211)),0)+IFERROR(--ISNUMBER(SEARCH("R33",G211)),0)+IFERROR(--ISNUMBER(SEARCH("R34",G211)),0)+IFERROR(--ISNUMBER(SEARCH("R35",G211)),0)+IFERROR(--ISNUMBER(SEARCH("R36",G211)),0)+IFERROR(--ISNUMBER(SEARCH("R37",G211)),0)+IFERROR(--ISNUMBER(SEARCH("R38",G211)),0)+IFERROR(--ISNUMBER(SEARCH("R39",G211)),0)+IFERROR(--ISNUMBER(SEARCH("R40",G211)),0)+IFERROR(--ISNUMBER(SEARCH("R41",G211)),0)+IFERROR(--ISNUMBER(SEARCH("R42",G211)),0)+IFERROR(--ISNUMBER(SEARCH("R43",G211)),0)+IFERROR(--ISNUMBER(SEARCH("R44",G211)),0)+IFERROR(--ISNUMBER(SEARCH("R45",G211)),0)+IFERROR(--ISNUMBER(SEARCH("R46",G211)),0)+IFERROR(--ISNUMBER(SEARCH("R47",G211)),0)+IFERROR(--ISNUMBER(SEARCH("R48",G211)),0)+IFERROR(--ISNUMBER(SEARCH("R49",G211)),0)+IFERROR(--ISNUMBER(SEARCH("R50",G211)),0)+IFERROR(--ISNUMBER(SEARCH("R51",G211)),0)+IFERROR(--ISNUMBER(SEARCH("R52",G211)),0)+IFERROR(--ISNUMBER(SEARCH("R53",G211)),0)+IFERROR(--ISNUMBER(SEARCH("R54",G211)),0)+IFERROR(--ISNUMBER(SEARCH("R55",G211)),0)+IFERROR(--ISNUMBER(SEARCH("R56",G211)),0)+IFERROR(--ISNUMBER(SEARCH("R57",G211)),0)+IFERROR(--ISNUMBER(SEARCH("R58",G211)),0)+IFERROR(--ISNUMBER(SEARCH("R59",G211)),0)+IFERROR(--ISNUMBER(SEARCH("R60",G211)),0)+IFERROR(--ISNUMBER(SEARCH("R61",G211)),0)+IFERROR(--ISNUMBER(SEARCH("R62",G211)),0)+IFERROR(--ISNUMBER(SEARCH("R63",G211)),0)+IFERROR(--ISNUMBER(SEARCH("R64",G211)),0)+IFERROR(--ISNUMBER(SEARCH("R65",G211)),0)+IFERROR(--ISNUMBER(SEARCH("R66",G211)),0)+IFERROR(--ISNUMBER(SEARCH("R67",G211)),0)+IFERROR(--ISNUMBER(SEARCH("R68",G211)),0)+IFERROR(--ISNUMBER(SEARCH("R69",G211)),0)+IFERROR(--ISNUMBER(SEARCH("R70",G211)),0)+IFERROR(--ISNUMBER(SEARCH("R71",G211)),0)+IFERROR(--ISNUMBER(SEARCH("R72",G211)),0)+IFERROR(--ISNUMBER(SEARCH("R73",G211)),0)+IFERROR(--ISNUMBER(SEARCH("R74",G211)),0)+IFERROR(--ISNUMBER(SEARCH("R75",G211)),0)+IFERROR(--ISNUMBER(SEARCH("R76",G211)),0)+IFERROR(--ISNUMBER(SEARCH("R77",G211)),0)+IFERROR(--ISNUMBER(SEARCH("R78",G211)),0)+IFERROR(--ISNUMBER(SEARCH("R79",G211)),0)+IFERROR(--ISNUMBER(SEARCH("R80",G211)),0)+IFERROR(--ISNUMBER(SEARCH("R81",G211)),0)+IFERROR(--ISNUMBER(SEARCH("R82",G211)),0)+IFERROR(--ISNUMBER(SEARCH("R83",G211)),0)+IFERROR(--ISNUMBER(SEARCH("R84",G211)),0)+IFERROR(--ISNUMBER(SEARCH("R85",G211)),0)+IFERROR(--ISNUMBER(SEARCH("R86",G211)),0)+IFERROR(--ISNUMBER(SEARCH("R87",G211)),0)+IFERROR(--ISNUMBER(SEARCH("R88",G211)),0)+IFERROR(--ISNUMBER(SEARCH("R89",G211)),0)+IFERROR(--ISNUMBER(SEARCH("R90",G211)),0)+IFERROR(--ISNUMBER(SEARCH("R91",G211)),0)+IFERROR(--ISNUMBER(SEARCH("R92",G211)),0)+IFERROR(--ISNUMBER(SEARCH("R93",G211)),0)+IFERROR(--ISNUMBER(SEARCH("R94",G211)),0)+IFERROR(--ISNUMBER(SEARCH("R95",G211)),0)+IFERROR(--ISNUMBER(SEARCH("R96",G211)),0)+IFERROR(--ISNUMBER(SEARCH("R97",G211)),0)+IFERROR(--ISNUMBER(SEARCH("R98",G211)),0)+IFERROR(--ISNUMBER(SEARCH("R99",G211)),0)+IFERROR(--ISNUMBER(SEARCH("R100",G211)),0)+IFERROR(--ISNUMBER(SEARCH("R101",G211)),0)+IFERROR(--ISNUMBER(SEARCH("R102",G211)),0)+IFERROR(--ISNUMBER(SEARCH("R103",G211)),0)+IFERROR(--ISNUMBER(SEARCH("R104",G211)),0)+IFERROR(--ISNUMBER(SEARCH("R105",G211)),0)+IFERROR(--ISNUMBER(SEARCH("R106",G211)),0)+IFERROR(--ISNUMBER(SEARCH("R107",G211)),0)+IFERROR(--ISNUMBER(SEARCH("R108",G211)),0)+IFERROR(--ISNUMBER(SEARCH("R109",G211)),0)+IFERROR(--ISNUMBER(SEARCH("R110",G211)),0)+IFERROR(--ISNUMBER(SEARCH("R111",G211)),0)+IFERROR(--ISNUMBER(SEARCH("R112",G211)),0)+IFERROR(--ISNUMBER(SEARCH("R113",G211)),0)+IFERROR(--ISNUMBER(SEARCH("R114",G211)),0)+IFERROR(--ISNUMBER(SEARCH("R115",G211)),0)+IFERROR(--ISNUMBER(SEARCH("R116",G211)),0)+IFERROR(--ISNUMBER(SEARCH("R117",G211)),0)+IFERROR(--ISNUMBER(SEARCH("R118",G211)),0)+IFERROR(--ISNUMBER(SEARCH("R119",G211)),0)+IFERROR(--ISNUMBER(SEARCH("R120",G211)),0)+IFERROR(--ISNUMBER(SEARCH("R121",G211)),0)+IFERROR(--ISNUMBER(SEARCH("R122",G211)),0)+IFERROR(--ISNUMBER(SEARCH("R123",G211)),0)+IFERROR(--ISNUMBER(SEARCH("R124",G211)),0)+IFERROR(--ISNUMBER(SEARCH("R125",G211)),0)+IFERROR(--ISNUMBER(SEARCH("R126",G211)),0)+IFERROR(--ISNUMBER(SEARCH("R127",G211)),0)+IFERROR(--ISNUMBER(SEARCH("R128",G211)),0)+IFERROR(--ISNUMBER(SEARCH("R129",G211)),0)+IFERROR(--ISNUMBER(SEARCH("R130",G211)),0)+IFERROR(--ISNUMBER(SEARCH("R131",G211)),0)+IFERROR(--ISNUMBER(SEARCH("R132",G211)),0)+IFERROR(--ISNUMBER(SEARCH("R133",G211)),0)+IFERROR(--ISNUMBER(SEARCH("R134",G211)),0)+IFERROR(--ISNUMBER(SEARCH("R135",G211)),0)+IFERROR(--ISNUMBER(SEARCH("R136",G211)),0)+IFERROR(--ISNUMBER(SEARCH("R137",G211)),0)+IFERROR(--ISNUMBER(SEARCH("R138",G211)),0)+IFERROR(--ISNUMBER(SEARCH("R139",G211)),0)+IFERROR(--ISNUMBER(SEARCH("R140",G211)),0)+IFERROR(--ISNUMBER(SEARCH("R141",G211)),0))</f>
        <v/>
      </c>
      <c r="T211" s="58">
        <f>IF(A211="","",IFERROR(--ISNUMBER(SEARCH("R28",G211)),0)+IFERROR(--ISNUMBER(SEARCH("R29",G211)),0)+IFERROR(--ISNUMBER(SEARCH("R30",G211)),0)+IFERROR(--ISNUMBER(SEARCH("R32",G211)),0)+IFERROR(--ISNUMBER(SEARCH("R33",G211)),0)+IFERROR(--ISNUMBER(SEARCH("R35",G211)),0)+IFERROR(--ISNUMBER(SEARCH("R36",G211)),0)+IFERROR(--ISNUMBER(SEARCH("R38",G211)),0)+IFERROR(--ISNUMBER(SEARCH("R39",G211)),0)+IFERROR(--ISNUMBER(SEARCH("R43",G211)),0)+IFERROR(--ISNUMBER(SEARCH("R44",G211)),0)+IFERROR(--ISNUMBER(SEARCH("R45",G211)),0)+IFERROR(--ISNUMBER(SEARCH("R47",G211)),0)+IFERROR(--ISNUMBER(SEARCH("R48",G211)),0)+IFERROR(--ISNUMBER(SEARCH("R50",G211)),0)+IFERROR(--ISNUMBER(SEARCH("R51",G211)),0)+IFERROR(--ISNUMBER(SEARCH("R56",G211)),0)+IFERROR(--ISNUMBER(SEARCH("R58",G211)),0)+IFERROR(--ISNUMBER(SEARCH("R59",G211)),0)+IFERROR(--ISNUMBER(SEARCH("R60",G211)),0)+IFERROR(--ISNUMBER(SEARCH("R62",G211)),0)+IFERROR(--ISNUMBER(SEARCH("R63",G211)),0)+IFERROR(--ISNUMBER(SEARCH("R64",G211)),0)+IFERROR(--ISNUMBER(SEARCH("R66",G211)),0)+IFERROR(--ISNUMBER(SEARCH("R67",G211)),0)+IFERROR(--ISNUMBER(SEARCH("R72",G211)),0)+IFERROR(--ISNUMBER(SEARCH("R74",G211)),0)+IFERROR(--ISNUMBER(SEARCH("R75",G211)),0)+IFERROR(--ISNUMBER(SEARCH("R76",G211)),0)+IFERROR(--ISNUMBER(SEARCH("R77",G211)),0)+IFERROR(--ISNUMBER(SEARCH("R79",G211)),0)+IFERROR(--ISNUMBER(SEARCH("R80",G211)),0)+IFERROR(--ISNUMBER(SEARCH("R81",G211)),0)+IFERROR(--ISNUMBER(SEARCH("R83",G211)),0)+IFERROR(--ISNUMBER(SEARCH("R84",G211)),0)+IFERROR(--ISNUMBER(SEARCH("R89",G211)),0)+IFERROR(--ISNUMBER(SEARCH("R94",G211)),0)+IFERROR(--ISNUMBER(SEARCH("R95",G211)),0)+IFERROR(--ISNUMBER(SEARCH("R96",G211)),0)+IFERROR(--ISNUMBER(SEARCH("R98",G211)),0)+IFERROR(--ISNUMBER(SEARCH("R99",G211)),0)+IFERROR(--ISNUMBER(SEARCH("R100",G211)),0)+IFERROR(--ISNUMBER(SEARCH("R104",G211)),0)+IFERROR(--ISNUMBER(SEARCH("R105",G211)),0)+IFERROR(--ISNUMBER(SEARCH("R107",G211)),0)+IFERROR(--ISNUMBER(SEARCH("R108",G211)),0)+IFERROR(--ISNUMBER(SEARCH("R109",G211)),0)+IFERROR(--ISNUMBER(SEARCH("R110",G211)),0)+IFERROR(--ISNUMBER(SEARCH("R112",G211)),0)+IFERROR(--ISNUMBER(SEARCH("R113",G211)),0)+IFERROR(--ISNUMBER(SEARCH("R114",G211)),0)+IFERROR(--ISNUMBER(SEARCH("R118",G211)),0)+IFERROR(--ISNUMBER(SEARCH("R119",G211)),0)+IFERROR(--ISNUMBER(SEARCH("R120",G211)),0)+IFERROR(--ISNUMBER(SEARCH("R122",G211)),0)+IFERROR(--ISNUMBER(SEARCH("R123",G211)),0)+IFERROR(--ISNUMBER(SEARCH("R124",G211)),0)+IFERROR(--ISNUMBER(SEARCH("R128",G211)),0)+IFERROR(--ISNUMBER(SEARCH("R130",G211)),0)+IFERROR(--ISNUMBER(SEARCH("R131",G211)),0)+IFERROR(--ISNUMBER(SEARCH("R132",G211)),0)+IFERROR(--ISNUMBER(SEARCH("R135",G211)),0)+IFERROR(--ISNUMBER(SEARCH("R138",G211)),0)+IFERROR(--ISNUMBER(SEARCH("R141",G211)),0))</f>
        <v/>
      </c>
      <c r="U211" s="58">
        <f>IF(A211="","",IFERROR(--ISNUMBER(SEARCH("R28",G211))*28,0)+IFERROR(--ISNUMBER(SEARCH("R29",G211))*29,0)+IFERROR(--ISNUMBER(SEARCH("R30",G211))*30,0)+IFERROR(--ISNUMBER(SEARCH("R31",G211))*31,0)+IFERROR(--ISNUMBER(SEARCH("R32",G211))*32,0)+IFERROR(--ISNUMBER(SEARCH("R33",G211))*33,0)+IFERROR(--ISNUMBER(SEARCH("R34",G211))*34,0)+IFERROR(--ISNUMBER(SEARCH("R35",G211))*35,0)+IFERROR(--ISNUMBER(SEARCH("R36",G211))*36,0)+IFERROR(--ISNUMBER(SEARCH("R37",G211))*37,0)+IFERROR(--ISNUMBER(SEARCH("R38",G211))*38,0)+IFERROR(--ISNUMBER(SEARCH("R39",G211))*39,0)+IFERROR(--ISNUMBER(SEARCH("R40",G211))*40,0)+IFERROR(--ISNUMBER(SEARCH("R41",G211))*41,0)+IFERROR(--ISNUMBER(SEARCH("R42",G211))*42,0)+IFERROR(--ISNUMBER(SEARCH("R43",G211))*43,0)+IFERROR(--ISNUMBER(SEARCH("R44",G211))*44,0)+IFERROR(--ISNUMBER(SEARCH("R45",G211))*45,0)+IFERROR(--ISNUMBER(SEARCH("R46",G211))*46,0)+IFERROR(--ISNUMBER(SEARCH("R47",G211))*47,0)+IFERROR(--ISNUMBER(SEARCH("R48",G211))*48,0)+IFERROR(--ISNUMBER(SEARCH("R49",G211))*49,0)+IFERROR(--ISNUMBER(SEARCH("R50",G211))*50,0)+IFERROR(--ISNUMBER(SEARCH("R51",G211))*51,0)+IFERROR(--ISNUMBER(SEARCH("R52",G211))*52,0)+IFERROR(--ISNUMBER(SEARCH("R53",G211))*53,0)+IFERROR(--ISNUMBER(SEARCH("R54",G211))*54,0)+IFERROR(--ISNUMBER(SEARCH("R55",G211))*55,0)+IFERROR(--ISNUMBER(SEARCH("R56",G211))*56,0)+IFERROR(--ISNUMBER(SEARCH("R57",G211))*57,0)+IFERROR(--ISNUMBER(SEARCH("R58",G211))*58,0)+IFERROR(--ISNUMBER(SEARCH("R59",G211))*59,0)+IFERROR(--ISNUMBER(SEARCH("R60",G211))*60,0)+IFERROR(--ISNUMBER(SEARCH("R61",G211))*61,0)+IFERROR(--ISNUMBER(SEARCH("R62",G211))*62,0)+IFERROR(--ISNUMBER(SEARCH("R63",G211))*63,0)+IFERROR(--ISNUMBER(SEARCH("R64",G211))*64,0)+IFERROR(--ISNUMBER(SEARCH("R65",G211))*65,0)+IFERROR(--ISNUMBER(SEARCH("R66",G211))*66,0)+IFERROR(--ISNUMBER(SEARCH("R67",G211))*67,0)+IFERROR(--ISNUMBER(SEARCH("R68",G211))*68,0)+IFERROR(--ISNUMBER(SEARCH("R69",G211))*69,0)+IFERROR(--ISNUMBER(SEARCH("R70",G211))*70,0)+IFERROR(--ISNUMBER(SEARCH("R71",G211))*71,0)+IFERROR(--ISNUMBER(SEARCH("R72",G211))*72,0)+IFERROR(--ISNUMBER(SEARCH("R73",G211))*73,0)+IFERROR(--ISNUMBER(SEARCH("R74",G211))*74,0)+IFERROR(--ISNUMBER(SEARCH("R75",G211))*75,0)+IFERROR(--ISNUMBER(SEARCH("R76",G211))*76,0)+IFERROR(--ISNUMBER(SEARCH("R77",G211))*77,0)+IFERROR(--ISNUMBER(SEARCH("R78",G211))*78,0)+IFERROR(--ISNUMBER(SEARCH("R79",G211))*79,0)+IFERROR(--ISNUMBER(SEARCH("R80",G211))*80,0)+IFERROR(--ISNUMBER(SEARCH("R81",G211))*81,0)+IFERROR(--ISNUMBER(SEARCH("R82",G211))*82,0)+IFERROR(--ISNUMBER(SEARCH("R83",G211))*83,0)+IFERROR(--ISNUMBER(SEARCH("R84",G211))*84,0)+IFERROR(--ISNUMBER(SEARCH("R85",G211))*85,0)+IFERROR(--ISNUMBER(SEARCH("R86",G211))*86,0)+IFERROR(--ISNUMBER(SEARCH("R87",G211))*87,0)+IFERROR(--ISNUMBER(SEARCH("R88",G211))*88,0)+IFERROR(--ISNUMBER(SEARCH("R89",G211))*89,0)+IFERROR(--ISNUMBER(SEARCH("R90",G211))*90,0)+IFERROR(--ISNUMBER(SEARCH("R91",G211))*91,0)+IFERROR(--ISNUMBER(SEARCH("R92",G211))*92,0)+IFERROR(--ISNUMBER(SEARCH("R93",G211))*93,0)+IFERROR(--ISNUMBER(SEARCH("R94",G211))*94,0)+IFERROR(--ISNUMBER(SEARCH("R95",G211))*95,0)+IFERROR(--ISNUMBER(SEARCH("R96",G211))*96,0)+IFERROR(--ISNUMBER(SEARCH("R97",G211))*97,0)+IFERROR(--ISNUMBER(SEARCH("R98",G211))*98,0)+IFERROR(--ISNUMBER(SEARCH("R99",G211))*99,0)+IFERROR(--ISNUMBER(SEARCH("R100",G211))*100,0)+IFERROR(--ISNUMBER(SEARCH("R101",G211))*101,0)+IFERROR(--ISNUMBER(SEARCH("R102",G211))*102,0)+IFERROR(--ISNUMBER(SEARCH("R103",G211))*103,0)+IFERROR(--ISNUMBER(SEARCH("R104",G211))*104,0)+IFERROR(--ISNUMBER(SEARCH("R105",G211))*105,0)+IFERROR(--ISNUMBER(SEARCH("R106",G211))*106,0)+IFERROR(--ISNUMBER(SEARCH("R107",G211))*107,0)+IFERROR(--ISNUMBER(SEARCH("R108",G211))*108,0)+IFERROR(--ISNUMBER(SEARCH("R109",G211))*109,0)+IFERROR(--ISNUMBER(SEARCH("R110",G211))*110,0)+IFERROR(--ISNUMBER(SEARCH("R111",G211))*111,0)+IFERROR(--ISNUMBER(SEARCH("R112",G211))*112,0)+IFERROR(--ISNUMBER(SEARCH("R113",G211))*113,0)+IFERROR(--ISNUMBER(SEARCH("R114",G211))*114,0)+IFERROR(--ISNUMBER(SEARCH("R115",G211))*115,0)+IFERROR(--ISNUMBER(SEARCH("R116",G211))*116,0)+IFERROR(--ISNUMBER(SEARCH("R117",G211))*117,0)+IFERROR(--ISNUMBER(SEARCH("R118",G211))*118,0)+IFERROR(--ISNUMBER(SEARCH("R119",G211))*119,0)+IFERROR(--ISNUMBER(SEARCH("R120",G211))*120,0)+IFERROR(--ISNUMBER(SEARCH("R121",G211))*121,0)+IFERROR(--ISNUMBER(SEARCH("R122",G211))*122,0)+IFERROR(--ISNUMBER(SEARCH("R123",G211))*123,0)+IFERROR(--ISNUMBER(SEARCH("R124",G211))*124,0)+IFERROR(--ISNUMBER(SEARCH("R125",G211))*125,0)+IFERROR(--ISNUMBER(SEARCH("R126",G211))*126,0)+IFERROR(--ISNUMBER(SEARCH("R127",G211))*127,0)+IFERROR(--ISNUMBER(SEARCH("R128",G211))*128,0)+IFERROR(--ISNUMBER(SEARCH("R129",G211))*129,0)+IFERROR(--ISNUMBER(SEARCH("R130",G211))*130,0)+IFERROR(--ISNUMBER(SEARCH("R131",G211))*131,0)+IFERROR(--ISNUMBER(SEARCH("R132",G211))*132,0)+IFERROR(--ISNUMBER(SEARCH("R133",G211))*133,0)+IFERROR(--ISNUMBER(SEARCH("R134",G211))*134,0)+IFERROR(--ISNUMBER(SEARCH("R135",G211))*135,0)+IFERROR(--ISNUMBER(SEARCH("R136",G211))*136,0)+IFERROR(--ISNUMBER(SEARCH("R137",G211))*137,0)+IFERROR(--ISNUMBER(SEARCH("R138",G211))*138,0)+IFERROR(--ISNUMBER(SEARCH("R139",G211))*139,0)+IFERROR(--ISNUMBER(SEARCH("R140",G211))*140,0)+IFERROR(--ISNUMBER(SEARCH("R141",G211))*141,0))</f>
        <v/>
      </c>
      <c r="V211" s="59">
        <f>IF(A211="","",IF(K211&lt;&gt;"",K211,J211))</f>
        <v/>
      </c>
      <c r="W211" s="59">
        <f>IF(A211="","",IF(AND(V211=29,O211&lt;&gt;"",COUNTIFS($V$6:$V$505,29,$F$6:$F$505,F211,$C$6:$C$505,C211,$O$6:$O$505,"&lt;&gt;")&gt;1),IF(COUNTIFS($V$6:V211,29,$F$6:F211,F211,$C$6:C211,C211,$O$6:O211,"&lt;&gt;")=1,"Esta es la fila que se debe CONSERVAR (aparición 1 de "&amp;COUNTIFS($V$6:$V$505,29,$F$6:$F$505,F211,$C$6:$C$505,C211,$O$6:$O$505,"&lt;&gt;")&amp;" con el mismo tercero y valor, casilla 29). Si hay más filas iguales, bórreles el valor a ELLAS, no a esta.","DUPLICADO — ya existe otra fila con el mismo tercero y valor para casilla 29 (aparición "&amp;COUNTIFS($V$6:V211,29,$F$6:F211,F211,$C$6:C211,C211,$O$6:O211,"&lt;&gt;")&amp;" de "&amp;COUNTIFS($V$6:$V$505,29,$F$6:$F$505,F211,$C$6:$C$505,C211,$O$6:$O$505,"&lt;&gt;")&amp;"). Para resolverlo: seleccione la celda O"&amp;ROW()&amp;" (columna Valor a declarar de ESTA fila) y presione Supr."),""))</f>
        <v/>
      </c>
      <c r="X211" s="463">
        <f>IF(A211="","",F211)</f>
        <v/>
      </c>
      <c r="Y211" s="463">
        <f>IF(A211="","",SUMIF(Entrada_Manual!$I$88:$I$187,A211,Entrada_Manual!$F$88:$F$187))</f>
        <v/>
      </c>
      <c r="Z211" s="463">
        <f>IF(A211="","",X211-Y211)</f>
        <v/>
      </c>
      <c r="AA211">
        <f>IF(A211="","",SUMPRODUCT((Entrada_Manual!$I$88:$I$187=A211)*1))</f>
        <v/>
      </c>
      <c r="AB211">
        <f>IF(A211="","",IF(S211&lt;=1,"",IF(AA211=0,"PENDIENTE — SIN ASIGNAR",IF(Z211=0,"RESUELTO","PARCIAL — DIFERENCIA "&amp;TEXT(Z211,"#,##0")))))</f>
        <v/>
      </c>
    </row>
    <row r="212" ht="14.25" customHeight="1" s="235">
      <c r="A212" s="47">
        <f>IF(Exogena_RAW!E221&lt;&gt;"",ROW()-5,"")</f>
        <v/>
      </c>
      <c r="B212" s="48">
        <f>IF(A212="","",221)</f>
        <v/>
      </c>
      <c r="C212" s="48">
        <f>IF(A212="","",IFERROR(Exogena_RAW!A221,""))</f>
        <v/>
      </c>
      <c r="D212" s="48">
        <f>IF(A212="","",IFERROR(Exogena_RAW!B221,""))</f>
        <v/>
      </c>
      <c r="E212" s="48">
        <f>IF(A212="","",Exogena_RAW!E221)</f>
        <v/>
      </c>
      <c r="F212" s="461">
        <f>IF(A212="","",Exogena_RAW!F221)</f>
        <v/>
      </c>
      <c r="G212" s="48">
        <f>IF(A212="","",IFERROR(Exogena_RAW!G221,""))</f>
        <v/>
      </c>
      <c r="H212" s="48">
        <f>IF(A212="","",IFERROR(Exogena_RAW!H221,""))</f>
        <v/>
      </c>
      <c r="I212" s="48">
        <f>IF(A212="","",IFERROR(IF(S212&gt;1,"VARIAS CASILLAS",IF(S212=1,IF(T212=1,"PROPUESTA DE CASILLA","REVISIÓN: CASILLA NO DIRECTA"),IF(OR(ISNUMBER(SEARCH("TOPE",UPPER(E212))),ISNUMBER(SEARCH("TOPE",UPPER(G212)))),"SOLO CONTROL",IF(ISNUMBER(SEARCH("RETEN",UPPER(E212))),"RETENCIÓN","REVISAR")))),"REVISAR"))</f>
        <v/>
      </c>
      <c r="J212" s="48">
        <f>IF(A212="","",IF(ISNUMBER(SEARCH("ingreso laboral promedio de los últimos seis meses",E212)),"",IFERROR(IF(AND(S212=1,T212=1),U212,""),"")))</f>
        <v/>
      </c>
      <c r="K212" s="216" t="n"/>
      <c r="L212" s="48">
        <f>IF(A212="","",IFERROR(IF(K212&lt;&gt;"","Casilla elegida por usuario",IF(S212&gt;1,"Varias casillas — elegir en K",IF(J212&lt;&gt;"","Sugerencia directa",IF(S212=1,"No trasladar directo — revisar",IF(OR(ISNUMBER(SEARCH("TOPE",UPPER(E212))),ISNUMBER(SEARCH("TOPE",UPPER(G212)))),"Solo control","Revisar manualmente"))))),"Revisar manualmente"))</f>
        <v/>
      </c>
      <c r="M212" s="461">
        <f>IF(A212="","",IF(IF(K212&lt;&gt;"",K212,J212)="",0,IF(COUNTIFS(Reglas!$I$5:$I$118,IF(K212&lt;&gt;"",K212,J212),Reglas!$J$5:$J$118,"Sí")=1,F212,0)))</f>
        <v/>
      </c>
      <c r="N212" s="56" t="n"/>
      <c r="O212" s="462">
        <f>IF(A212="","",IF(M212=0,"",M212))</f>
        <v/>
      </c>
      <c r="P212" s="461">
        <f>IF(A212="","",IF(O212="",0,IF(ISNUMBER(O212),O212,0)))</f>
        <v/>
      </c>
      <c r="Q212" s="48">
        <f>IF(A212="","",IF(Exogena_RAW!$C$4="","BLOQUEADO: FALTA AÑO",IF(Exogena_RAW!$K$10&lt;&gt;Reglas!$B$5,"BLOQUEADO: AÑO",IF(IF(K212&lt;&gt;"",K212,J212)="",IF(S212&gt;1,"REQUIERE ASIGNACIÓN MANUAL (VARIAS CASILLAS)","INFORMATIVO (sin casilla — no se declara)"),IF(COUNTIFS(Reglas!$I$5:$I$118,IF(K212&lt;&gt;"",K212,J212),Reglas!$J$5:$J$118,"Sí")=0,"BLOQUEADO: CASILLA NO DIRECTA",IF(O212="","EXCLUIDO (valor borrado por el usuario)",IF(_xlfn.ISFORMULA(O212),IF(W212&lt;&gt;"","BORRADOR — VALOR SUGERIDO DIAN ⚠ VER ALERTA","BORRADOR — VALOR SUGERIDO DIAN"),IF(W212&lt;&gt;"","ACEPTADO ⚠ VER ALERTA","ACEPTADO"))))))))</f>
        <v/>
      </c>
      <c r="R212" s="218" t="n"/>
      <c r="S212" s="58">
        <f>IF(A212="","",IFERROR(--ISNUMBER(SEARCH("R28",G212)),0)+IFERROR(--ISNUMBER(SEARCH("R29",G212)),0)+IFERROR(--ISNUMBER(SEARCH("R30",G212)),0)+IFERROR(--ISNUMBER(SEARCH("R31",G212)),0)+IFERROR(--ISNUMBER(SEARCH("R32",G212)),0)+IFERROR(--ISNUMBER(SEARCH("R33",G212)),0)+IFERROR(--ISNUMBER(SEARCH("R34",G212)),0)+IFERROR(--ISNUMBER(SEARCH("R35",G212)),0)+IFERROR(--ISNUMBER(SEARCH("R36",G212)),0)+IFERROR(--ISNUMBER(SEARCH("R37",G212)),0)+IFERROR(--ISNUMBER(SEARCH("R38",G212)),0)+IFERROR(--ISNUMBER(SEARCH("R39",G212)),0)+IFERROR(--ISNUMBER(SEARCH("R40",G212)),0)+IFERROR(--ISNUMBER(SEARCH("R41",G212)),0)+IFERROR(--ISNUMBER(SEARCH("R42",G212)),0)+IFERROR(--ISNUMBER(SEARCH("R43",G212)),0)+IFERROR(--ISNUMBER(SEARCH("R44",G212)),0)+IFERROR(--ISNUMBER(SEARCH("R45",G212)),0)+IFERROR(--ISNUMBER(SEARCH("R46",G212)),0)+IFERROR(--ISNUMBER(SEARCH("R47",G212)),0)+IFERROR(--ISNUMBER(SEARCH("R48",G212)),0)+IFERROR(--ISNUMBER(SEARCH("R49",G212)),0)+IFERROR(--ISNUMBER(SEARCH("R50",G212)),0)+IFERROR(--ISNUMBER(SEARCH("R51",G212)),0)+IFERROR(--ISNUMBER(SEARCH("R52",G212)),0)+IFERROR(--ISNUMBER(SEARCH("R53",G212)),0)+IFERROR(--ISNUMBER(SEARCH("R54",G212)),0)+IFERROR(--ISNUMBER(SEARCH("R55",G212)),0)+IFERROR(--ISNUMBER(SEARCH("R56",G212)),0)+IFERROR(--ISNUMBER(SEARCH("R57",G212)),0)+IFERROR(--ISNUMBER(SEARCH("R58",G212)),0)+IFERROR(--ISNUMBER(SEARCH("R59",G212)),0)+IFERROR(--ISNUMBER(SEARCH("R60",G212)),0)+IFERROR(--ISNUMBER(SEARCH("R61",G212)),0)+IFERROR(--ISNUMBER(SEARCH("R62",G212)),0)+IFERROR(--ISNUMBER(SEARCH("R63",G212)),0)+IFERROR(--ISNUMBER(SEARCH("R64",G212)),0)+IFERROR(--ISNUMBER(SEARCH("R65",G212)),0)+IFERROR(--ISNUMBER(SEARCH("R66",G212)),0)+IFERROR(--ISNUMBER(SEARCH("R67",G212)),0)+IFERROR(--ISNUMBER(SEARCH("R68",G212)),0)+IFERROR(--ISNUMBER(SEARCH("R69",G212)),0)+IFERROR(--ISNUMBER(SEARCH("R70",G212)),0)+IFERROR(--ISNUMBER(SEARCH("R71",G212)),0)+IFERROR(--ISNUMBER(SEARCH("R72",G212)),0)+IFERROR(--ISNUMBER(SEARCH("R73",G212)),0)+IFERROR(--ISNUMBER(SEARCH("R74",G212)),0)+IFERROR(--ISNUMBER(SEARCH("R75",G212)),0)+IFERROR(--ISNUMBER(SEARCH("R76",G212)),0)+IFERROR(--ISNUMBER(SEARCH("R77",G212)),0)+IFERROR(--ISNUMBER(SEARCH("R78",G212)),0)+IFERROR(--ISNUMBER(SEARCH("R79",G212)),0)+IFERROR(--ISNUMBER(SEARCH("R80",G212)),0)+IFERROR(--ISNUMBER(SEARCH("R81",G212)),0)+IFERROR(--ISNUMBER(SEARCH("R82",G212)),0)+IFERROR(--ISNUMBER(SEARCH("R83",G212)),0)+IFERROR(--ISNUMBER(SEARCH("R84",G212)),0)+IFERROR(--ISNUMBER(SEARCH("R85",G212)),0)+IFERROR(--ISNUMBER(SEARCH("R86",G212)),0)+IFERROR(--ISNUMBER(SEARCH("R87",G212)),0)+IFERROR(--ISNUMBER(SEARCH("R88",G212)),0)+IFERROR(--ISNUMBER(SEARCH("R89",G212)),0)+IFERROR(--ISNUMBER(SEARCH("R90",G212)),0)+IFERROR(--ISNUMBER(SEARCH("R91",G212)),0)+IFERROR(--ISNUMBER(SEARCH("R92",G212)),0)+IFERROR(--ISNUMBER(SEARCH("R93",G212)),0)+IFERROR(--ISNUMBER(SEARCH("R94",G212)),0)+IFERROR(--ISNUMBER(SEARCH("R95",G212)),0)+IFERROR(--ISNUMBER(SEARCH("R96",G212)),0)+IFERROR(--ISNUMBER(SEARCH("R97",G212)),0)+IFERROR(--ISNUMBER(SEARCH("R98",G212)),0)+IFERROR(--ISNUMBER(SEARCH("R99",G212)),0)+IFERROR(--ISNUMBER(SEARCH("R100",G212)),0)+IFERROR(--ISNUMBER(SEARCH("R101",G212)),0)+IFERROR(--ISNUMBER(SEARCH("R102",G212)),0)+IFERROR(--ISNUMBER(SEARCH("R103",G212)),0)+IFERROR(--ISNUMBER(SEARCH("R104",G212)),0)+IFERROR(--ISNUMBER(SEARCH("R105",G212)),0)+IFERROR(--ISNUMBER(SEARCH("R106",G212)),0)+IFERROR(--ISNUMBER(SEARCH("R107",G212)),0)+IFERROR(--ISNUMBER(SEARCH("R108",G212)),0)+IFERROR(--ISNUMBER(SEARCH("R109",G212)),0)+IFERROR(--ISNUMBER(SEARCH("R110",G212)),0)+IFERROR(--ISNUMBER(SEARCH("R111",G212)),0)+IFERROR(--ISNUMBER(SEARCH("R112",G212)),0)+IFERROR(--ISNUMBER(SEARCH("R113",G212)),0)+IFERROR(--ISNUMBER(SEARCH("R114",G212)),0)+IFERROR(--ISNUMBER(SEARCH("R115",G212)),0)+IFERROR(--ISNUMBER(SEARCH("R116",G212)),0)+IFERROR(--ISNUMBER(SEARCH("R117",G212)),0)+IFERROR(--ISNUMBER(SEARCH("R118",G212)),0)+IFERROR(--ISNUMBER(SEARCH("R119",G212)),0)+IFERROR(--ISNUMBER(SEARCH("R120",G212)),0)+IFERROR(--ISNUMBER(SEARCH("R121",G212)),0)+IFERROR(--ISNUMBER(SEARCH("R122",G212)),0)+IFERROR(--ISNUMBER(SEARCH("R123",G212)),0)+IFERROR(--ISNUMBER(SEARCH("R124",G212)),0)+IFERROR(--ISNUMBER(SEARCH("R125",G212)),0)+IFERROR(--ISNUMBER(SEARCH("R126",G212)),0)+IFERROR(--ISNUMBER(SEARCH("R127",G212)),0)+IFERROR(--ISNUMBER(SEARCH("R128",G212)),0)+IFERROR(--ISNUMBER(SEARCH("R129",G212)),0)+IFERROR(--ISNUMBER(SEARCH("R130",G212)),0)+IFERROR(--ISNUMBER(SEARCH("R131",G212)),0)+IFERROR(--ISNUMBER(SEARCH("R132",G212)),0)+IFERROR(--ISNUMBER(SEARCH("R133",G212)),0)+IFERROR(--ISNUMBER(SEARCH("R134",G212)),0)+IFERROR(--ISNUMBER(SEARCH("R135",G212)),0)+IFERROR(--ISNUMBER(SEARCH("R136",G212)),0)+IFERROR(--ISNUMBER(SEARCH("R137",G212)),0)+IFERROR(--ISNUMBER(SEARCH("R138",G212)),0)+IFERROR(--ISNUMBER(SEARCH("R139",G212)),0)+IFERROR(--ISNUMBER(SEARCH("R140",G212)),0)+IFERROR(--ISNUMBER(SEARCH("R141",G212)),0))</f>
        <v/>
      </c>
      <c r="T212" s="58">
        <f>IF(A212="","",IFERROR(--ISNUMBER(SEARCH("R28",G212)),0)+IFERROR(--ISNUMBER(SEARCH("R29",G212)),0)+IFERROR(--ISNUMBER(SEARCH("R30",G212)),0)+IFERROR(--ISNUMBER(SEARCH("R32",G212)),0)+IFERROR(--ISNUMBER(SEARCH("R33",G212)),0)+IFERROR(--ISNUMBER(SEARCH("R35",G212)),0)+IFERROR(--ISNUMBER(SEARCH("R36",G212)),0)+IFERROR(--ISNUMBER(SEARCH("R38",G212)),0)+IFERROR(--ISNUMBER(SEARCH("R39",G212)),0)+IFERROR(--ISNUMBER(SEARCH("R43",G212)),0)+IFERROR(--ISNUMBER(SEARCH("R44",G212)),0)+IFERROR(--ISNUMBER(SEARCH("R45",G212)),0)+IFERROR(--ISNUMBER(SEARCH("R47",G212)),0)+IFERROR(--ISNUMBER(SEARCH("R48",G212)),0)+IFERROR(--ISNUMBER(SEARCH("R50",G212)),0)+IFERROR(--ISNUMBER(SEARCH("R51",G212)),0)+IFERROR(--ISNUMBER(SEARCH("R56",G212)),0)+IFERROR(--ISNUMBER(SEARCH("R58",G212)),0)+IFERROR(--ISNUMBER(SEARCH("R59",G212)),0)+IFERROR(--ISNUMBER(SEARCH("R60",G212)),0)+IFERROR(--ISNUMBER(SEARCH("R62",G212)),0)+IFERROR(--ISNUMBER(SEARCH("R63",G212)),0)+IFERROR(--ISNUMBER(SEARCH("R64",G212)),0)+IFERROR(--ISNUMBER(SEARCH("R66",G212)),0)+IFERROR(--ISNUMBER(SEARCH("R67",G212)),0)+IFERROR(--ISNUMBER(SEARCH("R72",G212)),0)+IFERROR(--ISNUMBER(SEARCH("R74",G212)),0)+IFERROR(--ISNUMBER(SEARCH("R75",G212)),0)+IFERROR(--ISNUMBER(SEARCH("R76",G212)),0)+IFERROR(--ISNUMBER(SEARCH("R77",G212)),0)+IFERROR(--ISNUMBER(SEARCH("R79",G212)),0)+IFERROR(--ISNUMBER(SEARCH("R80",G212)),0)+IFERROR(--ISNUMBER(SEARCH("R81",G212)),0)+IFERROR(--ISNUMBER(SEARCH("R83",G212)),0)+IFERROR(--ISNUMBER(SEARCH("R84",G212)),0)+IFERROR(--ISNUMBER(SEARCH("R89",G212)),0)+IFERROR(--ISNUMBER(SEARCH("R94",G212)),0)+IFERROR(--ISNUMBER(SEARCH("R95",G212)),0)+IFERROR(--ISNUMBER(SEARCH("R96",G212)),0)+IFERROR(--ISNUMBER(SEARCH("R98",G212)),0)+IFERROR(--ISNUMBER(SEARCH("R99",G212)),0)+IFERROR(--ISNUMBER(SEARCH("R100",G212)),0)+IFERROR(--ISNUMBER(SEARCH("R104",G212)),0)+IFERROR(--ISNUMBER(SEARCH("R105",G212)),0)+IFERROR(--ISNUMBER(SEARCH("R107",G212)),0)+IFERROR(--ISNUMBER(SEARCH("R108",G212)),0)+IFERROR(--ISNUMBER(SEARCH("R109",G212)),0)+IFERROR(--ISNUMBER(SEARCH("R110",G212)),0)+IFERROR(--ISNUMBER(SEARCH("R112",G212)),0)+IFERROR(--ISNUMBER(SEARCH("R113",G212)),0)+IFERROR(--ISNUMBER(SEARCH("R114",G212)),0)+IFERROR(--ISNUMBER(SEARCH("R118",G212)),0)+IFERROR(--ISNUMBER(SEARCH("R119",G212)),0)+IFERROR(--ISNUMBER(SEARCH("R120",G212)),0)+IFERROR(--ISNUMBER(SEARCH("R122",G212)),0)+IFERROR(--ISNUMBER(SEARCH("R123",G212)),0)+IFERROR(--ISNUMBER(SEARCH("R124",G212)),0)+IFERROR(--ISNUMBER(SEARCH("R128",G212)),0)+IFERROR(--ISNUMBER(SEARCH("R130",G212)),0)+IFERROR(--ISNUMBER(SEARCH("R131",G212)),0)+IFERROR(--ISNUMBER(SEARCH("R132",G212)),0)+IFERROR(--ISNUMBER(SEARCH("R135",G212)),0)+IFERROR(--ISNUMBER(SEARCH("R138",G212)),0)+IFERROR(--ISNUMBER(SEARCH("R141",G212)),0))</f>
        <v/>
      </c>
      <c r="U212" s="58">
        <f>IF(A212="","",IFERROR(--ISNUMBER(SEARCH("R28",G212))*28,0)+IFERROR(--ISNUMBER(SEARCH("R29",G212))*29,0)+IFERROR(--ISNUMBER(SEARCH("R30",G212))*30,0)+IFERROR(--ISNUMBER(SEARCH("R31",G212))*31,0)+IFERROR(--ISNUMBER(SEARCH("R32",G212))*32,0)+IFERROR(--ISNUMBER(SEARCH("R33",G212))*33,0)+IFERROR(--ISNUMBER(SEARCH("R34",G212))*34,0)+IFERROR(--ISNUMBER(SEARCH("R35",G212))*35,0)+IFERROR(--ISNUMBER(SEARCH("R36",G212))*36,0)+IFERROR(--ISNUMBER(SEARCH("R37",G212))*37,0)+IFERROR(--ISNUMBER(SEARCH("R38",G212))*38,0)+IFERROR(--ISNUMBER(SEARCH("R39",G212))*39,0)+IFERROR(--ISNUMBER(SEARCH("R40",G212))*40,0)+IFERROR(--ISNUMBER(SEARCH("R41",G212))*41,0)+IFERROR(--ISNUMBER(SEARCH("R42",G212))*42,0)+IFERROR(--ISNUMBER(SEARCH("R43",G212))*43,0)+IFERROR(--ISNUMBER(SEARCH("R44",G212))*44,0)+IFERROR(--ISNUMBER(SEARCH("R45",G212))*45,0)+IFERROR(--ISNUMBER(SEARCH("R46",G212))*46,0)+IFERROR(--ISNUMBER(SEARCH("R47",G212))*47,0)+IFERROR(--ISNUMBER(SEARCH("R48",G212))*48,0)+IFERROR(--ISNUMBER(SEARCH("R49",G212))*49,0)+IFERROR(--ISNUMBER(SEARCH("R50",G212))*50,0)+IFERROR(--ISNUMBER(SEARCH("R51",G212))*51,0)+IFERROR(--ISNUMBER(SEARCH("R52",G212))*52,0)+IFERROR(--ISNUMBER(SEARCH("R53",G212))*53,0)+IFERROR(--ISNUMBER(SEARCH("R54",G212))*54,0)+IFERROR(--ISNUMBER(SEARCH("R55",G212))*55,0)+IFERROR(--ISNUMBER(SEARCH("R56",G212))*56,0)+IFERROR(--ISNUMBER(SEARCH("R57",G212))*57,0)+IFERROR(--ISNUMBER(SEARCH("R58",G212))*58,0)+IFERROR(--ISNUMBER(SEARCH("R59",G212))*59,0)+IFERROR(--ISNUMBER(SEARCH("R60",G212))*60,0)+IFERROR(--ISNUMBER(SEARCH("R61",G212))*61,0)+IFERROR(--ISNUMBER(SEARCH("R62",G212))*62,0)+IFERROR(--ISNUMBER(SEARCH("R63",G212))*63,0)+IFERROR(--ISNUMBER(SEARCH("R64",G212))*64,0)+IFERROR(--ISNUMBER(SEARCH("R65",G212))*65,0)+IFERROR(--ISNUMBER(SEARCH("R66",G212))*66,0)+IFERROR(--ISNUMBER(SEARCH("R67",G212))*67,0)+IFERROR(--ISNUMBER(SEARCH("R68",G212))*68,0)+IFERROR(--ISNUMBER(SEARCH("R69",G212))*69,0)+IFERROR(--ISNUMBER(SEARCH("R70",G212))*70,0)+IFERROR(--ISNUMBER(SEARCH("R71",G212))*71,0)+IFERROR(--ISNUMBER(SEARCH("R72",G212))*72,0)+IFERROR(--ISNUMBER(SEARCH("R73",G212))*73,0)+IFERROR(--ISNUMBER(SEARCH("R74",G212))*74,0)+IFERROR(--ISNUMBER(SEARCH("R75",G212))*75,0)+IFERROR(--ISNUMBER(SEARCH("R76",G212))*76,0)+IFERROR(--ISNUMBER(SEARCH("R77",G212))*77,0)+IFERROR(--ISNUMBER(SEARCH("R78",G212))*78,0)+IFERROR(--ISNUMBER(SEARCH("R79",G212))*79,0)+IFERROR(--ISNUMBER(SEARCH("R80",G212))*80,0)+IFERROR(--ISNUMBER(SEARCH("R81",G212))*81,0)+IFERROR(--ISNUMBER(SEARCH("R82",G212))*82,0)+IFERROR(--ISNUMBER(SEARCH("R83",G212))*83,0)+IFERROR(--ISNUMBER(SEARCH("R84",G212))*84,0)+IFERROR(--ISNUMBER(SEARCH("R85",G212))*85,0)+IFERROR(--ISNUMBER(SEARCH("R86",G212))*86,0)+IFERROR(--ISNUMBER(SEARCH("R87",G212))*87,0)+IFERROR(--ISNUMBER(SEARCH("R88",G212))*88,0)+IFERROR(--ISNUMBER(SEARCH("R89",G212))*89,0)+IFERROR(--ISNUMBER(SEARCH("R90",G212))*90,0)+IFERROR(--ISNUMBER(SEARCH("R91",G212))*91,0)+IFERROR(--ISNUMBER(SEARCH("R92",G212))*92,0)+IFERROR(--ISNUMBER(SEARCH("R93",G212))*93,0)+IFERROR(--ISNUMBER(SEARCH("R94",G212))*94,0)+IFERROR(--ISNUMBER(SEARCH("R95",G212))*95,0)+IFERROR(--ISNUMBER(SEARCH("R96",G212))*96,0)+IFERROR(--ISNUMBER(SEARCH("R97",G212))*97,0)+IFERROR(--ISNUMBER(SEARCH("R98",G212))*98,0)+IFERROR(--ISNUMBER(SEARCH("R99",G212))*99,0)+IFERROR(--ISNUMBER(SEARCH("R100",G212))*100,0)+IFERROR(--ISNUMBER(SEARCH("R101",G212))*101,0)+IFERROR(--ISNUMBER(SEARCH("R102",G212))*102,0)+IFERROR(--ISNUMBER(SEARCH("R103",G212))*103,0)+IFERROR(--ISNUMBER(SEARCH("R104",G212))*104,0)+IFERROR(--ISNUMBER(SEARCH("R105",G212))*105,0)+IFERROR(--ISNUMBER(SEARCH("R106",G212))*106,0)+IFERROR(--ISNUMBER(SEARCH("R107",G212))*107,0)+IFERROR(--ISNUMBER(SEARCH("R108",G212))*108,0)+IFERROR(--ISNUMBER(SEARCH("R109",G212))*109,0)+IFERROR(--ISNUMBER(SEARCH("R110",G212))*110,0)+IFERROR(--ISNUMBER(SEARCH("R111",G212))*111,0)+IFERROR(--ISNUMBER(SEARCH("R112",G212))*112,0)+IFERROR(--ISNUMBER(SEARCH("R113",G212))*113,0)+IFERROR(--ISNUMBER(SEARCH("R114",G212))*114,0)+IFERROR(--ISNUMBER(SEARCH("R115",G212))*115,0)+IFERROR(--ISNUMBER(SEARCH("R116",G212))*116,0)+IFERROR(--ISNUMBER(SEARCH("R117",G212))*117,0)+IFERROR(--ISNUMBER(SEARCH("R118",G212))*118,0)+IFERROR(--ISNUMBER(SEARCH("R119",G212))*119,0)+IFERROR(--ISNUMBER(SEARCH("R120",G212))*120,0)+IFERROR(--ISNUMBER(SEARCH("R121",G212))*121,0)+IFERROR(--ISNUMBER(SEARCH("R122",G212))*122,0)+IFERROR(--ISNUMBER(SEARCH("R123",G212))*123,0)+IFERROR(--ISNUMBER(SEARCH("R124",G212))*124,0)+IFERROR(--ISNUMBER(SEARCH("R125",G212))*125,0)+IFERROR(--ISNUMBER(SEARCH("R126",G212))*126,0)+IFERROR(--ISNUMBER(SEARCH("R127",G212))*127,0)+IFERROR(--ISNUMBER(SEARCH("R128",G212))*128,0)+IFERROR(--ISNUMBER(SEARCH("R129",G212))*129,0)+IFERROR(--ISNUMBER(SEARCH("R130",G212))*130,0)+IFERROR(--ISNUMBER(SEARCH("R131",G212))*131,0)+IFERROR(--ISNUMBER(SEARCH("R132",G212))*132,0)+IFERROR(--ISNUMBER(SEARCH("R133",G212))*133,0)+IFERROR(--ISNUMBER(SEARCH("R134",G212))*134,0)+IFERROR(--ISNUMBER(SEARCH("R135",G212))*135,0)+IFERROR(--ISNUMBER(SEARCH("R136",G212))*136,0)+IFERROR(--ISNUMBER(SEARCH("R137",G212))*137,0)+IFERROR(--ISNUMBER(SEARCH("R138",G212))*138,0)+IFERROR(--ISNUMBER(SEARCH("R139",G212))*139,0)+IFERROR(--ISNUMBER(SEARCH("R140",G212))*140,0)+IFERROR(--ISNUMBER(SEARCH("R141",G212))*141,0))</f>
        <v/>
      </c>
      <c r="V212" s="59">
        <f>IF(A212="","",IF(K212&lt;&gt;"",K212,J212))</f>
        <v/>
      </c>
      <c r="W212" s="59">
        <f>IF(A212="","",IF(AND(V212=29,O212&lt;&gt;"",COUNTIFS($V$6:$V$505,29,$F$6:$F$505,F212,$C$6:$C$505,C212,$O$6:$O$505,"&lt;&gt;")&gt;1),IF(COUNTIFS($V$6:V212,29,$F$6:F212,F212,$C$6:C212,C212,$O$6:O212,"&lt;&gt;")=1,"Esta es la fila que se debe CONSERVAR (aparición 1 de "&amp;COUNTIFS($V$6:$V$505,29,$F$6:$F$505,F212,$C$6:$C$505,C212,$O$6:$O$505,"&lt;&gt;")&amp;" con el mismo tercero y valor, casilla 29). Si hay más filas iguales, bórreles el valor a ELLAS, no a esta.","DUPLICADO — ya existe otra fila con el mismo tercero y valor para casilla 29 (aparición "&amp;COUNTIFS($V$6:V212,29,$F$6:F212,F212,$C$6:C212,C212,$O$6:O212,"&lt;&gt;")&amp;" de "&amp;COUNTIFS($V$6:$V$505,29,$F$6:$F$505,F212,$C$6:$C$505,C212,$O$6:$O$505,"&lt;&gt;")&amp;"). Para resolverlo: seleccione la celda O"&amp;ROW()&amp;" (columna Valor a declarar de ESTA fila) y presione Supr."),""))</f>
        <v/>
      </c>
      <c r="X212" s="463">
        <f>IF(A212="","",F212)</f>
        <v/>
      </c>
      <c r="Y212" s="463">
        <f>IF(A212="","",SUMIF(Entrada_Manual!$I$88:$I$187,A212,Entrada_Manual!$F$88:$F$187))</f>
        <v/>
      </c>
      <c r="Z212" s="463">
        <f>IF(A212="","",X212-Y212)</f>
        <v/>
      </c>
      <c r="AA212">
        <f>IF(A212="","",SUMPRODUCT((Entrada_Manual!$I$88:$I$187=A212)*1))</f>
        <v/>
      </c>
      <c r="AB212">
        <f>IF(A212="","",IF(S212&lt;=1,"",IF(AA212=0,"PENDIENTE — SIN ASIGNAR",IF(Z212=0,"RESUELTO","PARCIAL — DIFERENCIA "&amp;TEXT(Z212,"#,##0")))))</f>
        <v/>
      </c>
    </row>
    <row r="213" ht="14.25" customHeight="1" s="235">
      <c r="A213" s="47">
        <f>IF(Exogena_RAW!E222&lt;&gt;"",ROW()-5,"")</f>
        <v/>
      </c>
      <c r="B213" s="48">
        <f>IF(A213="","",222)</f>
        <v/>
      </c>
      <c r="C213" s="48">
        <f>IF(A213="","",IFERROR(Exogena_RAW!A222,""))</f>
        <v/>
      </c>
      <c r="D213" s="48">
        <f>IF(A213="","",IFERROR(Exogena_RAW!B222,""))</f>
        <v/>
      </c>
      <c r="E213" s="48">
        <f>IF(A213="","",Exogena_RAW!E222)</f>
        <v/>
      </c>
      <c r="F213" s="461">
        <f>IF(A213="","",Exogena_RAW!F222)</f>
        <v/>
      </c>
      <c r="G213" s="48">
        <f>IF(A213="","",IFERROR(Exogena_RAW!G222,""))</f>
        <v/>
      </c>
      <c r="H213" s="48">
        <f>IF(A213="","",IFERROR(Exogena_RAW!H222,""))</f>
        <v/>
      </c>
      <c r="I213" s="48">
        <f>IF(A213="","",IFERROR(IF(S213&gt;1,"VARIAS CASILLAS",IF(S213=1,IF(T213=1,"PROPUESTA DE CASILLA","REVISIÓN: CASILLA NO DIRECTA"),IF(OR(ISNUMBER(SEARCH("TOPE",UPPER(E213))),ISNUMBER(SEARCH("TOPE",UPPER(G213)))),"SOLO CONTROL",IF(ISNUMBER(SEARCH("RETEN",UPPER(E213))),"RETENCIÓN","REVISAR")))),"REVISAR"))</f>
        <v/>
      </c>
      <c r="J213" s="48">
        <f>IF(A213="","",IF(ISNUMBER(SEARCH("ingreso laboral promedio de los últimos seis meses",E213)),"",IFERROR(IF(AND(S213=1,T213=1),U213,""),"")))</f>
        <v/>
      </c>
      <c r="K213" s="216" t="n"/>
      <c r="L213" s="48">
        <f>IF(A213="","",IFERROR(IF(K213&lt;&gt;"","Casilla elegida por usuario",IF(S213&gt;1,"Varias casillas — elegir en K",IF(J213&lt;&gt;"","Sugerencia directa",IF(S213=1,"No trasladar directo — revisar",IF(OR(ISNUMBER(SEARCH("TOPE",UPPER(E213))),ISNUMBER(SEARCH("TOPE",UPPER(G213)))),"Solo control","Revisar manualmente"))))),"Revisar manualmente"))</f>
        <v/>
      </c>
      <c r="M213" s="461">
        <f>IF(A213="","",IF(IF(K213&lt;&gt;"",K213,J213)="",0,IF(COUNTIFS(Reglas!$I$5:$I$118,IF(K213&lt;&gt;"",K213,J213),Reglas!$J$5:$J$118,"Sí")=1,F213,0)))</f>
        <v/>
      </c>
      <c r="N213" s="56" t="n"/>
      <c r="O213" s="462">
        <f>IF(A213="","",IF(M213=0,"",M213))</f>
        <v/>
      </c>
      <c r="P213" s="461">
        <f>IF(A213="","",IF(O213="",0,IF(ISNUMBER(O213),O213,0)))</f>
        <v/>
      </c>
      <c r="Q213" s="48">
        <f>IF(A213="","",IF(Exogena_RAW!$C$4="","BLOQUEADO: FALTA AÑO",IF(Exogena_RAW!$K$10&lt;&gt;Reglas!$B$5,"BLOQUEADO: AÑO",IF(IF(K213&lt;&gt;"",K213,J213)="",IF(S213&gt;1,"REQUIERE ASIGNACIÓN MANUAL (VARIAS CASILLAS)","INFORMATIVO (sin casilla — no se declara)"),IF(COUNTIFS(Reglas!$I$5:$I$118,IF(K213&lt;&gt;"",K213,J213),Reglas!$J$5:$J$118,"Sí")=0,"BLOQUEADO: CASILLA NO DIRECTA",IF(O213="","EXCLUIDO (valor borrado por el usuario)",IF(_xlfn.ISFORMULA(O213),IF(W213&lt;&gt;"","BORRADOR — VALOR SUGERIDO DIAN ⚠ VER ALERTA","BORRADOR — VALOR SUGERIDO DIAN"),IF(W213&lt;&gt;"","ACEPTADO ⚠ VER ALERTA","ACEPTADO"))))))))</f>
        <v/>
      </c>
      <c r="R213" s="218" t="n"/>
      <c r="S213" s="58">
        <f>IF(A213="","",IFERROR(--ISNUMBER(SEARCH("R28",G213)),0)+IFERROR(--ISNUMBER(SEARCH("R29",G213)),0)+IFERROR(--ISNUMBER(SEARCH("R30",G213)),0)+IFERROR(--ISNUMBER(SEARCH("R31",G213)),0)+IFERROR(--ISNUMBER(SEARCH("R32",G213)),0)+IFERROR(--ISNUMBER(SEARCH("R33",G213)),0)+IFERROR(--ISNUMBER(SEARCH("R34",G213)),0)+IFERROR(--ISNUMBER(SEARCH("R35",G213)),0)+IFERROR(--ISNUMBER(SEARCH("R36",G213)),0)+IFERROR(--ISNUMBER(SEARCH("R37",G213)),0)+IFERROR(--ISNUMBER(SEARCH("R38",G213)),0)+IFERROR(--ISNUMBER(SEARCH("R39",G213)),0)+IFERROR(--ISNUMBER(SEARCH("R40",G213)),0)+IFERROR(--ISNUMBER(SEARCH("R41",G213)),0)+IFERROR(--ISNUMBER(SEARCH("R42",G213)),0)+IFERROR(--ISNUMBER(SEARCH("R43",G213)),0)+IFERROR(--ISNUMBER(SEARCH("R44",G213)),0)+IFERROR(--ISNUMBER(SEARCH("R45",G213)),0)+IFERROR(--ISNUMBER(SEARCH("R46",G213)),0)+IFERROR(--ISNUMBER(SEARCH("R47",G213)),0)+IFERROR(--ISNUMBER(SEARCH("R48",G213)),0)+IFERROR(--ISNUMBER(SEARCH("R49",G213)),0)+IFERROR(--ISNUMBER(SEARCH("R50",G213)),0)+IFERROR(--ISNUMBER(SEARCH("R51",G213)),0)+IFERROR(--ISNUMBER(SEARCH("R52",G213)),0)+IFERROR(--ISNUMBER(SEARCH("R53",G213)),0)+IFERROR(--ISNUMBER(SEARCH("R54",G213)),0)+IFERROR(--ISNUMBER(SEARCH("R55",G213)),0)+IFERROR(--ISNUMBER(SEARCH("R56",G213)),0)+IFERROR(--ISNUMBER(SEARCH("R57",G213)),0)+IFERROR(--ISNUMBER(SEARCH("R58",G213)),0)+IFERROR(--ISNUMBER(SEARCH("R59",G213)),0)+IFERROR(--ISNUMBER(SEARCH("R60",G213)),0)+IFERROR(--ISNUMBER(SEARCH("R61",G213)),0)+IFERROR(--ISNUMBER(SEARCH("R62",G213)),0)+IFERROR(--ISNUMBER(SEARCH("R63",G213)),0)+IFERROR(--ISNUMBER(SEARCH("R64",G213)),0)+IFERROR(--ISNUMBER(SEARCH("R65",G213)),0)+IFERROR(--ISNUMBER(SEARCH("R66",G213)),0)+IFERROR(--ISNUMBER(SEARCH("R67",G213)),0)+IFERROR(--ISNUMBER(SEARCH("R68",G213)),0)+IFERROR(--ISNUMBER(SEARCH("R69",G213)),0)+IFERROR(--ISNUMBER(SEARCH("R70",G213)),0)+IFERROR(--ISNUMBER(SEARCH("R71",G213)),0)+IFERROR(--ISNUMBER(SEARCH("R72",G213)),0)+IFERROR(--ISNUMBER(SEARCH("R73",G213)),0)+IFERROR(--ISNUMBER(SEARCH("R74",G213)),0)+IFERROR(--ISNUMBER(SEARCH("R75",G213)),0)+IFERROR(--ISNUMBER(SEARCH("R76",G213)),0)+IFERROR(--ISNUMBER(SEARCH("R77",G213)),0)+IFERROR(--ISNUMBER(SEARCH("R78",G213)),0)+IFERROR(--ISNUMBER(SEARCH("R79",G213)),0)+IFERROR(--ISNUMBER(SEARCH("R80",G213)),0)+IFERROR(--ISNUMBER(SEARCH("R81",G213)),0)+IFERROR(--ISNUMBER(SEARCH("R82",G213)),0)+IFERROR(--ISNUMBER(SEARCH("R83",G213)),0)+IFERROR(--ISNUMBER(SEARCH("R84",G213)),0)+IFERROR(--ISNUMBER(SEARCH("R85",G213)),0)+IFERROR(--ISNUMBER(SEARCH("R86",G213)),0)+IFERROR(--ISNUMBER(SEARCH("R87",G213)),0)+IFERROR(--ISNUMBER(SEARCH("R88",G213)),0)+IFERROR(--ISNUMBER(SEARCH("R89",G213)),0)+IFERROR(--ISNUMBER(SEARCH("R90",G213)),0)+IFERROR(--ISNUMBER(SEARCH("R91",G213)),0)+IFERROR(--ISNUMBER(SEARCH("R92",G213)),0)+IFERROR(--ISNUMBER(SEARCH("R93",G213)),0)+IFERROR(--ISNUMBER(SEARCH("R94",G213)),0)+IFERROR(--ISNUMBER(SEARCH("R95",G213)),0)+IFERROR(--ISNUMBER(SEARCH("R96",G213)),0)+IFERROR(--ISNUMBER(SEARCH("R97",G213)),0)+IFERROR(--ISNUMBER(SEARCH("R98",G213)),0)+IFERROR(--ISNUMBER(SEARCH("R99",G213)),0)+IFERROR(--ISNUMBER(SEARCH("R100",G213)),0)+IFERROR(--ISNUMBER(SEARCH("R101",G213)),0)+IFERROR(--ISNUMBER(SEARCH("R102",G213)),0)+IFERROR(--ISNUMBER(SEARCH("R103",G213)),0)+IFERROR(--ISNUMBER(SEARCH("R104",G213)),0)+IFERROR(--ISNUMBER(SEARCH("R105",G213)),0)+IFERROR(--ISNUMBER(SEARCH("R106",G213)),0)+IFERROR(--ISNUMBER(SEARCH("R107",G213)),0)+IFERROR(--ISNUMBER(SEARCH("R108",G213)),0)+IFERROR(--ISNUMBER(SEARCH("R109",G213)),0)+IFERROR(--ISNUMBER(SEARCH("R110",G213)),0)+IFERROR(--ISNUMBER(SEARCH("R111",G213)),0)+IFERROR(--ISNUMBER(SEARCH("R112",G213)),0)+IFERROR(--ISNUMBER(SEARCH("R113",G213)),0)+IFERROR(--ISNUMBER(SEARCH("R114",G213)),0)+IFERROR(--ISNUMBER(SEARCH("R115",G213)),0)+IFERROR(--ISNUMBER(SEARCH("R116",G213)),0)+IFERROR(--ISNUMBER(SEARCH("R117",G213)),0)+IFERROR(--ISNUMBER(SEARCH("R118",G213)),0)+IFERROR(--ISNUMBER(SEARCH("R119",G213)),0)+IFERROR(--ISNUMBER(SEARCH("R120",G213)),0)+IFERROR(--ISNUMBER(SEARCH("R121",G213)),0)+IFERROR(--ISNUMBER(SEARCH("R122",G213)),0)+IFERROR(--ISNUMBER(SEARCH("R123",G213)),0)+IFERROR(--ISNUMBER(SEARCH("R124",G213)),0)+IFERROR(--ISNUMBER(SEARCH("R125",G213)),0)+IFERROR(--ISNUMBER(SEARCH("R126",G213)),0)+IFERROR(--ISNUMBER(SEARCH("R127",G213)),0)+IFERROR(--ISNUMBER(SEARCH("R128",G213)),0)+IFERROR(--ISNUMBER(SEARCH("R129",G213)),0)+IFERROR(--ISNUMBER(SEARCH("R130",G213)),0)+IFERROR(--ISNUMBER(SEARCH("R131",G213)),0)+IFERROR(--ISNUMBER(SEARCH("R132",G213)),0)+IFERROR(--ISNUMBER(SEARCH("R133",G213)),0)+IFERROR(--ISNUMBER(SEARCH("R134",G213)),0)+IFERROR(--ISNUMBER(SEARCH("R135",G213)),0)+IFERROR(--ISNUMBER(SEARCH("R136",G213)),0)+IFERROR(--ISNUMBER(SEARCH("R137",G213)),0)+IFERROR(--ISNUMBER(SEARCH("R138",G213)),0)+IFERROR(--ISNUMBER(SEARCH("R139",G213)),0)+IFERROR(--ISNUMBER(SEARCH("R140",G213)),0)+IFERROR(--ISNUMBER(SEARCH("R141",G213)),0))</f>
        <v/>
      </c>
      <c r="T213" s="58">
        <f>IF(A213="","",IFERROR(--ISNUMBER(SEARCH("R28",G213)),0)+IFERROR(--ISNUMBER(SEARCH("R29",G213)),0)+IFERROR(--ISNUMBER(SEARCH("R30",G213)),0)+IFERROR(--ISNUMBER(SEARCH("R32",G213)),0)+IFERROR(--ISNUMBER(SEARCH("R33",G213)),0)+IFERROR(--ISNUMBER(SEARCH("R35",G213)),0)+IFERROR(--ISNUMBER(SEARCH("R36",G213)),0)+IFERROR(--ISNUMBER(SEARCH("R38",G213)),0)+IFERROR(--ISNUMBER(SEARCH("R39",G213)),0)+IFERROR(--ISNUMBER(SEARCH("R43",G213)),0)+IFERROR(--ISNUMBER(SEARCH("R44",G213)),0)+IFERROR(--ISNUMBER(SEARCH("R45",G213)),0)+IFERROR(--ISNUMBER(SEARCH("R47",G213)),0)+IFERROR(--ISNUMBER(SEARCH("R48",G213)),0)+IFERROR(--ISNUMBER(SEARCH("R50",G213)),0)+IFERROR(--ISNUMBER(SEARCH("R51",G213)),0)+IFERROR(--ISNUMBER(SEARCH("R56",G213)),0)+IFERROR(--ISNUMBER(SEARCH("R58",G213)),0)+IFERROR(--ISNUMBER(SEARCH("R59",G213)),0)+IFERROR(--ISNUMBER(SEARCH("R60",G213)),0)+IFERROR(--ISNUMBER(SEARCH("R62",G213)),0)+IFERROR(--ISNUMBER(SEARCH("R63",G213)),0)+IFERROR(--ISNUMBER(SEARCH("R64",G213)),0)+IFERROR(--ISNUMBER(SEARCH("R66",G213)),0)+IFERROR(--ISNUMBER(SEARCH("R67",G213)),0)+IFERROR(--ISNUMBER(SEARCH("R72",G213)),0)+IFERROR(--ISNUMBER(SEARCH("R74",G213)),0)+IFERROR(--ISNUMBER(SEARCH("R75",G213)),0)+IFERROR(--ISNUMBER(SEARCH("R76",G213)),0)+IFERROR(--ISNUMBER(SEARCH("R77",G213)),0)+IFERROR(--ISNUMBER(SEARCH("R79",G213)),0)+IFERROR(--ISNUMBER(SEARCH("R80",G213)),0)+IFERROR(--ISNUMBER(SEARCH("R81",G213)),0)+IFERROR(--ISNUMBER(SEARCH("R83",G213)),0)+IFERROR(--ISNUMBER(SEARCH("R84",G213)),0)+IFERROR(--ISNUMBER(SEARCH("R89",G213)),0)+IFERROR(--ISNUMBER(SEARCH("R94",G213)),0)+IFERROR(--ISNUMBER(SEARCH("R95",G213)),0)+IFERROR(--ISNUMBER(SEARCH("R96",G213)),0)+IFERROR(--ISNUMBER(SEARCH("R98",G213)),0)+IFERROR(--ISNUMBER(SEARCH("R99",G213)),0)+IFERROR(--ISNUMBER(SEARCH("R100",G213)),0)+IFERROR(--ISNUMBER(SEARCH("R104",G213)),0)+IFERROR(--ISNUMBER(SEARCH("R105",G213)),0)+IFERROR(--ISNUMBER(SEARCH("R107",G213)),0)+IFERROR(--ISNUMBER(SEARCH("R108",G213)),0)+IFERROR(--ISNUMBER(SEARCH("R109",G213)),0)+IFERROR(--ISNUMBER(SEARCH("R110",G213)),0)+IFERROR(--ISNUMBER(SEARCH("R112",G213)),0)+IFERROR(--ISNUMBER(SEARCH("R113",G213)),0)+IFERROR(--ISNUMBER(SEARCH("R114",G213)),0)+IFERROR(--ISNUMBER(SEARCH("R118",G213)),0)+IFERROR(--ISNUMBER(SEARCH("R119",G213)),0)+IFERROR(--ISNUMBER(SEARCH("R120",G213)),0)+IFERROR(--ISNUMBER(SEARCH("R122",G213)),0)+IFERROR(--ISNUMBER(SEARCH("R123",G213)),0)+IFERROR(--ISNUMBER(SEARCH("R124",G213)),0)+IFERROR(--ISNUMBER(SEARCH("R128",G213)),0)+IFERROR(--ISNUMBER(SEARCH("R130",G213)),0)+IFERROR(--ISNUMBER(SEARCH("R131",G213)),0)+IFERROR(--ISNUMBER(SEARCH("R132",G213)),0)+IFERROR(--ISNUMBER(SEARCH("R135",G213)),0)+IFERROR(--ISNUMBER(SEARCH("R138",G213)),0)+IFERROR(--ISNUMBER(SEARCH("R141",G213)),0))</f>
        <v/>
      </c>
      <c r="U213" s="58">
        <f>IF(A213="","",IFERROR(--ISNUMBER(SEARCH("R28",G213))*28,0)+IFERROR(--ISNUMBER(SEARCH("R29",G213))*29,0)+IFERROR(--ISNUMBER(SEARCH("R30",G213))*30,0)+IFERROR(--ISNUMBER(SEARCH("R31",G213))*31,0)+IFERROR(--ISNUMBER(SEARCH("R32",G213))*32,0)+IFERROR(--ISNUMBER(SEARCH("R33",G213))*33,0)+IFERROR(--ISNUMBER(SEARCH("R34",G213))*34,0)+IFERROR(--ISNUMBER(SEARCH("R35",G213))*35,0)+IFERROR(--ISNUMBER(SEARCH("R36",G213))*36,0)+IFERROR(--ISNUMBER(SEARCH("R37",G213))*37,0)+IFERROR(--ISNUMBER(SEARCH("R38",G213))*38,0)+IFERROR(--ISNUMBER(SEARCH("R39",G213))*39,0)+IFERROR(--ISNUMBER(SEARCH("R40",G213))*40,0)+IFERROR(--ISNUMBER(SEARCH("R41",G213))*41,0)+IFERROR(--ISNUMBER(SEARCH("R42",G213))*42,0)+IFERROR(--ISNUMBER(SEARCH("R43",G213))*43,0)+IFERROR(--ISNUMBER(SEARCH("R44",G213))*44,0)+IFERROR(--ISNUMBER(SEARCH("R45",G213))*45,0)+IFERROR(--ISNUMBER(SEARCH("R46",G213))*46,0)+IFERROR(--ISNUMBER(SEARCH("R47",G213))*47,0)+IFERROR(--ISNUMBER(SEARCH("R48",G213))*48,0)+IFERROR(--ISNUMBER(SEARCH("R49",G213))*49,0)+IFERROR(--ISNUMBER(SEARCH("R50",G213))*50,0)+IFERROR(--ISNUMBER(SEARCH("R51",G213))*51,0)+IFERROR(--ISNUMBER(SEARCH("R52",G213))*52,0)+IFERROR(--ISNUMBER(SEARCH("R53",G213))*53,0)+IFERROR(--ISNUMBER(SEARCH("R54",G213))*54,0)+IFERROR(--ISNUMBER(SEARCH("R55",G213))*55,0)+IFERROR(--ISNUMBER(SEARCH("R56",G213))*56,0)+IFERROR(--ISNUMBER(SEARCH("R57",G213))*57,0)+IFERROR(--ISNUMBER(SEARCH("R58",G213))*58,0)+IFERROR(--ISNUMBER(SEARCH("R59",G213))*59,0)+IFERROR(--ISNUMBER(SEARCH("R60",G213))*60,0)+IFERROR(--ISNUMBER(SEARCH("R61",G213))*61,0)+IFERROR(--ISNUMBER(SEARCH("R62",G213))*62,0)+IFERROR(--ISNUMBER(SEARCH("R63",G213))*63,0)+IFERROR(--ISNUMBER(SEARCH("R64",G213))*64,0)+IFERROR(--ISNUMBER(SEARCH("R65",G213))*65,0)+IFERROR(--ISNUMBER(SEARCH("R66",G213))*66,0)+IFERROR(--ISNUMBER(SEARCH("R67",G213))*67,0)+IFERROR(--ISNUMBER(SEARCH("R68",G213))*68,0)+IFERROR(--ISNUMBER(SEARCH("R69",G213))*69,0)+IFERROR(--ISNUMBER(SEARCH("R70",G213))*70,0)+IFERROR(--ISNUMBER(SEARCH("R71",G213))*71,0)+IFERROR(--ISNUMBER(SEARCH("R72",G213))*72,0)+IFERROR(--ISNUMBER(SEARCH("R73",G213))*73,0)+IFERROR(--ISNUMBER(SEARCH("R74",G213))*74,0)+IFERROR(--ISNUMBER(SEARCH("R75",G213))*75,0)+IFERROR(--ISNUMBER(SEARCH("R76",G213))*76,0)+IFERROR(--ISNUMBER(SEARCH("R77",G213))*77,0)+IFERROR(--ISNUMBER(SEARCH("R78",G213))*78,0)+IFERROR(--ISNUMBER(SEARCH("R79",G213))*79,0)+IFERROR(--ISNUMBER(SEARCH("R80",G213))*80,0)+IFERROR(--ISNUMBER(SEARCH("R81",G213))*81,0)+IFERROR(--ISNUMBER(SEARCH("R82",G213))*82,0)+IFERROR(--ISNUMBER(SEARCH("R83",G213))*83,0)+IFERROR(--ISNUMBER(SEARCH("R84",G213))*84,0)+IFERROR(--ISNUMBER(SEARCH("R85",G213))*85,0)+IFERROR(--ISNUMBER(SEARCH("R86",G213))*86,0)+IFERROR(--ISNUMBER(SEARCH("R87",G213))*87,0)+IFERROR(--ISNUMBER(SEARCH("R88",G213))*88,0)+IFERROR(--ISNUMBER(SEARCH("R89",G213))*89,0)+IFERROR(--ISNUMBER(SEARCH("R90",G213))*90,0)+IFERROR(--ISNUMBER(SEARCH("R91",G213))*91,0)+IFERROR(--ISNUMBER(SEARCH("R92",G213))*92,0)+IFERROR(--ISNUMBER(SEARCH("R93",G213))*93,0)+IFERROR(--ISNUMBER(SEARCH("R94",G213))*94,0)+IFERROR(--ISNUMBER(SEARCH("R95",G213))*95,0)+IFERROR(--ISNUMBER(SEARCH("R96",G213))*96,0)+IFERROR(--ISNUMBER(SEARCH("R97",G213))*97,0)+IFERROR(--ISNUMBER(SEARCH("R98",G213))*98,0)+IFERROR(--ISNUMBER(SEARCH("R99",G213))*99,0)+IFERROR(--ISNUMBER(SEARCH("R100",G213))*100,0)+IFERROR(--ISNUMBER(SEARCH("R101",G213))*101,0)+IFERROR(--ISNUMBER(SEARCH("R102",G213))*102,0)+IFERROR(--ISNUMBER(SEARCH("R103",G213))*103,0)+IFERROR(--ISNUMBER(SEARCH("R104",G213))*104,0)+IFERROR(--ISNUMBER(SEARCH("R105",G213))*105,0)+IFERROR(--ISNUMBER(SEARCH("R106",G213))*106,0)+IFERROR(--ISNUMBER(SEARCH("R107",G213))*107,0)+IFERROR(--ISNUMBER(SEARCH("R108",G213))*108,0)+IFERROR(--ISNUMBER(SEARCH("R109",G213))*109,0)+IFERROR(--ISNUMBER(SEARCH("R110",G213))*110,0)+IFERROR(--ISNUMBER(SEARCH("R111",G213))*111,0)+IFERROR(--ISNUMBER(SEARCH("R112",G213))*112,0)+IFERROR(--ISNUMBER(SEARCH("R113",G213))*113,0)+IFERROR(--ISNUMBER(SEARCH("R114",G213))*114,0)+IFERROR(--ISNUMBER(SEARCH("R115",G213))*115,0)+IFERROR(--ISNUMBER(SEARCH("R116",G213))*116,0)+IFERROR(--ISNUMBER(SEARCH("R117",G213))*117,0)+IFERROR(--ISNUMBER(SEARCH("R118",G213))*118,0)+IFERROR(--ISNUMBER(SEARCH("R119",G213))*119,0)+IFERROR(--ISNUMBER(SEARCH("R120",G213))*120,0)+IFERROR(--ISNUMBER(SEARCH("R121",G213))*121,0)+IFERROR(--ISNUMBER(SEARCH("R122",G213))*122,0)+IFERROR(--ISNUMBER(SEARCH("R123",G213))*123,0)+IFERROR(--ISNUMBER(SEARCH("R124",G213))*124,0)+IFERROR(--ISNUMBER(SEARCH("R125",G213))*125,0)+IFERROR(--ISNUMBER(SEARCH("R126",G213))*126,0)+IFERROR(--ISNUMBER(SEARCH("R127",G213))*127,0)+IFERROR(--ISNUMBER(SEARCH("R128",G213))*128,0)+IFERROR(--ISNUMBER(SEARCH("R129",G213))*129,0)+IFERROR(--ISNUMBER(SEARCH("R130",G213))*130,0)+IFERROR(--ISNUMBER(SEARCH("R131",G213))*131,0)+IFERROR(--ISNUMBER(SEARCH("R132",G213))*132,0)+IFERROR(--ISNUMBER(SEARCH("R133",G213))*133,0)+IFERROR(--ISNUMBER(SEARCH("R134",G213))*134,0)+IFERROR(--ISNUMBER(SEARCH("R135",G213))*135,0)+IFERROR(--ISNUMBER(SEARCH("R136",G213))*136,0)+IFERROR(--ISNUMBER(SEARCH("R137",G213))*137,0)+IFERROR(--ISNUMBER(SEARCH("R138",G213))*138,0)+IFERROR(--ISNUMBER(SEARCH("R139",G213))*139,0)+IFERROR(--ISNUMBER(SEARCH("R140",G213))*140,0)+IFERROR(--ISNUMBER(SEARCH("R141",G213))*141,0))</f>
        <v/>
      </c>
      <c r="V213" s="59">
        <f>IF(A213="","",IF(K213&lt;&gt;"",K213,J213))</f>
        <v/>
      </c>
      <c r="W213" s="59">
        <f>IF(A213="","",IF(AND(V213=29,O213&lt;&gt;"",COUNTIFS($V$6:$V$505,29,$F$6:$F$505,F213,$C$6:$C$505,C213,$O$6:$O$505,"&lt;&gt;")&gt;1),IF(COUNTIFS($V$6:V213,29,$F$6:F213,F213,$C$6:C213,C213,$O$6:O213,"&lt;&gt;")=1,"Esta es la fila que se debe CONSERVAR (aparición 1 de "&amp;COUNTIFS($V$6:$V$505,29,$F$6:$F$505,F213,$C$6:$C$505,C213,$O$6:$O$505,"&lt;&gt;")&amp;" con el mismo tercero y valor, casilla 29). Si hay más filas iguales, bórreles el valor a ELLAS, no a esta.","DUPLICADO — ya existe otra fila con el mismo tercero y valor para casilla 29 (aparición "&amp;COUNTIFS($V$6:V213,29,$F$6:F213,F213,$C$6:C213,C213,$O$6:O213,"&lt;&gt;")&amp;" de "&amp;COUNTIFS($V$6:$V$505,29,$F$6:$F$505,F213,$C$6:$C$505,C213,$O$6:$O$505,"&lt;&gt;")&amp;"). Para resolverlo: seleccione la celda O"&amp;ROW()&amp;" (columna Valor a declarar de ESTA fila) y presione Supr."),""))</f>
        <v/>
      </c>
      <c r="X213" s="463">
        <f>IF(A213="","",F213)</f>
        <v/>
      </c>
      <c r="Y213" s="463">
        <f>IF(A213="","",SUMIF(Entrada_Manual!$I$88:$I$187,A213,Entrada_Manual!$F$88:$F$187))</f>
        <v/>
      </c>
      <c r="Z213" s="463">
        <f>IF(A213="","",X213-Y213)</f>
        <v/>
      </c>
      <c r="AA213">
        <f>IF(A213="","",SUMPRODUCT((Entrada_Manual!$I$88:$I$187=A213)*1))</f>
        <v/>
      </c>
      <c r="AB213">
        <f>IF(A213="","",IF(S213&lt;=1,"",IF(AA213=0,"PENDIENTE — SIN ASIGNAR",IF(Z213=0,"RESUELTO","PARCIAL — DIFERENCIA "&amp;TEXT(Z213,"#,##0")))))</f>
        <v/>
      </c>
    </row>
    <row r="214" ht="14.25" customHeight="1" s="235">
      <c r="A214" s="47">
        <f>IF(Exogena_RAW!E223&lt;&gt;"",ROW()-5,"")</f>
        <v/>
      </c>
      <c r="B214" s="48">
        <f>IF(A214="","",223)</f>
        <v/>
      </c>
      <c r="C214" s="48">
        <f>IF(A214="","",IFERROR(Exogena_RAW!A223,""))</f>
        <v/>
      </c>
      <c r="D214" s="48">
        <f>IF(A214="","",IFERROR(Exogena_RAW!B223,""))</f>
        <v/>
      </c>
      <c r="E214" s="48">
        <f>IF(A214="","",Exogena_RAW!E223)</f>
        <v/>
      </c>
      <c r="F214" s="461">
        <f>IF(A214="","",Exogena_RAW!F223)</f>
        <v/>
      </c>
      <c r="G214" s="48">
        <f>IF(A214="","",IFERROR(Exogena_RAW!G223,""))</f>
        <v/>
      </c>
      <c r="H214" s="48">
        <f>IF(A214="","",IFERROR(Exogena_RAW!H223,""))</f>
        <v/>
      </c>
      <c r="I214" s="48">
        <f>IF(A214="","",IFERROR(IF(S214&gt;1,"VARIAS CASILLAS",IF(S214=1,IF(T214=1,"PROPUESTA DE CASILLA","REVISIÓN: CASILLA NO DIRECTA"),IF(OR(ISNUMBER(SEARCH("TOPE",UPPER(E214))),ISNUMBER(SEARCH("TOPE",UPPER(G214)))),"SOLO CONTROL",IF(ISNUMBER(SEARCH("RETEN",UPPER(E214))),"RETENCIÓN","REVISAR")))),"REVISAR"))</f>
        <v/>
      </c>
      <c r="J214" s="48">
        <f>IF(A214="","",IF(ISNUMBER(SEARCH("ingreso laboral promedio de los últimos seis meses",E214)),"",IFERROR(IF(AND(S214=1,T214=1),U214,""),"")))</f>
        <v/>
      </c>
      <c r="K214" s="216" t="n"/>
      <c r="L214" s="48">
        <f>IF(A214="","",IFERROR(IF(K214&lt;&gt;"","Casilla elegida por usuario",IF(S214&gt;1,"Varias casillas — elegir en K",IF(J214&lt;&gt;"","Sugerencia directa",IF(S214=1,"No trasladar directo — revisar",IF(OR(ISNUMBER(SEARCH("TOPE",UPPER(E214))),ISNUMBER(SEARCH("TOPE",UPPER(G214)))),"Solo control","Revisar manualmente"))))),"Revisar manualmente"))</f>
        <v/>
      </c>
      <c r="M214" s="461">
        <f>IF(A214="","",IF(IF(K214&lt;&gt;"",K214,J214)="",0,IF(COUNTIFS(Reglas!$I$5:$I$118,IF(K214&lt;&gt;"",K214,J214),Reglas!$J$5:$J$118,"Sí")=1,F214,0)))</f>
        <v/>
      </c>
      <c r="N214" s="56" t="n"/>
      <c r="O214" s="462">
        <f>IF(A214="","",IF(M214=0,"",M214))</f>
        <v/>
      </c>
      <c r="P214" s="461">
        <f>IF(A214="","",IF(O214="",0,IF(ISNUMBER(O214),O214,0)))</f>
        <v/>
      </c>
      <c r="Q214" s="48">
        <f>IF(A214="","",IF(Exogena_RAW!$C$4="","BLOQUEADO: FALTA AÑO",IF(Exogena_RAW!$K$10&lt;&gt;Reglas!$B$5,"BLOQUEADO: AÑO",IF(IF(K214&lt;&gt;"",K214,J214)="",IF(S214&gt;1,"REQUIERE ASIGNACIÓN MANUAL (VARIAS CASILLAS)","INFORMATIVO (sin casilla — no se declara)"),IF(COUNTIFS(Reglas!$I$5:$I$118,IF(K214&lt;&gt;"",K214,J214),Reglas!$J$5:$J$118,"Sí")=0,"BLOQUEADO: CASILLA NO DIRECTA",IF(O214="","EXCLUIDO (valor borrado por el usuario)",IF(_xlfn.ISFORMULA(O214),IF(W214&lt;&gt;"","BORRADOR — VALOR SUGERIDO DIAN ⚠ VER ALERTA","BORRADOR — VALOR SUGERIDO DIAN"),IF(W214&lt;&gt;"","ACEPTADO ⚠ VER ALERTA","ACEPTADO"))))))))</f>
        <v/>
      </c>
      <c r="R214" s="218" t="n"/>
      <c r="S214" s="58">
        <f>IF(A214="","",IFERROR(--ISNUMBER(SEARCH("R28",G214)),0)+IFERROR(--ISNUMBER(SEARCH("R29",G214)),0)+IFERROR(--ISNUMBER(SEARCH("R30",G214)),0)+IFERROR(--ISNUMBER(SEARCH("R31",G214)),0)+IFERROR(--ISNUMBER(SEARCH("R32",G214)),0)+IFERROR(--ISNUMBER(SEARCH("R33",G214)),0)+IFERROR(--ISNUMBER(SEARCH("R34",G214)),0)+IFERROR(--ISNUMBER(SEARCH("R35",G214)),0)+IFERROR(--ISNUMBER(SEARCH("R36",G214)),0)+IFERROR(--ISNUMBER(SEARCH("R37",G214)),0)+IFERROR(--ISNUMBER(SEARCH("R38",G214)),0)+IFERROR(--ISNUMBER(SEARCH("R39",G214)),0)+IFERROR(--ISNUMBER(SEARCH("R40",G214)),0)+IFERROR(--ISNUMBER(SEARCH("R41",G214)),0)+IFERROR(--ISNUMBER(SEARCH("R42",G214)),0)+IFERROR(--ISNUMBER(SEARCH("R43",G214)),0)+IFERROR(--ISNUMBER(SEARCH("R44",G214)),0)+IFERROR(--ISNUMBER(SEARCH("R45",G214)),0)+IFERROR(--ISNUMBER(SEARCH("R46",G214)),0)+IFERROR(--ISNUMBER(SEARCH("R47",G214)),0)+IFERROR(--ISNUMBER(SEARCH("R48",G214)),0)+IFERROR(--ISNUMBER(SEARCH("R49",G214)),0)+IFERROR(--ISNUMBER(SEARCH("R50",G214)),0)+IFERROR(--ISNUMBER(SEARCH("R51",G214)),0)+IFERROR(--ISNUMBER(SEARCH("R52",G214)),0)+IFERROR(--ISNUMBER(SEARCH("R53",G214)),0)+IFERROR(--ISNUMBER(SEARCH("R54",G214)),0)+IFERROR(--ISNUMBER(SEARCH("R55",G214)),0)+IFERROR(--ISNUMBER(SEARCH("R56",G214)),0)+IFERROR(--ISNUMBER(SEARCH("R57",G214)),0)+IFERROR(--ISNUMBER(SEARCH("R58",G214)),0)+IFERROR(--ISNUMBER(SEARCH("R59",G214)),0)+IFERROR(--ISNUMBER(SEARCH("R60",G214)),0)+IFERROR(--ISNUMBER(SEARCH("R61",G214)),0)+IFERROR(--ISNUMBER(SEARCH("R62",G214)),0)+IFERROR(--ISNUMBER(SEARCH("R63",G214)),0)+IFERROR(--ISNUMBER(SEARCH("R64",G214)),0)+IFERROR(--ISNUMBER(SEARCH("R65",G214)),0)+IFERROR(--ISNUMBER(SEARCH("R66",G214)),0)+IFERROR(--ISNUMBER(SEARCH("R67",G214)),0)+IFERROR(--ISNUMBER(SEARCH("R68",G214)),0)+IFERROR(--ISNUMBER(SEARCH("R69",G214)),0)+IFERROR(--ISNUMBER(SEARCH("R70",G214)),0)+IFERROR(--ISNUMBER(SEARCH("R71",G214)),0)+IFERROR(--ISNUMBER(SEARCH("R72",G214)),0)+IFERROR(--ISNUMBER(SEARCH("R73",G214)),0)+IFERROR(--ISNUMBER(SEARCH("R74",G214)),0)+IFERROR(--ISNUMBER(SEARCH("R75",G214)),0)+IFERROR(--ISNUMBER(SEARCH("R76",G214)),0)+IFERROR(--ISNUMBER(SEARCH("R77",G214)),0)+IFERROR(--ISNUMBER(SEARCH("R78",G214)),0)+IFERROR(--ISNUMBER(SEARCH("R79",G214)),0)+IFERROR(--ISNUMBER(SEARCH("R80",G214)),0)+IFERROR(--ISNUMBER(SEARCH("R81",G214)),0)+IFERROR(--ISNUMBER(SEARCH("R82",G214)),0)+IFERROR(--ISNUMBER(SEARCH("R83",G214)),0)+IFERROR(--ISNUMBER(SEARCH("R84",G214)),0)+IFERROR(--ISNUMBER(SEARCH("R85",G214)),0)+IFERROR(--ISNUMBER(SEARCH("R86",G214)),0)+IFERROR(--ISNUMBER(SEARCH("R87",G214)),0)+IFERROR(--ISNUMBER(SEARCH("R88",G214)),0)+IFERROR(--ISNUMBER(SEARCH("R89",G214)),0)+IFERROR(--ISNUMBER(SEARCH("R90",G214)),0)+IFERROR(--ISNUMBER(SEARCH("R91",G214)),0)+IFERROR(--ISNUMBER(SEARCH("R92",G214)),0)+IFERROR(--ISNUMBER(SEARCH("R93",G214)),0)+IFERROR(--ISNUMBER(SEARCH("R94",G214)),0)+IFERROR(--ISNUMBER(SEARCH("R95",G214)),0)+IFERROR(--ISNUMBER(SEARCH("R96",G214)),0)+IFERROR(--ISNUMBER(SEARCH("R97",G214)),0)+IFERROR(--ISNUMBER(SEARCH("R98",G214)),0)+IFERROR(--ISNUMBER(SEARCH("R99",G214)),0)+IFERROR(--ISNUMBER(SEARCH("R100",G214)),0)+IFERROR(--ISNUMBER(SEARCH("R101",G214)),0)+IFERROR(--ISNUMBER(SEARCH("R102",G214)),0)+IFERROR(--ISNUMBER(SEARCH("R103",G214)),0)+IFERROR(--ISNUMBER(SEARCH("R104",G214)),0)+IFERROR(--ISNUMBER(SEARCH("R105",G214)),0)+IFERROR(--ISNUMBER(SEARCH("R106",G214)),0)+IFERROR(--ISNUMBER(SEARCH("R107",G214)),0)+IFERROR(--ISNUMBER(SEARCH("R108",G214)),0)+IFERROR(--ISNUMBER(SEARCH("R109",G214)),0)+IFERROR(--ISNUMBER(SEARCH("R110",G214)),0)+IFERROR(--ISNUMBER(SEARCH("R111",G214)),0)+IFERROR(--ISNUMBER(SEARCH("R112",G214)),0)+IFERROR(--ISNUMBER(SEARCH("R113",G214)),0)+IFERROR(--ISNUMBER(SEARCH("R114",G214)),0)+IFERROR(--ISNUMBER(SEARCH("R115",G214)),0)+IFERROR(--ISNUMBER(SEARCH("R116",G214)),0)+IFERROR(--ISNUMBER(SEARCH("R117",G214)),0)+IFERROR(--ISNUMBER(SEARCH("R118",G214)),0)+IFERROR(--ISNUMBER(SEARCH("R119",G214)),0)+IFERROR(--ISNUMBER(SEARCH("R120",G214)),0)+IFERROR(--ISNUMBER(SEARCH("R121",G214)),0)+IFERROR(--ISNUMBER(SEARCH("R122",G214)),0)+IFERROR(--ISNUMBER(SEARCH("R123",G214)),0)+IFERROR(--ISNUMBER(SEARCH("R124",G214)),0)+IFERROR(--ISNUMBER(SEARCH("R125",G214)),0)+IFERROR(--ISNUMBER(SEARCH("R126",G214)),0)+IFERROR(--ISNUMBER(SEARCH("R127",G214)),0)+IFERROR(--ISNUMBER(SEARCH("R128",G214)),0)+IFERROR(--ISNUMBER(SEARCH("R129",G214)),0)+IFERROR(--ISNUMBER(SEARCH("R130",G214)),0)+IFERROR(--ISNUMBER(SEARCH("R131",G214)),0)+IFERROR(--ISNUMBER(SEARCH("R132",G214)),0)+IFERROR(--ISNUMBER(SEARCH("R133",G214)),0)+IFERROR(--ISNUMBER(SEARCH("R134",G214)),0)+IFERROR(--ISNUMBER(SEARCH("R135",G214)),0)+IFERROR(--ISNUMBER(SEARCH("R136",G214)),0)+IFERROR(--ISNUMBER(SEARCH("R137",G214)),0)+IFERROR(--ISNUMBER(SEARCH("R138",G214)),0)+IFERROR(--ISNUMBER(SEARCH("R139",G214)),0)+IFERROR(--ISNUMBER(SEARCH("R140",G214)),0)+IFERROR(--ISNUMBER(SEARCH("R141",G214)),0))</f>
        <v/>
      </c>
      <c r="T214" s="58">
        <f>IF(A214="","",IFERROR(--ISNUMBER(SEARCH("R28",G214)),0)+IFERROR(--ISNUMBER(SEARCH("R29",G214)),0)+IFERROR(--ISNUMBER(SEARCH("R30",G214)),0)+IFERROR(--ISNUMBER(SEARCH("R32",G214)),0)+IFERROR(--ISNUMBER(SEARCH("R33",G214)),0)+IFERROR(--ISNUMBER(SEARCH("R35",G214)),0)+IFERROR(--ISNUMBER(SEARCH("R36",G214)),0)+IFERROR(--ISNUMBER(SEARCH("R38",G214)),0)+IFERROR(--ISNUMBER(SEARCH("R39",G214)),0)+IFERROR(--ISNUMBER(SEARCH("R43",G214)),0)+IFERROR(--ISNUMBER(SEARCH("R44",G214)),0)+IFERROR(--ISNUMBER(SEARCH("R45",G214)),0)+IFERROR(--ISNUMBER(SEARCH("R47",G214)),0)+IFERROR(--ISNUMBER(SEARCH("R48",G214)),0)+IFERROR(--ISNUMBER(SEARCH("R50",G214)),0)+IFERROR(--ISNUMBER(SEARCH("R51",G214)),0)+IFERROR(--ISNUMBER(SEARCH("R56",G214)),0)+IFERROR(--ISNUMBER(SEARCH("R58",G214)),0)+IFERROR(--ISNUMBER(SEARCH("R59",G214)),0)+IFERROR(--ISNUMBER(SEARCH("R60",G214)),0)+IFERROR(--ISNUMBER(SEARCH("R62",G214)),0)+IFERROR(--ISNUMBER(SEARCH("R63",G214)),0)+IFERROR(--ISNUMBER(SEARCH("R64",G214)),0)+IFERROR(--ISNUMBER(SEARCH("R66",G214)),0)+IFERROR(--ISNUMBER(SEARCH("R67",G214)),0)+IFERROR(--ISNUMBER(SEARCH("R72",G214)),0)+IFERROR(--ISNUMBER(SEARCH("R74",G214)),0)+IFERROR(--ISNUMBER(SEARCH("R75",G214)),0)+IFERROR(--ISNUMBER(SEARCH("R76",G214)),0)+IFERROR(--ISNUMBER(SEARCH("R77",G214)),0)+IFERROR(--ISNUMBER(SEARCH("R79",G214)),0)+IFERROR(--ISNUMBER(SEARCH("R80",G214)),0)+IFERROR(--ISNUMBER(SEARCH("R81",G214)),0)+IFERROR(--ISNUMBER(SEARCH("R83",G214)),0)+IFERROR(--ISNUMBER(SEARCH("R84",G214)),0)+IFERROR(--ISNUMBER(SEARCH("R89",G214)),0)+IFERROR(--ISNUMBER(SEARCH("R94",G214)),0)+IFERROR(--ISNUMBER(SEARCH("R95",G214)),0)+IFERROR(--ISNUMBER(SEARCH("R96",G214)),0)+IFERROR(--ISNUMBER(SEARCH("R98",G214)),0)+IFERROR(--ISNUMBER(SEARCH("R99",G214)),0)+IFERROR(--ISNUMBER(SEARCH("R100",G214)),0)+IFERROR(--ISNUMBER(SEARCH("R104",G214)),0)+IFERROR(--ISNUMBER(SEARCH("R105",G214)),0)+IFERROR(--ISNUMBER(SEARCH("R107",G214)),0)+IFERROR(--ISNUMBER(SEARCH("R108",G214)),0)+IFERROR(--ISNUMBER(SEARCH("R109",G214)),0)+IFERROR(--ISNUMBER(SEARCH("R110",G214)),0)+IFERROR(--ISNUMBER(SEARCH("R112",G214)),0)+IFERROR(--ISNUMBER(SEARCH("R113",G214)),0)+IFERROR(--ISNUMBER(SEARCH("R114",G214)),0)+IFERROR(--ISNUMBER(SEARCH("R118",G214)),0)+IFERROR(--ISNUMBER(SEARCH("R119",G214)),0)+IFERROR(--ISNUMBER(SEARCH("R120",G214)),0)+IFERROR(--ISNUMBER(SEARCH("R122",G214)),0)+IFERROR(--ISNUMBER(SEARCH("R123",G214)),0)+IFERROR(--ISNUMBER(SEARCH("R124",G214)),0)+IFERROR(--ISNUMBER(SEARCH("R128",G214)),0)+IFERROR(--ISNUMBER(SEARCH("R130",G214)),0)+IFERROR(--ISNUMBER(SEARCH("R131",G214)),0)+IFERROR(--ISNUMBER(SEARCH("R132",G214)),0)+IFERROR(--ISNUMBER(SEARCH("R135",G214)),0)+IFERROR(--ISNUMBER(SEARCH("R138",G214)),0)+IFERROR(--ISNUMBER(SEARCH("R141",G214)),0))</f>
        <v/>
      </c>
      <c r="U214" s="58">
        <f>IF(A214="","",IFERROR(--ISNUMBER(SEARCH("R28",G214))*28,0)+IFERROR(--ISNUMBER(SEARCH("R29",G214))*29,0)+IFERROR(--ISNUMBER(SEARCH("R30",G214))*30,0)+IFERROR(--ISNUMBER(SEARCH("R31",G214))*31,0)+IFERROR(--ISNUMBER(SEARCH("R32",G214))*32,0)+IFERROR(--ISNUMBER(SEARCH("R33",G214))*33,0)+IFERROR(--ISNUMBER(SEARCH("R34",G214))*34,0)+IFERROR(--ISNUMBER(SEARCH("R35",G214))*35,0)+IFERROR(--ISNUMBER(SEARCH("R36",G214))*36,0)+IFERROR(--ISNUMBER(SEARCH("R37",G214))*37,0)+IFERROR(--ISNUMBER(SEARCH("R38",G214))*38,0)+IFERROR(--ISNUMBER(SEARCH("R39",G214))*39,0)+IFERROR(--ISNUMBER(SEARCH("R40",G214))*40,0)+IFERROR(--ISNUMBER(SEARCH("R41",G214))*41,0)+IFERROR(--ISNUMBER(SEARCH("R42",G214))*42,0)+IFERROR(--ISNUMBER(SEARCH("R43",G214))*43,0)+IFERROR(--ISNUMBER(SEARCH("R44",G214))*44,0)+IFERROR(--ISNUMBER(SEARCH("R45",G214))*45,0)+IFERROR(--ISNUMBER(SEARCH("R46",G214))*46,0)+IFERROR(--ISNUMBER(SEARCH("R47",G214))*47,0)+IFERROR(--ISNUMBER(SEARCH("R48",G214))*48,0)+IFERROR(--ISNUMBER(SEARCH("R49",G214))*49,0)+IFERROR(--ISNUMBER(SEARCH("R50",G214))*50,0)+IFERROR(--ISNUMBER(SEARCH("R51",G214))*51,0)+IFERROR(--ISNUMBER(SEARCH("R52",G214))*52,0)+IFERROR(--ISNUMBER(SEARCH("R53",G214))*53,0)+IFERROR(--ISNUMBER(SEARCH("R54",G214))*54,0)+IFERROR(--ISNUMBER(SEARCH("R55",G214))*55,0)+IFERROR(--ISNUMBER(SEARCH("R56",G214))*56,0)+IFERROR(--ISNUMBER(SEARCH("R57",G214))*57,0)+IFERROR(--ISNUMBER(SEARCH("R58",G214))*58,0)+IFERROR(--ISNUMBER(SEARCH("R59",G214))*59,0)+IFERROR(--ISNUMBER(SEARCH("R60",G214))*60,0)+IFERROR(--ISNUMBER(SEARCH("R61",G214))*61,0)+IFERROR(--ISNUMBER(SEARCH("R62",G214))*62,0)+IFERROR(--ISNUMBER(SEARCH("R63",G214))*63,0)+IFERROR(--ISNUMBER(SEARCH("R64",G214))*64,0)+IFERROR(--ISNUMBER(SEARCH("R65",G214))*65,0)+IFERROR(--ISNUMBER(SEARCH("R66",G214))*66,0)+IFERROR(--ISNUMBER(SEARCH("R67",G214))*67,0)+IFERROR(--ISNUMBER(SEARCH("R68",G214))*68,0)+IFERROR(--ISNUMBER(SEARCH("R69",G214))*69,0)+IFERROR(--ISNUMBER(SEARCH("R70",G214))*70,0)+IFERROR(--ISNUMBER(SEARCH("R71",G214))*71,0)+IFERROR(--ISNUMBER(SEARCH("R72",G214))*72,0)+IFERROR(--ISNUMBER(SEARCH("R73",G214))*73,0)+IFERROR(--ISNUMBER(SEARCH("R74",G214))*74,0)+IFERROR(--ISNUMBER(SEARCH("R75",G214))*75,0)+IFERROR(--ISNUMBER(SEARCH("R76",G214))*76,0)+IFERROR(--ISNUMBER(SEARCH("R77",G214))*77,0)+IFERROR(--ISNUMBER(SEARCH("R78",G214))*78,0)+IFERROR(--ISNUMBER(SEARCH("R79",G214))*79,0)+IFERROR(--ISNUMBER(SEARCH("R80",G214))*80,0)+IFERROR(--ISNUMBER(SEARCH("R81",G214))*81,0)+IFERROR(--ISNUMBER(SEARCH("R82",G214))*82,0)+IFERROR(--ISNUMBER(SEARCH("R83",G214))*83,0)+IFERROR(--ISNUMBER(SEARCH("R84",G214))*84,0)+IFERROR(--ISNUMBER(SEARCH("R85",G214))*85,0)+IFERROR(--ISNUMBER(SEARCH("R86",G214))*86,0)+IFERROR(--ISNUMBER(SEARCH("R87",G214))*87,0)+IFERROR(--ISNUMBER(SEARCH("R88",G214))*88,0)+IFERROR(--ISNUMBER(SEARCH("R89",G214))*89,0)+IFERROR(--ISNUMBER(SEARCH("R90",G214))*90,0)+IFERROR(--ISNUMBER(SEARCH("R91",G214))*91,0)+IFERROR(--ISNUMBER(SEARCH("R92",G214))*92,0)+IFERROR(--ISNUMBER(SEARCH("R93",G214))*93,0)+IFERROR(--ISNUMBER(SEARCH("R94",G214))*94,0)+IFERROR(--ISNUMBER(SEARCH("R95",G214))*95,0)+IFERROR(--ISNUMBER(SEARCH("R96",G214))*96,0)+IFERROR(--ISNUMBER(SEARCH("R97",G214))*97,0)+IFERROR(--ISNUMBER(SEARCH("R98",G214))*98,0)+IFERROR(--ISNUMBER(SEARCH("R99",G214))*99,0)+IFERROR(--ISNUMBER(SEARCH("R100",G214))*100,0)+IFERROR(--ISNUMBER(SEARCH("R101",G214))*101,0)+IFERROR(--ISNUMBER(SEARCH("R102",G214))*102,0)+IFERROR(--ISNUMBER(SEARCH("R103",G214))*103,0)+IFERROR(--ISNUMBER(SEARCH("R104",G214))*104,0)+IFERROR(--ISNUMBER(SEARCH("R105",G214))*105,0)+IFERROR(--ISNUMBER(SEARCH("R106",G214))*106,0)+IFERROR(--ISNUMBER(SEARCH("R107",G214))*107,0)+IFERROR(--ISNUMBER(SEARCH("R108",G214))*108,0)+IFERROR(--ISNUMBER(SEARCH("R109",G214))*109,0)+IFERROR(--ISNUMBER(SEARCH("R110",G214))*110,0)+IFERROR(--ISNUMBER(SEARCH("R111",G214))*111,0)+IFERROR(--ISNUMBER(SEARCH("R112",G214))*112,0)+IFERROR(--ISNUMBER(SEARCH("R113",G214))*113,0)+IFERROR(--ISNUMBER(SEARCH("R114",G214))*114,0)+IFERROR(--ISNUMBER(SEARCH("R115",G214))*115,0)+IFERROR(--ISNUMBER(SEARCH("R116",G214))*116,0)+IFERROR(--ISNUMBER(SEARCH("R117",G214))*117,0)+IFERROR(--ISNUMBER(SEARCH("R118",G214))*118,0)+IFERROR(--ISNUMBER(SEARCH("R119",G214))*119,0)+IFERROR(--ISNUMBER(SEARCH("R120",G214))*120,0)+IFERROR(--ISNUMBER(SEARCH("R121",G214))*121,0)+IFERROR(--ISNUMBER(SEARCH("R122",G214))*122,0)+IFERROR(--ISNUMBER(SEARCH("R123",G214))*123,0)+IFERROR(--ISNUMBER(SEARCH("R124",G214))*124,0)+IFERROR(--ISNUMBER(SEARCH("R125",G214))*125,0)+IFERROR(--ISNUMBER(SEARCH("R126",G214))*126,0)+IFERROR(--ISNUMBER(SEARCH("R127",G214))*127,0)+IFERROR(--ISNUMBER(SEARCH("R128",G214))*128,0)+IFERROR(--ISNUMBER(SEARCH("R129",G214))*129,0)+IFERROR(--ISNUMBER(SEARCH("R130",G214))*130,0)+IFERROR(--ISNUMBER(SEARCH("R131",G214))*131,0)+IFERROR(--ISNUMBER(SEARCH("R132",G214))*132,0)+IFERROR(--ISNUMBER(SEARCH("R133",G214))*133,0)+IFERROR(--ISNUMBER(SEARCH("R134",G214))*134,0)+IFERROR(--ISNUMBER(SEARCH("R135",G214))*135,0)+IFERROR(--ISNUMBER(SEARCH("R136",G214))*136,0)+IFERROR(--ISNUMBER(SEARCH("R137",G214))*137,0)+IFERROR(--ISNUMBER(SEARCH("R138",G214))*138,0)+IFERROR(--ISNUMBER(SEARCH("R139",G214))*139,0)+IFERROR(--ISNUMBER(SEARCH("R140",G214))*140,0)+IFERROR(--ISNUMBER(SEARCH("R141",G214))*141,0))</f>
        <v/>
      </c>
      <c r="V214" s="59">
        <f>IF(A214="","",IF(K214&lt;&gt;"",K214,J214))</f>
        <v/>
      </c>
      <c r="W214" s="59">
        <f>IF(A214="","",IF(AND(V214=29,O214&lt;&gt;"",COUNTIFS($V$6:$V$505,29,$F$6:$F$505,F214,$C$6:$C$505,C214,$O$6:$O$505,"&lt;&gt;")&gt;1),IF(COUNTIFS($V$6:V214,29,$F$6:F214,F214,$C$6:C214,C214,$O$6:O214,"&lt;&gt;")=1,"Esta es la fila que se debe CONSERVAR (aparición 1 de "&amp;COUNTIFS($V$6:$V$505,29,$F$6:$F$505,F214,$C$6:$C$505,C214,$O$6:$O$505,"&lt;&gt;")&amp;" con el mismo tercero y valor, casilla 29). Si hay más filas iguales, bórreles el valor a ELLAS, no a esta.","DUPLICADO — ya existe otra fila con el mismo tercero y valor para casilla 29 (aparición "&amp;COUNTIFS($V$6:V214,29,$F$6:F214,F214,$C$6:C214,C214,$O$6:O214,"&lt;&gt;")&amp;" de "&amp;COUNTIFS($V$6:$V$505,29,$F$6:$F$505,F214,$C$6:$C$505,C214,$O$6:$O$505,"&lt;&gt;")&amp;"). Para resolverlo: seleccione la celda O"&amp;ROW()&amp;" (columna Valor a declarar de ESTA fila) y presione Supr."),""))</f>
        <v/>
      </c>
      <c r="X214" s="463">
        <f>IF(A214="","",F214)</f>
        <v/>
      </c>
      <c r="Y214" s="463">
        <f>IF(A214="","",SUMIF(Entrada_Manual!$I$88:$I$187,A214,Entrada_Manual!$F$88:$F$187))</f>
        <v/>
      </c>
      <c r="Z214" s="463">
        <f>IF(A214="","",X214-Y214)</f>
        <v/>
      </c>
      <c r="AA214">
        <f>IF(A214="","",SUMPRODUCT((Entrada_Manual!$I$88:$I$187=A214)*1))</f>
        <v/>
      </c>
      <c r="AB214">
        <f>IF(A214="","",IF(S214&lt;=1,"",IF(AA214=0,"PENDIENTE — SIN ASIGNAR",IF(Z214=0,"RESUELTO","PARCIAL — DIFERENCIA "&amp;TEXT(Z214,"#,##0")))))</f>
        <v/>
      </c>
    </row>
    <row r="215" ht="14.25" customHeight="1" s="235">
      <c r="A215" s="47">
        <f>IF(Exogena_RAW!E224&lt;&gt;"",ROW()-5,"")</f>
        <v/>
      </c>
      <c r="B215" s="48">
        <f>IF(A215="","",224)</f>
        <v/>
      </c>
      <c r="C215" s="48">
        <f>IF(A215="","",IFERROR(Exogena_RAW!A224,""))</f>
        <v/>
      </c>
      <c r="D215" s="48">
        <f>IF(A215="","",IFERROR(Exogena_RAW!B224,""))</f>
        <v/>
      </c>
      <c r="E215" s="48">
        <f>IF(A215="","",Exogena_RAW!E224)</f>
        <v/>
      </c>
      <c r="F215" s="461">
        <f>IF(A215="","",Exogena_RAW!F224)</f>
        <v/>
      </c>
      <c r="G215" s="48">
        <f>IF(A215="","",IFERROR(Exogena_RAW!G224,""))</f>
        <v/>
      </c>
      <c r="H215" s="48">
        <f>IF(A215="","",IFERROR(Exogena_RAW!H224,""))</f>
        <v/>
      </c>
      <c r="I215" s="48">
        <f>IF(A215="","",IFERROR(IF(S215&gt;1,"VARIAS CASILLAS",IF(S215=1,IF(T215=1,"PROPUESTA DE CASILLA","REVISIÓN: CASILLA NO DIRECTA"),IF(OR(ISNUMBER(SEARCH("TOPE",UPPER(E215))),ISNUMBER(SEARCH("TOPE",UPPER(G215)))),"SOLO CONTROL",IF(ISNUMBER(SEARCH("RETEN",UPPER(E215))),"RETENCIÓN","REVISAR")))),"REVISAR"))</f>
        <v/>
      </c>
      <c r="J215" s="48">
        <f>IF(A215="","",IF(ISNUMBER(SEARCH("ingreso laboral promedio de los últimos seis meses",E215)),"",IFERROR(IF(AND(S215=1,T215=1),U215,""),"")))</f>
        <v/>
      </c>
      <c r="K215" s="216" t="n"/>
      <c r="L215" s="48">
        <f>IF(A215="","",IFERROR(IF(K215&lt;&gt;"","Casilla elegida por usuario",IF(S215&gt;1,"Varias casillas — elegir en K",IF(J215&lt;&gt;"","Sugerencia directa",IF(S215=1,"No trasladar directo — revisar",IF(OR(ISNUMBER(SEARCH("TOPE",UPPER(E215))),ISNUMBER(SEARCH("TOPE",UPPER(G215)))),"Solo control","Revisar manualmente"))))),"Revisar manualmente"))</f>
        <v/>
      </c>
      <c r="M215" s="461">
        <f>IF(A215="","",IF(IF(K215&lt;&gt;"",K215,J215)="",0,IF(COUNTIFS(Reglas!$I$5:$I$118,IF(K215&lt;&gt;"",K215,J215),Reglas!$J$5:$J$118,"Sí")=1,F215,0)))</f>
        <v/>
      </c>
      <c r="N215" s="56" t="n"/>
      <c r="O215" s="462">
        <f>IF(A215="","",IF(M215=0,"",M215))</f>
        <v/>
      </c>
      <c r="P215" s="461">
        <f>IF(A215="","",IF(O215="",0,IF(ISNUMBER(O215),O215,0)))</f>
        <v/>
      </c>
      <c r="Q215" s="48">
        <f>IF(A215="","",IF(Exogena_RAW!$C$4="","BLOQUEADO: FALTA AÑO",IF(Exogena_RAW!$K$10&lt;&gt;Reglas!$B$5,"BLOQUEADO: AÑO",IF(IF(K215&lt;&gt;"",K215,J215)="",IF(S215&gt;1,"REQUIERE ASIGNACIÓN MANUAL (VARIAS CASILLAS)","INFORMATIVO (sin casilla — no se declara)"),IF(COUNTIFS(Reglas!$I$5:$I$118,IF(K215&lt;&gt;"",K215,J215),Reglas!$J$5:$J$118,"Sí")=0,"BLOQUEADO: CASILLA NO DIRECTA",IF(O215="","EXCLUIDO (valor borrado por el usuario)",IF(_xlfn.ISFORMULA(O215),IF(W215&lt;&gt;"","BORRADOR — VALOR SUGERIDO DIAN ⚠ VER ALERTA","BORRADOR — VALOR SUGERIDO DIAN"),IF(W215&lt;&gt;"","ACEPTADO ⚠ VER ALERTA","ACEPTADO"))))))))</f>
        <v/>
      </c>
      <c r="R215" s="218" t="n"/>
      <c r="S215" s="58">
        <f>IF(A215="","",IFERROR(--ISNUMBER(SEARCH("R28",G215)),0)+IFERROR(--ISNUMBER(SEARCH("R29",G215)),0)+IFERROR(--ISNUMBER(SEARCH("R30",G215)),0)+IFERROR(--ISNUMBER(SEARCH("R31",G215)),0)+IFERROR(--ISNUMBER(SEARCH("R32",G215)),0)+IFERROR(--ISNUMBER(SEARCH("R33",G215)),0)+IFERROR(--ISNUMBER(SEARCH("R34",G215)),0)+IFERROR(--ISNUMBER(SEARCH("R35",G215)),0)+IFERROR(--ISNUMBER(SEARCH("R36",G215)),0)+IFERROR(--ISNUMBER(SEARCH("R37",G215)),0)+IFERROR(--ISNUMBER(SEARCH("R38",G215)),0)+IFERROR(--ISNUMBER(SEARCH("R39",G215)),0)+IFERROR(--ISNUMBER(SEARCH("R40",G215)),0)+IFERROR(--ISNUMBER(SEARCH("R41",G215)),0)+IFERROR(--ISNUMBER(SEARCH("R42",G215)),0)+IFERROR(--ISNUMBER(SEARCH("R43",G215)),0)+IFERROR(--ISNUMBER(SEARCH("R44",G215)),0)+IFERROR(--ISNUMBER(SEARCH("R45",G215)),0)+IFERROR(--ISNUMBER(SEARCH("R46",G215)),0)+IFERROR(--ISNUMBER(SEARCH("R47",G215)),0)+IFERROR(--ISNUMBER(SEARCH("R48",G215)),0)+IFERROR(--ISNUMBER(SEARCH("R49",G215)),0)+IFERROR(--ISNUMBER(SEARCH("R50",G215)),0)+IFERROR(--ISNUMBER(SEARCH("R51",G215)),0)+IFERROR(--ISNUMBER(SEARCH("R52",G215)),0)+IFERROR(--ISNUMBER(SEARCH("R53",G215)),0)+IFERROR(--ISNUMBER(SEARCH("R54",G215)),0)+IFERROR(--ISNUMBER(SEARCH("R55",G215)),0)+IFERROR(--ISNUMBER(SEARCH("R56",G215)),0)+IFERROR(--ISNUMBER(SEARCH("R57",G215)),0)+IFERROR(--ISNUMBER(SEARCH("R58",G215)),0)+IFERROR(--ISNUMBER(SEARCH("R59",G215)),0)+IFERROR(--ISNUMBER(SEARCH("R60",G215)),0)+IFERROR(--ISNUMBER(SEARCH("R61",G215)),0)+IFERROR(--ISNUMBER(SEARCH("R62",G215)),0)+IFERROR(--ISNUMBER(SEARCH("R63",G215)),0)+IFERROR(--ISNUMBER(SEARCH("R64",G215)),0)+IFERROR(--ISNUMBER(SEARCH("R65",G215)),0)+IFERROR(--ISNUMBER(SEARCH("R66",G215)),0)+IFERROR(--ISNUMBER(SEARCH("R67",G215)),0)+IFERROR(--ISNUMBER(SEARCH("R68",G215)),0)+IFERROR(--ISNUMBER(SEARCH("R69",G215)),0)+IFERROR(--ISNUMBER(SEARCH("R70",G215)),0)+IFERROR(--ISNUMBER(SEARCH("R71",G215)),0)+IFERROR(--ISNUMBER(SEARCH("R72",G215)),0)+IFERROR(--ISNUMBER(SEARCH("R73",G215)),0)+IFERROR(--ISNUMBER(SEARCH("R74",G215)),0)+IFERROR(--ISNUMBER(SEARCH("R75",G215)),0)+IFERROR(--ISNUMBER(SEARCH("R76",G215)),0)+IFERROR(--ISNUMBER(SEARCH("R77",G215)),0)+IFERROR(--ISNUMBER(SEARCH("R78",G215)),0)+IFERROR(--ISNUMBER(SEARCH("R79",G215)),0)+IFERROR(--ISNUMBER(SEARCH("R80",G215)),0)+IFERROR(--ISNUMBER(SEARCH("R81",G215)),0)+IFERROR(--ISNUMBER(SEARCH("R82",G215)),0)+IFERROR(--ISNUMBER(SEARCH("R83",G215)),0)+IFERROR(--ISNUMBER(SEARCH("R84",G215)),0)+IFERROR(--ISNUMBER(SEARCH("R85",G215)),0)+IFERROR(--ISNUMBER(SEARCH("R86",G215)),0)+IFERROR(--ISNUMBER(SEARCH("R87",G215)),0)+IFERROR(--ISNUMBER(SEARCH("R88",G215)),0)+IFERROR(--ISNUMBER(SEARCH("R89",G215)),0)+IFERROR(--ISNUMBER(SEARCH("R90",G215)),0)+IFERROR(--ISNUMBER(SEARCH("R91",G215)),0)+IFERROR(--ISNUMBER(SEARCH("R92",G215)),0)+IFERROR(--ISNUMBER(SEARCH("R93",G215)),0)+IFERROR(--ISNUMBER(SEARCH("R94",G215)),0)+IFERROR(--ISNUMBER(SEARCH("R95",G215)),0)+IFERROR(--ISNUMBER(SEARCH("R96",G215)),0)+IFERROR(--ISNUMBER(SEARCH("R97",G215)),0)+IFERROR(--ISNUMBER(SEARCH("R98",G215)),0)+IFERROR(--ISNUMBER(SEARCH("R99",G215)),0)+IFERROR(--ISNUMBER(SEARCH("R100",G215)),0)+IFERROR(--ISNUMBER(SEARCH("R101",G215)),0)+IFERROR(--ISNUMBER(SEARCH("R102",G215)),0)+IFERROR(--ISNUMBER(SEARCH("R103",G215)),0)+IFERROR(--ISNUMBER(SEARCH("R104",G215)),0)+IFERROR(--ISNUMBER(SEARCH("R105",G215)),0)+IFERROR(--ISNUMBER(SEARCH("R106",G215)),0)+IFERROR(--ISNUMBER(SEARCH("R107",G215)),0)+IFERROR(--ISNUMBER(SEARCH("R108",G215)),0)+IFERROR(--ISNUMBER(SEARCH("R109",G215)),0)+IFERROR(--ISNUMBER(SEARCH("R110",G215)),0)+IFERROR(--ISNUMBER(SEARCH("R111",G215)),0)+IFERROR(--ISNUMBER(SEARCH("R112",G215)),0)+IFERROR(--ISNUMBER(SEARCH("R113",G215)),0)+IFERROR(--ISNUMBER(SEARCH("R114",G215)),0)+IFERROR(--ISNUMBER(SEARCH("R115",G215)),0)+IFERROR(--ISNUMBER(SEARCH("R116",G215)),0)+IFERROR(--ISNUMBER(SEARCH("R117",G215)),0)+IFERROR(--ISNUMBER(SEARCH("R118",G215)),0)+IFERROR(--ISNUMBER(SEARCH("R119",G215)),0)+IFERROR(--ISNUMBER(SEARCH("R120",G215)),0)+IFERROR(--ISNUMBER(SEARCH("R121",G215)),0)+IFERROR(--ISNUMBER(SEARCH("R122",G215)),0)+IFERROR(--ISNUMBER(SEARCH("R123",G215)),0)+IFERROR(--ISNUMBER(SEARCH("R124",G215)),0)+IFERROR(--ISNUMBER(SEARCH("R125",G215)),0)+IFERROR(--ISNUMBER(SEARCH("R126",G215)),0)+IFERROR(--ISNUMBER(SEARCH("R127",G215)),0)+IFERROR(--ISNUMBER(SEARCH("R128",G215)),0)+IFERROR(--ISNUMBER(SEARCH("R129",G215)),0)+IFERROR(--ISNUMBER(SEARCH("R130",G215)),0)+IFERROR(--ISNUMBER(SEARCH("R131",G215)),0)+IFERROR(--ISNUMBER(SEARCH("R132",G215)),0)+IFERROR(--ISNUMBER(SEARCH("R133",G215)),0)+IFERROR(--ISNUMBER(SEARCH("R134",G215)),0)+IFERROR(--ISNUMBER(SEARCH("R135",G215)),0)+IFERROR(--ISNUMBER(SEARCH("R136",G215)),0)+IFERROR(--ISNUMBER(SEARCH("R137",G215)),0)+IFERROR(--ISNUMBER(SEARCH("R138",G215)),0)+IFERROR(--ISNUMBER(SEARCH("R139",G215)),0)+IFERROR(--ISNUMBER(SEARCH("R140",G215)),0)+IFERROR(--ISNUMBER(SEARCH("R141",G215)),0))</f>
        <v/>
      </c>
      <c r="T215" s="58">
        <f>IF(A215="","",IFERROR(--ISNUMBER(SEARCH("R28",G215)),0)+IFERROR(--ISNUMBER(SEARCH("R29",G215)),0)+IFERROR(--ISNUMBER(SEARCH("R30",G215)),0)+IFERROR(--ISNUMBER(SEARCH("R32",G215)),0)+IFERROR(--ISNUMBER(SEARCH("R33",G215)),0)+IFERROR(--ISNUMBER(SEARCH("R35",G215)),0)+IFERROR(--ISNUMBER(SEARCH("R36",G215)),0)+IFERROR(--ISNUMBER(SEARCH("R38",G215)),0)+IFERROR(--ISNUMBER(SEARCH("R39",G215)),0)+IFERROR(--ISNUMBER(SEARCH("R43",G215)),0)+IFERROR(--ISNUMBER(SEARCH("R44",G215)),0)+IFERROR(--ISNUMBER(SEARCH("R45",G215)),0)+IFERROR(--ISNUMBER(SEARCH("R47",G215)),0)+IFERROR(--ISNUMBER(SEARCH("R48",G215)),0)+IFERROR(--ISNUMBER(SEARCH("R50",G215)),0)+IFERROR(--ISNUMBER(SEARCH("R51",G215)),0)+IFERROR(--ISNUMBER(SEARCH("R56",G215)),0)+IFERROR(--ISNUMBER(SEARCH("R58",G215)),0)+IFERROR(--ISNUMBER(SEARCH("R59",G215)),0)+IFERROR(--ISNUMBER(SEARCH("R60",G215)),0)+IFERROR(--ISNUMBER(SEARCH("R62",G215)),0)+IFERROR(--ISNUMBER(SEARCH("R63",G215)),0)+IFERROR(--ISNUMBER(SEARCH("R64",G215)),0)+IFERROR(--ISNUMBER(SEARCH("R66",G215)),0)+IFERROR(--ISNUMBER(SEARCH("R67",G215)),0)+IFERROR(--ISNUMBER(SEARCH("R72",G215)),0)+IFERROR(--ISNUMBER(SEARCH("R74",G215)),0)+IFERROR(--ISNUMBER(SEARCH("R75",G215)),0)+IFERROR(--ISNUMBER(SEARCH("R76",G215)),0)+IFERROR(--ISNUMBER(SEARCH("R77",G215)),0)+IFERROR(--ISNUMBER(SEARCH("R79",G215)),0)+IFERROR(--ISNUMBER(SEARCH("R80",G215)),0)+IFERROR(--ISNUMBER(SEARCH("R81",G215)),0)+IFERROR(--ISNUMBER(SEARCH("R83",G215)),0)+IFERROR(--ISNUMBER(SEARCH("R84",G215)),0)+IFERROR(--ISNUMBER(SEARCH("R89",G215)),0)+IFERROR(--ISNUMBER(SEARCH("R94",G215)),0)+IFERROR(--ISNUMBER(SEARCH("R95",G215)),0)+IFERROR(--ISNUMBER(SEARCH("R96",G215)),0)+IFERROR(--ISNUMBER(SEARCH("R98",G215)),0)+IFERROR(--ISNUMBER(SEARCH("R99",G215)),0)+IFERROR(--ISNUMBER(SEARCH("R100",G215)),0)+IFERROR(--ISNUMBER(SEARCH("R104",G215)),0)+IFERROR(--ISNUMBER(SEARCH("R105",G215)),0)+IFERROR(--ISNUMBER(SEARCH("R107",G215)),0)+IFERROR(--ISNUMBER(SEARCH("R108",G215)),0)+IFERROR(--ISNUMBER(SEARCH("R109",G215)),0)+IFERROR(--ISNUMBER(SEARCH("R110",G215)),0)+IFERROR(--ISNUMBER(SEARCH("R112",G215)),0)+IFERROR(--ISNUMBER(SEARCH("R113",G215)),0)+IFERROR(--ISNUMBER(SEARCH("R114",G215)),0)+IFERROR(--ISNUMBER(SEARCH("R118",G215)),0)+IFERROR(--ISNUMBER(SEARCH("R119",G215)),0)+IFERROR(--ISNUMBER(SEARCH("R120",G215)),0)+IFERROR(--ISNUMBER(SEARCH("R122",G215)),0)+IFERROR(--ISNUMBER(SEARCH("R123",G215)),0)+IFERROR(--ISNUMBER(SEARCH("R124",G215)),0)+IFERROR(--ISNUMBER(SEARCH("R128",G215)),0)+IFERROR(--ISNUMBER(SEARCH("R130",G215)),0)+IFERROR(--ISNUMBER(SEARCH("R131",G215)),0)+IFERROR(--ISNUMBER(SEARCH("R132",G215)),0)+IFERROR(--ISNUMBER(SEARCH("R135",G215)),0)+IFERROR(--ISNUMBER(SEARCH("R138",G215)),0)+IFERROR(--ISNUMBER(SEARCH("R141",G215)),0))</f>
        <v/>
      </c>
      <c r="U215" s="58">
        <f>IF(A215="","",IFERROR(--ISNUMBER(SEARCH("R28",G215))*28,0)+IFERROR(--ISNUMBER(SEARCH("R29",G215))*29,0)+IFERROR(--ISNUMBER(SEARCH("R30",G215))*30,0)+IFERROR(--ISNUMBER(SEARCH("R31",G215))*31,0)+IFERROR(--ISNUMBER(SEARCH("R32",G215))*32,0)+IFERROR(--ISNUMBER(SEARCH("R33",G215))*33,0)+IFERROR(--ISNUMBER(SEARCH("R34",G215))*34,0)+IFERROR(--ISNUMBER(SEARCH("R35",G215))*35,0)+IFERROR(--ISNUMBER(SEARCH("R36",G215))*36,0)+IFERROR(--ISNUMBER(SEARCH("R37",G215))*37,0)+IFERROR(--ISNUMBER(SEARCH("R38",G215))*38,0)+IFERROR(--ISNUMBER(SEARCH("R39",G215))*39,0)+IFERROR(--ISNUMBER(SEARCH("R40",G215))*40,0)+IFERROR(--ISNUMBER(SEARCH("R41",G215))*41,0)+IFERROR(--ISNUMBER(SEARCH("R42",G215))*42,0)+IFERROR(--ISNUMBER(SEARCH("R43",G215))*43,0)+IFERROR(--ISNUMBER(SEARCH("R44",G215))*44,0)+IFERROR(--ISNUMBER(SEARCH("R45",G215))*45,0)+IFERROR(--ISNUMBER(SEARCH("R46",G215))*46,0)+IFERROR(--ISNUMBER(SEARCH("R47",G215))*47,0)+IFERROR(--ISNUMBER(SEARCH("R48",G215))*48,0)+IFERROR(--ISNUMBER(SEARCH("R49",G215))*49,0)+IFERROR(--ISNUMBER(SEARCH("R50",G215))*50,0)+IFERROR(--ISNUMBER(SEARCH("R51",G215))*51,0)+IFERROR(--ISNUMBER(SEARCH("R52",G215))*52,0)+IFERROR(--ISNUMBER(SEARCH("R53",G215))*53,0)+IFERROR(--ISNUMBER(SEARCH("R54",G215))*54,0)+IFERROR(--ISNUMBER(SEARCH("R55",G215))*55,0)+IFERROR(--ISNUMBER(SEARCH("R56",G215))*56,0)+IFERROR(--ISNUMBER(SEARCH("R57",G215))*57,0)+IFERROR(--ISNUMBER(SEARCH("R58",G215))*58,0)+IFERROR(--ISNUMBER(SEARCH("R59",G215))*59,0)+IFERROR(--ISNUMBER(SEARCH("R60",G215))*60,0)+IFERROR(--ISNUMBER(SEARCH("R61",G215))*61,0)+IFERROR(--ISNUMBER(SEARCH("R62",G215))*62,0)+IFERROR(--ISNUMBER(SEARCH("R63",G215))*63,0)+IFERROR(--ISNUMBER(SEARCH("R64",G215))*64,0)+IFERROR(--ISNUMBER(SEARCH("R65",G215))*65,0)+IFERROR(--ISNUMBER(SEARCH("R66",G215))*66,0)+IFERROR(--ISNUMBER(SEARCH("R67",G215))*67,0)+IFERROR(--ISNUMBER(SEARCH("R68",G215))*68,0)+IFERROR(--ISNUMBER(SEARCH("R69",G215))*69,0)+IFERROR(--ISNUMBER(SEARCH("R70",G215))*70,0)+IFERROR(--ISNUMBER(SEARCH("R71",G215))*71,0)+IFERROR(--ISNUMBER(SEARCH("R72",G215))*72,0)+IFERROR(--ISNUMBER(SEARCH("R73",G215))*73,0)+IFERROR(--ISNUMBER(SEARCH("R74",G215))*74,0)+IFERROR(--ISNUMBER(SEARCH("R75",G215))*75,0)+IFERROR(--ISNUMBER(SEARCH("R76",G215))*76,0)+IFERROR(--ISNUMBER(SEARCH("R77",G215))*77,0)+IFERROR(--ISNUMBER(SEARCH("R78",G215))*78,0)+IFERROR(--ISNUMBER(SEARCH("R79",G215))*79,0)+IFERROR(--ISNUMBER(SEARCH("R80",G215))*80,0)+IFERROR(--ISNUMBER(SEARCH("R81",G215))*81,0)+IFERROR(--ISNUMBER(SEARCH("R82",G215))*82,0)+IFERROR(--ISNUMBER(SEARCH("R83",G215))*83,0)+IFERROR(--ISNUMBER(SEARCH("R84",G215))*84,0)+IFERROR(--ISNUMBER(SEARCH("R85",G215))*85,0)+IFERROR(--ISNUMBER(SEARCH("R86",G215))*86,0)+IFERROR(--ISNUMBER(SEARCH("R87",G215))*87,0)+IFERROR(--ISNUMBER(SEARCH("R88",G215))*88,0)+IFERROR(--ISNUMBER(SEARCH("R89",G215))*89,0)+IFERROR(--ISNUMBER(SEARCH("R90",G215))*90,0)+IFERROR(--ISNUMBER(SEARCH("R91",G215))*91,0)+IFERROR(--ISNUMBER(SEARCH("R92",G215))*92,0)+IFERROR(--ISNUMBER(SEARCH("R93",G215))*93,0)+IFERROR(--ISNUMBER(SEARCH("R94",G215))*94,0)+IFERROR(--ISNUMBER(SEARCH("R95",G215))*95,0)+IFERROR(--ISNUMBER(SEARCH("R96",G215))*96,0)+IFERROR(--ISNUMBER(SEARCH("R97",G215))*97,0)+IFERROR(--ISNUMBER(SEARCH("R98",G215))*98,0)+IFERROR(--ISNUMBER(SEARCH("R99",G215))*99,0)+IFERROR(--ISNUMBER(SEARCH("R100",G215))*100,0)+IFERROR(--ISNUMBER(SEARCH("R101",G215))*101,0)+IFERROR(--ISNUMBER(SEARCH("R102",G215))*102,0)+IFERROR(--ISNUMBER(SEARCH("R103",G215))*103,0)+IFERROR(--ISNUMBER(SEARCH("R104",G215))*104,0)+IFERROR(--ISNUMBER(SEARCH("R105",G215))*105,0)+IFERROR(--ISNUMBER(SEARCH("R106",G215))*106,0)+IFERROR(--ISNUMBER(SEARCH("R107",G215))*107,0)+IFERROR(--ISNUMBER(SEARCH("R108",G215))*108,0)+IFERROR(--ISNUMBER(SEARCH("R109",G215))*109,0)+IFERROR(--ISNUMBER(SEARCH("R110",G215))*110,0)+IFERROR(--ISNUMBER(SEARCH("R111",G215))*111,0)+IFERROR(--ISNUMBER(SEARCH("R112",G215))*112,0)+IFERROR(--ISNUMBER(SEARCH("R113",G215))*113,0)+IFERROR(--ISNUMBER(SEARCH("R114",G215))*114,0)+IFERROR(--ISNUMBER(SEARCH("R115",G215))*115,0)+IFERROR(--ISNUMBER(SEARCH("R116",G215))*116,0)+IFERROR(--ISNUMBER(SEARCH("R117",G215))*117,0)+IFERROR(--ISNUMBER(SEARCH("R118",G215))*118,0)+IFERROR(--ISNUMBER(SEARCH("R119",G215))*119,0)+IFERROR(--ISNUMBER(SEARCH("R120",G215))*120,0)+IFERROR(--ISNUMBER(SEARCH("R121",G215))*121,0)+IFERROR(--ISNUMBER(SEARCH("R122",G215))*122,0)+IFERROR(--ISNUMBER(SEARCH("R123",G215))*123,0)+IFERROR(--ISNUMBER(SEARCH("R124",G215))*124,0)+IFERROR(--ISNUMBER(SEARCH("R125",G215))*125,0)+IFERROR(--ISNUMBER(SEARCH("R126",G215))*126,0)+IFERROR(--ISNUMBER(SEARCH("R127",G215))*127,0)+IFERROR(--ISNUMBER(SEARCH("R128",G215))*128,0)+IFERROR(--ISNUMBER(SEARCH("R129",G215))*129,0)+IFERROR(--ISNUMBER(SEARCH("R130",G215))*130,0)+IFERROR(--ISNUMBER(SEARCH("R131",G215))*131,0)+IFERROR(--ISNUMBER(SEARCH("R132",G215))*132,0)+IFERROR(--ISNUMBER(SEARCH("R133",G215))*133,0)+IFERROR(--ISNUMBER(SEARCH("R134",G215))*134,0)+IFERROR(--ISNUMBER(SEARCH("R135",G215))*135,0)+IFERROR(--ISNUMBER(SEARCH("R136",G215))*136,0)+IFERROR(--ISNUMBER(SEARCH("R137",G215))*137,0)+IFERROR(--ISNUMBER(SEARCH("R138",G215))*138,0)+IFERROR(--ISNUMBER(SEARCH("R139",G215))*139,0)+IFERROR(--ISNUMBER(SEARCH("R140",G215))*140,0)+IFERROR(--ISNUMBER(SEARCH("R141",G215))*141,0))</f>
        <v/>
      </c>
      <c r="V215" s="59">
        <f>IF(A215="","",IF(K215&lt;&gt;"",K215,J215))</f>
        <v/>
      </c>
      <c r="W215" s="59">
        <f>IF(A215="","",IF(AND(V215=29,O215&lt;&gt;"",COUNTIFS($V$6:$V$505,29,$F$6:$F$505,F215,$C$6:$C$505,C215,$O$6:$O$505,"&lt;&gt;")&gt;1),IF(COUNTIFS($V$6:V215,29,$F$6:F215,F215,$C$6:C215,C215,$O$6:O215,"&lt;&gt;")=1,"Esta es la fila que se debe CONSERVAR (aparición 1 de "&amp;COUNTIFS($V$6:$V$505,29,$F$6:$F$505,F215,$C$6:$C$505,C215,$O$6:$O$505,"&lt;&gt;")&amp;" con el mismo tercero y valor, casilla 29). Si hay más filas iguales, bórreles el valor a ELLAS, no a esta.","DUPLICADO — ya existe otra fila con el mismo tercero y valor para casilla 29 (aparición "&amp;COUNTIFS($V$6:V215,29,$F$6:F215,F215,$C$6:C215,C215,$O$6:O215,"&lt;&gt;")&amp;" de "&amp;COUNTIFS($V$6:$V$505,29,$F$6:$F$505,F215,$C$6:$C$505,C215,$O$6:$O$505,"&lt;&gt;")&amp;"). Para resolverlo: seleccione la celda O"&amp;ROW()&amp;" (columna Valor a declarar de ESTA fila) y presione Supr."),""))</f>
        <v/>
      </c>
      <c r="X215" s="463">
        <f>IF(A215="","",F215)</f>
        <v/>
      </c>
      <c r="Y215" s="463">
        <f>IF(A215="","",SUMIF(Entrada_Manual!$I$88:$I$187,A215,Entrada_Manual!$F$88:$F$187))</f>
        <v/>
      </c>
      <c r="Z215" s="463">
        <f>IF(A215="","",X215-Y215)</f>
        <v/>
      </c>
      <c r="AA215">
        <f>IF(A215="","",SUMPRODUCT((Entrada_Manual!$I$88:$I$187=A215)*1))</f>
        <v/>
      </c>
      <c r="AB215">
        <f>IF(A215="","",IF(S215&lt;=1,"",IF(AA215=0,"PENDIENTE — SIN ASIGNAR",IF(Z215=0,"RESUELTO","PARCIAL — DIFERENCIA "&amp;TEXT(Z215,"#,##0")))))</f>
        <v/>
      </c>
    </row>
    <row r="216" ht="14.25" customHeight="1" s="235">
      <c r="A216" s="47">
        <f>IF(Exogena_RAW!E225&lt;&gt;"",ROW()-5,"")</f>
        <v/>
      </c>
      <c r="B216" s="48">
        <f>IF(A216="","",225)</f>
        <v/>
      </c>
      <c r="C216" s="48">
        <f>IF(A216="","",IFERROR(Exogena_RAW!A225,""))</f>
        <v/>
      </c>
      <c r="D216" s="48">
        <f>IF(A216="","",IFERROR(Exogena_RAW!B225,""))</f>
        <v/>
      </c>
      <c r="E216" s="48">
        <f>IF(A216="","",Exogena_RAW!E225)</f>
        <v/>
      </c>
      <c r="F216" s="461">
        <f>IF(A216="","",Exogena_RAW!F225)</f>
        <v/>
      </c>
      <c r="G216" s="48">
        <f>IF(A216="","",IFERROR(Exogena_RAW!G225,""))</f>
        <v/>
      </c>
      <c r="H216" s="48">
        <f>IF(A216="","",IFERROR(Exogena_RAW!H225,""))</f>
        <v/>
      </c>
      <c r="I216" s="48">
        <f>IF(A216="","",IFERROR(IF(S216&gt;1,"VARIAS CASILLAS",IF(S216=1,IF(T216=1,"PROPUESTA DE CASILLA","REVISIÓN: CASILLA NO DIRECTA"),IF(OR(ISNUMBER(SEARCH("TOPE",UPPER(E216))),ISNUMBER(SEARCH("TOPE",UPPER(G216)))),"SOLO CONTROL",IF(ISNUMBER(SEARCH("RETEN",UPPER(E216))),"RETENCIÓN","REVISAR")))),"REVISAR"))</f>
        <v/>
      </c>
      <c r="J216" s="48">
        <f>IF(A216="","",IF(ISNUMBER(SEARCH("ingreso laboral promedio de los últimos seis meses",E216)),"",IFERROR(IF(AND(S216=1,T216=1),U216,""),"")))</f>
        <v/>
      </c>
      <c r="K216" s="216" t="n"/>
      <c r="L216" s="48">
        <f>IF(A216="","",IFERROR(IF(K216&lt;&gt;"","Casilla elegida por usuario",IF(S216&gt;1,"Varias casillas — elegir en K",IF(J216&lt;&gt;"","Sugerencia directa",IF(S216=1,"No trasladar directo — revisar",IF(OR(ISNUMBER(SEARCH("TOPE",UPPER(E216))),ISNUMBER(SEARCH("TOPE",UPPER(G216)))),"Solo control","Revisar manualmente"))))),"Revisar manualmente"))</f>
        <v/>
      </c>
      <c r="M216" s="461">
        <f>IF(A216="","",IF(IF(K216&lt;&gt;"",K216,J216)="",0,IF(COUNTIFS(Reglas!$I$5:$I$118,IF(K216&lt;&gt;"",K216,J216),Reglas!$J$5:$J$118,"Sí")=1,F216,0)))</f>
        <v/>
      </c>
      <c r="N216" s="56" t="n"/>
      <c r="O216" s="462">
        <f>IF(A216="","",IF(M216=0,"",M216))</f>
        <v/>
      </c>
      <c r="P216" s="461">
        <f>IF(A216="","",IF(O216="",0,IF(ISNUMBER(O216),O216,0)))</f>
        <v/>
      </c>
      <c r="Q216" s="48">
        <f>IF(A216="","",IF(Exogena_RAW!$C$4="","BLOQUEADO: FALTA AÑO",IF(Exogena_RAW!$K$10&lt;&gt;Reglas!$B$5,"BLOQUEADO: AÑO",IF(IF(K216&lt;&gt;"",K216,J216)="",IF(S216&gt;1,"REQUIERE ASIGNACIÓN MANUAL (VARIAS CASILLAS)","INFORMATIVO (sin casilla — no se declara)"),IF(COUNTIFS(Reglas!$I$5:$I$118,IF(K216&lt;&gt;"",K216,J216),Reglas!$J$5:$J$118,"Sí")=0,"BLOQUEADO: CASILLA NO DIRECTA",IF(O216="","EXCLUIDO (valor borrado por el usuario)",IF(_xlfn.ISFORMULA(O216),IF(W216&lt;&gt;"","BORRADOR — VALOR SUGERIDO DIAN ⚠ VER ALERTA","BORRADOR — VALOR SUGERIDO DIAN"),IF(W216&lt;&gt;"","ACEPTADO ⚠ VER ALERTA","ACEPTADO"))))))))</f>
        <v/>
      </c>
      <c r="R216" s="218" t="n"/>
      <c r="S216" s="58">
        <f>IF(A216="","",IFERROR(--ISNUMBER(SEARCH("R28",G216)),0)+IFERROR(--ISNUMBER(SEARCH("R29",G216)),0)+IFERROR(--ISNUMBER(SEARCH("R30",G216)),0)+IFERROR(--ISNUMBER(SEARCH("R31",G216)),0)+IFERROR(--ISNUMBER(SEARCH("R32",G216)),0)+IFERROR(--ISNUMBER(SEARCH("R33",G216)),0)+IFERROR(--ISNUMBER(SEARCH("R34",G216)),0)+IFERROR(--ISNUMBER(SEARCH("R35",G216)),0)+IFERROR(--ISNUMBER(SEARCH("R36",G216)),0)+IFERROR(--ISNUMBER(SEARCH("R37",G216)),0)+IFERROR(--ISNUMBER(SEARCH("R38",G216)),0)+IFERROR(--ISNUMBER(SEARCH("R39",G216)),0)+IFERROR(--ISNUMBER(SEARCH("R40",G216)),0)+IFERROR(--ISNUMBER(SEARCH("R41",G216)),0)+IFERROR(--ISNUMBER(SEARCH("R42",G216)),0)+IFERROR(--ISNUMBER(SEARCH("R43",G216)),0)+IFERROR(--ISNUMBER(SEARCH("R44",G216)),0)+IFERROR(--ISNUMBER(SEARCH("R45",G216)),0)+IFERROR(--ISNUMBER(SEARCH("R46",G216)),0)+IFERROR(--ISNUMBER(SEARCH("R47",G216)),0)+IFERROR(--ISNUMBER(SEARCH("R48",G216)),0)+IFERROR(--ISNUMBER(SEARCH("R49",G216)),0)+IFERROR(--ISNUMBER(SEARCH("R50",G216)),0)+IFERROR(--ISNUMBER(SEARCH("R51",G216)),0)+IFERROR(--ISNUMBER(SEARCH("R52",G216)),0)+IFERROR(--ISNUMBER(SEARCH("R53",G216)),0)+IFERROR(--ISNUMBER(SEARCH("R54",G216)),0)+IFERROR(--ISNUMBER(SEARCH("R55",G216)),0)+IFERROR(--ISNUMBER(SEARCH("R56",G216)),0)+IFERROR(--ISNUMBER(SEARCH("R57",G216)),0)+IFERROR(--ISNUMBER(SEARCH("R58",G216)),0)+IFERROR(--ISNUMBER(SEARCH("R59",G216)),0)+IFERROR(--ISNUMBER(SEARCH("R60",G216)),0)+IFERROR(--ISNUMBER(SEARCH("R61",G216)),0)+IFERROR(--ISNUMBER(SEARCH("R62",G216)),0)+IFERROR(--ISNUMBER(SEARCH("R63",G216)),0)+IFERROR(--ISNUMBER(SEARCH("R64",G216)),0)+IFERROR(--ISNUMBER(SEARCH("R65",G216)),0)+IFERROR(--ISNUMBER(SEARCH("R66",G216)),0)+IFERROR(--ISNUMBER(SEARCH("R67",G216)),0)+IFERROR(--ISNUMBER(SEARCH("R68",G216)),0)+IFERROR(--ISNUMBER(SEARCH("R69",G216)),0)+IFERROR(--ISNUMBER(SEARCH("R70",G216)),0)+IFERROR(--ISNUMBER(SEARCH("R71",G216)),0)+IFERROR(--ISNUMBER(SEARCH("R72",G216)),0)+IFERROR(--ISNUMBER(SEARCH("R73",G216)),0)+IFERROR(--ISNUMBER(SEARCH("R74",G216)),0)+IFERROR(--ISNUMBER(SEARCH("R75",G216)),0)+IFERROR(--ISNUMBER(SEARCH("R76",G216)),0)+IFERROR(--ISNUMBER(SEARCH("R77",G216)),0)+IFERROR(--ISNUMBER(SEARCH("R78",G216)),0)+IFERROR(--ISNUMBER(SEARCH("R79",G216)),0)+IFERROR(--ISNUMBER(SEARCH("R80",G216)),0)+IFERROR(--ISNUMBER(SEARCH("R81",G216)),0)+IFERROR(--ISNUMBER(SEARCH("R82",G216)),0)+IFERROR(--ISNUMBER(SEARCH("R83",G216)),0)+IFERROR(--ISNUMBER(SEARCH("R84",G216)),0)+IFERROR(--ISNUMBER(SEARCH("R85",G216)),0)+IFERROR(--ISNUMBER(SEARCH("R86",G216)),0)+IFERROR(--ISNUMBER(SEARCH("R87",G216)),0)+IFERROR(--ISNUMBER(SEARCH("R88",G216)),0)+IFERROR(--ISNUMBER(SEARCH("R89",G216)),0)+IFERROR(--ISNUMBER(SEARCH("R90",G216)),0)+IFERROR(--ISNUMBER(SEARCH("R91",G216)),0)+IFERROR(--ISNUMBER(SEARCH("R92",G216)),0)+IFERROR(--ISNUMBER(SEARCH("R93",G216)),0)+IFERROR(--ISNUMBER(SEARCH("R94",G216)),0)+IFERROR(--ISNUMBER(SEARCH("R95",G216)),0)+IFERROR(--ISNUMBER(SEARCH("R96",G216)),0)+IFERROR(--ISNUMBER(SEARCH("R97",G216)),0)+IFERROR(--ISNUMBER(SEARCH("R98",G216)),0)+IFERROR(--ISNUMBER(SEARCH("R99",G216)),0)+IFERROR(--ISNUMBER(SEARCH("R100",G216)),0)+IFERROR(--ISNUMBER(SEARCH("R101",G216)),0)+IFERROR(--ISNUMBER(SEARCH("R102",G216)),0)+IFERROR(--ISNUMBER(SEARCH("R103",G216)),0)+IFERROR(--ISNUMBER(SEARCH("R104",G216)),0)+IFERROR(--ISNUMBER(SEARCH("R105",G216)),0)+IFERROR(--ISNUMBER(SEARCH("R106",G216)),0)+IFERROR(--ISNUMBER(SEARCH("R107",G216)),0)+IFERROR(--ISNUMBER(SEARCH("R108",G216)),0)+IFERROR(--ISNUMBER(SEARCH("R109",G216)),0)+IFERROR(--ISNUMBER(SEARCH("R110",G216)),0)+IFERROR(--ISNUMBER(SEARCH("R111",G216)),0)+IFERROR(--ISNUMBER(SEARCH("R112",G216)),0)+IFERROR(--ISNUMBER(SEARCH("R113",G216)),0)+IFERROR(--ISNUMBER(SEARCH("R114",G216)),0)+IFERROR(--ISNUMBER(SEARCH("R115",G216)),0)+IFERROR(--ISNUMBER(SEARCH("R116",G216)),0)+IFERROR(--ISNUMBER(SEARCH("R117",G216)),0)+IFERROR(--ISNUMBER(SEARCH("R118",G216)),0)+IFERROR(--ISNUMBER(SEARCH("R119",G216)),0)+IFERROR(--ISNUMBER(SEARCH("R120",G216)),0)+IFERROR(--ISNUMBER(SEARCH("R121",G216)),0)+IFERROR(--ISNUMBER(SEARCH("R122",G216)),0)+IFERROR(--ISNUMBER(SEARCH("R123",G216)),0)+IFERROR(--ISNUMBER(SEARCH("R124",G216)),0)+IFERROR(--ISNUMBER(SEARCH("R125",G216)),0)+IFERROR(--ISNUMBER(SEARCH("R126",G216)),0)+IFERROR(--ISNUMBER(SEARCH("R127",G216)),0)+IFERROR(--ISNUMBER(SEARCH("R128",G216)),0)+IFERROR(--ISNUMBER(SEARCH("R129",G216)),0)+IFERROR(--ISNUMBER(SEARCH("R130",G216)),0)+IFERROR(--ISNUMBER(SEARCH("R131",G216)),0)+IFERROR(--ISNUMBER(SEARCH("R132",G216)),0)+IFERROR(--ISNUMBER(SEARCH("R133",G216)),0)+IFERROR(--ISNUMBER(SEARCH("R134",G216)),0)+IFERROR(--ISNUMBER(SEARCH("R135",G216)),0)+IFERROR(--ISNUMBER(SEARCH("R136",G216)),0)+IFERROR(--ISNUMBER(SEARCH("R137",G216)),0)+IFERROR(--ISNUMBER(SEARCH("R138",G216)),0)+IFERROR(--ISNUMBER(SEARCH("R139",G216)),0)+IFERROR(--ISNUMBER(SEARCH("R140",G216)),0)+IFERROR(--ISNUMBER(SEARCH("R141",G216)),0))</f>
        <v/>
      </c>
      <c r="T216" s="58">
        <f>IF(A216="","",IFERROR(--ISNUMBER(SEARCH("R28",G216)),0)+IFERROR(--ISNUMBER(SEARCH("R29",G216)),0)+IFERROR(--ISNUMBER(SEARCH("R30",G216)),0)+IFERROR(--ISNUMBER(SEARCH("R32",G216)),0)+IFERROR(--ISNUMBER(SEARCH("R33",G216)),0)+IFERROR(--ISNUMBER(SEARCH("R35",G216)),0)+IFERROR(--ISNUMBER(SEARCH("R36",G216)),0)+IFERROR(--ISNUMBER(SEARCH("R38",G216)),0)+IFERROR(--ISNUMBER(SEARCH("R39",G216)),0)+IFERROR(--ISNUMBER(SEARCH("R43",G216)),0)+IFERROR(--ISNUMBER(SEARCH("R44",G216)),0)+IFERROR(--ISNUMBER(SEARCH("R45",G216)),0)+IFERROR(--ISNUMBER(SEARCH("R47",G216)),0)+IFERROR(--ISNUMBER(SEARCH("R48",G216)),0)+IFERROR(--ISNUMBER(SEARCH("R50",G216)),0)+IFERROR(--ISNUMBER(SEARCH("R51",G216)),0)+IFERROR(--ISNUMBER(SEARCH("R56",G216)),0)+IFERROR(--ISNUMBER(SEARCH("R58",G216)),0)+IFERROR(--ISNUMBER(SEARCH("R59",G216)),0)+IFERROR(--ISNUMBER(SEARCH("R60",G216)),0)+IFERROR(--ISNUMBER(SEARCH("R62",G216)),0)+IFERROR(--ISNUMBER(SEARCH("R63",G216)),0)+IFERROR(--ISNUMBER(SEARCH("R64",G216)),0)+IFERROR(--ISNUMBER(SEARCH("R66",G216)),0)+IFERROR(--ISNUMBER(SEARCH("R67",G216)),0)+IFERROR(--ISNUMBER(SEARCH("R72",G216)),0)+IFERROR(--ISNUMBER(SEARCH("R74",G216)),0)+IFERROR(--ISNUMBER(SEARCH("R75",G216)),0)+IFERROR(--ISNUMBER(SEARCH("R76",G216)),0)+IFERROR(--ISNUMBER(SEARCH("R77",G216)),0)+IFERROR(--ISNUMBER(SEARCH("R79",G216)),0)+IFERROR(--ISNUMBER(SEARCH("R80",G216)),0)+IFERROR(--ISNUMBER(SEARCH("R81",G216)),0)+IFERROR(--ISNUMBER(SEARCH("R83",G216)),0)+IFERROR(--ISNUMBER(SEARCH("R84",G216)),0)+IFERROR(--ISNUMBER(SEARCH("R89",G216)),0)+IFERROR(--ISNUMBER(SEARCH("R94",G216)),0)+IFERROR(--ISNUMBER(SEARCH("R95",G216)),0)+IFERROR(--ISNUMBER(SEARCH("R96",G216)),0)+IFERROR(--ISNUMBER(SEARCH("R98",G216)),0)+IFERROR(--ISNUMBER(SEARCH("R99",G216)),0)+IFERROR(--ISNUMBER(SEARCH("R100",G216)),0)+IFERROR(--ISNUMBER(SEARCH("R104",G216)),0)+IFERROR(--ISNUMBER(SEARCH("R105",G216)),0)+IFERROR(--ISNUMBER(SEARCH("R107",G216)),0)+IFERROR(--ISNUMBER(SEARCH("R108",G216)),0)+IFERROR(--ISNUMBER(SEARCH("R109",G216)),0)+IFERROR(--ISNUMBER(SEARCH("R110",G216)),0)+IFERROR(--ISNUMBER(SEARCH("R112",G216)),0)+IFERROR(--ISNUMBER(SEARCH("R113",G216)),0)+IFERROR(--ISNUMBER(SEARCH("R114",G216)),0)+IFERROR(--ISNUMBER(SEARCH("R118",G216)),0)+IFERROR(--ISNUMBER(SEARCH("R119",G216)),0)+IFERROR(--ISNUMBER(SEARCH("R120",G216)),0)+IFERROR(--ISNUMBER(SEARCH("R122",G216)),0)+IFERROR(--ISNUMBER(SEARCH("R123",G216)),0)+IFERROR(--ISNUMBER(SEARCH("R124",G216)),0)+IFERROR(--ISNUMBER(SEARCH("R128",G216)),0)+IFERROR(--ISNUMBER(SEARCH("R130",G216)),0)+IFERROR(--ISNUMBER(SEARCH("R131",G216)),0)+IFERROR(--ISNUMBER(SEARCH("R132",G216)),0)+IFERROR(--ISNUMBER(SEARCH("R135",G216)),0)+IFERROR(--ISNUMBER(SEARCH("R138",G216)),0)+IFERROR(--ISNUMBER(SEARCH("R141",G216)),0))</f>
        <v/>
      </c>
      <c r="U216" s="58">
        <f>IF(A216="","",IFERROR(--ISNUMBER(SEARCH("R28",G216))*28,0)+IFERROR(--ISNUMBER(SEARCH("R29",G216))*29,0)+IFERROR(--ISNUMBER(SEARCH("R30",G216))*30,0)+IFERROR(--ISNUMBER(SEARCH("R31",G216))*31,0)+IFERROR(--ISNUMBER(SEARCH("R32",G216))*32,0)+IFERROR(--ISNUMBER(SEARCH("R33",G216))*33,0)+IFERROR(--ISNUMBER(SEARCH("R34",G216))*34,0)+IFERROR(--ISNUMBER(SEARCH("R35",G216))*35,0)+IFERROR(--ISNUMBER(SEARCH("R36",G216))*36,0)+IFERROR(--ISNUMBER(SEARCH("R37",G216))*37,0)+IFERROR(--ISNUMBER(SEARCH("R38",G216))*38,0)+IFERROR(--ISNUMBER(SEARCH("R39",G216))*39,0)+IFERROR(--ISNUMBER(SEARCH("R40",G216))*40,0)+IFERROR(--ISNUMBER(SEARCH("R41",G216))*41,0)+IFERROR(--ISNUMBER(SEARCH("R42",G216))*42,0)+IFERROR(--ISNUMBER(SEARCH("R43",G216))*43,0)+IFERROR(--ISNUMBER(SEARCH("R44",G216))*44,0)+IFERROR(--ISNUMBER(SEARCH("R45",G216))*45,0)+IFERROR(--ISNUMBER(SEARCH("R46",G216))*46,0)+IFERROR(--ISNUMBER(SEARCH("R47",G216))*47,0)+IFERROR(--ISNUMBER(SEARCH("R48",G216))*48,0)+IFERROR(--ISNUMBER(SEARCH("R49",G216))*49,0)+IFERROR(--ISNUMBER(SEARCH("R50",G216))*50,0)+IFERROR(--ISNUMBER(SEARCH("R51",G216))*51,0)+IFERROR(--ISNUMBER(SEARCH("R52",G216))*52,0)+IFERROR(--ISNUMBER(SEARCH("R53",G216))*53,0)+IFERROR(--ISNUMBER(SEARCH("R54",G216))*54,0)+IFERROR(--ISNUMBER(SEARCH("R55",G216))*55,0)+IFERROR(--ISNUMBER(SEARCH("R56",G216))*56,0)+IFERROR(--ISNUMBER(SEARCH("R57",G216))*57,0)+IFERROR(--ISNUMBER(SEARCH("R58",G216))*58,0)+IFERROR(--ISNUMBER(SEARCH("R59",G216))*59,0)+IFERROR(--ISNUMBER(SEARCH("R60",G216))*60,0)+IFERROR(--ISNUMBER(SEARCH("R61",G216))*61,0)+IFERROR(--ISNUMBER(SEARCH("R62",G216))*62,0)+IFERROR(--ISNUMBER(SEARCH("R63",G216))*63,0)+IFERROR(--ISNUMBER(SEARCH("R64",G216))*64,0)+IFERROR(--ISNUMBER(SEARCH("R65",G216))*65,0)+IFERROR(--ISNUMBER(SEARCH("R66",G216))*66,0)+IFERROR(--ISNUMBER(SEARCH("R67",G216))*67,0)+IFERROR(--ISNUMBER(SEARCH("R68",G216))*68,0)+IFERROR(--ISNUMBER(SEARCH("R69",G216))*69,0)+IFERROR(--ISNUMBER(SEARCH("R70",G216))*70,0)+IFERROR(--ISNUMBER(SEARCH("R71",G216))*71,0)+IFERROR(--ISNUMBER(SEARCH("R72",G216))*72,0)+IFERROR(--ISNUMBER(SEARCH("R73",G216))*73,0)+IFERROR(--ISNUMBER(SEARCH("R74",G216))*74,0)+IFERROR(--ISNUMBER(SEARCH("R75",G216))*75,0)+IFERROR(--ISNUMBER(SEARCH("R76",G216))*76,0)+IFERROR(--ISNUMBER(SEARCH("R77",G216))*77,0)+IFERROR(--ISNUMBER(SEARCH("R78",G216))*78,0)+IFERROR(--ISNUMBER(SEARCH("R79",G216))*79,0)+IFERROR(--ISNUMBER(SEARCH("R80",G216))*80,0)+IFERROR(--ISNUMBER(SEARCH("R81",G216))*81,0)+IFERROR(--ISNUMBER(SEARCH("R82",G216))*82,0)+IFERROR(--ISNUMBER(SEARCH("R83",G216))*83,0)+IFERROR(--ISNUMBER(SEARCH("R84",G216))*84,0)+IFERROR(--ISNUMBER(SEARCH("R85",G216))*85,0)+IFERROR(--ISNUMBER(SEARCH("R86",G216))*86,0)+IFERROR(--ISNUMBER(SEARCH("R87",G216))*87,0)+IFERROR(--ISNUMBER(SEARCH("R88",G216))*88,0)+IFERROR(--ISNUMBER(SEARCH("R89",G216))*89,0)+IFERROR(--ISNUMBER(SEARCH("R90",G216))*90,0)+IFERROR(--ISNUMBER(SEARCH("R91",G216))*91,0)+IFERROR(--ISNUMBER(SEARCH("R92",G216))*92,0)+IFERROR(--ISNUMBER(SEARCH("R93",G216))*93,0)+IFERROR(--ISNUMBER(SEARCH("R94",G216))*94,0)+IFERROR(--ISNUMBER(SEARCH("R95",G216))*95,0)+IFERROR(--ISNUMBER(SEARCH("R96",G216))*96,0)+IFERROR(--ISNUMBER(SEARCH("R97",G216))*97,0)+IFERROR(--ISNUMBER(SEARCH("R98",G216))*98,0)+IFERROR(--ISNUMBER(SEARCH("R99",G216))*99,0)+IFERROR(--ISNUMBER(SEARCH("R100",G216))*100,0)+IFERROR(--ISNUMBER(SEARCH("R101",G216))*101,0)+IFERROR(--ISNUMBER(SEARCH("R102",G216))*102,0)+IFERROR(--ISNUMBER(SEARCH("R103",G216))*103,0)+IFERROR(--ISNUMBER(SEARCH("R104",G216))*104,0)+IFERROR(--ISNUMBER(SEARCH("R105",G216))*105,0)+IFERROR(--ISNUMBER(SEARCH("R106",G216))*106,0)+IFERROR(--ISNUMBER(SEARCH("R107",G216))*107,0)+IFERROR(--ISNUMBER(SEARCH("R108",G216))*108,0)+IFERROR(--ISNUMBER(SEARCH("R109",G216))*109,0)+IFERROR(--ISNUMBER(SEARCH("R110",G216))*110,0)+IFERROR(--ISNUMBER(SEARCH("R111",G216))*111,0)+IFERROR(--ISNUMBER(SEARCH("R112",G216))*112,0)+IFERROR(--ISNUMBER(SEARCH("R113",G216))*113,0)+IFERROR(--ISNUMBER(SEARCH("R114",G216))*114,0)+IFERROR(--ISNUMBER(SEARCH("R115",G216))*115,0)+IFERROR(--ISNUMBER(SEARCH("R116",G216))*116,0)+IFERROR(--ISNUMBER(SEARCH("R117",G216))*117,0)+IFERROR(--ISNUMBER(SEARCH("R118",G216))*118,0)+IFERROR(--ISNUMBER(SEARCH("R119",G216))*119,0)+IFERROR(--ISNUMBER(SEARCH("R120",G216))*120,0)+IFERROR(--ISNUMBER(SEARCH("R121",G216))*121,0)+IFERROR(--ISNUMBER(SEARCH("R122",G216))*122,0)+IFERROR(--ISNUMBER(SEARCH("R123",G216))*123,0)+IFERROR(--ISNUMBER(SEARCH("R124",G216))*124,0)+IFERROR(--ISNUMBER(SEARCH("R125",G216))*125,0)+IFERROR(--ISNUMBER(SEARCH("R126",G216))*126,0)+IFERROR(--ISNUMBER(SEARCH("R127",G216))*127,0)+IFERROR(--ISNUMBER(SEARCH("R128",G216))*128,0)+IFERROR(--ISNUMBER(SEARCH("R129",G216))*129,0)+IFERROR(--ISNUMBER(SEARCH("R130",G216))*130,0)+IFERROR(--ISNUMBER(SEARCH("R131",G216))*131,0)+IFERROR(--ISNUMBER(SEARCH("R132",G216))*132,0)+IFERROR(--ISNUMBER(SEARCH("R133",G216))*133,0)+IFERROR(--ISNUMBER(SEARCH("R134",G216))*134,0)+IFERROR(--ISNUMBER(SEARCH("R135",G216))*135,0)+IFERROR(--ISNUMBER(SEARCH("R136",G216))*136,0)+IFERROR(--ISNUMBER(SEARCH("R137",G216))*137,0)+IFERROR(--ISNUMBER(SEARCH("R138",G216))*138,0)+IFERROR(--ISNUMBER(SEARCH("R139",G216))*139,0)+IFERROR(--ISNUMBER(SEARCH("R140",G216))*140,0)+IFERROR(--ISNUMBER(SEARCH("R141",G216))*141,0))</f>
        <v/>
      </c>
      <c r="V216" s="59">
        <f>IF(A216="","",IF(K216&lt;&gt;"",K216,J216))</f>
        <v/>
      </c>
      <c r="W216" s="59">
        <f>IF(A216="","",IF(AND(V216=29,O216&lt;&gt;"",COUNTIFS($V$6:$V$505,29,$F$6:$F$505,F216,$C$6:$C$505,C216,$O$6:$O$505,"&lt;&gt;")&gt;1),IF(COUNTIFS($V$6:V216,29,$F$6:F216,F216,$C$6:C216,C216,$O$6:O216,"&lt;&gt;")=1,"Esta es la fila que se debe CONSERVAR (aparición 1 de "&amp;COUNTIFS($V$6:$V$505,29,$F$6:$F$505,F216,$C$6:$C$505,C216,$O$6:$O$505,"&lt;&gt;")&amp;" con el mismo tercero y valor, casilla 29). Si hay más filas iguales, bórreles el valor a ELLAS, no a esta.","DUPLICADO — ya existe otra fila con el mismo tercero y valor para casilla 29 (aparición "&amp;COUNTIFS($V$6:V216,29,$F$6:F216,F216,$C$6:C216,C216,$O$6:O216,"&lt;&gt;")&amp;" de "&amp;COUNTIFS($V$6:$V$505,29,$F$6:$F$505,F216,$C$6:$C$505,C216,$O$6:$O$505,"&lt;&gt;")&amp;"). Para resolverlo: seleccione la celda O"&amp;ROW()&amp;" (columna Valor a declarar de ESTA fila) y presione Supr."),""))</f>
        <v/>
      </c>
      <c r="X216" s="463">
        <f>IF(A216="","",F216)</f>
        <v/>
      </c>
      <c r="Y216" s="463">
        <f>IF(A216="","",SUMIF(Entrada_Manual!$I$88:$I$187,A216,Entrada_Manual!$F$88:$F$187))</f>
        <v/>
      </c>
      <c r="Z216" s="463">
        <f>IF(A216="","",X216-Y216)</f>
        <v/>
      </c>
      <c r="AA216">
        <f>IF(A216="","",SUMPRODUCT((Entrada_Manual!$I$88:$I$187=A216)*1))</f>
        <v/>
      </c>
      <c r="AB216">
        <f>IF(A216="","",IF(S216&lt;=1,"",IF(AA216=0,"PENDIENTE — SIN ASIGNAR",IF(Z216=0,"RESUELTO","PARCIAL — DIFERENCIA "&amp;TEXT(Z216,"#,##0")))))</f>
        <v/>
      </c>
    </row>
    <row r="217" ht="14.25" customHeight="1" s="235">
      <c r="A217" s="47">
        <f>IF(Exogena_RAW!E226&lt;&gt;"",ROW()-5,"")</f>
        <v/>
      </c>
      <c r="B217" s="48">
        <f>IF(A217="","",226)</f>
        <v/>
      </c>
      <c r="C217" s="48">
        <f>IF(A217="","",IFERROR(Exogena_RAW!A226,""))</f>
        <v/>
      </c>
      <c r="D217" s="48">
        <f>IF(A217="","",IFERROR(Exogena_RAW!B226,""))</f>
        <v/>
      </c>
      <c r="E217" s="48">
        <f>IF(A217="","",Exogena_RAW!E226)</f>
        <v/>
      </c>
      <c r="F217" s="461">
        <f>IF(A217="","",Exogena_RAW!F226)</f>
        <v/>
      </c>
      <c r="G217" s="48">
        <f>IF(A217="","",IFERROR(Exogena_RAW!G226,""))</f>
        <v/>
      </c>
      <c r="H217" s="48">
        <f>IF(A217="","",IFERROR(Exogena_RAW!H226,""))</f>
        <v/>
      </c>
      <c r="I217" s="48">
        <f>IF(A217="","",IFERROR(IF(S217&gt;1,"VARIAS CASILLAS",IF(S217=1,IF(T217=1,"PROPUESTA DE CASILLA","REVISIÓN: CASILLA NO DIRECTA"),IF(OR(ISNUMBER(SEARCH("TOPE",UPPER(E217))),ISNUMBER(SEARCH("TOPE",UPPER(G217)))),"SOLO CONTROL",IF(ISNUMBER(SEARCH("RETEN",UPPER(E217))),"RETENCIÓN","REVISAR")))),"REVISAR"))</f>
        <v/>
      </c>
      <c r="J217" s="48">
        <f>IF(A217="","",IF(ISNUMBER(SEARCH("ingreso laboral promedio de los últimos seis meses",E217)),"",IFERROR(IF(AND(S217=1,T217=1),U217,""),"")))</f>
        <v/>
      </c>
      <c r="K217" s="216" t="n"/>
      <c r="L217" s="48">
        <f>IF(A217="","",IFERROR(IF(K217&lt;&gt;"","Casilla elegida por usuario",IF(S217&gt;1,"Varias casillas — elegir en K",IF(J217&lt;&gt;"","Sugerencia directa",IF(S217=1,"No trasladar directo — revisar",IF(OR(ISNUMBER(SEARCH("TOPE",UPPER(E217))),ISNUMBER(SEARCH("TOPE",UPPER(G217)))),"Solo control","Revisar manualmente"))))),"Revisar manualmente"))</f>
        <v/>
      </c>
      <c r="M217" s="461">
        <f>IF(A217="","",IF(IF(K217&lt;&gt;"",K217,J217)="",0,IF(COUNTIFS(Reglas!$I$5:$I$118,IF(K217&lt;&gt;"",K217,J217),Reglas!$J$5:$J$118,"Sí")=1,F217,0)))</f>
        <v/>
      </c>
      <c r="N217" s="56" t="n"/>
      <c r="O217" s="462">
        <f>IF(A217="","",IF(M217=0,"",M217))</f>
        <v/>
      </c>
      <c r="P217" s="461">
        <f>IF(A217="","",IF(O217="",0,IF(ISNUMBER(O217),O217,0)))</f>
        <v/>
      </c>
      <c r="Q217" s="48">
        <f>IF(A217="","",IF(Exogena_RAW!$C$4="","BLOQUEADO: FALTA AÑO",IF(Exogena_RAW!$K$10&lt;&gt;Reglas!$B$5,"BLOQUEADO: AÑO",IF(IF(K217&lt;&gt;"",K217,J217)="",IF(S217&gt;1,"REQUIERE ASIGNACIÓN MANUAL (VARIAS CASILLAS)","INFORMATIVO (sin casilla — no se declara)"),IF(COUNTIFS(Reglas!$I$5:$I$118,IF(K217&lt;&gt;"",K217,J217),Reglas!$J$5:$J$118,"Sí")=0,"BLOQUEADO: CASILLA NO DIRECTA",IF(O217="","EXCLUIDO (valor borrado por el usuario)",IF(_xlfn.ISFORMULA(O217),IF(W217&lt;&gt;"","BORRADOR — VALOR SUGERIDO DIAN ⚠ VER ALERTA","BORRADOR — VALOR SUGERIDO DIAN"),IF(W217&lt;&gt;"","ACEPTADO ⚠ VER ALERTA","ACEPTADO"))))))))</f>
        <v/>
      </c>
      <c r="R217" s="218" t="n"/>
      <c r="S217" s="58">
        <f>IF(A217="","",IFERROR(--ISNUMBER(SEARCH("R28",G217)),0)+IFERROR(--ISNUMBER(SEARCH("R29",G217)),0)+IFERROR(--ISNUMBER(SEARCH("R30",G217)),0)+IFERROR(--ISNUMBER(SEARCH("R31",G217)),0)+IFERROR(--ISNUMBER(SEARCH("R32",G217)),0)+IFERROR(--ISNUMBER(SEARCH("R33",G217)),0)+IFERROR(--ISNUMBER(SEARCH("R34",G217)),0)+IFERROR(--ISNUMBER(SEARCH("R35",G217)),0)+IFERROR(--ISNUMBER(SEARCH("R36",G217)),0)+IFERROR(--ISNUMBER(SEARCH("R37",G217)),0)+IFERROR(--ISNUMBER(SEARCH("R38",G217)),0)+IFERROR(--ISNUMBER(SEARCH("R39",G217)),0)+IFERROR(--ISNUMBER(SEARCH("R40",G217)),0)+IFERROR(--ISNUMBER(SEARCH("R41",G217)),0)+IFERROR(--ISNUMBER(SEARCH("R42",G217)),0)+IFERROR(--ISNUMBER(SEARCH("R43",G217)),0)+IFERROR(--ISNUMBER(SEARCH("R44",G217)),0)+IFERROR(--ISNUMBER(SEARCH("R45",G217)),0)+IFERROR(--ISNUMBER(SEARCH("R46",G217)),0)+IFERROR(--ISNUMBER(SEARCH("R47",G217)),0)+IFERROR(--ISNUMBER(SEARCH("R48",G217)),0)+IFERROR(--ISNUMBER(SEARCH("R49",G217)),0)+IFERROR(--ISNUMBER(SEARCH("R50",G217)),0)+IFERROR(--ISNUMBER(SEARCH("R51",G217)),0)+IFERROR(--ISNUMBER(SEARCH("R52",G217)),0)+IFERROR(--ISNUMBER(SEARCH("R53",G217)),0)+IFERROR(--ISNUMBER(SEARCH("R54",G217)),0)+IFERROR(--ISNUMBER(SEARCH("R55",G217)),0)+IFERROR(--ISNUMBER(SEARCH("R56",G217)),0)+IFERROR(--ISNUMBER(SEARCH("R57",G217)),0)+IFERROR(--ISNUMBER(SEARCH("R58",G217)),0)+IFERROR(--ISNUMBER(SEARCH("R59",G217)),0)+IFERROR(--ISNUMBER(SEARCH("R60",G217)),0)+IFERROR(--ISNUMBER(SEARCH("R61",G217)),0)+IFERROR(--ISNUMBER(SEARCH("R62",G217)),0)+IFERROR(--ISNUMBER(SEARCH("R63",G217)),0)+IFERROR(--ISNUMBER(SEARCH("R64",G217)),0)+IFERROR(--ISNUMBER(SEARCH("R65",G217)),0)+IFERROR(--ISNUMBER(SEARCH("R66",G217)),0)+IFERROR(--ISNUMBER(SEARCH("R67",G217)),0)+IFERROR(--ISNUMBER(SEARCH("R68",G217)),0)+IFERROR(--ISNUMBER(SEARCH("R69",G217)),0)+IFERROR(--ISNUMBER(SEARCH("R70",G217)),0)+IFERROR(--ISNUMBER(SEARCH("R71",G217)),0)+IFERROR(--ISNUMBER(SEARCH("R72",G217)),0)+IFERROR(--ISNUMBER(SEARCH("R73",G217)),0)+IFERROR(--ISNUMBER(SEARCH("R74",G217)),0)+IFERROR(--ISNUMBER(SEARCH("R75",G217)),0)+IFERROR(--ISNUMBER(SEARCH("R76",G217)),0)+IFERROR(--ISNUMBER(SEARCH("R77",G217)),0)+IFERROR(--ISNUMBER(SEARCH("R78",G217)),0)+IFERROR(--ISNUMBER(SEARCH("R79",G217)),0)+IFERROR(--ISNUMBER(SEARCH("R80",G217)),0)+IFERROR(--ISNUMBER(SEARCH("R81",G217)),0)+IFERROR(--ISNUMBER(SEARCH("R82",G217)),0)+IFERROR(--ISNUMBER(SEARCH("R83",G217)),0)+IFERROR(--ISNUMBER(SEARCH("R84",G217)),0)+IFERROR(--ISNUMBER(SEARCH("R85",G217)),0)+IFERROR(--ISNUMBER(SEARCH("R86",G217)),0)+IFERROR(--ISNUMBER(SEARCH("R87",G217)),0)+IFERROR(--ISNUMBER(SEARCH("R88",G217)),0)+IFERROR(--ISNUMBER(SEARCH("R89",G217)),0)+IFERROR(--ISNUMBER(SEARCH("R90",G217)),0)+IFERROR(--ISNUMBER(SEARCH("R91",G217)),0)+IFERROR(--ISNUMBER(SEARCH("R92",G217)),0)+IFERROR(--ISNUMBER(SEARCH("R93",G217)),0)+IFERROR(--ISNUMBER(SEARCH("R94",G217)),0)+IFERROR(--ISNUMBER(SEARCH("R95",G217)),0)+IFERROR(--ISNUMBER(SEARCH("R96",G217)),0)+IFERROR(--ISNUMBER(SEARCH("R97",G217)),0)+IFERROR(--ISNUMBER(SEARCH("R98",G217)),0)+IFERROR(--ISNUMBER(SEARCH("R99",G217)),0)+IFERROR(--ISNUMBER(SEARCH("R100",G217)),0)+IFERROR(--ISNUMBER(SEARCH("R101",G217)),0)+IFERROR(--ISNUMBER(SEARCH("R102",G217)),0)+IFERROR(--ISNUMBER(SEARCH("R103",G217)),0)+IFERROR(--ISNUMBER(SEARCH("R104",G217)),0)+IFERROR(--ISNUMBER(SEARCH("R105",G217)),0)+IFERROR(--ISNUMBER(SEARCH("R106",G217)),0)+IFERROR(--ISNUMBER(SEARCH("R107",G217)),0)+IFERROR(--ISNUMBER(SEARCH("R108",G217)),0)+IFERROR(--ISNUMBER(SEARCH("R109",G217)),0)+IFERROR(--ISNUMBER(SEARCH("R110",G217)),0)+IFERROR(--ISNUMBER(SEARCH("R111",G217)),0)+IFERROR(--ISNUMBER(SEARCH("R112",G217)),0)+IFERROR(--ISNUMBER(SEARCH("R113",G217)),0)+IFERROR(--ISNUMBER(SEARCH("R114",G217)),0)+IFERROR(--ISNUMBER(SEARCH("R115",G217)),0)+IFERROR(--ISNUMBER(SEARCH("R116",G217)),0)+IFERROR(--ISNUMBER(SEARCH("R117",G217)),0)+IFERROR(--ISNUMBER(SEARCH("R118",G217)),0)+IFERROR(--ISNUMBER(SEARCH("R119",G217)),0)+IFERROR(--ISNUMBER(SEARCH("R120",G217)),0)+IFERROR(--ISNUMBER(SEARCH("R121",G217)),0)+IFERROR(--ISNUMBER(SEARCH("R122",G217)),0)+IFERROR(--ISNUMBER(SEARCH("R123",G217)),0)+IFERROR(--ISNUMBER(SEARCH("R124",G217)),0)+IFERROR(--ISNUMBER(SEARCH("R125",G217)),0)+IFERROR(--ISNUMBER(SEARCH("R126",G217)),0)+IFERROR(--ISNUMBER(SEARCH("R127",G217)),0)+IFERROR(--ISNUMBER(SEARCH("R128",G217)),0)+IFERROR(--ISNUMBER(SEARCH("R129",G217)),0)+IFERROR(--ISNUMBER(SEARCH("R130",G217)),0)+IFERROR(--ISNUMBER(SEARCH("R131",G217)),0)+IFERROR(--ISNUMBER(SEARCH("R132",G217)),0)+IFERROR(--ISNUMBER(SEARCH("R133",G217)),0)+IFERROR(--ISNUMBER(SEARCH("R134",G217)),0)+IFERROR(--ISNUMBER(SEARCH("R135",G217)),0)+IFERROR(--ISNUMBER(SEARCH("R136",G217)),0)+IFERROR(--ISNUMBER(SEARCH("R137",G217)),0)+IFERROR(--ISNUMBER(SEARCH("R138",G217)),0)+IFERROR(--ISNUMBER(SEARCH("R139",G217)),0)+IFERROR(--ISNUMBER(SEARCH("R140",G217)),0)+IFERROR(--ISNUMBER(SEARCH("R141",G217)),0))</f>
        <v/>
      </c>
      <c r="T217" s="58">
        <f>IF(A217="","",IFERROR(--ISNUMBER(SEARCH("R28",G217)),0)+IFERROR(--ISNUMBER(SEARCH("R29",G217)),0)+IFERROR(--ISNUMBER(SEARCH("R30",G217)),0)+IFERROR(--ISNUMBER(SEARCH("R32",G217)),0)+IFERROR(--ISNUMBER(SEARCH("R33",G217)),0)+IFERROR(--ISNUMBER(SEARCH("R35",G217)),0)+IFERROR(--ISNUMBER(SEARCH("R36",G217)),0)+IFERROR(--ISNUMBER(SEARCH("R38",G217)),0)+IFERROR(--ISNUMBER(SEARCH("R39",G217)),0)+IFERROR(--ISNUMBER(SEARCH("R43",G217)),0)+IFERROR(--ISNUMBER(SEARCH("R44",G217)),0)+IFERROR(--ISNUMBER(SEARCH("R45",G217)),0)+IFERROR(--ISNUMBER(SEARCH("R47",G217)),0)+IFERROR(--ISNUMBER(SEARCH("R48",G217)),0)+IFERROR(--ISNUMBER(SEARCH("R50",G217)),0)+IFERROR(--ISNUMBER(SEARCH("R51",G217)),0)+IFERROR(--ISNUMBER(SEARCH("R56",G217)),0)+IFERROR(--ISNUMBER(SEARCH("R58",G217)),0)+IFERROR(--ISNUMBER(SEARCH("R59",G217)),0)+IFERROR(--ISNUMBER(SEARCH("R60",G217)),0)+IFERROR(--ISNUMBER(SEARCH("R62",G217)),0)+IFERROR(--ISNUMBER(SEARCH("R63",G217)),0)+IFERROR(--ISNUMBER(SEARCH("R64",G217)),0)+IFERROR(--ISNUMBER(SEARCH("R66",G217)),0)+IFERROR(--ISNUMBER(SEARCH("R67",G217)),0)+IFERROR(--ISNUMBER(SEARCH("R72",G217)),0)+IFERROR(--ISNUMBER(SEARCH("R74",G217)),0)+IFERROR(--ISNUMBER(SEARCH("R75",G217)),0)+IFERROR(--ISNUMBER(SEARCH("R76",G217)),0)+IFERROR(--ISNUMBER(SEARCH("R77",G217)),0)+IFERROR(--ISNUMBER(SEARCH("R79",G217)),0)+IFERROR(--ISNUMBER(SEARCH("R80",G217)),0)+IFERROR(--ISNUMBER(SEARCH("R81",G217)),0)+IFERROR(--ISNUMBER(SEARCH("R83",G217)),0)+IFERROR(--ISNUMBER(SEARCH("R84",G217)),0)+IFERROR(--ISNUMBER(SEARCH("R89",G217)),0)+IFERROR(--ISNUMBER(SEARCH("R94",G217)),0)+IFERROR(--ISNUMBER(SEARCH("R95",G217)),0)+IFERROR(--ISNUMBER(SEARCH("R96",G217)),0)+IFERROR(--ISNUMBER(SEARCH("R98",G217)),0)+IFERROR(--ISNUMBER(SEARCH("R99",G217)),0)+IFERROR(--ISNUMBER(SEARCH("R100",G217)),0)+IFERROR(--ISNUMBER(SEARCH("R104",G217)),0)+IFERROR(--ISNUMBER(SEARCH("R105",G217)),0)+IFERROR(--ISNUMBER(SEARCH("R107",G217)),0)+IFERROR(--ISNUMBER(SEARCH("R108",G217)),0)+IFERROR(--ISNUMBER(SEARCH("R109",G217)),0)+IFERROR(--ISNUMBER(SEARCH("R110",G217)),0)+IFERROR(--ISNUMBER(SEARCH("R112",G217)),0)+IFERROR(--ISNUMBER(SEARCH("R113",G217)),0)+IFERROR(--ISNUMBER(SEARCH("R114",G217)),0)+IFERROR(--ISNUMBER(SEARCH("R118",G217)),0)+IFERROR(--ISNUMBER(SEARCH("R119",G217)),0)+IFERROR(--ISNUMBER(SEARCH("R120",G217)),0)+IFERROR(--ISNUMBER(SEARCH("R122",G217)),0)+IFERROR(--ISNUMBER(SEARCH("R123",G217)),0)+IFERROR(--ISNUMBER(SEARCH("R124",G217)),0)+IFERROR(--ISNUMBER(SEARCH("R128",G217)),0)+IFERROR(--ISNUMBER(SEARCH("R130",G217)),0)+IFERROR(--ISNUMBER(SEARCH("R131",G217)),0)+IFERROR(--ISNUMBER(SEARCH("R132",G217)),0)+IFERROR(--ISNUMBER(SEARCH("R135",G217)),0)+IFERROR(--ISNUMBER(SEARCH("R138",G217)),0)+IFERROR(--ISNUMBER(SEARCH("R141",G217)),0))</f>
        <v/>
      </c>
      <c r="U217" s="58">
        <f>IF(A217="","",IFERROR(--ISNUMBER(SEARCH("R28",G217))*28,0)+IFERROR(--ISNUMBER(SEARCH("R29",G217))*29,0)+IFERROR(--ISNUMBER(SEARCH("R30",G217))*30,0)+IFERROR(--ISNUMBER(SEARCH("R31",G217))*31,0)+IFERROR(--ISNUMBER(SEARCH("R32",G217))*32,0)+IFERROR(--ISNUMBER(SEARCH("R33",G217))*33,0)+IFERROR(--ISNUMBER(SEARCH("R34",G217))*34,0)+IFERROR(--ISNUMBER(SEARCH("R35",G217))*35,0)+IFERROR(--ISNUMBER(SEARCH("R36",G217))*36,0)+IFERROR(--ISNUMBER(SEARCH("R37",G217))*37,0)+IFERROR(--ISNUMBER(SEARCH("R38",G217))*38,0)+IFERROR(--ISNUMBER(SEARCH("R39",G217))*39,0)+IFERROR(--ISNUMBER(SEARCH("R40",G217))*40,0)+IFERROR(--ISNUMBER(SEARCH("R41",G217))*41,0)+IFERROR(--ISNUMBER(SEARCH("R42",G217))*42,0)+IFERROR(--ISNUMBER(SEARCH("R43",G217))*43,0)+IFERROR(--ISNUMBER(SEARCH("R44",G217))*44,0)+IFERROR(--ISNUMBER(SEARCH("R45",G217))*45,0)+IFERROR(--ISNUMBER(SEARCH("R46",G217))*46,0)+IFERROR(--ISNUMBER(SEARCH("R47",G217))*47,0)+IFERROR(--ISNUMBER(SEARCH("R48",G217))*48,0)+IFERROR(--ISNUMBER(SEARCH("R49",G217))*49,0)+IFERROR(--ISNUMBER(SEARCH("R50",G217))*50,0)+IFERROR(--ISNUMBER(SEARCH("R51",G217))*51,0)+IFERROR(--ISNUMBER(SEARCH("R52",G217))*52,0)+IFERROR(--ISNUMBER(SEARCH("R53",G217))*53,0)+IFERROR(--ISNUMBER(SEARCH("R54",G217))*54,0)+IFERROR(--ISNUMBER(SEARCH("R55",G217))*55,0)+IFERROR(--ISNUMBER(SEARCH("R56",G217))*56,0)+IFERROR(--ISNUMBER(SEARCH("R57",G217))*57,0)+IFERROR(--ISNUMBER(SEARCH("R58",G217))*58,0)+IFERROR(--ISNUMBER(SEARCH("R59",G217))*59,0)+IFERROR(--ISNUMBER(SEARCH("R60",G217))*60,0)+IFERROR(--ISNUMBER(SEARCH("R61",G217))*61,0)+IFERROR(--ISNUMBER(SEARCH("R62",G217))*62,0)+IFERROR(--ISNUMBER(SEARCH("R63",G217))*63,0)+IFERROR(--ISNUMBER(SEARCH("R64",G217))*64,0)+IFERROR(--ISNUMBER(SEARCH("R65",G217))*65,0)+IFERROR(--ISNUMBER(SEARCH("R66",G217))*66,0)+IFERROR(--ISNUMBER(SEARCH("R67",G217))*67,0)+IFERROR(--ISNUMBER(SEARCH("R68",G217))*68,0)+IFERROR(--ISNUMBER(SEARCH("R69",G217))*69,0)+IFERROR(--ISNUMBER(SEARCH("R70",G217))*70,0)+IFERROR(--ISNUMBER(SEARCH("R71",G217))*71,0)+IFERROR(--ISNUMBER(SEARCH("R72",G217))*72,0)+IFERROR(--ISNUMBER(SEARCH("R73",G217))*73,0)+IFERROR(--ISNUMBER(SEARCH("R74",G217))*74,0)+IFERROR(--ISNUMBER(SEARCH("R75",G217))*75,0)+IFERROR(--ISNUMBER(SEARCH("R76",G217))*76,0)+IFERROR(--ISNUMBER(SEARCH("R77",G217))*77,0)+IFERROR(--ISNUMBER(SEARCH("R78",G217))*78,0)+IFERROR(--ISNUMBER(SEARCH("R79",G217))*79,0)+IFERROR(--ISNUMBER(SEARCH("R80",G217))*80,0)+IFERROR(--ISNUMBER(SEARCH("R81",G217))*81,0)+IFERROR(--ISNUMBER(SEARCH("R82",G217))*82,0)+IFERROR(--ISNUMBER(SEARCH("R83",G217))*83,0)+IFERROR(--ISNUMBER(SEARCH("R84",G217))*84,0)+IFERROR(--ISNUMBER(SEARCH("R85",G217))*85,0)+IFERROR(--ISNUMBER(SEARCH("R86",G217))*86,0)+IFERROR(--ISNUMBER(SEARCH("R87",G217))*87,0)+IFERROR(--ISNUMBER(SEARCH("R88",G217))*88,0)+IFERROR(--ISNUMBER(SEARCH("R89",G217))*89,0)+IFERROR(--ISNUMBER(SEARCH("R90",G217))*90,0)+IFERROR(--ISNUMBER(SEARCH("R91",G217))*91,0)+IFERROR(--ISNUMBER(SEARCH("R92",G217))*92,0)+IFERROR(--ISNUMBER(SEARCH("R93",G217))*93,0)+IFERROR(--ISNUMBER(SEARCH("R94",G217))*94,0)+IFERROR(--ISNUMBER(SEARCH("R95",G217))*95,0)+IFERROR(--ISNUMBER(SEARCH("R96",G217))*96,0)+IFERROR(--ISNUMBER(SEARCH("R97",G217))*97,0)+IFERROR(--ISNUMBER(SEARCH("R98",G217))*98,0)+IFERROR(--ISNUMBER(SEARCH("R99",G217))*99,0)+IFERROR(--ISNUMBER(SEARCH("R100",G217))*100,0)+IFERROR(--ISNUMBER(SEARCH("R101",G217))*101,0)+IFERROR(--ISNUMBER(SEARCH("R102",G217))*102,0)+IFERROR(--ISNUMBER(SEARCH("R103",G217))*103,0)+IFERROR(--ISNUMBER(SEARCH("R104",G217))*104,0)+IFERROR(--ISNUMBER(SEARCH("R105",G217))*105,0)+IFERROR(--ISNUMBER(SEARCH("R106",G217))*106,0)+IFERROR(--ISNUMBER(SEARCH("R107",G217))*107,0)+IFERROR(--ISNUMBER(SEARCH("R108",G217))*108,0)+IFERROR(--ISNUMBER(SEARCH("R109",G217))*109,0)+IFERROR(--ISNUMBER(SEARCH("R110",G217))*110,0)+IFERROR(--ISNUMBER(SEARCH("R111",G217))*111,0)+IFERROR(--ISNUMBER(SEARCH("R112",G217))*112,0)+IFERROR(--ISNUMBER(SEARCH("R113",G217))*113,0)+IFERROR(--ISNUMBER(SEARCH("R114",G217))*114,0)+IFERROR(--ISNUMBER(SEARCH("R115",G217))*115,0)+IFERROR(--ISNUMBER(SEARCH("R116",G217))*116,0)+IFERROR(--ISNUMBER(SEARCH("R117",G217))*117,0)+IFERROR(--ISNUMBER(SEARCH("R118",G217))*118,0)+IFERROR(--ISNUMBER(SEARCH("R119",G217))*119,0)+IFERROR(--ISNUMBER(SEARCH("R120",G217))*120,0)+IFERROR(--ISNUMBER(SEARCH("R121",G217))*121,0)+IFERROR(--ISNUMBER(SEARCH("R122",G217))*122,0)+IFERROR(--ISNUMBER(SEARCH("R123",G217))*123,0)+IFERROR(--ISNUMBER(SEARCH("R124",G217))*124,0)+IFERROR(--ISNUMBER(SEARCH("R125",G217))*125,0)+IFERROR(--ISNUMBER(SEARCH("R126",G217))*126,0)+IFERROR(--ISNUMBER(SEARCH("R127",G217))*127,0)+IFERROR(--ISNUMBER(SEARCH("R128",G217))*128,0)+IFERROR(--ISNUMBER(SEARCH("R129",G217))*129,0)+IFERROR(--ISNUMBER(SEARCH("R130",G217))*130,0)+IFERROR(--ISNUMBER(SEARCH("R131",G217))*131,0)+IFERROR(--ISNUMBER(SEARCH("R132",G217))*132,0)+IFERROR(--ISNUMBER(SEARCH("R133",G217))*133,0)+IFERROR(--ISNUMBER(SEARCH("R134",G217))*134,0)+IFERROR(--ISNUMBER(SEARCH("R135",G217))*135,0)+IFERROR(--ISNUMBER(SEARCH("R136",G217))*136,0)+IFERROR(--ISNUMBER(SEARCH("R137",G217))*137,0)+IFERROR(--ISNUMBER(SEARCH("R138",G217))*138,0)+IFERROR(--ISNUMBER(SEARCH("R139",G217))*139,0)+IFERROR(--ISNUMBER(SEARCH("R140",G217))*140,0)+IFERROR(--ISNUMBER(SEARCH("R141",G217))*141,0))</f>
        <v/>
      </c>
      <c r="V217" s="59">
        <f>IF(A217="","",IF(K217&lt;&gt;"",K217,J217))</f>
        <v/>
      </c>
      <c r="W217" s="59">
        <f>IF(A217="","",IF(AND(V217=29,O217&lt;&gt;"",COUNTIFS($V$6:$V$505,29,$F$6:$F$505,F217,$C$6:$C$505,C217,$O$6:$O$505,"&lt;&gt;")&gt;1),IF(COUNTIFS($V$6:V217,29,$F$6:F217,F217,$C$6:C217,C217,$O$6:O217,"&lt;&gt;")=1,"Esta es la fila que se debe CONSERVAR (aparición 1 de "&amp;COUNTIFS($V$6:$V$505,29,$F$6:$F$505,F217,$C$6:$C$505,C217,$O$6:$O$505,"&lt;&gt;")&amp;" con el mismo tercero y valor, casilla 29). Si hay más filas iguales, bórreles el valor a ELLAS, no a esta.","DUPLICADO — ya existe otra fila con el mismo tercero y valor para casilla 29 (aparición "&amp;COUNTIFS($V$6:V217,29,$F$6:F217,F217,$C$6:C217,C217,$O$6:O217,"&lt;&gt;")&amp;" de "&amp;COUNTIFS($V$6:$V$505,29,$F$6:$F$505,F217,$C$6:$C$505,C217,$O$6:$O$505,"&lt;&gt;")&amp;"). Para resolverlo: seleccione la celda O"&amp;ROW()&amp;" (columna Valor a declarar de ESTA fila) y presione Supr."),""))</f>
        <v/>
      </c>
      <c r="X217" s="463">
        <f>IF(A217="","",F217)</f>
        <v/>
      </c>
      <c r="Y217" s="463">
        <f>IF(A217="","",SUMIF(Entrada_Manual!$I$88:$I$187,A217,Entrada_Manual!$F$88:$F$187))</f>
        <v/>
      </c>
      <c r="Z217" s="463">
        <f>IF(A217="","",X217-Y217)</f>
        <v/>
      </c>
      <c r="AA217">
        <f>IF(A217="","",SUMPRODUCT((Entrada_Manual!$I$88:$I$187=A217)*1))</f>
        <v/>
      </c>
      <c r="AB217">
        <f>IF(A217="","",IF(S217&lt;=1,"",IF(AA217=0,"PENDIENTE — SIN ASIGNAR",IF(Z217=0,"RESUELTO","PARCIAL — DIFERENCIA "&amp;TEXT(Z217,"#,##0")))))</f>
        <v/>
      </c>
    </row>
    <row r="218" ht="14.25" customHeight="1" s="235">
      <c r="A218" s="47">
        <f>IF(Exogena_RAW!E227&lt;&gt;"",ROW()-5,"")</f>
        <v/>
      </c>
      <c r="B218" s="48">
        <f>IF(A218="","",227)</f>
        <v/>
      </c>
      <c r="C218" s="48">
        <f>IF(A218="","",IFERROR(Exogena_RAW!A227,""))</f>
        <v/>
      </c>
      <c r="D218" s="48">
        <f>IF(A218="","",IFERROR(Exogena_RAW!B227,""))</f>
        <v/>
      </c>
      <c r="E218" s="48">
        <f>IF(A218="","",Exogena_RAW!E227)</f>
        <v/>
      </c>
      <c r="F218" s="461">
        <f>IF(A218="","",Exogena_RAW!F227)</f>
        <v/>
      </c>
      <c r="G218" s="48">
        <f>IF(A218="","",IFERROR(Exogena_RAW!G227,""))</f>
        <v/>
      </c>
      <c r="H218" s="48">
        <f>IF(A218="","",IFERROR(Exogena_RAW!H227,""))</f>
        <v/>
      </c>
      <c r="I218" s="48">
        <f>IF(A218="","",IFERROR(IF(S218&gt;1,"VARIAS CASILLAS",IF(S218=1,IF(T218=1,"PROPUESTA DE CASILLA","REVISIÓN: CASILLA NO DIRECTA"),IF(OR(ISNUMBER(SEARCH("TOPE",UPPER(E218))),ISNUMBER(SEARCH("TOPE",UPPER(G218)))),"SOLO CONTROL",IF(ISNUMBER(SEARCH("RETEN",UPPER(E218))),"RETENCIÓN","REVISAR")))),"REVISAR"))</f>
        <v/>
      </c>
      <c r="J218" s="48">
        <f>IF(A218="","",IF(ISNUMBER(SEARCH("ingreso laboral promedio de los últimos seis meses",E218)),"",IFERROR(IF(AND(S218=1,T218=1),U218,""),"")))</f>
        <v/>
      </c>
      <c r="K218" s="216" t="n"/>
      <c r="L218" s="48">
        <f>IF(A218="","",IFERROR(IF(K218&lt;&gt;"","Casilla elegida por usuario",IF(S218&gt;1,"Varias casillas — elegir en K",IF(J218&lt;&gt;"","Sugerencia directa",IF(S218=1,"No trasladar directo — revisar",IF(OR(ISNUMBER(SEARCH("TOPE",UPPER(E218))),ISNUMBER(SEARCH("TOPE",UPPER(G218)))),"Solo control","Revisar manualmente"))))),"Revisar manualmente"))</f>
        <v/>
      </c>
      <c r="M218" s="461">
        <f>IF(A218="","",IF(IF(K218&lt;&gt;"",K218,J218)="",0,IF(COUNTIFS(Reglas!$I$5:$I$118,IF(K218&lt;&gt;"",K218,J218),Reglas!$J$5:$J$118,"Sí")=1,F218,0)))</f>
        <v/>
      </c>
      <c r="N218" s="56" t="n"/>
      <c r="O218" s="462">
        <f>IF(A218="","",IF(M218=0,"",M218))</f>
        <v/>
      </c>
      <c r="P218" s="461">
        <f>IF(A218="","",IF(O218="",0,IF(ISNUMBER(O218),O218,0)))</f>
        <v/>
      </c>
      <c r="Q218" s="48">
        <f>IF(A218="","",IF(Exogena_RAW!$C$4="","BLOQUEADO: FALTA AÑO",IF(Exogena_RAW!$K$10&lt;&gt;Reglas!$B$5,"BLOQUEADO: AÑO",IF(IF(K218&lt;&gt;"",K218,J218)="",IF(S218&gt;1,"REQUIERE ASIGNACIÓN MANUAL (VARIAS CASILLAS)","INFORMATIVO (sin casilla — no se declara)"),IF(COUNTIFS(Reglas!$I$5:$I$118,IF(K218&lt;&gt;"",K218,J218),Reglas!$J$5:$J$118,"Sí")=0,"BLOQUEADO: CASILLA NO DIRECTA",IF(O218="","EXCLUIDO (valor borrado por el usuario)",IF(_xlfn.ISFORMULA(O218),IF(W218&lt;&gt;"","BORRADOR — VALOR SUGERIDO DIAN ⚠ VER ALERTA","BORRADOR — VALOR SUGERIDO DIAN"),IF(W218&lt;&gt;"","ACEPTADO ⚠ VER ALERTA","ACEPTADO"))))))))</f>
        <v/>
      </c>
      <c r="R218" s="218" t="n"/>
      <c r="S218" s="58">
        <f>IF(A218="","",IFERROR(--ISNUMBER(SEARCH("R28",G218)),0)+IFERROR(--ISNUMBER(SEARCH("R29",G218)),0)+IFERROR(--ISNUMBER(SEARCH("R30",G218)),0)+IFERROR(--ISNUMBER(SEARCH("R31",G218)),0)+IFERROR(--ISNUMBER(SEARCH("R32",G218)),0)+IFERROR(--ISNUMBER(SEARCH("R33",G218)),0)+IFERROR(--ISNUMBER(SEARCH("R34",G218)),0)+IFERROR(--ISNUMBER(SEARCH("R35",G218)),0)+IFERROR(--ISNUMBER(SEARCH("R36",G218)),0)+IFERROR(--ISNUMBER(SEARCH("R37",G218)),0)+IFERROR(--ISNUMBER(SEARCH("R38",G218)),0)+IFERROR(--ISNUMBER(SEARCH("R39",G218)),0)+IFERROR(--ISNUMBER(SEARCH("R40",G218)),0)+IFERROR(--ISNUMBER(SEARCH("R41",G218)),0)+IFERROR(--ISNUMBER(SEARCH("R42",G218)),0)+IFERROR(--ISNUMBER(SEARCH("R43",G218)),0)+IFERROR(--ISNUMBER(SEARCH("R44",G218)),0)+IFERROR(--ISNUMBER(SEARCH("R45",G218)),0)+IFERROR(--ISNUMBER(SEARCH("R46",G218)),0)+IFERROR(--ISNUMBER(SEARCH("R47",G218)),0)+IFERROR(--ISNUMBER(SEARCH("R48",G218)),0)+IFERROR(--ISNUMBER(SEARCH("R49",G218)),0)+IFERROR(--ISNUMBER(SEARCH("R50",G218)),0)+IFERROR(--ISNUMBER(SEARCH("R51",G218)),0)+IFERROR(--ISNUMBER(SEARCH("R52",G218)),0)+IFERROR(--ISNUMBER(SEARCH("R53",G218)),0)+IFERROR(--ISNUMBER(SEARCH("R54",G218)),0)+IFERROR(--ISNUMBER(SEARCH("R55",G218)),0)+IFERROR(--ISNUMBER(SEARCH("R56",G218)),0)+IFERROR(--ISNUMBER(SEARCH("R57",G218)),0)+IFERROR(--ISNUMBER(SEARCH("R58",G218)),0)+IFERROR(--ISNUMBER(SEARCH("R59",G218)),0)+IFERROR(--ISNUMBER(SEARCH("R60",G218)),0)+IFERROR(--ISNUMBER(SEARCH("R61",G218)),0)+IFERROR(--ISNUMBER(SEARCH("R62",G218)),0)+IFERROR(--ISNUMBER(SEARCH("R63",G218)),0)+IFERROR(--ISNUMBER(SEARCH("R64",G218)),0)+IFERROR(--ISNUMBER(SEARCH("R65",G218)),0)+IFERROR(--ISNUMBER(SEARCH("R66",G218)),0)+IFERROR(--ISNUMBER(SEARCH("R67",G218)),0)+IFERROR(--ISNUMBER(SEARCH("R68",G218)),0)+IFERROR(--ISNUMBER(SEARCH("R69",G218)),0)+IFERROR(--ISNUMBER(SEARCH("R70",G218)),0)+IFERROR(--ISNUMBER(SEARCH("R71",G218)),0)+IFERROR(--ISNUMBER(SEARCH("R72",G218)),0)+IFERROR(--ISNUMBER(SEARCH("R73",G218)),0)+IFERROR(--ISNUMBER(SEARCH("R74",G218)),0)+IFERROR(--ISNUMBER(SEARCH("R75",G218)),0)+IFERROR(--ISNUMBER(SEARCH("R76",G218)),0)+IFERROR(--ISNUMBER(SEARCH("R77",G218)),0)+IFERROR(--ISNUMBER(SEARCH("R78",G218)),0)+IFERROR(--ISNUMBER(SEARCH("R79",G218)),0)+IFERROR(--ISNUMBER(SEARCH("R80",G218)),0)+IFERROR(--ISNUMBER(SEARCH("R81",G218)),0)+IFERROR(--ISNUMBER(SEARCH("R82",G218)),0)+IFERROR(--ISNUMBER(SEARCH("R83",G218)),0)+IFERROR(--ISNUMBER(SEARCH("R84",G218)),0)+IFERROR(--ISNUMBER(SEARCH("R85",G218)),0)+IFERROR(--ISNUMBER(SEARCH("R86",G218)),0)+IFERROR(--ISNUMBER(SEARCH("R87",G218)),0)+IFERROR(--ISNUMBER(SEARCH("R88",G218)),0)+IFERROR(--ISNUMBER(SEARCH("R89",G218)),0)+IFERROR(--ISNUMBER(SEARCH("R90",G218)),0)+IFERROR(--ISNUMBER(SEARCH("R91",G218)),0)+IFERROR(--ISNUMBER(SEARCH("R92",G218)),0)+IFERROR(--ISNUMBER(SEARCH("R93",G218)),0)+IFERROR(--ISNUMBER(SEARCH("R94",G218)),0)+IFERROR(--ISNUMBER(SEARCH("R95",G218)),0)+IFERROR(--ISNUMBER(SEARCH("R96",G218)),0)+IFERROR(--ISNUMBER(SEARCH("R97",G218)),0)+IFERROR(--ISNUMBER(SEARCH("R98",G218)),0)+IFERROR(--ISNUMBER(SEARCH("R99",G218)),0)+IFERROR(--ISNUMBER(SEARCH("R100",G218)),0)+IFERROR(--ISNUMBER(SEARCH("R101",G218)),0)+IFERROR(--ISNUMBER(SEARCH("R102",G218)),0)+IFERROR(--ISNUMBER(SEARCH("R103",G218)),0)+IFERROR(--ISNUMBER(SEARCH("R104",G218)),0)+IFERROR(--ISNUMBER(SEARCH("R105",G218)),0)+IFERROR(--ISNUMBER(SEARCH("R106",G218)),0)+IFERROR(--ISNUMBER(SEARCH("R107",G218)),0)+IFERROR(--ISNUMBER(SEARCH("R108",G218)),0)+IFERROR(--ISNUMBER(SEARCH("R109",G218)),0)+IFERROR(--ISNUMBER(SEARCH("R110",G218)),0)+IFERROR(--ISNUMBER(SEARCH("R111",G218)),0)+IFERROR(--ISNUMBER(SEARCH("R112",G218)),0)+IFERROR(--ISNUMBER(SEARCH("R113",G218)),0)+IFERROR(--ISNUMBER(SEARCH("R114",G218)),0)+IFERROR(--ISNUMBER(SEARCH("R115",G218)),0)+IFERROR(--ISNUMBER(SEARCH("R116",G218)),0)+IFERROR(--ISNUMBER(SEARCH("R117",G218)),0)+IFERROR(--ISNUMBER(SEARCH("R118",G218)),0)+IFERROR(--ISNUMBER(SEARCH("R119",G218)),0)+IFERROR(--ISNUMBER(SEARCH("R120",G218)),0)+IFERROR(--ISNUMBER(SEARCH("R121",G218)),0)+IFERROR(--ISNUMBER(SEARCH("R122",G218)),0)+IFERROR(--ISNUMBER(SEARCH("R123",G218)),0)+IFERROR(--ISNUMBER(SEARCH("R124",G218)),0)+IFERROR(--ISNUMBER(SEARCH("R125",G218)),0)+IFERROR(--ISNUMBER(SEARCH("R126",G218)),0)+IFERROR(--ISNUMBER(SEARCH("R127",G218)),0)+IFERROR(--ISNUMBER(SEARCH("R128",G218)),0)+IFERROR(--ISNUMBER(SEARCH("R129",G218)),0)+IFERROR(--ISNUMBER(SEARCH("R130",G218)),0)+IFERROR(--ISNUMBER(SEARCH("R131",G218)),0)+IFERROR(--ISNUMBER(SEARCH("R132",G218)),0)+IFERROR(--ISNUMBER(SEARCH("R133",G218)),0)+IFERROR(--ISNUMBER(SEARCH("R134",G218)),0)+IFERROR(--ISNUMBER(SEARCH("R135",G218)),0)+IFERROR(--ISNUMBER(SEARCH("R136",G218)),0)+IFERROR(--ISNUMBER(SEARCH("R137",G218)),0)+IFERROR(--ISNUMBER(SEARCH("R138",G218)),0)+IFERROR(--ISNUMBER(SEARCH("R139",G218)),0)+IFERROR(--ISNUMBER(SEARCH("R140",G218)),0)+IFERROR(--ISNUMBER(SEARCH("R141",G218)),0))</f>
        <v/>
      </c>
      <c r="T218" s="58">
        <f>IF(A218="","",IFERROR(--ISNUMBER(SEARCH("R28",G218)),0)+IFERROR(--ISNUMBER(SEARCH("R29",G218)),0)+IFERROR(--ISNUMBER(SEARCH("R30",G218)),0)+IFERROR(--ISNUMBER(SEARCH("R32",G218)),0)+IFERROR(--ISNUMBER(SEARCH("R33",G218)),0)+IFERROR(--ISNUMBER(SEARCH("R35",G218)),0)+IFERROR(--ISNUMBER(SEARCH("R36",G218)),0)+IFERROR(--ISNUMBER(SEARCH("R38",G218)),0)+IFERROR(--ISNUMBER(SEARCH("R39",G218)),0)+IFERROR(--ISNUMBER(SEARCH("R43",G218)),0)+IFERROR(--ISNUMBER(SEARCH("R44",G218)),0)+IFERROR(--ISNUMBER(SEARCH("R45",G218)),0)+IFERROR(--ISNUMBER(SEARCH("R47",G218)),0)+IFERROR(--ISNUMBER(SEARCH("R48",G218)),0)+IFERROR(--ISNUMBER(SEARCH("R50",G218)),0)+IFERROR(--ISNUMBER(SEARCH("R51",G218)),0)+IFERROR(--ISNUMBER(SEARCH("R56",G218)),0)+IFERROR(--ISNUMBER(SEARCH("R58",G218)),0)+IFERROR(--ISNUMBER(SEARCH("R59",G218)),0)+IFERROR(--ISNUMBER(SEARCH("R60",G218)),0)+IFERROR(--ISNUMBER(SEARCH("R62",G218)),0)+IFERROR(--ISNUMBER(SEARCH("R63",G218)),0)+IFERROR(--ISNUMBER(SEARCH("R64",G218)),0)+IFERROR(--ISNUMBER(SEARCH("R66",G218)),0)+IFERROR(--ISNUMBER(SEARCH("R67",G218)),0)+IFERROR(--ISNUMBER(SEARCH("R72",G218)),0)+IFERROR(--ISNUMBER(SEARCH("R74",G218)),0)+IFERROR(--ISNUMBER(SEARCH("R75",G218)),0)+IFERROR(--ISNUMBER(SEARCH("R76",G218)),0)+IFERROR(--ISNUMBER(SEARCH("R77",G218)),0)+IFERROR(--ISNUMBER(SEARCH("R79",G218)),0)+IFERROR(--ISNUMBER(SEARCH("R80",G218)),0)+IFERROR(--ISNUMBER(SEARCH("R81",G218)),0)+IFERROR(--ISNUMBER(SEARCH("R83",G218)),0)+IFERROR(--ISNUMBER(SEARCH("R84",G218)),0)+IFERROR(--ISNUMBER(SEARCH("R89",G218)),0)+IFERROR(--ISNUMBER(SEARCH("R94",G218)),0)+IFERROR(--ISNUMBER(SEARCH("R95",G218)),0)+IFERROR(--ISNUMBER(SEARCH("R96",G218)),0)+IFERROR(--ISNUMBER(SEARCH("R98",G218)),0)+IFERROR(--ISNUMBER(SEARCH("R99",G218)),0)+IFERROR(--ISNUMBER(SEARCH("R100",G218)),0)+IFERROR(--ISNUMBER(SEARCH("R104",G218)),0)+IFERROR(--ISNUMBER(SEARCH("R105",G218)),0)+IFERROR(--ISNUMBER(SEARCH("R107",G218)),0)+IFERROR(--ISNUMBER(SEARCH("R108",G218)),0)+IFERROR(--ISNUMBER(SEARCH("R109",G218)),0)+IFERROR(--ISNUMBER(SEARCH("R110",G218)),0)+IFERROR(--ISNUMBER(SEARCH("R112",G218)),0)+IFERROR(--ISNUMBER(SEARCH("R113",G218)),0)+IFERROR(--ISNUMBER(SEARCH("R114",G218)),0)+IFERROR(--ISNUMBER(SEARCH("R118",G218)),0)+IFERROR(--ISNUMBER(SEARCH("R119",G218)),0)+IFERROR(--ISNUMBER(SEARCH("R120",G218)),0)+IFERROR(--ISNUMBER(SEARCH("R122",G218)),0)+IFERROR(--ISNUMBER(SEARCH("R123",G218)),0)+IFERROR(--ISNUMBER(SEARCH("R124",G218)),0)+IFERROR(--ISNUMBER(SEARCH("R128",G218)),0)+IFERROR(--ISNUMBER(SEARCH("R130",G218)),0)+IFERROR(--ISNUMBER(SEARCH("R131",G218)),0)+IFERROR(--ISNUMBER(SEARCH("R132",G218)),0)+IFERROR(--ISNUMBER(SEARCH("R135",G218)),0)+IFERROR(--ISNUMBER(SEARCH("R138",G218)),0)+IFERROR(--ISNUMBER(SEARCH("R141",G218)),0))</f>
        <v/>
      </c>
      <c r="U218" s="58">
        <f>IF(A218="","",IFERROR(--ISNUMBER(SEARCH("R28",G218))*28,0)+IFERROR(--ISNUMBER(SEARCH("R29",G218))*29,0)+IFERROR(--ISNUMBER(SEARCH("R30",G218))*30,0)+IFERROR(--ISNUMBER(SEARCH("R31",G218))*31,0)+IFERROR(--ISNUMBER(SEARCH("R32",G218))*32,0)+IFERROR(--ISNUMBER(SEARCH("R33",G218))*33,0)+IFERROR(--ISNUMBER(SEARCH("R34",G218))*34,0)+IFERROR(--ISNUMBER(SEARCH("R35",G218))*35,0)+IFERROR(--ISNUMBER(SEARCH("R36",G218))*36,0)+IFERROR(--ISNUMBER(SEARCH("R37",G218))*37,0)+IFERROR(--ISNUMBER(SEARCH("R38",G218))*38,0)+IFERROR(--ISNUMBER(SEARCH("R39",G218))*39,0)+IFERROR(--ISNUMBER(SEARCH("R40",G218))*40,0)+IFERROR(--ISNUMBER(SEARCH("R41",G218))*41,0)+IFERROR(--ISNUMBER(SEARCH("R42",G218))*42,0)+IFERROR(--ISNUMBER(SEARCH("R43",G218))*43,0)+IFERROR(--ISNUMBER(SEARCH("R44",G218))*44,0)+IFERROR(--ISNUMBER(SEARCH("R45",G218))*45,0)+IFERROR(--ISNUMBER(SEARCH("R46",G218))*46,0)+IFERROR(--ISNUMBER(SEARCH("R47",G218))*47,0)+IFERROR(--ISNUMBER(SEARCH("R48",G218))*48,0)+IFERROR(--ISNUMBER(SEARCH("R49",G218))*49,0)+IFERROR(--ISNUMBER(SEARCH("R50",G218))*50,0)+IFERROR(--ISNUMBER(SEARCH("R51",G218))*51,0)+IFERROR(--ISNUMBER(SEARCH("R52",G218))*52,0)+IFERROR(--ISNUMBER(SEARCH("R53",G218))*53,0)+IFERROR(--ISNUMBER(SEARCH("R54",G218))*54,0)+IFERROR(--ISNUMBER(SEARCH("R55",G218))*55,0)+IFERROR(--ISNUMBER(SEARCH("R56",G218))*56,0)+IFERROR(--ISNUMBER(SEARCH("R57",G218))*57,0)+IFERROR(--ISNUMBER(SEARCH("R58",G218))*58,0)+IFERROR(--ISNUMBER(SEARCH("R59",G218))*59,0)+IFERROR(--ISNUMBER(SEARCH("R60",G218))*60,0)+IFERROR(--ISNUMBER(SEARCH("R61",G218))*61,0)+IFERROR(--ISNUMBER(SEARCH("R62",G218))*62,0)+IFERROR(--ISNUMBER(SEARCH("R63",G218))*63,0)+IFERROR(--ISNUMBER(SEARCH("R64",G218))*64,0)+IFERROR(--ISNUMBER(SEARCH("R65",G218))*65,0)+IFERROR(--ISNUMBER(SEARCH("R66",G218))*66,0)+IFERROR(--ISNUMBER(SEARCH("R67",G218))*67,0)+IFERROR(--ISNUMBER(SEARCH("R68",G218))*68,0)+IFERROR(--ISNUMBER(SEARCH("R69",G218))*69,0)+IFERROR(--ISNUMBER(SEARCH("R70",G218))*70,0)+IFERROR(--ISNUMBER(SEARCH("R71",G218))*71,0)+IFERROR(--ISNUMBER(SEARCH("R72",G218))*72,0)+IFERROR(--ISNUMBER(SEARCH("R73",G218))*73,0)+IFERROR(--ISNUMBER(SEARCH("R74",G218))*74,0)+IFERROR(--ISNUMBER(SEARCH("R75",G218))*75,0)+IFERROR(--ISNUMBER(SEARCH("R76",G218))*76,0)+IFERROR(--ISNUMBER(SEARCH("R77",G218))*77,0)+IFERROR(--ISNUMBER(SEARCH("R78",G218))*78,0)+IFERROR(--ISNUMBER(SEARCH("R79",G218))*79,0)+IFERROR(--ISNUMBER(SEARCH("R80",G218))*80,0)+IFERROR(--ISNUMBER(SEARCH("R81",G218))*81,0)+IFERROR(--ISNUMBER(SEARCH("R82",G218))*82,0)+IFERROR(--ISNUMBER(SEARCH("R83",G218))*83,0)+IFERROR(--ISNUMBER(SEARCH("R84",G218))*84,0)+IFERROR(--ISNUMBER(SEARCH("R85",G218))*85,0)+IFERROR(--ISNUMBER(SEARCH("R86",G218))*86,0)+IFERROR(--ISNUMBER(SEARCH("R87",G218))*87,0)+IFERROR(--ISNUMBER(SEARCH("R88",G218))*88,0)+IFERROR(--ISNUMBER(SEARCH("R89",G218))*89,0)+IFERROR(--ISNUMBER(SEARCH("R90",G218))*90,0)+IFERROR(--ISNUMBER(SEARCH("R91",G218))*91,0)+IFERROR(--ISNUMBER(SEARCH("R92",G218))*92,0)+IFERROR(--ISNUMBER(SEARCH("R93",G218))*93,0)+IFERROR(--ISNUMBER(SEARCH("R94",G218))*94,0)+IFERROR(--ISNUMBER(SEARCH("R95",G218))*95,0)+IFERROR(--ISNUMBER(SEARCH("R96",G218))*96,0)+IFERROR(--ISNUMBER(SEARCH("R97",G218))*97,0)+IFERROR(--ISNUMBER(SEARCH("R98",G218))*98,0)+IFERROR(--ISNUMBER(SEARCH("R99",G218))*99,0)+IFERROR(--ISNUMBER(SEARCH("R100",G218))*100,0)+IFERROR(--ISNUMBER(SEARCH("R101",G218))*101,0)+IFERROR(--ISNUMBER(SEARCH("R102",G218))*102,0)+IFERROR(--ISNUMBER(SEARCH("R103",G218))*103,0)+IFERROR(--ISNUMBER(SEARCH("R104",G218))*104,0)+IFERROR(--ISNUMBER(SEARCH("R105",G218))*105,0)+IFERROR(--ISNUMBER(SEARCH("R106",G218))*106,0)+IFERROR(--ISNUMBER(SEARCH("R107",G218))*107,0)+IFERROR(--ISNUMBER(SEARCH("R108",G218))*108,0)+IFERROR(--ISNUMBER(SEARCH("R109",G218))*109,0)+IFERROR(--ISNUMBER(SEARCH("R110",G218))*110,0)+IFERROR(--ISNUMBER(SEARCH("R111",G218))*111,0)+IFERROR(--ISNUMBER(SEARCH("R112",G218))*112,0)+IFERROR(--ISNUMBER(SEARCH("R113",G218))*113,0)+IFERROR(--ISNUMBER(SEARCH("R114",G218))*114,0)+IFERROR(--ISNUMBER(SEARCH("R115",G218))*115,0)+IFERROR(--ISNUMBER(SEARCH("R116",G218))*116,0)+IFERROR(--ISNUMBER(SEARCH("R117",G218))*117,0)+IFERROR(--ISNUMBER(SEARCH("R118",G218))*118,0)+IFERROR(--ISNUMBER(SEARCH("R119",G218))*119,0)+IFERROR(--ISNUMBER(SEARCH("R120",G218))*120,0)+IFERROR(--ISNUMBER(SEARCH("R121",G218))*121,0)+IFERROR(--ISNUMBER(SEARCH("R122",G218))*122,0)+IFERROR(--ISNUMBER(SEARCH("R123",G218))*123,0)+IFERROR(--ISNUMBER(SEARCH("R124",G218))*124,0)+IFERROR(--ISNUMBER(SEARCH("R125",G218))*125,0)+IFERROR(--ISNUMBER(SEARCH("R126",G218))*126,0)+IFERROR(--ISNUMBER(SEARCH("R127",G218))*127,0)+IFERROR(--ISNUMBER(SEARCH("R128",G218))*128,0)+IFERROR(--ISNUMBER(SEARCH("R129",G218))*129,0)+IFERROR(--ISNUMBER(SEARCH("R130",G218))*130,0)+IFERROR(--ISNUMBER(SEARCH("R131",G218))*131,0)+IFERROR(--ISNUMBER(SEARCH("R132",G218))*132,0)+IFERROR(--ISNUMBER(SEARCH("R133",G218))*133,0)+IFERROR(--ISNUMBER(SEARCH("R134",G218))*134,0)+IFERROR(--ISNUMBER(SEARCH("R135",G218))*135,0)+IFERROR(--ISNUMBER(SEARCH("R136",G218))*136,0)+IFERROR(--ISNUMBER(SEARCH("R137",G218))*137,0)+IFERROR(--ISNUMBER(SEARCH("R138",G218))*138,0)+IFERROR(--ISNUMBER(SEARCH("R139",G218))*139,0)+IFERROR(--ISNUMBER(SEARCH("R140",G218))*140,0)+IFERROR(--ISNUMBER(SEARCH("R141",G218))*141,0))</f>
        <v/>
      </c>
      <c r="V218" s="59">
        <f>IF(A218="","",IF(K218&lt;&gt;"",K218,J218))</f>
        <v/>
      </c>
      <c r="W218" s="59">
        <f>IF(A218="","",IF(AND(V218=29,O218&lt;&gt;"",COUNTIFS($V$6:$V$505,29,$F$6:$F$505,F218,$C$6:$C$505,C218,$O$6:$O$505,"&lt;&gt;")&gt;1),IF(COUNTIFS($V$6:V218,29,$F$6:F218,F218,$C$6:C218,C218,$O$6:O218,"&lt;&gt;")=1,"Esta es la fila que se debe CONSERVAR (aparición 1 de "&amp;COUNTIFS($V$6:$V$505,29,$F$6:$F$505,F218,$C$6:$C$505,C218,$O$6:$O$505,"&lt;&gt;")&amp;" con el mismo tercero y valor, casilla 29). Si hay más filas iguales, bórreles el valor a ELLAS, no a esta.","DUPLICADO — ya existe otra fila con el mismo tercero y valor para casilla 29 (aparición "&amp;COUNTIFS($V$6:V218,29,$F$6:F218,F218,$C$6:C218,C218,$O$6:O218,"&lt;&gt;")&amp;" de "&amp;COUNTIFS($V$6:$V$505,29,$F$6:$F$505,F218,$C$6:$C$505,C218,$O$6:$O$505,"&lt;&gt;")&amp;"). Para resolverlo: seleccione la celda O"&amp;ROW()&amp;" (columna Valor a declarar de ESTA fila) y presione Supr."),""))</f>
        <v/>
      </c>
      <c r="X218" s="463">
        <f>IF(A218="","",F218)</f>
        <v/>
      </c>
      <c r="Y218" s="463">
        <f>IF(A218="","",SUMIF(Entrada_Manual!$I$88:$I$187,A218,Entrada_Manual!$F$88:$F$187))</f>
        <v/>
      </c>
      <c r="Z218" s="463">
        <f>IF(A218="","",X218-Y218)</f>
        <v/>
      </c>
      <c r="AA218">
        <f>IF(A218="","",SUMPRODUCT((Entrada_Manual!$I$88:$I$187=A218)*1))</f>
        <v/>
      </c>
      <c r="AB218">
        <f>IF(A218="","",IF(S218&lt;=1,"",IF(AA218=0,"PENDIENTE — SIN ASIGNAR",IF(Z218=0,"RESUELTO","PARCIAL — DIFERENCIA "&amp;TEXT(Z218,"#,##0")))))</f>
        <v/>
      </c>
    </row>
    <row r="219" ht="14.25" customHeight="1" s="235">
      <c r="A219" s="47">
        <f>IF(Exogena_RAW!E228&lt;&gt;"",ROW()-5,"")</f>
        <v/>
      </c>
      <c r="B219" s="48">
        <f>IF(A219="","",228)</f>
        <v/>
      </c>
      <c r="C219" s="48">
        <f>IF(A219="","",IFERROR(Exogena_RAW!A228,""))</f>
        <v/>
      </c>
      <c r="D219" s="48">
        <f>IF(A219="","",IFERROR(Exogena_RAW!B228,""))</f>
        <v/>
      </c>
      <c r="E219" s="48">
        <f>IF(A219="","",Exogena_RAW!E228)</f>
        <v/>
      </c>
      <c r="F219" s="461">
        <f>IF(A219="","",Exogena_RAW!F228)</f>
        <v/>
      </c>
      <c r="G219" s="48">
        <f>IF(A219="","",IFERROR(Exogena_RAW!G228,""))</f>
        <v/>
      </c>
      <c r="H219" s="48">
        <f>IF(A219="","",IFERROR(Exogena_RAW!H228,""))</f>
        <v/>
      </c>
      <c r="I219" s="48">
        <f>IF(A219="","",IFERROR(IF(S219&gt;1,"VARIAS CASILLAS",IF(S219=1,IF(T219=1,"PROPUESTA DE CASILLA","REVISIÓN: CASILLA NO DIRECTA"),IF(OR(ISNUMBER(SEARCH("TOPE",UPPER(E219))),ISNUMBER(SEARCH("TOPE",UPPER(G219)))),"SOLO CONTROL",IF(ISNUMBER(SEARCH("RETEN",UPPER(E219))),"RETENCIÓN","REVISAR")))),"REVISAR"))</f>
        <v/>
      </c>
      <c r="J219" s="48">
        <f>IF(A219="","",IF(ISNUMBER(SEARCH("ingreso laboral promedio de los últimos seis meses",E219)),"",IFERROR(IF(AND(S219=1,T219=1),U219,""),"")))</f>
        <v/>
      </c>
      <c r="K219" s="216" t="n"/>
      <c r="L219" s="48">
        <f>IF(A219="","",IFERROR(IF(K219&lt;&gt;"","Casilla elegida por usuario",IF(S219&gt;1,"Varias casillas — elegir en K",IF(J219&lt;&gt;"","Sugerencia directa",IF(S219=1,"No trasladar directo — revisar",IF(OR(ISNUMBER(SEARCH("TOPE",UPPER(E219))),ISNUMBER(SEARCH("TOPE",UPPER(G219)))),"Solo control","Revisar manualmente"))))),"Revisar manualmente"))</f>
        <v/>
      </c>
      <c r="M219" s="461">
        <f>IF(A219="","",IF(IF(K219&lt;&gt;"",K219,J219)="",0,IF(COUNTIFS(Reglas!$I$5:$I$118,IF(K219&lt;&gt;"",K219,J219),Reglas!$J$5:$J$118,"Sí")=1,F219,0)))</f>
        <v/>
      </c>
      <c r="N219" s="56" t="n"/>
      <c r="O219" s="462">
        <f>IF(A219="","",IF(M219=0,"",M219))</f>
        <v/>
      </c>
      <c r="P219" s="461">
        <f>IF(A219="","",IF(O219="",0,IF(ISNUMBER(O219),O219,0)))</f>
        <v/>
      </c>
      <c r="Q219" s="48">
        <f>IF(A219="","",IF(Exogena_RAW!$C$4="","BLOQUEADO: FALTA AÑO",IF(Exogena_RAW!$K$10&lt;&gt;Reglas!$B$5,"BLOQUEADO: AÑO",IF(IF(K219&lt;&gt;"",K219,J219)="",IF(S219&gt;1,"REQUIERE ASIGNACIÓN MANUAL (VARIAS CASILLAS)","INFORMATIVO (sin casilla — no se declara)"),IF(COUNTIFS(Reglas!$I$5:$I$118,IF(K219&lt;&gt;"",K219,J219),Reglas!$J$5:$J$118,"Sí")=0,"BLOQUEADO: CASILLA NO DIRECTA",IF(O219="","EXCLUIDO (valor borrado por el usuario)",IF(_xlfn.ISFORMULA(O219),IF(W219&lt;&gt;"","BORRADOR — VALOR SUGERIDO DIAN ⚠ VER ALERTA","BORRADOR — VALOR SUGERIDO DIAN"),IF(W219&lt;&gt;"","ACEPTADO ⚠ VER ALERTA","ACEPTADO"))))))))</f>
        <v/>
      </c>
      <c r="R219" s="218" t="n"/>
      <c r="S219" s="58">
        <f>IF(A219="","",IFERROR(--ISNUMBER(SEARCH("R28",G219)),0)+IFERROR(--ISNUMBER(SEARCH("R29",G219)),0)+IFERROR(--ISNUMBER(SEARCH("R30",G219)),0)+IFERROR(--ISNUMBER(SEARCH("R31",G219)),0)+IFERROR(--ISNUMBER(SEARCH("R32",G219)),0)+IFERROR(--ISNUMBER(SEARCH("R33",G219)),0)+IFERROR(--ISNUMBER(SEARCH("R34",G219)),0)+IFERROR(--ISNUMBER(SEARCH("R35",G219)),0)+IFERROR(--ISNUMBER(SEARCH("R36",G219)),0)+IFERROR(--ISNUMBER(SEARCH("R37",G219)),0)+IFERROR(--ISNUMBER(SEARCH("R38",G219)),0)+IFERROR(--ISNUMBER(SEARCH("R39",G219)),0)+IFERROR(--ISNUMBER(SEARCH("R40",G219)),0)+IFERROR(--ISNUMBER(SEARCH("R41",G219)),0)+IFERROR(--ISNUMBER(SEARCH("R42",G219)),0)+IFERROR(--ISNUMBER(SEARCH("R43",G219)),0)+IFERROR(--ISNUMBER(SEARCH("R44",G219)),0)+IFERROR(--ISNUMBER(SEARCH("R45",G219)),0)+IFERROR(--ISNUMBER(SEARCH("R46",G219)),0)+IFERROR(--ISNUMBER(SEARCH("R47",G219)),0)+IFERROR(--ISNUMBER(SEARCH("R48",G219)),0)+IFERROR(--ISNUMBER(SEARCH("R49",G219)),0)+IFERROR(--ISNUMBER(SEARCH("R50",G219)),0)+IFERROR(--ISNUMBER(SEARCH("R51",G219)),0)+IFERROR(--ISNUMBER(SEARCH("R52",G219)),0)+IFERROR(--ISNUMBER(SEARCH("R53",G219)),0)+IFERROR(--ISNUMBER(SEARCH("R54",G219)),0)+IFERROR(--ISNUMBER(SEARCH("R55",G219)),0)+IFERROR(--ISNUMBER(SEARCH("R56",G219)),0)+IFERROR(--ISNUMBER(SEARCH("R57",G219)),0)+IFERROR(--ISNUMBER(SEARCH("R58",G219)),0)+IFERROR(--ISNUMBER(SEARCH("R59",G219)),0)+IFERROR(--ISNUMBER(SEARCH("R60",G219)),0)+IFERROR(--ISNUMBER(SEARCH("R61",G219)),0)+IFERROR(--ISNUMBER(SEARCH("R62",G219)),0)+IFERROR(--ISNUMBER(SEARCH("R63",G219)),0)+IFERROR(--ISNUMBER(SEARCH("R64",G219)),0)+IFERROR(--ISNUMBER(SEARCH("R65",G219)),0)+IFERROR(--ISNUMBER(SEARCH("R66",G219)),0)+IFERROR(--ISNUMBER(SEARCH("R67",G219)),0)+IFERROR(--ISNUMBER(SEARCH("R68",G219)),0)+IFERROR(--ISNUMBER(SEARCH("R69",G219)),0)+IFERROR(--ISNUMBER(SEARCH("R70",G219)),0)+IFERROR(--ISNUMBER(SEARCH("R71",G219)),0)+IFERROR(--ISNUMBER(SEARCH("R72",G219)),0)+IFERROR(--ISNUMBER(SEARCH("R73",G219)),0)+IFERROR(--ISNUMBER(SEARCH("R74",G219)),0)+IFERROR(--ISNUMBER(SEARCH("R75",G219)),0)+IFERROR(--ISNUMBER(SEARCH("R76",G219)),0)+IFERROR(--ISNUMBER(SEARCH("R77",G219)),0)+IFERROR(--ISNUMBER(SEARCH("R78",G219)),0)+IFERROR(--ISNUMBER(SEARCH("R79",G219)),0)+IFERROR(--ISNUMBER(SEARCH("R80",G219)),0)+IFERROR(--ISNUMBER(SEARCH("R81",G219)),0)+IFERROR(--ISNUMBER(SEARCH("R82",G219)),0)+IFERROR(--ISNUMBER(SEARCH("R83",G219)),0)+IFERROR(--ISNUMBER(SEARCH("R84",G219)),0)+IFERROR(--ISNUMBER(SEARCH("R85",G219)),0)+IFERROR(--ISNUMBER(SEARCH("R86",G219)),0)+IFERROR(--ISNUMBER(SEARCH("R87",G219)),0)+IFERROR(--ISNUMBER(SEARCH("R88",G219)),0)+IFERROR(--ISNUMBER(SEARCH("R89",G219)),0)+IFERROR(--ISNUMBER(SEARCH("R90",G219)),0)+IFERROR(--ISNUMBER(SEARCH("R91",G219)),0)+IFERROR(--ISNUMBER(SEARCH("R92",G219)),0)+IFERROR(--ISNUMBER(SEARCH("R93",G219)),0)+IFERROR(--ISNUMBER(SEARCH("R94",G219)),0)+IFERROR(--ISNUMBER(SEARCH("R95",G219)),0)+IFERROR(--ISNUMBER(SEARCH("R96",G219)),0)+IFERROR(--ISNUMBER(SEARCH("R97",G219)),0)+IFERROR(--ISNUMBER(SEARCH("R98",G219)),0)+IFERROR(--ISNUMBER(SEARCH("R99",G219)),0)+IFERROR(--ISNUMBER(SEARCH("R100",G219)),0)+IFERROR(--ISNUMBER(SEARCH("R101",G219)),0)+IFERROR(--ISNUMBER(SEARCH("R102",G219)),0)+IFERROR(--ISNUMBER(SEARCH("R103",G219)),0)+IFERROR(--ISNUMBER(SEARCH("R104",G219)),0)+IFERROR(--ISNUMBER(SEARCH("R105",G219)),0)+IFERROR(--ISNUMBER(SEARCH("R106",G219)),0)+IFERROR(--ISNUMBER(SEARCH("R107",G219)),0)+IFERROR(--ISNUMBER(SEARCH("R108",G219)),0)+IFERROR(--ISNUMBER(SEARCH("R109",G219)),0)+IFERROR(--ISNUMBER(SEARCH("R110",G219)),0)+IFERROR(--ISNUMBER(SEARCH("R111",G219)),0)+IFERROR(--ISNUMBER(SEARCH("R112",G219)),0)+IFERROR(--ISNUMBER(SEARCH("R113",G219)),0)+IFERROR(--ISNUMBER(SEARCH("R114",G219)),0)+IFERROR(--ISNUMBER(SEARCH("R115",G219)),0)+IFERROR(--ISNUMBER(SEARCH("R116",G219)),0)+IFERROR(--ISNUMBER(SEARCH("R117",G219)),0)+IFERROR(--ISNUMBER(SEARCH("R118",G219)),0)+IFERROR(--ISNUMBER(SEARCH("R119",G219)),0)+IFERROR(--ISNUMBER(SEARCH("R120",G219)),0)+IFERROR(--ISNUMBER(SEARCH("R121",G219)),0)+IFERROR(--ISNUMBER(SEARCH("R122",G219)),0)+IFERROR(--ISNUMBER(SEARCH("R123",G219)),0)+IFERROR(--ISNUMBER(SEARCH("R124",G219)),0)+IFERROR(--ISNUMBER(SEARCH("R125",G219)),0)+IFERROR(--ISNUMBER(SEARCH("R126",G219)),0)+IFERROR(--ISNUMBER(SEARCH("R127",G219)),0)+IFERROR(--ISNUMBER(SEARCH("R128",G219)),0)+IFERROR(--ISNUMBER(SEARCH("R129",G219)),0)+IFERROR(--ISNUMBER(SEARCH("R130",G219)),0)+IFERROR(--ISNUMBER(SEARCH("R131",G219)),0)+IFERROR(--ISNUMBER(SEARCH("R132",G219)),0)+IFERROR(--ISNUMBER(SEARCH("R133",G219)),0)+IFERROR(--ISNUMBER(SEARCH("R134",G219)),0)+IFERROR(--ISNUMBER(SEARCH("R135",G219)),0)+IFERROR(--ISNUMBER(SEARCH("R136",G219)),0)+IFERROR(--ISNUMBER(SEARCH("R137",G219)),0)+IFERROR(--ISNUMBER(SEARCH("R138",G219)),0)+IFERROR(--ISNUMBER(SEARCH("R139",G219)),0)+IFERROR(--ISNUMBER(SEARCH("R140",G219)),0)+IFERROR(--ISNUMBER(SEARCH("R141",G219)),0))</f>
        <v/>
      </c>
      <c r="T219" s="58">
        <f>IF(A219="","",IFERROR(--ISNUMBER(SEARCH("R28",G219)),0)+IFERROR(--ISNUMBER(SEARCH("R29",G219)),0)+IFERROR(--ISNUMBER(SEARCH("R30",G219)),0)+IFERROR(--ISNUMBER(SEARCH("R32",G219)),0)+IFERROR(--ISNUMBER(SEARCH("R33",G219)),0)+IFERROR(--ISNUMBER(SEARCH("R35",G219)),0)+IFERROR(--ISNUMBER(SEARCH("R36",G219)),0)+IFERROR(--ISNUMBER(SEARCH("R38",G219)),0)+IFERROR(--ISNUMBER(SEARCH("R39",G219)),0)+IFERROR(--ISNUMBER(SEARCH("R43",G219)),0)+IFERROR(--ISNUMBER(SEARCH("R44",G219)),0)+IFERROR(--ISNUMBER(SEARCH("R45",G219)),0)+IFERROR(--ISNUMBER(SEARCH("R47",G219)),0)+IFERROR(--ISNUMBER(SEARCH("R48",G219)),0)+IFERROR(--ISNUMBER(SEARCH("R50",G219)),0)+IFERROR(--ISNUMBER(SEARCH("R51",G219)),0)+IFERROR(--ISNUMBER(SEARCH("R56",G219)),0)+IFERROR(--ISNUMBER(SEARCH("R58",G219)),0)+IFERROR(--ISNUMBER(SEARCH("R59",G219)),0)+IFERROR(--ISNUMBER(SEARCH("R60",G219)),0)+IFERROR(--ISNUMBER(SEARCH("R62",G219)),0)+IFERROR(--ISNUMBER(SEARCH("R63",G219)),0)+IFERROR(--ISNUMBER(SEARCH("R64",G219)),0)+IFERROR(--ISNUMBER(SEARCH("R66",G219)),0)+IFERROR(--ISNUMBER(SEARCH("R67",G219)),0)+IFERROR(--ISNUMBER(SEARCH("R72",G219)),0)+IFERROR(--ISNUMBER(SEARCH("R74",G219)),0)+IFERROR(--ISNUMBER(SEARCH("R75",G219)),0)+IFERROR(--ISNUMBER(SEARCH("R76",G219)),0)+IFERROR(--ISNUMBER(SEARCH("R77",G219)),0)+IFERROR(--ISNUMBER(SEARCH("R79",G219)),0)+IFERROR(--ISNUMBER(SEARCH("R80",G219)),0)+IFERROR(--ISNUMBER(SEARCH("R81",G219)),0)+IFERROR(--ISNUMBER(SEARCH("R83",G219)),0)+IFERROR(--ISNUMBER(SEARCH("R84",G219)),0)+IFERROR(--ISNUMBER(SEARCH("R89",G219)),0)+IFERROR(--ISNUMBER(SEARCH("R94",G219)),0)+IFERROR(--ISNUMBER(SEARCH("R95",G219)),0)+IFERROR(--ISNUMBER(SEARCH("R96",G219)),0)+IFERROR(--ISNUMBER(SEARCH("R98",G219)),0)+IFERROR(--ISNUMBER(SEARCH("R99",G219)),0)+IFERROR(--ISNUMBER(SEARCH("R100",G219)),0)+IFERROR(--ISNUMBER(SEARCH("R104",G219)),0)+IFERROR(--ISNUMBER(SEARCH("R105",G219)),0)+IFERROR(--ISNUMBER(SEARCH("R107",G219)),0)+IFERROR(--ISNUMBER(SEARCH("R108",G219)),0)+IFERROR(--ISNUMBER(SEARCH("R109",G219)),0)+IFERROR(--ISNUMBER(SEARCH("R110",G219)),0)+IFERROR(--ISNUMBER(SEARCH("R112",G219)),0)+IFERROR(--ISNUMBER(SEARCH("R113",G219)),0)+IFERROR(--ISNUMBER(SEARCH("R114",G219)),0)+IFERROR(--ISNUMBER(SEARCH("R118",G219)),0)+IFERROR(--ISNUMBER(SEARCH("R119",G219)),0)+IFERROR(--ISNUMBER(SEARCH("R120",G219)),0)+IFERROR(--ISNUMBER(SEARCH("R122",G219)),0)+IFERROR(--ISNUMBER(SEARCH("R123",G219)),0)+IFERROR(--ISNUMBER(SEARCH("R124",G219)),0)+IFERROR(--ISNUMBER(SEARCH("R128",G219)),0)+IFERROR(--ISNUMBER(SEARCH("R130",G219)),0)+IFERROR(--ISNUMBER(SEARCH("R131",G219)),0)+IFERROR(--ISNUMBER(SEARCH("R132",G219)),0)+IFERROR(--ISNUMBER(SEARCH("R135",G219)),0)+IFERROR(--ISNUMBER(SEARCH("R138",G219)),0)+IFERROR(--ISNUMBER(SEARCH("R141",G219)),0))</f>
        <v/>
      </c>
      <c r="U219" s="58">
        <f>IF(A219="","",IFERROR(--ISNUMBER(SEARCH("R28",G219))*28,0)+IFERROR(--ISNUMBER(SEARCH("R29",G219))*29,0)+IFERROR(--ISNUMBER(SEARCH("R30",G219))*30,0)+IFERROR(--ISNUMBER(SEARCH("R31",G219))*31,0)+IFERROR(--ISNUMBER(SEARCH("R32",G219))*32,0)+IFERROR(--ISNUMBER(SEARCH("R33",G219))*33,0)+IFERROR(--ISNUMBER(SEARCH("R34",G219))*34,0)+IFERROR(--ISNUMBER(SEARCH("R35",G219))*35,0)+IFERROR(--ISNUMBER(SEARCH("R36",G219))*36,0)+IFERROR(--ISNUMBER(SEARCH("R37",G219))*37,0)+IFERROR(--ISNUMBER(SEARCH("R38",G219))*38,0)+IFERROR(--ISNUMBER(SEARCH("R39",G219))*39,0)+IFERROR(--ISNUMBER(SEARCH("R40",G219))*40,0)+IFERROR(--ISNUMBER(SEARCH("R41",G219))*41,0)+IFERROR(--ISNUMBER(SEARCH("R42",G219))*42,0)+IFERROR(--ISNUMBER(SEARCH("R43",G219))*43,0)+IFERROR(--ISNUMBER(SEARCH("R44",G219))*44,0)+IFERROR(--ISNUMBER(SEARCH("R45",G219))*45,0)+IFERROR(--ISNUMBER(SEARCH("R46",G219))*46,0)+IFERROR(--ISNUMBER(SEARCH("R47",G219))*47,0)+IFERROR(--ISNUMBER(SEARCH("R48",G219))*48,0)+IFERROR(--ISNUMBER(SEARCH("R49",G219))*49,0)+IFERROR(--ISNUMBER(SEARCH("R50",G219))*50,0)+IFERROR(--ISNUMBER(SEARCH("R51",G219))*51,0)+IFERROR(--ISNUMBER(SEARCH("R52",G219))*52,0)+IFERROR(--ISNUMBER(SEARCH("R53",G219))*53,0)+IFERROR(--ISNUMBER(SEARCH("R54",G219))*54,0)+IFERROR(--ISNUMBER(SEARCH("R55",G219))*55,0)+IFERROR(--ISNUMBER(SEARCH("R56",G219))*56,0)+IFERROR(--ISNUMBER(SEARCH("R57",G219))*57,0)+IFERROR(--ISNUMBER(SEARCH("R58",G219))*58,0)+IFERROR(--ISNUMBER(SEARCH("R59",G219))*59,0)+IFERROR(--ISNUMBER(SEARCH("R60",G219))*60,0)+IFERROR(--ISNUMBER(SEARCH("R61",G219))*61,0)+IFERROR(--ISNUMBER(SEARCH("R62",G219))*62,0)+IFERROR(--ISNUMBER(SEARCH("R63",G219))*63,0)+IFERROR(--ISNUMBER(SEARCH("R64",G219))*64,0)+IFERROR(--ISNUMBER(SEARCH("R65",G219))*65,0)+IFERROR(--ISNUMBER(SEARCH("R66",G219))*66,0)+IFERROR(--ISNUMBER(SEARCH("R67",G219))*67,0)+IFERROR(--ISNUMBER(SEARCH("R68",G219))*68,0)+IFERROR(--ISNUMBER(SEARCH("R69",G219))*69,0)+IFERROR(--ISNUMBER(SEARCH("R70",G219))*70,0)+IFERROR(--ISNUMBER(SEARCH("R71",G219))*71,0)+IFERROR(--ISNUMBER(SEARCH("R72",G219))*72,0)+IFERROR(--ISNUMBER(SEARCH("R73",G219))*73,0)+IFERROR(--ISNUMBER(SEARCH("R74",G219))*74,0)+IFERROR(--ISNUMBER(SEARCH("R75",G219))*75,0)+IFERROR(--ISNUMBER(SEARCH("R76",G219))*76,0)+IFERROR(--ISNUMBER(SEARCH("R77",G219))*77,0)+IFERROR(--ISNUMBER(SEARCH("R78",G219))*78,0)+IFERROR(--ISNUMBER(SEARCH("R79",G219))*79,0)+IFERROR(--ISNUMBER(SEARCH("R80",G219))*80,0)+IFERROR(--ISNUMBER(SEARCH("R81",G219))*81,0)+IFERROR(--ISNUMBER(SEARCH("R82",G219))*82,0)+IFERROR(--ISNUMBER(SEARCH("R83",G219))*83,0)+IFERROR(--ISNUMBER(SEARCH("R84",G219))*84,0)+IFERROR(--ISNUMBER(SEARCH("R85",G219))*85,0)+IFERROR(--ISNUMBER(SEARCH("R86",G219))*86,0)+IFERROR(--ISNUMBER(SEARCH("R87",G219))*87,0)+IFERROR(--ISNUMBER(SEARCH("R88",G219))*88,0)+IFERROR(--ISNUMBER(SEARCH("R89",G219))*89,0)+IFERROR(--ISNUMBER(SEARCH("R90",G219))*90,0)+IFERROR(--ISNUMBER(SEARCH("R91",G219))*91,0)+IFERROR(--ISNUMBER(SEARCH("R92",G219))*92,0)+IFERROR(--ISNUMBER(SEARCH("R93",G219))*93,0)+IFERROR(--ISNUMBER(SEARCH("R94",G219))*94,0)+IFERROR(--ISNUMBER(SEARCH("R95",G219))*95,0)+IFERROR(--ISNUMBER(SEARCH("R96",G219))*96,0)+IFERROR(--ISNUMBER(SEARCH("R97",G219))*97,0)+IFERROR(--ISNUMBER(SEARCH("R98",G219))*98,0)+IFERROR(--ISNUMBER(SEARCH("R99",G219))*99,0)+IFERROR(--ISNUMBER(SEARCH("R100",G219))*100,0)+IFERROR(--ISNUMBER(SEARCH("R101",G219))*101,0)+IFERROR(--ISNUMBER(SEARCH("R102",G219))*102,0)+IFERROR(--ISNUMBER(SEARCH("R103",G219))*103,0)+IFERROR(--ISNUMBER(SEARCH("R104",G219))*104,0)+IFERROR(--ISNUMBER(SEARCH("R105",G219))*105,0)+IFERROR(--ISNUMBER(SEARCH("R106",G219))*106,0)+IFERROR(--ISNUMBER(SEARCH("R107",G219))*107,0)+IFERROR(--ISNUMBER(SEARCH("R108",G219))*108,0)+IFERROR(--ISNUMBER(SEARCH("R109",G219))*109,0)+IFERROR(--ISNUMBER(SEARCH("R110",G219))*110,0)+IFERROR(--ISNUMBER(SEARCH("R111",G219))*111,0)+IFERROR(--ISNUMBER(SEARCH("R112",G219))*112,0)+IFERROR(--ISNUMBER(SEARCH("R113",G219))*113,0)+IFERROR(--ISNUMBER(SEARCH("R114",G219))*114,0)+IFERROR(--ISNUMBER(SEARCH("R115",G219))*115,0)+IFERROR(--ISNUMBER(SEARCH("R116",G219))*116,0)+IFERROR(--ISNUMBER(SEARCH("R117",G219))*117,0)+IFERROR(--ISNUMBER(SEARCH("R118",G219))*118,0)+IFERROR(--ISNUMBER(SEARCH("R119",G219))*119,0)+IFERROR(--ISNUMBER(SEARCH("R120",G219))*120,0)+IFERROR(--ISNUMBER(SEARCH("R121",G219))*121,0)+IFERROR(--ISNUMBER(SEARCH("R122",G219))*122,0)+IFERROR(--ISNUMBER(SEARCH("R123",G219))*123,0)+IFERROR(--ISNUMBER(SEARCH("R124",G219))*124,0)+IFERROR(--ISNUMBER(SEARCH("R125",G219))*125,0)+IFERROR(--ISNUMBER(SEARCH("R126",G219))*126,0)+IFERROR(--ISNUMBER(SEARCH("R127",G219))*127,0)+IFERROR(--ISNUMBER(SEARCH("R128",G219))*128,0)+IFERROR(--ISNUMBER(SEARCH("R129",G219))*129,0)+IFERROR(--ISNUMBER(SEARCH("R130",G219))*130,0)+IFERROR(--ISNUMBER(SEARCH("R131",G219))*131,0)+IFERROR(--ISNUMBER(SEARCH("R132",G219))*132,0)+IFERROR(--ISNUMBER(SEARCH("R133",G219))*133,0)+IFERROR(--ISNUMBER(SEARCH("R134",G219))*134,0)+IFERROR(--ISNUMBER(SEARCH("R135",G219))*135,0)+IFERROR(--ISNUMBER(SEARCH("R136",G219))*136,0)+IFERROR(--ISNUMBER(SEARCH("R137",G219))*137,0)+IFERROR(--ISNUMBER(SEARCH("R138",G219))*138,0)+IFERROR(--ISNUMBER(SEARCH("R139",G219))*139,0)+IFERROR(--ISNUMBER(SEARCH("R140",G219))*140,0)+IFERROR(--ISNUMBER(SEARCH("R141",G219))*141,0))</f>
        <v/>
      </c>
      <c r="V219" s="59">
        <f>IF(A219="","",IF(K219&lt;&gt;"",K219,J219))</f>
        <v/>
      </c>
      <c r="W219" s="59">
        <f>IF(A219="","",IF(AND(V219=29,O219&lt;&gt;"",COUNTIFS($V$6:$V$505,29,$F$6:$F$505,F219,$C$6:$C$505,C219,$O$6:$O$505,"&lt;&gt;")&gt;1),IF(COUNTIFS($V$6:V219,29,$F$6:F219,F219,$C$6:C219,C219,$O$6:O219,"&lt;&gt;")=1,"Esta es la fila que se debe CONSERVAR (aparición 1 de "&amp;COUNTIFS($V$6:$V$505,29,$F$6:$F$505,F219,$C$6:$C$505,C219,$O$6:$O$505,"&lt;&gt;")&amp;" con el mismo tercero y valor, casilla 29). Si hay más filas iguales, bórreles el valor a ELLAS, no a esta.","DUPLICADO — ya existe otra fila con el mismo tercero y valor para casilla 29 (aparición "&amp;COUNTIFS($V$6:V219,29,$F$6:F219,F219,$C$6:C219,C219,$O$6:O219,"&lt;&gt;")&amp;" de "&amp;COUNTIFS($V$6:$V$505,29,$F$6:$F$505,F219,$C$6:$C$505,C219,$O$6:$O$505,"&lt;&gt;")&amp;"). Para resolverlo: seleccione la celda O"&amp;ROW()&amp;" (columna Valor a declarar de ESTA fila) y presione Supr."),""))</f>
        <v/>
      </c>
      <c r="X219" s="463">
        <f>IF(A219="","",F219)</f>
        <v/>
      </c>
      <c r="Y219" s="463">
        <f>IF(A219="","",SUMIF(Entrada_Manual!$I$88:$I$187,A219,Entrada_Manual!$F$88:$F$187))</f>
        <v/>
      </c>
      <c r="Z219" s="463">
        <f>IF(A219="","",X219-Y219)</f>
        <v/>
      </c>
      <c r="AA219">
        <f>IF(A219="","",SUMPRODUCT((Entrada_Manual!$I$88:$I$187=A219)*1))</f>
        <v/>
      </c>
      <c r="AB219">
        <f>IF(A219="","",IF(S219&lt;=1,"",IF(AA219=0,"PENDIENTE — SIN ASIGNAR",IF(Z219=0,"RESUELTO","PARCIAL — DIFERENCIA "&amp;TEXT(Z219,"#,##0")))))</f>
        <v/>
      </c>
    </row>
    <row r="220" ht="14.25" customHeight="1" s="235">
      <c r="A220" s="47">
        <f>IF(Exogena_RAW!E229&lt;&gt;"",ROW()-5,"")</f>
        <v/>
      </c>
      <c r="B220" s="48">
        <f>IF(A220="","",229)</f>
        <v/>
      </c>
      <c r="C220" s="48">
        <f>IF(A220="","",IFERROR(Exogena_RAW!A229,""))</f>
        <v/>
      </c>
      <c r="D220" s="48">
        <f>IF(A220="","",IFERROR(Exogena_RAW!B229,""))</f>
        <v/>
      </c>
      <c r="E220" s="48">
        <f>IF(A220="","",Exogena_RAW!E229)</f>
        <v/>
      </c>
      <c r="F220" s="461">
        <f>IF(A220="","",Exogena_RAW!F229)</f>
        <v/>
      </c>
      <c r="G220" s="48">
        <f>IF(A220="","",IFERROR(Exogena_RAW!G229,""))</f>
        <v/>
      </c>
      <c r="H220" s="48">
        <f>IF(A220="","",IFERROR(Exogena_RAW!H229,""))</f>
        <v/>
      </c>
      <c r="I220" s="48">
        <f>IF(A220="","",IFERROR(IF(S220&gt;1,"VARIAS CASILLAS",IF(S220=1,IF(T220=1,"PROPUESTA DE CASILLA","REVISIÓN: CASILLA NO DIRECTA"),IF(OR(ISNUMBER(SEARCH("TOPE",UPPER(E220))),ISNUMBER(SEARCH("TOPE",UPPER(G220)))),"SOLO CONTROL",IF(ISNUMBER(SEARCH("RETEN",UPPER(E220))),"RETENCIÓN","REVISAR")))),"REVISAR"))</f>
        <v/>
      </c>
      <c r="J220" s="48">
        <f>IF(A220="","",IF(ISNUMBER(SEARCH("ingreso laboral promedio de los últimos seis meses",E220)),"",IFERROR(IF(AND(S220=1,T220=1),U220,""),"")))</f>
        <v/>
      </c>
      <c r="K220" s="216" t="n"/>
      <c r="L220" s="48">
        <f>IF(A220="","",IFERROR(IF(K220&lt;&gt;"","Casilla elegida por usuario",IF(S220&gt;1,"Varias casillas — elegir en K",IF(J220&lt;&gt;"","Sugerencia directa",IF(S220=1,"No trasladar directo — revisar",IF(OR(ISNUMBER(SEARCH("TOPE",UPPER(E220))),ISNUMBER(SEARCH("TOPE",UPPER(G220)))),"Solo control","Revisar manualmente"))))),"Revisar manualmente"))</f>
        <v/>
      </c>
      <c r="M220" s="461">
        <f>IF(A220="","",IF(IF(K220&lt;&gt;"",K220,J220)="",0,IF(COUNTIFS(Reglas!$I$5:$I$118,IF(K220&lt;&gt;"",K220,J220),Reglas!$J$5:$J$118,"Sí")=1,F220,0)))</f>
        <v/>
      </c>
      <c r="N220" s="56" t="n"/>
      <c r="O220" s="462">
        <f>IF(A220="","",IF(M220=0,"",M220))</f>
        <v/>
      </c>
      <c r="P220" s="461">
        <f>IF(A220="","",IF(O220="",0,IF(ISNUMBER(O220),O220,0)))</f>
        <v/>
      </c>
      <c r="Q220" s="48">
        <f>IF(A220="","",IF(Exogena_RAW!$C$4="","BLOQUEADO: FALTA AÑO",IF(Exogena_RAW!$K$10&lt;&gt;Reglas!$B$5,"BLOQUEADO: AÑO",IF(IF(K220&lt;&gt;"",K220,J220)="",IF(S220&gt;1,"REQUIERE ASIGNACIÓN MANUAL (VARIAS CASILLAS)","INFORMATIVO (sin casilla — no se declara)"),IF(COUNTIFS(Reglas!$I$5:$I$118,IF(K220&lt;&gt;"",K220,J220),Reglas!$J$5:$J$118,"Sí")=0,"BLOQUEADO: CASILLA NO DIRECTA",IF(O220="","EXCLUIDO (valor borrado por el usuario)",IF(_xlfn.ISFORMULA(O220),IF(W220&lt;&gt;"","BORRADOR — VALOR SUGERIDO DIAN ⚠ VER ALERTA","BORRADOR — VALOR SUGERIDO DIAN"),IF(W220&lt;&gt;"","ACEPTADO ⚠ VER ALERTA","ACEPTADO"))))))))</f>
        <v/>
      </c>
      <c r="R220" s="218" t="n"/>
      <c r="S220" s="58">
        <f>IF(A220="","",IFERROR(--ISNUMBER(SEARCH("R28",G220)),0)+IFERROR(--ISNUMBER(SEARCH("R29",G220)),0)+IFERROR(--ISNUMBER(SEARCH("R30",G220)),0)+IFERROR(--ISNUMBER(SEARCH("R31",G220)),0)+IFERROR(--ISNUMBER(SEARCH("R32",G220)),0)+IFERROR(--ISNUMBER(SEARCH("R33",G220)),0)+IFERROR(--ISNUMBER(SEARCH("R34",G220)),0)+IFERROR(--ISNUMBER(SEARCH("R35",G220)),0)+IFERROR(--ISNUMBER(SEARCH("R36",G220)),0)+IFERROR(--ISNUMBER(SEARCH("R37",G220)),0)+IFERROR(--ISNUMBER(SEARCH("R38",G220)),0)+IFERROR(--ISNUMBER(SEARCH("R39",G220)),0)+IFERROR(--ISNUMBER(SEARCH("R40",G220)),0)+IFERROR(--ISNUMBER(SEARCH("R41",G220)),0)+IFERROR(--ISNUMBER(SEARCH("R42",G220)),0)+IFERROR(--ISNUMBER(SEARCH("R43",G220)),0)+IFERROR(--ISNUMBER(SEARCH("R44",G220)),0)+IFERROR(--ISNUMBER(SEARCH("R45",G220)),0)+IFERROR(--ISNUMBER(SEARCH("R46",G220)),0)+IFERROR(--ISNUMBER(SEARCH("R47",G220)),0)+IFERROR(--ISNUMBER(SEARCH("R48",G220)),0)+IFERROR(--ISNUMBER(SEARCH("R49",G220)),0)+IFERROR(--ISNUMBER(SEARCH("R50",G220)),0)+IFERROR(--ISNUMBER(SEARCH("R51",G220)),0)+IFERROR(--ISNUMBER(SEARCH("R52",G220)),0)+IFERROR(--ISNUMBER(SEARCH("R53",G220)),0)+IFERROR(--ISNUMBER(SEARCH("R54",G220)),0)+IFERROR(--ISNUMBER(SEARCH("R55",G220)),0)+IFERROR(--ISNUMBER(SEARCH("R56",G220)),0)+IFERROR(--ISNUMBER(SEARCH("R57",G220)),0)+IFERROR(--ISNUMBER(SEARCH("R58",G220)),0)+IFERROR(--ISNUMBER(SEARCH("R59",G220)),0)+IFERROR(--ISNUMBER(SEARCH("R60",G220)),0)+IFERROR(--ISNUMBER(SEARCH("R61",G220)),0)+IFERROR(--ISNUMBER(SEARCH("R62",G220)),0)+IFERROR(--ISNUMBER(SEARCH("R63",G220)),0)+IFERROR(--ISNUMBER(SEARCH("R64",G220)),0)+IFERROR(--ISNUMBER(SEARCH("R65",G220)),0)+IFERROR(--ISNUMBER(SEARCH("R66",G220)),0)+IFERROR(--ISNUMBER(SEARCH("R67",G220)),0)+IFERROR(--ISNUMBER(SEARCH("R68",G220)),0)+IFERROR(--ISNUMBER(SEARCH("R69",G220)),0)+IFERROR(--ISNUMBER(SEARCH("R70",G220)),0)+IFERROR(--ISNUMBER(SEARCH("R71",G220)),0)+IFERROR(--ISNUMBER(SEARCH("R72",G220)),0)+IFERROR(--ISNUMBER(SEARCH("R73",G220)),0)+IFERROR(--ISNUMBER(SEARCH("R74",G220)),0)+IFERROR(--ISNUMBER(SEARCH("R75",G220)),0)+IFERROR(--ISNUMBER(SEARCH("R76",G220)),0)+IFERROR(--ISNUMBER(SEARCH("R77",G220)),0)+IFERROR(--ISNUMBER(SEARCH("R78",G220)),0)+IFERROR(--ISNUMBER(SEARCH("R79",G220)),0)+IFERROR(--ISNUMBER(SEARCH("R80",G220)),0)+IFERROR(--ISNUMBER(SEARCH("R81",G220)),0)+IFERROR(--ISNUMBER(SEARCH("R82",G220)),0)+IFERROR(--ISNUMBER(SEARCH("R83",G220)),0)+IFERROR(--ISNUMBER(SEARCH("R84",G220)),0)+IFERROR(--ISNUMBER(SEARCH("R85",G220)),0)+IFERROR(--ISNUMBER(SEARCH("R86",G220)),0)+IFERROR(--ISNUMBER(SEARCH("R87",G220)),0)+IFERROR(--ISNUMBER(SEARCH("R88",G220)),0)+IFERROR(--ISNUMBER(SEARCH("R89",G220)),0)+IFERROR(--ISNUMBER(SEARCH("R90",G220)),0)+IFERROR(--ISNUMBER(SEARCH("R91",G220)),0)+IFERROR(--ISNUMBER(SEARCH("R92",G220)),0)+IFERROR(--ISNUMBER(SEARCH("R93",G220)),0)+IFERROR(--ISNUMBER(SEARCH("R94",G220)),0)+IFERROR(--ISNUMBER(SEARCH("R95",G220)),0)+IFERROR(--ISNUMBER(SEARCH("R96",G220)),0)+IFERROR(--ISNUMBER(SEARCH("R97",G220)),0)+IFERROR(--ISNUMBER(SEARCH("R98",G220)),0)+IFERROR(--ISNUMBER(SEARCH("R99",G220)),0)+IFERROR(--ISNUMBER(SEARCH("R100",G220)),0)+IFERROR(--ISNUMBER(SEARCH("R101",G220)),0)+IFERROR(--ISNUMBER(SEARCH("R102",G220)),0)+IFERROR(--ISNUMBER(SEARCH("R103",G220)),0)+IFERROR(--ISNUMBER(SEARCH("R104",G220)),0)+IFERROR(--ISNUMBER(SEARCH("R105",G220)),0)+IFERROR(--ISNUMBER(SEARCH("R106",G220)),0)+IFERROR(--ISNUMBER(SEARCH("R107",G220)),0)+IFERROR(--ISNUMBER(SEARCH("R108",G220)),0)+IFERROR(--ISNUMBER(SEARCH("R109",G220)),0)+IFERROR(--ISNUMBER(SEARCH("R110",G220)),0)+IFERROR(--ISNUMBER(SEARCH("R111",G220)),0)+IFERROR(--ISNUMBER(SEARCH("R112",G220)),0)+IFERROR(--ISNUMBER(SEARCH("R113",G220)),0)+IFERROR(--ISNUMBER(SEARCH("R114",G220)),0)+IFERROR(--ISNUMBER(SEARCH("R115",G220)),0)+IFERROR(--ISNUMBER(SEARCH("R116",G220)),0)+IFERROR(--ISNUMBER(SEARCH("R117",G220)),0)+IFERROR(--ISNUMBER(SEARCH("R118",G220)),0)+IFERROR(--ISNUMBER(SEARCH("R119",G220)),0)+IFERROR(--ISNUMBER(SEARCH("R120",G220)),0)+IFERROR(--ISNUMBER(SEARCH("R121",G220)),0)+IFERROR(--ISNUMBER(SEARCH("R122",G220)),0)+IFERROR(--ISNUMBER(SEARCH("R123",G220)),0)+IFERROR(--ISNUMBER(SEARCH("R124",G220)),0)+IFERROR(--ISNUMBER(SEARCH("R125",G220)),0)+IFERROR(--ISNUMBER(SEARCH("R126",G220)),0)+IFERROR(--ISNUMBER(SEARCH("R127",G220)),0)+IFERROR(--ISNUMBER(SEARCH("R128",G220)),0)+IFERROR(--ISNUMBER(SEARCH("R129",G220)),0)+IFERROR(--ISNUMBER(SEARCH("R130",G220)),0)+IFERROR(--ISNUMBER(SEARCH("R131",G220)),0)+IFERROR(--ISNUMBER(SEARCH("R132",G220)),0)+IFERROR(--ISNUMBER(SEARCH("R133",G220)),0)+IFERROR(--ISNUMBER(SEARCH("R134",G220)),0)+IFERROR(--ISNUMBER(SEARCH("R135",G220)),0)+IFERROR(--ISNUMBER(SEARCH("R136",G220)),0)+IFERROR(--ISNUMBER(SEARCH("R137",G220)),0)+IFERROR(--ISNUMBER(SEARCH("R138",G220)),0)+IFERROR(--ISNUMBER(SEARCH("R139",G220)),0)+IFERROR(--ISNUMBER(SEARCH("R140",G220)),0)+IFERROR(--ISNUMBER(SEARCH("R141",G220)),0))</f>
        <v/>
      </c>
      <c r="T220" s="58">
        <f>IF(A220="","",IFERROR(--ISNUMBER(SEARCH("R28",G220)),0)+IFERROR(--ISNUMBER(SEARCH("R29",G220)),0)+IFERROR(--ISNUMBER(SEARCH("R30",G220)),0)+IFERROR(--ISNUMBER(SEARCH("R32",G220)),0)+IFERROR(--ISNUMBER(SEARCH("R33",G220)),0)+IFERROR(--ISNUMBER(SEARCH("R35",G220)),0)+IFERROR(--ISNUMBER(SEARCH("R36",G220)),0)+IFERROR(--ISNUMBER(SEARCH("R38",G220)),0)+IFERROR(--ISNUMBER(SEARCH("R39",G220)),0)+IFERROR(--ISNUMBER(SEARCH("R43",G220)),0)+IFERROR(--ISNUMBER(SEARCH("R44",G220)),0)+IFERROR(--ISNUMBER(SEARCH("R45",G220)),0)+IFERROR(--ISNUMBER(SEARCH("R47",G220)),0)+IFERROR(--ISNUMBER(SEARCH("R48",G220)),0)+IFERROR(--ISNUMBER(SEARCH("R50",G220)),0)+IFERROR(--ISNUMBER(SEARCH("R51",G220)),0)+IFERROR(--ISNUMBER(SEARCH("R56",G220)),0)+IFERROR(--ISNUMBER(SEARCH("R58",G220)),0)+IFERROR(--ISNUMBER(SEARCH("R59",G220)),0)+IFERROR(--ISNUMBER(SEARCH("R60",G220)),0)+IFERROR(--ISNUMBER(SEARCH("R62",G220)),0)+IFERROR(--ISNUMBER(SEARCH("R63",G220)),0)+IFERROR(--ISNUMBER(SEARCH("R64",G220)),0)+IFERROR(--ISNUMBER(SEARCH("R66",G220)),0)+IFERROR(--ISNUMBER(SEARCH("R67",G220)),0)+IFERROR(--ISNUMBER(SEARCH("R72",G220)),0)+IFERROR(--ISNUMBER(SEARCH("R74",G220)),0)+IFERROR(--ISNUMBER(SEARCH("R75",G220)),0)+IFERROR(--ISNUMBER(SEARCH("R76",G220)),0)+IFERROR(--ISNUMBER(SEARCH("R77",G220)),0)+IFERROR(--ISNUMBER(SEARCH("R79",G220)),0)+IFERROR(--ISNUMBER(SEARCH("R80",G220)),0)+IFERROR(--ISNUMBER(SEARCH("R81",G220)),0)+IFERROR(--ISNUMBER(SEARCH("R83",G220)),0)+IFERROR(--ISNUMBER(SEARCH("R84",G220)),0)+IFERROR(--ISNUMBER(SEARCH("R89",G220)),0)+IFERROR(--ISNUMBER(SEARCH("R94",G220)),0)+IFERROR(--ISNUMBER(SEARCH("R95",G220)),0)+IFERROR(--ISNUMBER(SEARCH("R96",G220)),0)+IFERROR(--ISNUMBER(SEARCH("R98",G220)),0)+IFERROR(--ISNUMBER(SEARCH("R99",G220)),0)+IFERROR(--ISNUMBER(SEARCH("R100",G220)),0)+IFERROR(--ISNUMBER(SEARCH("R104",G220)),0)+IFERROR(--ISNUMBER(SEARCH("R105",G220)),0)+IFERROR(--ISNUMBER(SEARCH("R107",G220)),0)+IFERROR(--ISNUMBER(SEARCH("R108",G220)),0)+IFERROR(--ISNUMBER(SEARCH("R109",G220)),0)+IFERROR(--ISNUMBER(SEARCH("R110",G220)),0)+IFERROR(--ISNUMBER(SEARCH("R112",G220)),0)+IFERROR(--ISNUMBER(SEARCH("R113",G220)),0)+IFERROR(--ISNUMBER(SEARCH("R114",G220)),0)+IFERROR(--ISNUMBER(SEARCH("R118",G220)),0)+IFERROR(--ISNUMBER(SEARCH("R119",G220)),0)+IFERROR(--ISNUMBER(SEARCH("R120",G220)),0)+IFERROR(--ISNUMBER(SEARCH("R122",G220)),0)+IFERROR(--ISNUMBER(SEARCH("R123",G220)),0)+IFERROR(--ISNUMBER(SEARCH("R124",G220)),0)+IFERROR(--ISNUMBER(SEARCH("R128",G220)),0)+IFERROR(--ISNUMBER(SEARCH("R130",G220)),0)+IFERROR(--ISNUMBER(SEARCH("R131",G220)),0)+IFERROR(--ISNUMBER(SEARCH("R132",G220)),0)+IFERROR(--ISNUMBER(SEARCH("R135",G220)),0)+IFERROR(--ISNUMBER(SEARCH("R138",G220)),0)+IFERROR(--ISNUMBER(SEARCH("R141",G220)),0))</f>
        <v/>
      </c>
      <c r="U220" s="58">
        <f>IF(A220="","",IFERROR(--ISNUMBER(SEARCH("R28",G220))*28,0)+IFERROR(--ISNUMBER(SEARCH("R29",G220))*29,0)+IFERROR(--ISNUMBER(SEARCH("R30",G220))*30,0)+IFERROR(--ISNUMBER(SEARCH("R31",G220))*31,0)+IFERROR(--ISNUMBER(SEARCH("R32",G220))*32,0)+IFERROR(--ISNUMBER(SEARCH("R33",G220))*33,0)+IFERROR(--ISNUMBER(SEARCH("R34",G220))*34,0)+IFERROR(--ISNUMBER(SEARCH("R35",G220))*35,0)+IFERROR(--ISNUMBER(SEARCH("R36",G220))*36,0)+IFERROR(--ISNUMBER(SEARCH("R37",G220))*37,0)+IFERROR(--ISNUMBER(SEARCH("R38",G220))*38,0)+IFERROR(--ISNUMBER(SEARCH("R39",G220))*39,0)+IFERROR(--ISNUMBER(SEARCH("R40",G220))*40,0)+IFERROR(--ISNUMBER(SEARCH("R41",G220))*41,0)+IFERROR(--ISNUMBER(SEARCH("R42",G220))*42,0)+IFERROR(--ISNUMBER(SEARCH("R43",G220))*43,0)+IFERROR(--ISNUMBER(SEARCH("R44",G220))*44,0)+IFERROR(--ISNUMBER(SEARCH("R45",G220))*45,0)+IFERROR(--ISNUMBER(SEARCH("R46",G220))*46,0)+IFERROR(--ISNUMBER(SEARCH("R47",G220))*47,0)+IFERROR(--ISNUMBER(SEARCH("R48",G220))*48,0)+IFERROR(--ISNUMBER(SEARCH("R49",G220))*49,0)+IFERROR(--ISNUMBER(SEARCH("R50",G220))*50,0)+IFERROR(--ISNUMBER(SEARCH("R51",G220))*51,0)+IFERROR(--ISNUMBER(SEARCH("R52",G220))*52,0)+IFERROR(--ISNUMBER(SEARCH("R53",G220))*53,0)+IFERROR(--ISNUMBER(SEARCH("R54",G220))*54,0)+IFERROR(--ISNUMBER(SEARCH("R55",G220))*55,0)+IFERROR(--ISNUMBER(SEARCH("R56",G220))*56,0)+IFERROR(--ISNUMBER(SEARCH("R57",G220))*57,0)+IFERROR(--ISNUMBER(SEARCH("R58",G220))*58,0)+IFERROR(--ISNUMBER(SEARCH("R59",G220))*59,0)+IFERROR(--ISNUMBER(SEARCH("R60",G220))*60,0)+IFERROR(--ISNUMBER(SEARCH("R61",G220))*61,0)+IFERROR(--ISNUMBER(SEARCH("R62",G220))*62,0)+IFERROR(--ISNUMBER(SEARCH("R63",G220))*63,0)+IFERROR(--ISNUMBER(SEARCH("R64",G220))*64,0)+IFERROR(--ISNUMBER(SEARCH("R65",G220))*65,0)+IFERROR(--ISNUMBER(SEARCH("R66",G220))*66,0)+IFERROR(--ISNUMBER(SEARCH("R67",G220))*67,0)+IFERROR(--ISNUMBER(SEARCH("R68",G220))*68,0)+IFERROR(--ISNUMBER(SEARCH("R69",G220))*69,0)+IFERROR(--ISNUMBER(SEARCH("R70",G220))*70,0)+IFERROR(--ISNUMBER(SEARCH("R71",G220))*71,0)+IFERROR(--ISNUMBER(SEARCH("R72",G220))*72,0)+IFERROR(--ISNUMBER(SEARCH("R73",G220))*73,0)+IFERROR(--ISNUMBER(SEARCH("R74",G220))*74,0)+IFERROR(--ISNUMBER(SEARCH("R75",G220))*75,0)+IFERROR(--ISNUMBER(SEARCH("R76",G220))*76,0)+IFERROR(--ISNUMBER(SEARCH("R77",G220))*77,0)+IFERROR(--ISNUMBER(SEARCH("R78",G220))*78,0)+IFERROR(--ISNUMBER(SEARCH("R79",G220))*79,0)+IFERROR(--ISNUMBER(SEARCH("R80",G220))*80,0)+IFERROR(--ISNUMBER(SEARCH("R81",G220))*81,0)+IFERROR(--ISNUMBER(SEARCH("R82",G220))*82,0)+IFERROR(--ISNUMBER(SEARCH("R83",G220))*83,0)+IFERROR(--ISNUMBER(SEARCH("R84",G220))*84,0)+IFERROR(--ISNUMBER(SEARCH("R85",G220))*85,0)+IFERROR(--ISNUMBER(SEARCH("R86",G220))*86,0)+IFERROR(--ISNUMBER(SEARCH("R87",G220))*87,0)+IFERROR(--ISNUMBER(SEARCH("R88",G220))*88,0)+IFERROR(--ISNUMBER(SEARCH("R89",G220))*89,0)+IFERROR(--ISNUMBER(SEARCH("R90",G220))*90,0)+IFERROR(--ISNUMBER(SEARCH("R91",G220))*91,0)+IFERROR(--ISNUMBER(SEARCH("R92",G220))*92,0)+IFERROR(--ISNUMBER(SEARCH("R93",G220))*93,0)+IFERROR(--ISNUMBER(SEARCH("R94",G220))*94,0)+IFERROR(--ISNUMBER(SEARCH("R95",G220))*95,0)+IFERROR(--ISNUMBER(SEARCH("R96",G220))*96,0)+IFERROR(--ISNUMBER(SEARCH("R97",G220))*97,0)+IFERROR(--ISNUMBER(SEARCH("R98",G220))*98,0)+IFERROR(--ISNUMBER(SEARCH("R99",G220))*99,0)+IFERROR(--ISNUMBER(SEARCH("R100",G220))*100,0)+IFERROR(--ISNUMBER(SEARCH("R101",G220))*101,0)+IFERROR(--ISNUMBER(SEARCH("R102",G220))*102,0)+IFERROR(--ISNUMBER(SEARCH("R103",G220))*103,0)+IFERROR(--ISNUMBER(SEARCH("R104",G220))*104,0)+IFERROR(--ISNUMBER(SEARCH("R105",G220))*105,0)+IFERROR(--ISNUMBER(SEARCH("R106",G220))*106,0)+IFERROR(--ISNUMBER(SEARCH("R107",G220))*107,0)+IFERROR(--ISNUMBER(SEARCH("R108",G220))*108,0)+IFERROR(--ISNUMBER(SEARCH("R109",G220))*109,0)+IFERROR(--ISNUMBER(SEARCH("R110",G220))*110,0)+IFERROR(--ISNUMBER(SEARCH("R111",G220))*111,0)+IFERROR(--ISNUMBER(SEARCH("R112",G220))*112,0)+IFERROR(--ISNUMBER(SEARCH("R113",G220))*113,0)+IFERROR(--ISNUMBER(SEARCH("R114",G220))*114,0)+IFERROR(--ISNUMBER(SEARCH("R115",G220))*115,0)+IFERROR(--ISNUMBER(SEARCH("R116",G220))*116,0)+IFERROR(--ISNUMBER(SEARCH("R117",G220))*117,0)+IFERROR(--ISNUMBER(SEARCH("R118",G220))*118,0)+IFERROR(--ISNUMBER(SEARCH("R119",G220))*119,0)+IFERROR(--ISNUMBER(SEARCH("R120",G220))*120,0)+IFERROR(--ISNUMBER(SEARCH("R121",G220))*121,0)+IFERROR(--ISNUMBER(SEARCH("R122",G220))*122,0)+IFERROR(--ISNUMBER(SEARCH("R123",G220))*123,0)+IFERROR(--ISNUMBER(SEARCH("R124",G220))*124,0)+IFERROR(--ISNUMBER(SEARCH("R125",G220))*125,0)+IFERROR(--ISNUMBER(SEARCH("R126",G220))*126,0)+IFERROR(--ISNUMBER(SEARCH("R127",G220))*127,0)+IFERROR(--ISNUMBER(SEARCH("R128",G220))*128,0)+IFERROR(--ISNUMBER(SEARCH("R129",G220))*129,0)+IFERROR(--ISNUMBER(SEARCH("R130",G220))*130,0)+IFERROR(--ISNUMBER(SEARCH("R131",G220))*131,0)+IFERROR(--ISNUMBER(SEARCH("R132",G220))*132,0)+IFERROR(--ISNUMBER(SEARCH("R133",G220))*133,0)+IFERROR(--ISNUMBER(SEARCH("R134",G220))*134,0)+IFERROR(--ISNUMBER(SEARCH("R135",G220))*135,0)+IFERROR(--ISNUMBER(SEARCH("R136",G220))*136,0)+IFERROR(--ISNUMBER(SEARCH("R137",G220))*137,0)+IFERROR(--ISNUMBER(SEARCH("R138",G220))*138,0)+IFERROR(--ISNUMBER(SEARCH("R139",G220))*139,0)+IFERROR(--ISNUMBER(SEARCH("R140",G220))*140,0)+IFERROR(--ISNUMBER(SEARCH("R141",G220))*141,0))</f>
        <v/>
      </c>
      <c r="V220" s="59">
        <f>IF(A220="","",IF(K220&lt;&gt;"",K220,J220))</f>
        <v/>
      </c>
      <c r="W220" s="59">
        <f>IF(A220="","",IF(AND(V220=29,O220&lt;&gt;"",COUNTIFS($V$6:$V$505,29,$F$6:$F$505,F220,$C$6:$C$505,C220,$O$6:$O$505,"&lt;&gt;")&gt;1),IF(COUNTIFS($V$6:V220,29,$F$6:F220,F220,$C$6:C220,C220,$O$6:O220,"&lt;&gt;")=1,"Esta es la fila que se debe CONSERVAR (aparición 1 de "&amp;COUNTIFS($V$6:$V$505,29,$F$6:$F$505,F220,$C$6:$C$505,C220,$O$6:$O$505,"&lt;&gt;")&amp;" con el mismo tercero y valor, casilla 29). Si hay más filas iguales, bórreles el valor a ELLAS, no a esta.","DUPLICADO — ya existe otra fila con el mismo tercero y valor para casilla 29 (aparición "&amp;COUNTIFS($V$6:V220,29,$F$6:F220,F220,$C$6:C220,C220,$O$6:O220,"&lt;&gt;")&amp;" de "&amp;COUNTIFS($V$6:$V$505,29,$F$6:$F$505,F220,$C$6:$C$505,C220,$O$6:$O$505,"&lt;&gt;")&amp;"). Para resolverlo: seleccione la celda O"&amp;ROW()&amp;" (columna Valor a declarar de ESTA fila) y presione Supr."),""))</f>
        <v/>
      </c>
      <c r="X220" s="463">
        <f>IF(A220="","",F220)</f>
        <v/>
      </c>
      <c r="Y220" s="463">
        <f>IF(A220="","",SUMIF(Entrada_Manual!$I$88:$I$187,A220,Entrada_Manual!$F$88:$F$187))</f>
        <v/>
      </c>
      <c r="Z220" s="463">
        <f>IF(A220="","",X220-Y220)</f>
        <v/>
      </c>
      <c r="AA220">
        <f>IF(A220="","",SUMPRODUCT((Entrada_Manual!$I$88:$I$187=A220)*1))</f>
        <v/>
      </c>
      <c r="AB220">
        <f>IF(A220="","",IF(S220&lt;=1,"",IF(AA220=0,"PENDIENTE — SIN ASIGNAR",IF(Z220=0,"RESUELTO","PARCIAL — DIFERENCIA "&amp;TEXT(Z220,"#,##0")))))</f>
        <v/>
      </c>
    </row>
    <row r="221" ht="14.25" customHeight="1" s="235">
      <c r="A221" s="47">
        <f>IF(Exogena_RAW!E230&lt;&gt;"",ROW()-5,"")</f>
        <v/>
      </c>
      <c r="B221" s="48">
        <f>IF(A221="","",230)</f>
        <v/>
      </c>
      <c r="C221" s="48">
        <f>IF(A221="","",IFERROR(Exogena_RAW!A230,""))</f>
        <v/>
      </c>
      <c r="D221" s="48">
        <f>IF(A221="","",IFERROR(Exogena_RAW!B230,""))</f>
        <v/>
      </c>
      <c r="E221" s="48">
        <f>IF(A221="","",Exogena_RAW!E230)</f>
        <v/>
      </c>
      <c r="F221" s="461">
        <f>IF(A221="","",Exogena_RAW!F230)</f>
        <v/>
      </c>
      <c r="G221" s="48">
        <f>IF(A221="","",IFERROR(Exogena_RAW!G230,""))</f>
        <v/>
      </c>
      <c r="H221" s="48">
        <f>IF(A221="","",IFERROR(Exogena_RAW!H230,""))</f>
        <v/>
      </c>
      <c r="I221" s="48">
        <f>IF(A221="","",IFERROR(IF(S221&gt;1,"VARIAS CASILLAS",IF(S221=1,IF(T221=1,"PROPUESTA DE CASILLA","REVISIÓN: CASILLA NO DIRECTA"),IF(OR(ISNUMBER(SEARCH("TOPE",UPPER(E221))),ISNUMBER(SEARCH("TOPE",UPPER(G221)))),"SOLO CONTROL",IF(ISNUMBER(SEARCH("RETEN",UPPER(E221))),"RETENCIÓN","REVISAR")))),"REVISAR"))</f>
        <v/>
      </c>
      <c r="J221" s="48">
        <f>IF(A221="","",IF(ISNUMBER(SEARCH("ingreso laboral promedio de los últimos seis meses",E221)),"",IFERROR(IF(AND(S221=1,T221=1),U221,""),"")))</f>
        <v/>
      </c>
      <c r="K221" s="216" t="n"/>
      <c r="L221" s="48">
        <f>IF(A221="","",IFERROR(IF(K221&lt;&gt;"","Casilla elegida por usuario",IF(S221&gt;1,"Varias casillas — elegir en K",IF(J221&lt;&gt;"","Sugerencia directa",IF(S221=1,"No trasladar directo — revisar",IF(OR(ISNUMBER(SEARCH("TOPE",UPPER(E221))),ISNUMBER(SEARCH("TOPE",UPPER(G221)))),"Solo control","Revisar manualmente"))))),"Revisar manualmente"))</f>
        <v/>
      </c>
      <c r="M221" s="461">
        <f>IF(A221="","",IF(IF(K221&lt;&gt;"",K221,J221)="",0,IF(COUNTIFS(Reglas!$I$5:$I$118,IF(K221&lt;&gt;"",K221,J221),Reglas!$J$5:$J$118,"Sí")=1,F221,0)))</f>
        <v/>
      </c>
      <c r="N221" s="56" t="n"/>
      <c r="O221" s="462">
        <f>IF(A221="","",IF(M221=0,"",M221))</f>
        <v/>
      </c>
      <c r="P221" s="461">
        <f>IF(A221="","",IF(O221="",0,IF(ISNUMBER(O221),O221,0)))</f>
        <v/>
      </c>
      <c r="Q221" s="48">
        <f>IF(A221="","",IF(Exogena_RAW!$C$4="","BLOQUEADO: FALTA AÑO",IF(Exogena_RAW!$K$10&lt;&gt;Reglas!$B$5,"BLOQUEADO: AÑO",IF(IF(K221&lt;&gt;"",K221,J221)="",IF(S221&gt;1,"REQUIERE ASIGNACIÓN MANUAL (VARIAS CASILLAS)","INFORMATIVO (sin casilla — no se declara)"),IF(COUNTIFS(Reglas!$I$5:$I$118,IF(K221&lt;&gt;"",K221,J221),Reglas!$J$5:$J$118,"Sí")=0,"BLOQUEADO: CASILLA NO DIRECTA",IF(O221="","EXCLUIDO (valor borrado por el usuario)",IF(_xlfn.ISFORMULA(O221),IF(W221&lt;&gt;"","BORRADOR — VALOR SUGERIDO DIAN ⚠ VER ALERTA","BORRADOR — VALOR SUGERIDO DIAN"),IF(W221&lt;&gt;"","ACEPTADO ⚠ VER ALERTA","ACEPTADO"))))))))</f>
        <v/>
      </c>
      <c r="R221" s="218" t="n"/>
      <c r="S221" s="58">
        <f>IF(A221="","",IFERROR(--ISNUMBER(SEARCH("R28",G221)),0)+IFERROR(--ISNUMBER(SEARCH("R29",G221)),0)+IFERROR(--ISNUMBER(SEARCH("R30",G221)),0)+IFERROR(--ISNUMBER(SEARCH("R31",G221)),0)+IFERROR(--ISNUMBER(SEARCH("R32",G221)),0)+IFERROR(--ISNUMBER(SEARCH("R33",G221)),0)+IFERROR(--ISNUMBER(SEARCH("R34",G221)),0)+IFERROR(--ISNUMBER(SEARCH("R35",G221)),0)+IFERROR(--ISNUMBER(SEARCH("R36",G221)),0)+IFERROR(--ISNUMBER(SEARCH("R37",G221)),0)+IFERROR(--ISNUMBER(SEARCH("R38",G221)),0)+IFERROR(--ISNUMBER(SEARCH("R39",G221)),0)+IFERROR(--ISNUMBER(SEARCH("R40",G221)),0)+IFERROR(--ISNUMBER(SEARCH("R41",G221)),0)+IFERROR(--ISNUMBER(SEARCH("R42",G221)),0)+IFERROR(--ISNUMBER(SEARCH("R43",G221)),0)+IFERROR(--ISNUMBER(SEARCH("R44",G221)),0)+IFERROR(--ISNUMBER(SEARCH("R45",G221)),0)+IFERROR(--ISNUMBER(SEARCH("R46",G221)),0)+IFERROR(--ISNUMBER(SEARCH("R47",G221)),0)+IFERROR(--ISNUMBER(SEARCH("R48",G221)),0)+IFERROR(--ISNUMBER(SEARCH("R49",G221)),0)+IFERROR(--ISNUMBER(SEARCH("R50",G221)),0)+IFERROR(--ISNUMBER(SEARCH("R51",G221)),0)+IFERROR(--ISNUMBER(SEARCH("R52",G221)),0)+IFERROR(--ISNUMBER(SEARCH("R53",G221)),0)+IFERROR(--ISNUMBER(SEARCH("R54",G221)),0)+IFERROR(--ISNUMBER(SEARCH("R55",G221)),0)+IFERROR(--ISNUMBER(SEARCH("R56",G221)),0)+IFERROR(--ISNUMBER(SEARCH("R57",G221)),0)+IFERROR(--ISNUMBER(SEARCH("R58",G221)),0)+IFERROR(--ISNUMBER(SEARCH("R59",G221)),0)+IFERROR(--ISNUMBER(SEARCH("R60",G221)),0)+IFERROR(--ISNUMBER(SEARCH("R61",G221)),0)+IFERROR(--ISNUMBER(SEARCH("R62",G221)),0)+IFERROR(--ISNUMBER(SEARCH("R63",G221)),0)+IFERROR(--ISNUMBER(SEARCH("R64",G221)),0)+IFERROR(--ISNUMBER(SEARCH("R65",G221)),0)+IFERROR(--ISNUMBER(SEARCH("R66",G221)),0)+IFERROR(--ISNUMBER(SEARCH("R67",G221)),0)+IFERROR(--ISNUMBER(SEARCH("R68",G221)),0)+IFERROR(--ISNUMBER(SEARCH("R69",G221)),0)+IFERROR(--ISNUMBER(SEARCH("R70",G221)),0)+IFERROR(--ISNUMBER(SEARCH("R71",G221)),0)+IFERROR(--ISNUMBER(SEARCH("R72",G221)),0)+IFERROR(--ISNUMBER(SEARCH("R73",G221)),0)+IFERROR(--ISNUMBER(SEARCH("R74",G221)),0)+IFERROR(--ISNUMBER(SEARCH("R75",G221)),0)+IFERROR(--ISNUMBER(SEARCH("R76",G221)),0)+IFERROR(--ISNUMBER(SEARCH("R77",G221)),0)+IFERROR(--ISNUMBER(SEARCH("R78",G221)),0)+IFERROR(--ISNUMBER(SEARCH("R79",G221)),0)+IFERROR(--ISNUMBER(SEARCH("R80",G221)),0)+IFERROR(--ISNUMBER(SEARCH("R81",G221)),0)+IFERROR(--ISNUMBER(SEARCH("R82",G221)),0)+IFERROR(--ISNUMBER(SEARCH("R83",G221)),0)+IFERROR(--ISNUMBER(SEARCH("R84",G221)),0)+IFERROR(--ISNUMBER(SEARCH("R85",G221)),0)+IFERROR(--ISNUMBER(SEARCH("R86",G221)),0)+IFERROR(--ISNUMBER(SEARCH("R87",G221)),0)+IFERROR(--ISNUMBER(SEARCH("R88",G221)),0)+IFERROR(--ISNUMBER(SEARCH("R89",G221)),0)+IFERROR(--ISNUMBER(SEARCH("R90",G221)),0)+IFERROR(--ISNUMBER(SEARCH("R91",G221)),0)+IFERROR(--ISNUMBER(SEARCH("R92",G221)),0)+IFERROR(--ISNUMBER(SEARCH("R93",G221)),0)+IFERROR(--ISNUMBER(SEARCH("R94",G221)),0)+IFERROR(--ISNUMBER(SEARCH("R95",G221)),0)+IFERROR(--ISNUMBER(SEARCH("R96",G221)),0)+IFERROR(--ISNUMBER(SEARCH("R97",G221)),0)+IFERROR(--ISNUMBER(SEARCH("R98",G221)),0)+IFERROR(--ISNUMBER(SEARCH("R99",G221)),0)+IFERROR(--ISNUMBER(SEARCH("R100",G221)),0)+IFERROR(--ISNUMBER(SEARCH("R101",G221)),0)+IFERROR(--ISNUMBER(SEARCH("R102",G221)),0)+IFERROR(--ISNUMBER(SEARCH("R103",G221)),0)+IFERROR(--ISNUMBER(SEARCH("R104",G221)),0)+IFERROR(--ISNUMBER(SEARCH("R105",G221)),0)+IFERROR(--ISNUMBER(SEARCH("R106",G221)),0)+IFERROR(--ISNUMBER(SEARCH("R107",G221)),0)+IFERROR(--ISNUMBER(SEARCH("R108",G221)),0)+IFERROR(--ISNUMBER(SEARCH("R109",G221)),0)+IFERROR(--ISNUMBER(SEARCH("R110",G221)),0)+IFERROR(--ISNUMBER(SEARCH("R111",G221)),0)+IFERROR(--ISNUMBER(SEARCH("R112",G221)),0)+IFERROR(--ISNUMBER(SEARCH("R113",G221)),0)+IFERROR(--ISNUMBER(SEARCH("R114",G221)),0)+IFERROR(--ISNUMBER(SEARCH("R115",G221)),0)+IFERROR(--ISNUMBER(SEARCH("R116",G221)),0)+IFERROR(--ISNUMBER(SEARCH("R117",G221)),0)+IFERROR(--ISNUMBER(SEARCH("R118",G221)),0)+IFERROR(--ISNUMBER(SEARCH("R119",G221)),0)+IFERROR(--ISNUMBER(SEARCH("R120",G221)),0)+IFERROR(--ISNUMBER(SEARCH("R121",G221)),0)+IFERROR(--ISNUMBER(SEARCH("R122",G221)),0)+IFERROR(--ISNUMBER(SEARCH("R123",G221)),0)+IFERROR(--ISNUMBER(SEARCH("R124",G221)),0)+IFERROR(--ISNUMBER(SEARCH("R125",G221)),0)+IFERROR(--ISNUMBER(SEARCH("R126",G221)),0)+IFERROR(--ISNUMBER(SEARCH("R127",G221)),0)+IFERROR(--ISNUMBER(SEARCH("R128",G221)),0)+IFERROR(--ISNUMBER(SEARCH("R129",G221)),0)+IFERROR(--ISNUMBER(SEARCH("R130",G221)),0)+IFERROR(--ISNUMBER(SEARCH("R131",G221)),0)+IFERROR(--ISNUMBER(SEARCH("R132",G221)),0)+IFERROR(--ISNUMBER(SEARCH("R133",G221)),0)+IFERROR(--ISNUMBER(SEARCH("R134",G221)),0)+IFERROR(--ISNUMBER(SEARCH("R135",G221)),0)+IFERROR(--ISNUMBER(SEARCH("R136",G221)),0)+IFERROR(--ISNUMBER(SEARCH("R137",G221)),0)+IFERROR(--ISNUMBER(SEARCH("R138",G221)),0)+IFERROR(--ISNUMBER(SEARCH("R139",G221)),0)+IFERROR(--ISNUMBER(SEARCH("R140",G221)),0)+IFERROR(--ISNUMBER(SEARCH("R141",G221)),0))</f>
        <v/>
      </c>
      <c r="T221" s="58">
        <f>IF(A221="","",IFERROR(--ISNUMBER(SEARCH("R28",G221)),0)+IFERROR(--ISNUMBER(SEARCH("R29",G221)),0)+IFERROR(--ISNUMBER(SEARCH("R30",G221)),0)+IFERROR(--ISNUMBER(SEARCH("R32",G221)),0)+IFERROR(--ISNUMBER(SEARCH("R33",G221)),0)+IFERROR(--ISNUMBER(SEARCH("R35",G221)),0)+IFERROR(--ISNUMBER(SEARCH("R36",G221)),0)+IFERROR(--ISNUMBER(SEARCH("R38",G221)),0)+IFERROR(--ISNUMBER(SEARCH("R39",G221)),0)+IFERROR(--ISNUMBER(SEARCH("R43",G221)),0)+IFERROR(--ISNUMBER(SEARCH("R44",G221)),0)+IFERROR(--ISNUMBER(SEARCH("R45",G221)),0)+IFERROR(--ISNUMBER(SEARCH("R47",G221)),0)+IFERROR(--ISNUMBER(SEARCH("R48",G221)),0)+IFERROR(--ISNUMBER(SEARCH("R50",G221)),0)+IFERROR(--ISNUMBER(SEARCH("R51",G221)),0)+IFERROR(--ISNUMBER(SEARCH("R56",G221)),0)+IFERROR(--ISNUMBER(SEARCH("R58",G221)),0)+IFERROR(--ISNUMBER(SEARCH("R59",G221)),0)+IFERROR(--ISNUMBER(SEARCH("R60",G221)),0)+IFERROR(--ISNUMBER(SEARCH("R62",G221)),0)+IFERROR(--ISNUMBER(SEARCH("R63",G221)),0)+IFERROR(--ISNUMBER(SEARCH("R64",G221)),0)+IFERROR(--ISNUMBER(SEARCH("R66",G221)),0)+IFERROR(--ISNUMBER(SEARCH("R67",G221)),0)+IFERROR(--ISNUMBER(SEARCH("R72",G221)),0)+IFERROR(--ISNUMBER(SEARCH("R74",G221)),0)+IFERROR(--ISNUMBER(SEARCH("R75",G221)),0)+IFERROR(--ISNUMBER(SEARCH("R76",G221)),0)+IFERROR(--ISNUMBER(SEARCH("R77",G221)),0)+IFERROR(--ISNUMBER(SEARCH("R79",G221)),0)+IFERROR(--ISNUMBER(SEARCH("R80",G221)),0)+IFERROR(--ISNUMBER(SEARCH("R81",G221)),0)+IFERROR(--ISNUMBER(SEARCH("R83",G221)),0)+IFERROR(--ISNUMBER(SEARCH("R84",G221)),0)+IFERROR(--ISNUMBER(SEARCH("R89",G221)),0)+IFERROR(--ISNUMBER(SEARCH("R94",G221)),0)+IFERROR(--ISNUMBER(SEARCH("R95",G221)),0)+IFERROR(--ISNUMBER(SEARCH("R96",G221)),0)+IFERROR(--ISNUMBER(SEARCH("R98",G221)),0)+IFERROR(--ISNUMBER(SEARCH("R99",G221)),0)+IFERROR(--ISNUMBER(SEARCH("R100",G221)),0)+IFERROR(--ISNUMBER(SEARCH("R104",G221)),0)+IFERROR(--ISNUMBER(SEARCH("R105",G221)),0)+IFERROR(--ISNUMBER(SEARCH("R107",G221)),0)+IFERROR(--ISNUMBER(SEARCH("R108",G221)),0)+IFERROR(--ISNUMBER(SEARCH("R109",G221)),0)+IFERROR(--ISNUMBER(SEARCH("R110",G221)),0)+IFERROR(--ISNUMBER(SEARCH("R112",G221)),0)+IFERROR(--ISNUMBER(SEARCH("R113",G221)),0)+IFERROR(--ISNUMBER(SEARCH("R114",G221)),0)+IFERROR(--ISNUMBER(SEARCH("R118",G221)),0)+IFERROR(--ISNUMBER(SEARCH("R119",G221)),0)+IFERROR(--ISNUMBER(SEARCH("R120",G221)),0)+IFERROR(--ISNUMBER(SEARCH("R122",G221)),0)+IFERROR(--ISNUMBER(SEARCH("R123",G221)),0)+IFERROR(--ISNUMBER(SEARCH("R124",G221)),0)+IFERROR(--ISNUMBER(SEARCH("R128",G221)),0)+IFERROR(--ISNUMBER(SEARCH("R130",G221)),0)+IFERROR(--ISNUMBER(SEARCH("R131",G221)),0)+IFERROR(--ISNUMBER(SEARCH("R132",G221)),0)+IFERROR(--ISNUMBER(SEARCH("R135",G221)),0)+IFERROR(--ISNUMBER(SEARCH("R138",G221)),0)+IFERROR(--ISNUMBER(SEARCH("R141",G221)),0))</f>
        <v/>
      </c>
      <c r="U221" s="58">
        <f>IF(A221="","",IFERROR(--ISNUMBER(SEARCH("R28",G221))*28,0)+IFERROR(--ISNUMBER(SEARCH("R29",G221))*29,0)+IFERROR(--ISNUMBER(SEARCH("R30",G221))*30,0)+IFERROR(--ISNUMBER(SEARCH("R31",G221))*31,0)+IFERROR(--ISNUMBER(SEARCH("R32",G221))*32,0)+IFERROR(--ISNUMBER(SEARCH("R33",G221))*33,0)+IFERROR(--ISNUMBER(SEARCH("R34",G221))*34,0)+IFERROR(--ISNUMBER(SEARCH("R35",G221))*35,0)+IFERROR(--ISNUMBER(SEARCH("R36",G221))*36,0)+IFERROR(--ISNUMBER(SEARCH("R37",G221))*37,0)+IFERROR(--ISNUMBER(SEARCH("R38",G221))*38,0)+IFERROR(--ISNUMBER(SEARCH("R39",G221))*39,0)+IFERROR(--ISNUMBER(SEARCH("R40",G221))*40,0)+IFERROR(--ISNUMBER(SEARCH("R41",G221))*41,0)+IFERROR(--ISNUMBER(SEARCH("R42",G221))*42,0)+IFERROR(--ISNUMBER(SEARCH("R43",G221))*43,0)+IFERROR(--ISNUMBER(SEARCH("R44",G221))*44,0)+IFERROR(--ISNUMBER(SEARCH("R45",G221))*45,0)+IFERROR(--ISNUMBER(SEARCH("R46",G221))*46,0)+IFERROR(--ISNUMBER(SEARCH("R47",G221))*47,0)+IFERROR(--ISNUMBER(SEARCH("R48",G221))*48,0)+IFERROR(--ISNUMBER(SEARCH("R49",G221))*49,0)+IFERROR(--ISNUMBER(SEARCH("R50",G221))*50,0)+IFERROR(--ISNUMBER(SEARCH("R51",G221))*51,0)+IFERROR(--ISNUMBER(SEARCH("R52",G221))*52,0)+IFERROR(--ISNUMBER(SEARCH("R53",G221))*53,0)+IFERROR(--ISNUMBER(SEARCH("R54",G221))*54,0)+IFERROR(--ISNUMBER(SEARCH("R55",G221))*55,0)+IFERROR(--ISNUMBER(SEARCH("R56",G221))*56,0)+IFERROR(--ISNUMBER(SEARCH("R57",G221))*57,0)+IFERROR(--ISNUMBER(SEARCH("R58",G221))*58,0)+IFERROR(--ISNUMBER(SEARCH("R59",G221))*59,0)+IFERROR(--ISNUMBER(SEARCH("R60",G221))*60,0)+IFERROR(--ISNUMBER(SEARCH("R61",G221))*61,0)+IFERROR(--ISNUMBER(SEARCH("R62",G221))*62,0)+IFERROR(--ISNUMBER(SEARCH("R63",G221))*63,0)+IFERROR(--ISNUMBER(SEARCH("R64",G221))*64,0)+IFERROR(--ISNUMBER(SEARCH("R65",G221))*65,0)+IFERROR(--ISNUMBER(SEARCH("R66",G221))*66,0)+IFERROR(--ISNUMBER(SEARCH("R67",G221))*67,0)+IFERROR(--ISNUMBER(SEARCH("R68",G221))*68,0)+IFERROR(--ISNUMBER(SEARCH("R69",G221))*69,0)+IFERROR(--ISNUMBER(SEARCH("R70",G221))*70,0)+IFERROR(--ISNUMBER(SEARCH("R71",G221))*71,0)+IFERROR(--ISNUMBER(SEARCH("R72",G221))*72,0)+IFERROR(--ISNUMBER(SEARCH("R73",G221))*73,0)+IFERROR(--ISNUMBER(SEARCH("R74",G221))*74,0)+IFERROR(--ISNUMBER(SEARCH("R75",G221))*75,0)+IFERROR(--ISNUMBER(SEARCH("R76",G221))*76,0)+IFERROR(--ISNUMBER(SEARCH("R77",G221))*77,0)+IFERROR(--ISNUMBER(SEARCH("R78",G221))*78,0)+IFERROR(--ISNUMBER(SEARCH("R79",G221))*79,0)+IFERROR(--ISNUMBER(SEARCH("R80",G221))*80,0)+IFERROR(--ISNUMBER(SEARCH("R81",G221))*81,0)+IFERROR(--ISNUMBER(SEARCH("R82",G221))*82,0)+IFERROR(--ISNUMBER(SEARCH("R83",G221))*83,0)+IFERROR(--ISNUMBER(SEARCH("R84",G221))*84,0)+IFERROR(--ISNUMBER(SEARCH("R85",G221))*85,0)+IFERROR(--ISNUMBER(SEARCH("R86",G221))*86,0)+IFERROR(--ISNUMBER(SEARCH("R87",G221))*87,0)+IFERROR(--ISNUMBER(SEARCH("R88",G221))*88,0)+IFERROR(--ISNUMBER(SEARCH("R89",G221))*89,0)+IFERROR(--ISNUMBER(SEARCH("R90",G221))*90,0)+IFERROR(--ISNUMBER(SEARCH("R91",G221))*91,0)+IFERROR(--ISNUMBER(SEARCH("R92",G221))*92,0)+IFERROR(--ISNUMBER(SEARCH("R93",G221))*93,0)+IFERROR(--ISNUMBER(SEARCH("R94",G221))*94,0)+IFERROR(--ISNUMBER(SEARCH("R95",G221))*95,0)+IFERROR(--ISNUMBER(SEARCH("R96",G221))*96,0)+IFERROR(--ISNUMBER(SEARCH("R97",G221))*97,0)+IFERROR(--ISNUMBER(SEARCH("R98",G221))*98,0)+IFERROR(--ISNUMBER(SEARCH("R99",G221))*99,0)+IFERROR(--ISNUMBER(SEARCH("R100",G221))*100,0)+IFERROR(--ISNUMBER(SEARCH("R101",G221))*101,0)+IFERROR(--ISNUMBER(SEARCH("R102",G221))*102,0)+IFERROR(--ISNUMBER(SEARCH("R103",G221))*103,0)+IFERROR(--ISNUMBER(SEARCH("R104",G221))*104,0)+IFERROR(--ISNUMBER(SEARCH("R105",G221))*105,0)+IFERROR(--ISNUMBER(SEARCH("R106",G221))*106,0)+IFERROR(--ISNUMBER(SEARCH("R107",G221))*107,0)+IFERROR(--ISNUMBER(SEARCH("R108",G221))*108,0)+IFERROR(--ISNUMBER(SEARCH("R109",G221))*109,0)+IFERROR(--ISNUMBER(SEARCH("R110",G221))*110,0)+IFERROR(--ISNUMBER(SEARCH("R111",G221))*111,0)+IFERROR(--ISNUMBER(SEARCH("R112",G221))*112,0)+IFERROR(--ISNUMBER(SEARCH("R113",G221))*113,0)+IFERROR(--ISNUMBER(SEARCH("R114",G221))*114,0)+IFERROR(--ISNUMBER(SEARCH("R115",G221))*115,0)+IFERROR(--ISNUMBER(SEARCH("R116",G221))*116,0)+IFERROR(--ISNUMBER(SEARCH("R117",G221))*117,0)+IFERROR(--ISNUMBER(SEARCH("R118",G221))*118,0)+IFERROR(--ISNUMBER(SEARCH("R119",G221))*119,0)+IFERROR(--ISNUMBER(SEARCH("R120",G221))*120,0)+IFERROR(--ISNUMBER(SEARCH("R121",G221))*121,0)+IFERROR(--ISNUMBER(SEARCH("R122",G221))*122,0)+IFERROR(--ISNUMBER(SEARCH("R123",G221))*123,0)+IFERROR(--ISNUMBER(SEARCH("R124",G221))*124,0)+IFERROR(--ISNUMBER(SEARCH("R125",G221))*125,0)+IFERROR(--ISNUMBER(SEARCH("R126",G221))*126,0)+IFERROR(--ISNUMBER(SEARCH("R127",G221))*127,0)+IFERROR(--ISNUMBER(SEARCH("R128",G221))*128,0)+IFERROR(--ISNUMBER(SEARCH("R129",G221))*129,0)+IFERROR(--ISNUMBER(SEARCH("R130",G221))*130,0)+IFERROR(--ISNUMBER(SEARCH("R131",G221))*131,0)+IFERROR(--ISNUMBER(SEARCH("R132",G221))*132,0)+IFERROR(--ISNUMBER(SEARCH("R133",G221))*133,0)+IFERROR(--ISNUMBER(SEARCH("R134",G221))*134,0)+IFERROR(--ISNUMBER(SEARCH("R135",G221))*135,0)+IFERROR(--ISNUMBER(SEARCH("R136",G221))*136,0)+IFERROR(--ISNUMBER(SEARCH("R137",G221))*137,0)+IFERROR(--ISNUMBER(SEARCH("R138",G221))*138,0)+IFERROR(--ISNUMBER(SEARCH("R139",G221))*139,0)+IFERROR(--ISNUMBER(SEARCH("R140",G221))*140,0)+IFERROR(--ISNUMBER(SEARCH("R141",G221))*141,0))</f>
        <v/>
      </c>
      <c r="V221" s="59">
        <f>IF(A221="","",IF(K221&lt;&gt;"",K221,J221))</f>
        <v/>
      </c>
      <c r="W221" s="59">
        <f>IF(A221="","",IF(AND(V221=29,O221&lt;&gt;"",COUNTIFS($V$6:$V$505,29,$F$6:$F$505,F221,$C$6:$C$505,C221,$O$6:$O$505,"&lt;&gt;")&gt;1),IF(COUNTIFS($V$6:V221,29,$F$6:F221,F221,$C$6:C221,C221,$O$6:O221,"&lt;&gt;")=1,"Esta es la fila que se debe CONSERVAR (aparición 1 de "&amp;COUNTIFS($V$6:$V$505,29,$F$6:$F$505,F221,$C$6:$C$505,C221,$O$6:$O$505,"&lt;&gt;")&amp;" con el mismo tercero y valor, casilla 29). Si hay más filas iguales, bórreles el valor a ELLAS, no a esta.","DUPLICADO — ya existe otra fila con el mismo tercero y valor para casilla 29 (aparición "&amp;COUNTIFS($V$6:V221,29,$F$6:F221,F221,$C$6:C221,C221,$O$6:O221,"&lt;&gt;")&amp;" de "&amp;COUNTIFS($V$6:$V$505,29,$F$6:$F$505,F221,$C$6:$C$505,C221,$O$6:$O$505,"&lt;&gt;")&amp;"). Para resolverlo: seleccione la celda O"&amp;ROW()&amp;" (columna Valor a declarar de ESTA fila) y presione Supr."),""))</f>
        <v/>
      </c>
      <c r="X221" s="463">
        <f>IF(A221="","",F221)</f>
        <v/>
      </c>
      <c r="Y221" s="463">
        <f>IF(A221="","",SUMIF(Entrada_Manual!$I$88:$I$187,A221,Entrada_Manual!$F$88:$F$187))</f>
        <v/>
      </c>
      <c r="Z221" s="463">
        <f>IF(A221="","",X221-Y221)</f>
        <v/>
      </c>
      <c r="AA221">
        <f>IF(A221="","",SUMPRODUCT((Entrada_Manual!$I$88:$I$187=A221)*1))</f>
        <v/>
      </c>
      <c r="AB221">
        <f>IF(A221="","",IF(S221&lt;=1,"",IF(AA221=0,"PENDIENTE — SIN ASIGNAR",IF(Z221=0,"RESUELTO","PARCIAL — DIFERENCIA "&amp;TEXT(Z221,"#,##0")))))</f>
        <v/>
      </c>
    </row>
    <row r="222" ht="14.25" customHeight="1" s="235">
      <c r="A222" s="47">
        <f>IF(Exogena_RAW!E231&lt;&gt;"",ROW()-5,"")</f>
        <v/>
      </c>
      <c r="B222" s="48">
        <f>IF(A222="","",231)</f>
        <v/>
      </c>
      <c r="C222" s="48">
        <f>IF(A222="","",IFERROR(Exogena_RAW!A231,""))</f>
        <v/>
      </c>
      <c r="D222" s="48">
        <f>IF(A222="","",IFERROR(Exogena_RAW!B231,""))</f>
        <v/>
      </c>
      <c r="E222" s="48">
        <f>IF(A222="","",Exogena_RAW!E231)</f>
        <v/>
      </c>
      <c r="F222" s="461">
        <f>IF(A222="","",Exogena_RAW!F231)</f>
        <v/>
      </c>
      <c r="G222" s="48">
        <f>IF(A222="","",IFERROR(Exogena_RAW!G231,""))</f>
        <v/>
      </c>
      <c r="H222" s="48">
        <f>IF(A222="","",IFERROR(Exogena_RAW!H231,""))</f>
        <v/>
      </c>
      <c r="I222" s="48">
        <f>IF(A222="","",IFERROR(IF(S222&gt;1,"VARIAS CASILLAS",IF(S222=1,IF(T222=1,"PROPUESTA DE CASILLA","REVISIÓN: CASILLA NO DIRECTA"),IF(OR(ISNUMBER(SEARCH("TOPE",UPPER(E222))),ISNUMBER(SEARCH("TOPE",UPPER(G222)))),"SOLO CONTROL",IF(ISNUMBER(SEARCH("RETEN",UPPER(E222))),"RETENCIÓN","REVISAR")))),"REVISAR"))</f>
        <v/>
      </c>
      <c r="J222" s="48">
        <f>IF(A222="","",IF(ISNUMBER(SEARCH("ingreso laboral promedio de los últimos seis meses",E222)),"",IFERROR(IF(AND(S222=1,T222=1),U222,""),"")))</f>
        <v/>
      </c>
      <c r="K222" s="216" t="n"/>
      <c r="L222" s="48">
        <f>IF(A222="","",IFERROR(IF(K222&lt;&gt;"","Casilla elegida por usuario",IF(S222&gt;1,"Varias casillas — elegir en K",IF(J222&lt;&gt;"","Sugerencia directa",IF(S222=1,"No trasladar directo — revisar",IF(OR(ISNUMBER(SEARCH("TOPE",UPPER(E222))),ISNUMBER(SEARCH("TOPE",UPPER(G222)))),"Solo control","Revisar manualmente"))))),"Revisar manualmente"))</f>
        <v/>
      </c>
      <c r="M222" s="461">
        <f>IF(A222="","",IF(IF(K222&lt;&gt;"",K222,J222)="",0,IF(COUNTIFS(Reglas!$I$5:$I$118,IF(K222&lt;&gt;"",K222,J222),Reglas!$J$5:$J$118,"Sí")=1,F222,0)))</f>
        <v/>
      </c>
      <c r="N222" s="56" t="n"/>
      <c r="O222" s="462">
        <f>IF(A222="","",IF(M222=0,"",M222))</f>
        <v/>
      </c>
      <c r="P222" s="461">
        <f>IF(A222="","",IF(O222="",0,IF(ISNUMBER(O222),O222,0)))</f>
        <v/>
      </c>
      <c r="Q222" s="48">
        <f>IF(A222="","",IF(Exogena_RAW!$C$4="","BLOQUEADO: FALTA AÑO",IF(Exogena_RAW!$K$10&lt;&gt;Reglas!$B$5,"BLOQUEADO: AÑO",IF(IF(K222&lt;&gt;"",K222,J222)="",IF(S222&gt;1,"REQUIERE ASIGNACIÓN MANUAL (VARIAS CASILLAS)","INFORMATIVO (sin casilla — no se declara)"),IF(COUNTIFS(Reglas!$I$5:$I$118,IF(K222&lt;&gt;"",K222,J222),Reglas!$J$5:$J$118,"Sí")=0,"BLOQUEADO: CASILLA NO DIRECTA",IF(O222="","EXCLUIDO (valor borrado por el usuario)",IF(_xlfn.ISFORMULA(O222),IF(W222&lt;&gt;"","BORRADOR — VALOR SUGERIDO DIAN ⚠ VER ALERTA","BORRADOR — VALOR SUGERIDO DIAN"),IF(W222&lt;&gt;"","ACEPTADO ⚠ VER ALERTA","ACEPTADO"))))))))</f>
        <v/>
      </c>
      <c r="R222" s="218" t="n"/>
      <c r="S222" s="58">
        <f>IF(A222="","",IFERROR(--ISNUMBER(SEARCH("R28",G222)),0)+IFERROR(--ISNUMBER(SEARCH("R29",G222)),0)+IFERROR(--ISNUMBER(SEARCH("R30",G222)),0)+IFERROR(--ISNUMBER(SEARCH("R31",G222)),0)+IFERROR(--ISNUMBER(SEARCH("R32",G222)),0)+IFERROR(--ISNUMBER(SEARCH("R33",G222)),0)+IFERROR(--ISNUMBER(SEARCH("R34",G222)),0)+IFERROR(--ISNUMBER(SEARCH("R35",G222)),0)+IFERROR(--ISNUMBER(SEARCH("R36",G222)),0)+IFERROR(--ISNUMBER(SEARCH("R37",G222)),0)+IFERROR(--ISNUMBER(SEARCH("R38",G222)),0)+IFERROR(--ISNUMBER(SEARCH("R39",G222)),0)+IFERROR(--ISNUMBER(SEARCH("R40",G222)),0)+IFERROR(--ISNUMBER(SEARCH("R41",G222)),0)+IFERROR(--ISNUMBER(SEARCH("R42",G222)),0)+IFERROR(--ISNUMBER(SEARCH("R43",G222)),0)+IFERROR(--ISNUMBER(SEARCH("R44",G222)),0)+IFERROR(--ISNUMBER(SEARCH("R45",G222)),0)+IFERROR(--ISNUMBER(SEARCH("R46",G222)),0)+IFERROR(--ISNUMBER(SEARCH("R47",G222)),0)+IFERROR(--ISNUMBER(SEARCH("R48",G222)),0)+IFERROR(--ISNUMBER(SEARCH("R49",G222)),0)+IFERROR(--ISNUMBER(SEARCH("R50",G222)),0)+IFERROR(--ISNUMBER(SEARCH("R51",G222)),0)+IFERROR(--ISNUMBER(SEARCH("R52",G222)),0)+IFERROR(--ISNUMBER(SEARCH("R53",G222)),0)+IFERROR(--ISNUMBER(SEARCH("R54",G222)),0)+IFERROR(--ISNUMBER(SEARCH("R55",G222)),0)+IFERROR(--ISNUMBER(SEARCH("R56",G222)),0)+IFERROR(--ISNUMBER(SEARCH("R57",G222)),0)+IFERROR(--ISNUMBER(SEARCH("R58",G222)),0)+IFERROR(--ISNUMBER(SEARCH("R59",G222)),0)+IFERROR(--ISNUMBER(SEARCH("R60",G222)),0)+IFERROR(--ISNUMBER(SEARCH("R61",G222)),0)+IFERROR(--ISNUMBER(SEARCH("R62",G222)),0)+IFERROR(--ISNUMBER(SEARCH("R63",G222)),0)+IFERROR(--ISNUMBER(SEARCH("R64",G222)),0)+IFERROR(--ISNUMBER(SEARCH("R65",G222)),0)+IFERROR(--ISNUMBER(SEARCH("R66",G222)),0)+IFERROR(--ISNUMBER(SEARCH("R67",G222)),0)+IFERROR(--ISNUMBER(SEARCH("R68",G222)),0)+IFERROR(--ISNUMBER(SEARCH("R69",G222)),0)+IFERROR(--ISNUMBER(SEARCH("R70",G222)),0)+IFERROR(--ISNUMBER(SEARCH("R71",G222)),0)+IFERROR(--ISNUMBER(SEARCH("R72",G222)),0)+IFERROR(--ISNUMBER(SEARCH("R73",G222)),0)+IFERROR(--ISNUMBER(SEARCH("R74",G222)),0)+IFERROR(--ISNUMBER(SEARCH("R75",G222)),0)+IFERROR(--ISNUMBER(SEARCH("R76",G222)),0)+IFERROR(--ISNUMBER(SEARCH("R77",G222)),0)+IFERROR(--ISNUMBER(SEARCH("R78",G222)),0)+IFERROR(--ISNUMBER(SEARCH("R79",G222)),0)+IFERROR(--ISNUMBER(SEARCH("R80",G222)),0)+IFERROR(--ISNUMBER(SEARCH("R81",G222)),0)+IFERROR(--ISNUMBER(SEARCH("R82",G222)),0)+IFERROR(--ISNUMBER(SEARCH("R83",G222)),0)+IFERROR(--ISNUMBER(SEARCH("R84",G222)),0)+IFERROR(--ISNUMBER(SEARCH("R85",G222)),0)+IFERROR(--ISNUMBER(SEARCH("R86",G222)),0)+IFERROR(--ISNUMBER(SEARCH("R87",G222)),0)+IFERROR(--ISNUMBER(SEARCH("R88",G222)),0)+IFERROR(--ISNUMBER(SEARCH("R89",G222)),0)+IFERROR(--ISNUMBER(SEARCH("R90",G222)),0)+IFERROR(--ISNUMBER(SEARCH("R91",G222)),0)+IFERROR(--ISNUMBER(SEARCH("R92",G222)),0)+IFERROR(--ISNUMBER(SEARCH("R93",G222)),0)+IFERROR(--ISNUMBER(SEARCH("R94",G222)),0)+IFERROR(--ISNUMBER(SEARCH("R95",G222)),0)+IFERROR(--ISNUMBER(SEARCH("R96",G222)),0)+IFERROR(--ISNUMBER(SEARCH("R97",G222)),0)+IFERROR(--ISNUMBER(SEARCH("R98",G222)),0)+IFERROR(--ISNUMBER(SEARCH("R99",G222)),0)+IFERROR(--ISNUMBER(SEARCH("R100",G222)),0)+IFERROR(--ISNUMBER(SEARCH("R101",G222)),0)+IFERROR(--ISNUMBER(SEARCH("R102",G222)),0)+IFERROR(--ISNUMBER(SEARCH("R103",G222)),0)+IFERROR(--ISNUMBER(SEARCH("R104",G222)),0)+IFERROR(--ISNUMBER(SEARCH("R105",G222)),0)+IFERROR(--ISNUMBER(SEARCH("R106",G222)),0)+IFERROR(--ISNUMBER(SEARCH("R107",G222)),0)+IFERROR(--ISNUMBER(SEARCH("R108",G222)),0)+IFERROR(--ISNUMBER(SEARCH("R109",G222)),0)+IFERROR(--ISNUMBER(SEARCH("R110",G222)),0)+IFERROR(--ISNUMBER(SEARCH("R111",G222)),0)+IFERROR(--ISNUMBER(SEARCH("R112",G222)),0)+IFERROR(--ISNUMBER(SEARCH("R113",G222)),0)+IFERROR(--ISNUMBER(SEARCH("R114",G222)),0)+IFERROR(--ISNUMBER(SEARCH("R115",G222)),0)+IFERROR(--ISNUMBER(SEARCH("R116",G222)),0)+IFERROR(--ISNUMBER(SEARCH("R117",G222)),0)+IFERROR(--ISNUMBER(SEARCH("R118",G222)),0)+IFERROR(--ISNUMBER(SEARCH("R119",G222)),0)+IFERROR(--ISNUMBER(SEARCH("R120",G222)),0)+IFERROR(--ISNUMBER(SEARCH("R121",G222)),0)+IFERROR(--ISNUMBER(SEARCH("R122",G222)),0)+IFERROR(--ISNUMBER(SEARCH("R123",G222)),0)+IFERROR(--ISNUMBER(SEARCH("R124",G222)),0)+IFERROR(--ISNUMBER(SEARCH("R125",G222)),0)+IFERROR(--ISNUMBER(SEARCH("R126",G222)),0)+IFERROR(--ISNUMBER(SEARCH("R127",G222)),0)+IFERROR(--ISNUMBER(SEARCH("R128",G222)),0)+IFERROR(--ISNUMBER(SEARCH("R129",G222)),0)+IFERROR(--ISNUMBER(SEARCH("R130",G222)),0)+IFERROR(--ISNUMBER(SEARCH("R131",G222)),0)+IFERROR(--ISNUMBER(SEARCH("R132",G222)),0)+IFERROR(--ISNUMBER(SEARCH("R133",G222)),0)+IFERROR(--ISNUMBER(SEARCH("R134",G222)),0)+IFERROR(--ISNUMBER(SEARCH("R135",G222)),0)+IFERROR(--ISNUMBER(SEARCH("R136",G222)),0)+IFERROR(--ISNUMBER(SEARCH("R137",G222)),0)+IFERROR(--ISNUMBER(SEARCH("R138",G222)),0)+IFERROR(--ISNUMBER(SEARCH("R139",G222)),0)+IFERROR(--ISNUMBER(SEARCH("R140",G222)),0)+IFERROR(--ISNUMBER(SEARCH("R141",G222)),0))</f>
        <v/>
      </c>
      <c r="T222" s="58">
        <f>IF(A222="","",IFERROR(--ISNUMBER(SEARCH("R28",G222)),0)+IFERROR(--ISNUMBER(SEARCH("R29",G222)),0)+IFERROR(--ISNUMBER(SEARCH("R30",G222)),0)+IFERROR(--ISNUMBER(SEARCH("R32",G222)),0)+IFERROR(--ISNUMBER(SEARCH("R33",G222)),0)+IFERROR(--ISNUMBER(SEARCH("R35",G222)),0)+IFERROR(--ISNUMBER(SEARCH("R36",G222)),0)+IFERROR(--ISNUMBER(SEARCH("R38",G222)),0)+IFERROR(--ISNUMBER(SEARCH("R39",G222)),0)+IFERROR(--ISNUMBER(SEARCH("R43",G222)),0)+IFERROR(--ISNUMBER(SEARCH("R44",G222)),0)+IFERROR(--ISNUMBER(SEARCH("R45",G222)),0)+IFERROR(--ISNUMBER(SEARCH("R47",G222)),0)+IFERROR(--ISNUMBER(SEARCH("R48",G222)),0)+IFERROR(--ISNUMBER(SEARCH("R50",G222)),0)+IFERROR(--ISNUMBER(SEARCH("R51",G222)),0)+IFERROR(--ISNUMBER(SEARCH("R56",G222)),0)+IFERROR(--ISNUMBER(SEARCH("R58",G222)),0)+IFERROR(--ISNUMBER(SEARCH("R59",G222)),0)+IFERROR(--ISNUMBER(SEARCH("R60",G222)),0)+IFERROR(--ISNUMBER(SEARCH("R62",G222)),0)+IFERROR(--ISNUMBER(SEARCH("R63",G222)),0)+IFERROR(--ISNUMBER(SEARCH("R64",G222)),0)+IFERROR(--ISNUMBER(SEARCH("R66",G222)),0)+IFERROR(--ISNUMBER(SEARCH("R67",G222)),0)+IFERROR(--ISNUMBER(SEARCH("R72",G222)),0)+IFERROR(--ISNUMBER(SEARCH("R74",G222)),0)+IFERROR(--ISNUMBER(SEARCH("R75",G222)),0)+IFERROR(--ISNUMBER(SEARCH("R76",G222)),0)+IFERROR(--ISNUMBER(SEARCH("R77",G222)),0)+IFERROR(--ISNUMBER(SEARCH("R79",G222)),0)+IFERROR(--ISNUMBER(SEARCH("R80",G222)),0)+IFERROR(--ISNUMBER(SEARCH("R81",G222)),0)+IFERROR(--ISNUMBER(SEARCH("R83",G222)),0)+IFERROR(--ISNUMBER(SEARCH("R84",G222)),0)+IFERROR(--ISNUMBER(SEARCH("R89",G222)),0)+IFERROR(--ISNUMBER(SEARCH("R94",G222)),0)+IFERROR(--ISNUMBER(SEARCH("R95",G222)),0)+IFERROR(--ISNUMBER(SEARCH("R96",G222)),0)+IFERROR(--ISNUMBER(SEARCH("R98",G222)),0)+IFERROR(--ISNUMBER(SEARCH("R99",G222)),0)+IFERROR(--ISNUMBER(SEARCH("R100",G222)),0)+IFERROR(--ISNUMBER(SEARCH("R104",G222)),0)+IFERROR(--ISNUMBER(SEARCH("R105",G222)),0)+IFERROR(--ISNUMBER(SEARCH("R107",G222)),0)+IFERROR(--ISNUMBER(SEARCH("R108",G222)),0)+IFERROR(--ISNUMBER(SEARCH("R109",G222)),0)+IFERROR(--ISNUMBER(SEARCH("R110",G222)),0)+IFERROR(--ISNUMBER(SEARCH("R112",G222)),0)+IFERROR(--ISNUMBER(SEARCH("R113",G222)),0)+IFERROR(--ISNUMBER(SEARCH("R114",G222)),0)+IFERROR(--ISNUMBER(SEARCH("R118",G222)),0)+IFERROR(--ISNUMBER(SEARCH("R119",G222)),0)+IFERROR(--ISNUMBER(SEARCH("R120",G222)),0)+IFERROR(--ISNUMBER(SEARCH("R122",G222)),0)+IFERROR(--ISNUMBER(SEARCH("R123",G222)),0)+IFERROR(--ISNUMBER(SEARCH("R124",G222)),0)+IFERROR(--ISNUMBER(SEARCH("R128",G222)),0)+IFERROR(--ISNUMBER(SEARCH("R130",G222)),0)+IFERROR(--ISNUMBER(SEARCH("R131",G222)),0)+IFERROR(--ISNUMBER(SEARCH("R132",G222)),0)+IFERROR(--ISNUMBER(SEARCH("R135",G222)),0)+IFERROR(--ISNUMBER(SEARCH("R138",G222)),0)+IFERROR(--ISNUMBER(SEARCH("R141",G222)),0))</f>
        <v/>
      </c>
      <c r="U222" s="58">
        <f>IF(A222="","",IFERROR(--ISNUMBER(SEARCH("R28",G222))*28,0)+IFERROR(--ISNUMBER(SEARCH("R29",G222))*29,0)+IFERROR(--ISNUMBER(SEARCH("R30",G222))*30,0)+IFERROR(--ISNUMBER(SEARCH("R31",G222))*31,0)+IFERROR(--ISNUMBER(SEARCH("R32",G222))*32,0)+IFERROR(--ISNUMBER(SEARCH("R33",G222))*33,0)+IFERROR(--ISNUMBER(SEARCH("R34",G222))*34,0)+IFERROR(--ISNUMBER(SEARCH("R35",G222))*35,0)+IFERROR(--ISNUMBER(SEARCH("R36",G222))*36,0)+IFERROR(--ISNUMBER(SEARCH("R37",G222))*37,0)+IFERROR(--ISNUMBER(SEARCH("R38",G222))*38,0)+IFERROR(--ISNUMBER(SEARCH("R39",G222))*39,0)+IFERROR(--ISNUMBER(SEARCH("R40",G222))*40,0)+IFERROR(--ISNUMBER(SEARCH("R41",G222))*41,0)+IFERROR(--ISNUMBER(SEARCH("R42",G222))*42,0)+IFERROR(--ISNUMBER(SEARCH("R43",G222))*43,0)+IFERROR(--ISNUMBER(SEARCH("R44",G222))*44,0)+IFERROR(--ISNUMBER(SEARCH("R45",G222))*45,0)+IFERROR(--ISNUMBER(SEARCH("R46",G222))*46,0)+IFERROR(--ISNUMBER(SEARCH("R47",G222))*47,0)+IFERROR(--ISNUMBER(SEARCH("R48",G222))*48,0)+IFERROR(--ISNUMBER(SEARCH("R49",G222))*49,0)+IFERROR(--ISNUMBER(SEARCH("R50",G222))*50,0)+IFERROR(--ISNUMBER(SEARCH("R51",G222))*51,0)+IFERROR(--ISNUMBER(SEARCH("R52",G222))*52,0)+IFERROR(--ISNUMBER(SEARCH("R53",G222))*53,0)+IFERROR(--ISNUMBER(SEARCH("R54",G222))*54,0)+IFERROR(--ISNUMBER(SEARCH("R55",G222))*55,0)+IFERROR(--ISNUMBER(SEARCH("R56",G222))*56,0)+IFERROR(--ISNUMBER(SEARCH("R57",G222))*57,0)+IFERROR(--ISNUMBER(SEARCH("R58",G222))*58,0)+IFERROR(--ISNUMBER(SEARCH("R59",G222))*59,0)+IFERROR(--ISNUMBER(SEARCH("R60",G222))*60,0)+IFERROR(--ISNUMBER(SEARCH("R61",G222))*61,0)+IFERROR(--ISNUMBER(SEARCH("R62",G222))*62,0)+IFERROR(--ISNUMBER(SEARCH("R63",G222))*63,0)+IFERROR(--ISNUMBER(SEARCH("R64",G222))*64,0)+IFERROR(--ISNUMBER(SEARCH("R65",G222))*65,0)+IFERROR(--ISNUMBER(SEARCH("R66",G222))*66,0)+IFERROR(--ISNUMBER(SEARCH("R67",G222))*67,0)+IFERROR(--ISNUMBER(SEARCH("R68",G222))*68,0)+IFERROR(--ISNUMBER(SEARCH("R69",G222))*69,0)+IFERROR(--ISNUMBER(SEARCH("R70",G222))*70,0)+IFERROR(--ISNUMBER(SEARCH("R71",G222))*71,0)+IFERROR(--ISNUMBER(SEARCH("R72",G222))*72,0)+IFERROR(--ISNUMBER(SEARCH("R73",G222))*73,0)+IFERROR(--ISNUMBER(SEARCH("R74",G222))*74,0)+IFERROR(--ISNUMBER(SEARCH("R75",G222))*75,0)+IFERROR(--ISNUMBER(SEARCH("R76",G222))*76,0)+IFERROR(--ISNUMBER(SEARCH("R77",G222))*77,0)+IFERROR(--ISNUMBER(SEARCH("R78",G222))*78,0)+IFERROR(--ISNUMBER(SEARCH("R79",G222))*79,0)+IFERROR(--ISNUMBER(SEARCH("R80",G222))*80,0)+IFERROR(--ISNUMBER(SEARCH("R81",G222))*81,0)+IFERROR(--ISNUMBER(SEARCH("R82",G222))*82,0)+IFERROR(--ISNUMBER(SEARCH("R83",G222))*83,0)+IFERROR(--ISNUMBER(SEARCH("R84",G222))*84,0)+IFERROR(--ISNUMBER(SEARCH("R85",G222))*85,0)+IFERROR(--ISNUMBER(SEARCH("R86",G222))*86,0)+IFERROR(--ISNUMBER(SEARCH("R87",G222))*87,0)+IFERROR(--ISNUMBER(SEARCH("R88",G222))*88,0)+IFERROR(--ISNUMBER(SEARCH("R89",G222))*89,0)+IFERROR(--ISNUMBER(SEARCH("R90",G222))*90,0)+IFERROR(--ISNUMBER(SEARCH("R91",G222))*91,0)+IFERROR(--ISNUMBER(SEARCH("R92",G222))*92,0)+IFERROR(--ISNUMBER(SEARCH("R93",G222))*93,0)+IFERROR(--ISNUMBER(SEARCH("R94",G222))*94,0)+IFERROR(--ISNUMBER(SEARCH("R95",G222))*95,0)+IFERROR(--ISNUMBER(SEARCH("R96",G222))*96,0)+IFERROR(--ISNUMBER(SEARCH("R97",G222))*97,0)+IFERROR(--ISNUMBER(SEARCH("R98",G222))*98,0)+IFERROR(--ISNUMBER(SEARCH("R99",G222))*99,0)+IFERROR(--ISNUMBER(SEARCH("R100",G222))*100,0)+IFERROR(--ISNUMBER(SEARCH("R101",G222))*101,0)+IFERROR(--ISNUMBER(SEARCH("R102",G222))*102,0)+IFERROR(--ISNUMBER(SEARCH("R103",G222))*103,0)+IFERROR(--ISNUMBER(SEARCH("R104",G222))*104,0)+IFERROR(--ISNUMBER(SEARCH("R105",G222))*105,0)+IFERROR(--ISNUMBER(SEARCH("R106",G222))*106,0)+IFERROR(--ISNUMBER(SEARCH("R107",G222))*107,0)+IFERROR(--ISNUMBER(SEARCH("R108",G222))*108,0)+IFERROR(--ISNUMBER(SEARCH("R109",G222))*109,0)+IFERROR(--ISNUMBER(SEARCH("R110",G222))*110,0)+IFERROR(--ISNUMBER(SEARCH("R111",G222))*111,0)+IFERROR(--ISNUMBER(SEARCH("R112",G222))*112,0)+IFERROR(--ISNUMBER(SEARCH("R113",G222))*113,0)+IFERROR(--ISNUMBER(SEARCH("R114",G222))*114,0)+IFERROR(--ISNUMBER(SEARCH("R115",G222))*115,0)+IFERROR(--ISNUMBER(SEARCH("R116",G222))*116,0)+IFERROR(--ISNUMBER(SEARCH("R117",G222))*117,0)+IFERROR(--ISNUMBER(SEARCH("R118",G222))*118,0)+IFERROR(--ISNUMBER(SEARCH("R119",G222))*119,0)+IFERROR(--ISNUMBER(SEARCH("R120",G222))*120,0)+IFERROR(--ISNUMBER(SEARCH("R121",G222))*121,0)+IFERROR(--ISNUMBER(SEARCH("R122",G222))*122,0)+IFERROR(--ISNUMBER(SEARCH("R123",G222))*123,0)+IFERROR(--ISNUMBER(SEARCH("R124",G222))*124,0)+IFERROR(--ISNUMBER(SEARCH("R125",G222))*125,0)+IFERROR(--ISNUMBER(SEARCH("R126",G222))*126,0)+IFERROR(--ISNUMBER(SEARCH("R127",G222))*127,0)+IFERROR(--ISNUMBER(SEARCH("R128",G222))*128,0)+IFERROR(--ISNUMBER(SEARCH("R129",G222))*129,0)+IFERROR(--ISNUMBER(SEARCH("R130",G222))*130,0)+IFERROR(--ISNUMBER(SEARCH("R131",G222))*131,0)+IFERROR(--ISNUMBER(SEARCH("R132",G222))*132,0)+IFERROR(--ISNUMBER(SEARCH("R133",G222))*133,0)+IFERROR(--ISNUMBER(SEARCH("R134",G222))*134,0)+IFERROR(--ISNUMBER(SEARCH("R135",G222))*135,0)+IFERROR(--ISNUMBER(SEARCH("R136",G222))*136,0)+IFERROR(--ISNUMBER(SEARCH("R137",G222))*137,0)+IFERROR(--ISNUMBER(SEARCH("R138",G222))*138,0)+IFERROR(--ISNUMBER(SEARCH("R139",G222))*139,0)+IFERROR(--ISNUMBER(SEARCH("R140",G222))*140,0)+IFERROR(--ISNUMBER(SEARCH("R141",G222))*141,0))</f>
        <v/>
      </c>
      <c r="V222" s="59">
        <f>IF(A222="","",IF(K222&lt;&gt;"",K222,J222))</f>
        <v/>
      </c>
      <c r="W222" s="59">
        <f>IF(A222="","",IF(AND(V222=29,O222&lt;&gt;"",COUNTIFS($V$6:$V$505,29,$F$6:$F$505,F222,$C$6:$C$505,C222,$O$6:$O$505,"&lt;&gt;")&gt;1),IF(COUNTIFS($V$6:V222,29,$F$6:F222,F222,$C$6:C222,C222,$O$6:O222,"&lt;&gt;")=1,"Esta es la fila que se debe CONSERVAR (aparición 1 de "&amp;COUNTIFS($V$6:$V$505,29,$F$6:$F$505,F222,$C$6:$C$505,C222,$O$6:$O$505,"&lt;&gt;")&amp;" con el mismo tercero y valor, casilla 29). Si hay más filas iguales, bórreles el valor a ELLAS, no a esta.","DUPLICADO — ya existe otra fila con el mismo tercero y valor para casilla 29 (aparición "&amp;COUNTIFS($V$6:V222,29,$F$6:F222,F222,$C$6:C222,C222,$O$6:O222,"&lt;&gt;")&amp;" de "&amp;COUNTIFS($V$6:$V$505,29,$F$6:$F$505,F222,$C$6:$C$505,C222,$O$6:$O$505,"&lt;&gt;")&amp;"). Para resolverlo: seleccione la celda O"&amp;ROW()&amp;" (columna Valor a declarar de ESTA fila) y presione Supr."),""))</f>
        <v/>
      </c>
      <c r="X222" s="463">
        <f>IF(A222="","",F222)</f>
        <v/>
      </c>
      <c r="Y222" s="463">
        <f>IF(A222="","",SUMIF(Entrada_Manual!$I$88:$I$187,A222,Entrada_Manual!$F$88:$F$187))</f>
        <v/>
      </c>
      <c r="Z222" s="463">
        <f>IF(A222="","",X222-Y222)</f>
        <v/>
      </c>
      <c r="AA222">
        <f>IF(A222="","",SUMPRODUCT((Entrada_Manual!$I$88:$I$187=A222)*1))</f>
        <v/>
      </c>
      <c r="AB222">
        <f>IF(A222="","",IF(S222&lt;=1,"",IF(AA222=0,"PENDIENTE — SIN ASIGNAR",IF(Z222=0,"RESUELTO","PARCIAL — DIFERENCIA "&amp;TEXT(Z222,"#,##0")))))</f>
        <v/>
      </c>
    </row>
    <row r="223" ht="14.25" customHeight="1" s="235">
      <c r="A223" s="47">
        <f>IF(Exogena_RAW!E232&lt;&gt;"",ROW()-5,"")</f>
        <v/>
      </c>
      <c r="B223" s="48">
        <f>IF(A223="","",232)</f>
        <v/>
      </c>
      <c r="C223" s="48">
        <f>IF(A223="","",IFERROR(Exogena_RAW!A232,""))</f>
        <v/>
      </c>
      <c r="D223" s="48">
        <f>IF(A223="","",IFERROR(Exogena_RAW!B232,""))</f>
        <v/>
      </c>
      <c r="E223" s="48">
        <f>IF(A223="","",Exogena_RAW!E232)</f>
        <v/>
      </c>
      <c r="F223" s="461">
        <f>IF(A223="","",Exogena_RAW!F232)</f>
        <v/>
      </c>
      <c r="G223" s="48">
        <f>IF(A223="","",IFERROR(Exogena_RAW!G232,""))</f>
        <v/>
      </c>
      <c r="H223" s="48">
        <f>IF(A223="","",IFERROR(Exogena_RAW!H232,""))</f>
        <v/>
      </c>
      <c r="I223" s="48">
        <f>IF(A223="","",IFERROR(IF(S223&gt;1,"VARIAS CASILLAS",IF(S223=1,IF(T223=1,"PROPUESTA DE CASILLA","REVISIÓN: CASILLA NO DIRECTA"),IF(OR(ISNUMBER(SEARCH("TOPE",UPPER(E223))),ISNUMBER(SEARCH("TOPE",UPPER(G223)))),"SOLO CONTROL",IF(ISNUMBER(SEARCH("RETEN",UPPER(E223))),"RETENCIÓN","REVISAR")))),"REVISAR"))</f>
        <v/>
      </c>
      <c r="J223" s="48">
        <f>IF(A223="","",IF(ISNUMBER(SEARCH("ingreso laboral promedio de los últimos seis meses",E223)),"",IFERROR(IF(AND(S223=1,T223=1),U223,""),"")))</f>
        <v/>
      </c>
      <c r="K223" s="216" t="n"/>
      <c r="L223" s="48">
        <f>IF(A223="","",IFERROR(IF(K223&lt;&gt;"","Casilla elegida por usuario",IF(S223&gt;1,"Varias casillas — elegir en K",IF(J223&lt;&gt;"","Sugerencia directa",IF(S223=1,"No trasladar directo — revisar",IF(OR(ISNUMBER(SEARCH("TOPE",UPPER(E223))),ISNUMBER(SEARCH("TOPE",UPPER(G223)))),"Solo control","Revisar manualmente"))))),"Revisar manualmente"))</f>
        <v/>
      </c>
      <c r="M223" s="461">
        <f>IF(A223="","",IF(IF(K223&lt;&gt;"",K223,J223)="",0,IF(COUNTIFS(Reglas!$I$5:$I$118,IF(K223&lt;&gt;"",K223,J223),Reglas!$J$5:$J$118,"Sí")=1,F223,0)))</f>
        <v/>
      </c>
      <c r="N223" s="56" t="n"/>
      <c r="O223" s="462">
        <f>IF(A223="","",IF(M223=0,"",M223))</f>
        <v/>
      </c>
      <c r="P223" s="461">
        <f>IF(A223="","",IF(O223="",0,IF(ISNUMBER(O223),O223,0)))</f>
        <v/>
      </c>
      <c r="Q223" s="48">
        <f>IF(A223="","",IF(Exogena_RAW!$C$4="","BLOQUEADO: FALTA AÑO",IF(Exogena_RAW!$K$10&lt;&gt;Reglas!$B$5,"BLOQUEADO: AÑO",IF(IF(K223&lt;&gt;"",K223,J223)="",IF(S223&gt;1,"REQUIERE ASIGNACIÓN MANUAL (VARIAS CASILLAS)","INFORMATIVO (sin casilla — no se declara)"),IF(COUNTIFS(Reglas!$I$5:$I$118,IF(K223&lt;&gt;"",K223,J223),Reglas!$J$5:$J$118,"Sí")=0,"BLOQUEADO: CASILLA NO DIRECTA",IF(O223="","EXCLUIDO (valor borrado por el usuario)",IF(_xlfn.ISFORMULA(O223),IF(W223&lt;&gt;"","BORRADOR — VALOR SUGERIDO DIAN ⚠ VER ALERTA","BORRADOR — VALOR SUGERIDO DIAN"),IF(W223&lt;&gt;"","ACEPTADO ⚠ VER ALERTA","ACEPTADO"))))))))</f>
        <v/>
      </c>
      <c r="R223" s="218" t="n"/>
      <c r="S223" s="58">
        <f>IF(A223="","",IFERROR(--ISNUMBER(SEARCH("R28",G223)),0)+IFERROR(--ISNUMBER(SEARCH("R29",G223)),0)+IFERROR(--ISNUMBER(SEARCH("R30",G223)),0)+IFERROR(--ISNUMBER(SEARCH("R31",G223)),0)+IFERROR(--ISNUMBER(SEARCH("R32",G223)),0)+IFERROR(--ISNUMBER(SEARCH("R33",G223)),0)+IFERROR(--ISNUMBER(SEARCH("R34",G223)),0)+IFERROR(--ISNUMBER(SEARCH("R35",G223)),0)+IFERROR(--ISNUMBER(SEARCH("R36",G223)),0)+IFERROR(--ISNUMBER(SEARCH("R37",G223)),0)+IFERROR(--ISNUMBER(SEARCH("R38",G223)),0)+IFERROR(--ISNUMBER(SEARCH("R39",G223)),0)+IFERROR(--ISNUMBER(SEARCH("R40",G223)),0)+IFERROR(--ISNUMBER(SEARCH("R41",G223)),0)+IFERROR(--ISNUMBER(SEARCH("R42",G223)),0)+IFERROR(--ISNUMBER(SEARCH("R43",G223)),0)+IFERROR(--ISNUMBER(SEARCH("R44",G223)),0)+IFERROR(--ISNUMBER(SEARCH("R45",G223)),0)+IFERROR(--ISNUMBER(SEARCH("R46",G223)),0)+IFERROR(--ISNUMBER(SEARCH("R47",G223)),0)+IFERROR(--ISNUMBER(SEARCH("R48",G223)),0)+IFERROR(--ISNUMBER(SEARCH("R49",G223)),0)+IFERROR(--ISNUMBER(SEARCH("R50",G223)),0)+IFERROR(--ISNUMBER(SEARCH("R51",G223)),0)+IFERROR(--ISNUMBER(SEARCH("R52",G223)),0)+IFERROR(--ISNUMBER(SEARCH("R53",G223)),0)+IFERROR(--ISNUMBER(SEARCH("R54",G223)),0)+IFERROR(--ISNUMBER(SEARCH("R55",G223)),0)+IFERROR(--ISNUMBER(SEARCH("R56",G223)),0)+IFERROR(--ISNUMBER(SEARCH("R57",G223)),0)+IFERROR(--ISNUMBER(SEARCH("R58",G223)),0)+IFERROR(--ISNUMBER(SEARCH("R59",G223)),0)+IFERROR(--ISNUMBER(SEARCH("R60",G223)),0)+IFERROR(--ISNUMBER(SEARCH("R61",G223)),0)+IFERROR(--ISNUMBER(SEARCH("R62",G223)),0)+IFERROR(--ISNUMBER(SEARCH("R63",G223)),0)+IFERROR(--ISNUMBER(SEARCH("R64",G223)),0)+IFERROR(--ISNUMBER(SEARCH("R65",G223)),0)+IFERROR(--ISNUMBER(SEARCH("R66",G223)),0)+IFERROR(--ISNUMBER(SEARCH("R67",G223)),0)+IFERROR(--ISNUMBER(SEARCH("R68",G223)),0)+IFERROR(--ISNUMBER(SEARCH("R69",G223)),0)+IFERROR(--ISNUMBER(SEARCH("R70",G223)),0)+IFERROR(--ISNUMBER(SEARCH("R71",G223)),0)+IFERROR(--ISNUMBER(SEARCH("R72",G223)),0)+IFERROR(--ISNUMBER(SEARCH("R73",G223)),0)+IFERROR(--ISNUMBER(SEARCH("R74",G223)),0)+IFERROR(--ISNUMBER(SEARCH("R75",G223)),0)+IFERROR(--ISNUMBER(SEARCH("R76",G223)),0)+IFERROR(--ISNUMBER(SEARCH("R77",G223)),0)+IFERROR(--ISNUMBER(SEARCH("R78",G223)),0)+IFERROR(--ISNUMBER(SEARCH("R79",G223)),0)+IFERROR(--ISNUMBER(SEARCH("R80",G223)),0)+IFERROR(--ISNUMBER(SEARCH("R81",G223)),0)+IFERROR(--ISNUMBER(SEARCH("R82",G223)),0)+IFERROR(--ISNUMBER(SEARCH("R83",G223)),0)+IFERROR(--ISNUMBER(SEARCH("R84",G223)),0)+IFERROR(--ISNUMBER(SEARCH("R85",G223)),0)+IFERROR(--ISNUMBER(SEARCH("R86",G223)),0)+IFERROR(--ISNUMBER(SEARCH("R87",G223)),0)+IFERROR(--ISNUMBER(SEARCH("R88",G223)),0)+IFERROR(--ISNUMBER(SEARCH("R89",G223)),0)+IFERROR(--ISNUMBER(SEARCH("R90",G223)),0)+IFERROR(--ISNUMBER(SEARCH("R91",G223)),0)+IFERROR(--ISNUMBER(SEARCH("R92",G223)),0)+IFERROR(--ISNUMBER(SEARCH("R93",G223)),0)+IFERROR(--ISNUMBER(SEARCH("R94",G223)),0)+IFERROR(--ISNUMBER(SEARCH("R95",G223)),0)+IFERROR(--ISNUMBER(SEARCH("R96",G223)),0)+IFERROR(--ISNUMBER(SEARCH("R97",G223)),0)+IFERROR(--ISNUMBER(SEARCH("R98",G223)),0)+IFERROR(--ISNUMBER(SEARCH("R99",G223)),0)+IFERROR(--ISNUMBER(SEARCH("R100",G223)),0)+IFERROR(--ISNUMBER(SEARCH("R101",G223)),0)+IFERROR(--ISNUMBER(SEARCH("R102",G223)),0)+IFERROR(--ISNUMBER(SEARCH("R103",G223)),0)+IFERROR(--ISNUMBER(SEARCH("R104",G223)),0)+IFERROR(--ISNUMBER(SEARCH("R105",G223)),0)+IFERROR(--ISNUMBER(SEARCH("R106",G223)),0)+IFERROR(--ISNUMBER(SEARCH("R107",G223)),0)+IFERROR(--ISNUMBER(SEARCH("R108",G223)),0)+IFERROR(--ISNUMBER(SEARCH("R109",G223)),0)+IFERROR(--ISNUMBER(SEARCH("R110",G223)),0)+IFERROR(--ISNUMBER(SEARCH("R111",G223)),0)+IFERROR(--ISNUMBER(SEARCH("R112",G223)),0)+IFERROR(--ISNUMBER(SEARCH("R113",G223)),0)+IFERROR(--ISNUMBER(SEARCH("R114",G223)),0)+IFERROR(--ISNUMBER(SEARCH("R115",G223)),0)+IFERROR(--ISNUMBER(SEARCH("R116",G223)),0)+IFERROR(--ISNUMBER(SEARCH("R117",G223)),0)+IFERROR(--ISNUMBER(SEARCH("R118",G223)),0)+IFERROR(--ISNUMBER(SEARCH("R119",G223)),0)+IFERROR(--ISNUMBER(SEARCH("R120",G223)),0)+IFERROR(--ISNUMBER(SEARCH("R121",G223)),0)+IFERROR(--ISNUMBER(SEARCH("R122",G223)),0)+IFERROR(--ISNUMBER(SEARCH("R123",G223)),0)+IFERROR(--ISNUMBER(SEARCH("R124",G223)),0)+IFERROR(--ISNUMBER(SEARCH("R125",G223)),0)+IFERROR(--ISNUMBER(SEARCH("R126",G223)),0)+IFERROR(--ISNUMBER(SEARCH("R127",G223)),0)+IFERROR(--ISNUMBER(SEARCH("R128",G223)),0)+IFERROR(--ISNUMBER(SEARCH("R129",G223)),0)+IFERROR(--ISNUMBER(SEARCH("R130",G223)),0)+IFERROR(--ISNUMBER(SEARCH("R131",G223)),0)+IFERROR(--ISNUMBER(SEARCH("R132",G223)),0)+IFERROR(--ISNUMBER(SEARCH("R133",G223)),0)+IFERROR(--ISNUMBER(SEARCH("R134",G223)),0)+IFERROR(--ISNUMBER(SEARCH("R135",G223)),0)+IFERROR(--ISNUMBER(SEARCH("R136",G223)),0)+IFERROR(--ISNUMBER(SEARCH("R137",G223)),0)+IFERROR(--ISNUMBER(SEARCH("R138",G223)),0)+IFERROR(--ISNUMBER(SEARCH("R139",G223)),0)+IFERROR(--ISNUMBER(SEARCH("R140",G223)),0)+IFERROR(--ISNUMBER(SEARCH("R141",G223)),0))</f>
        <v/>
      </c>
      <c r="T223" s="58">
        <f>IF(A223="","",IFERROR(--ISNUMBER(SEARCH("R28",G223)),0)+IFERROR(--ISNUMBER(SEARCH("R29",G223)),0)+IFERROR(--ISNUMBER(SEARCH("R30",G223)),0)+IFERROR(--ISNUMBER(SEARCH("R32",G223)),0)+IFERROR(--ISNUMBER(SEARCH("R33",G223)),0)+IFERROR(--ISNUMBER(SEARCH("R35",G223)),0)+IFERROR(--ISNUMBER(SEARCH("R36",G223)),0)+IFERROR(--ISNUMBER(SEARCH("R38",G223)),0)+IFERROR(--ISNUMBER(SEARCH("R39",G223)),0)+IFERROR(--ISNUMBER(SEARCH("R43",G223)),0)+IFERROR(--ISNUMBER(SEARCH("R44",G223)),0)+IFERROR(--ISNUMBER(SEARCH("R45",G223)),0)+IFERROR(--ISNUMBER(SEARCH("R47",G223)),0)+IFERROR(--ISNUMBER(SEARCH("R48",G223)),0)+IFERROR(--ISNUMBER(SEARCH("R50",G223)),0)+IFERROR(--ISNUMBER(SEARCH("R51",G223)),0)+IFERROR(--ISNUMBER(SEARCH("R56",G223)),0)+IFERROR(--ISNUMBER(SEARCH("R58",G223)),0)+IFERROR(--ISNUMBER(SEARCH("R59",G223)),0)+IFERROR(--ISNUMBER(SEARCH("R60",G223)),0)+IFERROR(--ISNUMBER(SEARCH("R62",G223)),0)+IFERROR(--ISNUMBER(SEARCH("R63",G223)),0)+IFERROR(--ISNUMBER(SEARCH("R64",G223)),0)+IFERROR(--ISNUMBER(SEARCH("R66",G223)),0)+IFERROR(--ISNUMBER(SEARCH("R67",G223)),0)+IFERROR(--ISNUMBER(SEARCH("R72",G223)),0)+IFERROR(--ISNUMBER(SEARCH("R74",G223)),0)+IFERROR(--ISNUMBER(SEARCH("R75",G223)),0)+IFERROR(--ISNUMBER(SEARCH("R76",G223)),0)+IFERROR(--ISNUMBER(SEARCH("R77",G223)),0)+IFERROR(--ISNUMBER(SEARCH("R79",G223)),0)+IFERROR(--ISNUMBER(SEARCH("R80",G223)),0)+IFERROR(--ISNUMBER(SEARCH("R81",G223)),0)+IFERROR(--ISNUMBER(SEARCH("R83",G223)),0)+IFERROR(--ISNUMBER(SEARCH("R84",G223)),0)+IFERROR(--ISNUMBER(SEARCH("R89",G223)),0)+IFERROR(--ISNUMBER(SEARCH("R94",G223)),0)+IFERROR(--ISNUMBER(SEARCH("R95",G223)),0)+IFERROR(--ISNUMBER(SEARCH("R96",G223)),0)+IFERROR(--ISNUMBER(SEARCH("R98",G223)),0)+IFERROR(--ISNUMBER(SEARCH("R99",G223)),0)+IFERROR(--ISNUMBER(SEARCH("R100",G223)),0)+IFERROR(--ISNUMBER(SEARCH("R104",G223)),0)+IFERROR(--ISNUMBER(SEARCH("R105",G223)),0)+IFERROR(--ISNUMBER(SEARCH("R107",G223)),0)+IFERROR(--ISNUMBER(SEARCH("R108",G223)),0)+IFERROR(--ISNUMBER(SEARCH("R109",G223)),0)+IFERROR(--ISNUMBER(SEARCH("R110",G223)),0)+IFERROR(--ISNUMBER(SEARCH("R112",G223)),0)+IFERROR(--ISNUMBER(SEARCH("R113",G223)),0)+IFERROR(--ISNUMBER(SEARCH("R114",G223)),0)+IFERROR(--ISNUMBER(SEARCH("R118",G223)),0)+IFERROR(--ISNUMBER(SEARCH("R119",G223)),0)+IFERROR(--ISNUMBER(SEARCH("R120",G223)),0)+IFERROR(--ISNUMBER(SEARCH("R122",G223)),0)+IFERROR(--ISNUMBER(SEARCH("R123",G223)),0)+IFERROR(--ISNUMBER(SEARCH("R124",G223)),0)+IFERROR(--ISNUMBER(SEARCH("R128",G223)),0)+IFERROR(--ISNUMBER(SEARCH("R130",G223)),0)+IFERROR(--ISNUMBER(SEARCH("R131",G223)),0)+IFERROR(--ISNUMBER(SEARCH("R132",G223)),0)+IFERROR(--ISNUMBER(SEARCH("R135",G223)),0)+IFERROR(--ISNUMBER(SEARCH("R138",G223)),0)+IFERROR(--ISNUMBER(SEARCH("R141",G223)),0))</f>
        <v/>
      </c>
      <c r="U223" s="58">
        <f>IF(A223="","",IFERROR(--ISNUMBER(SEARCH("R28",G223))*28,0)+IFERROR(--ISNUMBER(SEARCH("R29",G223))*29,0)+IFERROR(--ISNUMBER(SEARCH("R30",G223))*30,0)+IFERROR(--ISNUMBER(SEARCH("R31",G223))*31,0)+IFERROR(--ISNUMBER(SEARCH("R32",G223))*32,0)+IFERROR(--ISNUMBER(SEARCH("R33",G223))*33,0)+IFERROR(--ISNUMBER(SEARCH("R34",G223))*34,0)+IFERROR(--ISNUMBER(SEARCH("R35",G223))*35,0)+IFERROR(--ISNUMBER(SEARCH("R36",G223))*36,0)+IFERROR(--ISNUMBER(SEARCH("R37",G223))*37,0)+IFERROR(--ISNUMBER(SEARCH("R38",G223))*38,0)+IFERROR(--ISNUMBER(SEARCH("R39",G223))*39,0)+IFERROR(--ISNUMBER(SEARCH("R40",G223))*40,0)+IFERROR(--ISNUMBER(SEARCH("R41",G223))*41,0)+IFERROR(--ISNUMBER(SEARCH("R42",G223))*42,0)+IFERROR(--ISNUMBER(SEARCH("R43",G223))*43,0)+IFERROR(--ISNUMBER(SEARCH("R44",G223))*44,0)+IFERROR(--ISNUMBER(SEARCH("R45",G223))*45,0)+IFERROR(--ISNUMBER(SEARCH("R46",G223))*46,0)+IFERROR(--ISNUMBER(SEARCH("R47",G223))*47,0)+IFERROR(--ISNUMBER(SEARCH("R48",G223))*48,0)+IFERROR(--ISNUMBER(SEARCH("R49",G223))*49,0)+IFERROR(--ISNUMBER(SEARCH("R50",G223))*50,0)+IFERROR(--ISNUMBER(SEARCH("R51",G223))*51,0)+IFERROR(--ISNUMBER(SEARCH("R52",G223))*52,0)+IFERROR(--ISNUMBER(SEARCH("R53",G223))*53,0)+IFERROR(--ISNUMBER(SEARCH("R54",G223))*54,0)+IFERROR(--ISNUMBER(SEARCH("R55",G223))*55,0)+IFERROR(--ISNUMBER(SEARCH("R56",G223))*56,0)+IFERROR(--ISNUMBER(SEARCH("R57",G223))*57,0)+IFERROR(--ISNUMBER(SEARCH("R58",G223))*58,0)+IFERROR(--ISNUMBER(SEARCH("R59",G223))*59,0)+IFERROR(--ISNUMBER(SEARCH("R60",G223))*60,0)+IFERROR(--ISNUMBER(SEARCH("R61",G223))*61,0)+IFERROR(--ISNUMBER(SEARCH("R62",G223))*62,0)+IFERROR(--ISNUMBER(SEARCH("R63",G223))*63,0)+IFERROR(--ISNUMBER(SEARCH("R64",G223))*64,0)+IFERROR(--ISNUMBER(SEARCH("R65",G223))*65,0)+IFERROR(--ISNUMBER(SEARCH("R66",G223))*66,0)+IFERROR(--ISNUMBER(SEARCH("R67",G223))*67,0)+IFERROR(--ISNUMBER(SEARCH("R68",G223))*68,0)+IFERROR(--ISNUMBER(SEARCH("R69",G223))*69,0)+IFERROR(--ISNUMBER(SEARCH("R70",G223))*70,0)+IFERROR(--ISNUMBER(SEARCH("R71",G223))*71,0)+IFERROR(--ISNUMBER(SEARCH("R72",G223))*72,0)+IFERROR(--ISNUMBER(SEARCH("R73",G223))*73,0)+IFERROR(--ISNUMBER(SEARCH("R74",G223))*74,0)+IFERROR(--ISNUMBER(SEARCH("R75",G223))*75,0)+IFERROR(--ISNUMBER(SEARCH("R76",G223))*76,0)+IFERROR(--ISNUMBER(SEARCH("R77",G223))*77,0)+IFERROR(--ISNUMBER(SEARCH("R78",G223))*78,0)+IFERROR(--ISNUMBER(SEARCH("R79",G223))*79,0)+IFERROR(--ISNUMBER(SEARCH("R80",G223))*80,0)+IFERROR(--ISNUMBER(SEARCH("R81",G223))*81,0)+IFERROR(--ISNUMBER(SEARCH("R82",G223))*82,0)+IFERROR(--ISNUMBER(SEARCH("R83",G223))*83,0)+IFERROR(--ISNUMBER(SEARCH("R84",G223))*84,0)+IFERROR(--ISNUMBER(SEARCH("R85",G223))*85,0)+IFERROR(--ISNUMBER(SEARCH("R86",G223))*86,0)+IFERROR(--ISNUMBER(SEARCH("R87",G223))*87,0)+IFERROR(--ISNUMBER(SEARCH("R88",G223))*88,0)+IFERROR(--ISNUMBER(SEARCH("R89",G223))*89,0)+IFERROR(--ISNUMBER(SEARCH("R90",G223))*90,0)+IFERROR(--ISNUMBER(SEARCH("R91",G223))*91,0)+IFERROR(--ISNUMBER(SEARCH("R92",G223))*92,0)+IFERROR(--ISNUMBER(SEARCH("R93",G223))*93,0)+IFERROR(--ISNUMBER(SEARCH("R94",G223))*94,0)+IFERROR(--ISNUMBER(SEARCH("R95",G223))*95,0)+IFERROR(--ISNUMBER(SEARCH("R96",G223))*96,0)+IFERROR(--ISNUMBER(SEARCH("R97",G223))*97,0)+IFERROR(--ISNUMBER(SEARCH("R98",G223))*98,0)+IFERROR(--ISNUMBER(SEARCH("R99",G223))*99,0)+IFERROR(--ISNUMBER(SEARCH("R100",G223))*100,0)+IFERROR(--ISNUMBER(SEARCH("R101",G223))*101,0)+IFERROR(--ISNUMBER(SEARCH("R102",G223))*102,0)+IFERROR(--ISNUMBER(SEARCH("R103",G223))*103,0)+IFERROR(--ISNUMBER(SEARCH("R104",G223))*104,0)+IFERROR(--ISNUMBER(SEARCH("R105",G223))*105,0)+IFERROR(--ISNUMBER(SEARCH("R106",G223))*106,0)+IFERROR(--ISNUMBER(SEARCH("R107",G223))*107,0)+IFERROR(--ISNUMBER(SEARCH("R108",G223))*108,0)+IFERROR(--ISNUMBER(SEARCH("R109",G223))*109,0)+IFERROR(--ISNUMBER(SEARCH("R110",G223))*110,0)+IFERROR(--ISNUMBER(SEARCH("R111",G223))*111,0)+IFERROR(--ISNUMBER(SEARCH("R112",G223))*112,0)+IFERROR(--ISNUMBER(SEARCH("R113",G223))*113,0)+IFERROR(--ISNUMBER(SEARCH("R114",G223))*114,0)+IFERROR(--ISNUMBER(SEARCH("R115",G223))*115,0)+IFERROR(--ISNUMBER(SEARCH("R116",G223))*116,0)+IFERROR(--ISNUMBER(SEARCH("R117",G223))*117,0)+IFERROR(--ISNUMBER(SEARCH("R118",G223))*118,0)+IFERROR(--ISNUMBER(SEARCH("R119",G223))*119,0)+IFERROR(--ISNUMBER(SEARCH("R120",G223))*120,0)+IFERROR(--ISNUMBER(SEARCH("R121",G223))*121,0)+IFERROR(--ISNUMBER(SEARCH("R122",G223))*122,0)+IFERROR(--ISNUMBER(SEARCH("R123",G223))*123,0)+IFERROR(--ISNUMBER(SEARCH("R124",G223))*124,0)+IFERROR(--ISNUMBER(SEARCH("R125",G223))*125,0)+IFERROR(--ISNUMBER(SEARCH("R126",G223))*126,0)+IFERROR(--ISNUMBER(SEARCH("R127",G223))*127,0)+IFERROR(--ISNUMBER(SEARCH("R128",G223))*128,0)+IFERROR(--ISNUMBER(SEARCH("R129",G223))*129,0)+IFERROR(--ISNUMBER(SEARCH("R130",G223))*130,0)+IFERROR(--ISNUMBER(SEARCH("R131",G223))*131,0)+IFERROR(--ISNUMBER(SEARCH("R132",G223))*132,0)+IFERROR(--ISNUMBER(SEARCH("R133",G223))*133,0)+IFERROR(--ISNUMBER(SEARCH("R134",G223))*134,0)+IFERROR(--ISNUMBER(SEARCH("R135",G223))*135,0)+IFERROR(--ISNUMBER(SEARCH("R136",G223))*136,0)+IFERROR(--ISNUMBER(SEARCH("R137",G223))*137,0)+IFERROR(--ISNUMBER(SEARCH("R138",G223))*138,0)+IFERROR(--ISNUMBER(SEARCH("R139",G223))*139,0)+IFERROR(--ISNUMBER(SEARCH("R140",G223))*140,0)+IFERROR(--ISNUMBER(SEARCH("R141",G223))*141,0))</f>
        <v/>
      </c>
      <c r="V223" s="59">
        <f>IF(A223="","",IF(K223&lt;&gt;"",K223,J223))</f>
        <v/>
      </c>
      <c r="W223" s="59">
        <f>IF(A223="","",IF(AND(V223=29,O223&lt;&gt;"",COUNTIFS($V$6:$V$505,29,$F$6:$F$505,F223,$C$6:$C$505,C223,$O$6:$O$505,"&lt;&gt;")&gt;1),IF(COUNTIFS($V$6:V223,29,$F$6:F223,F223,$C$6:C223,C223,$O$6:O223,"&lt;&gt;")=1,"Esta es la fila que se debe CONSERVAR (aparición 1 de "&amp;COUNTIFS($V$6:$V$505,29,$F$6:$F$505,F223,$C$6:$C$505,C223,$O$6:$O$505,"&lt;&gt;")&amp;" con el mismo tercero y valor, casilla 29). Si hay más filas iguales, bórreles el valor a ELLAS, no a esta.","DUPLICADO — ya existe otra fila con el mismo tercero y valor para casilla 29 (aparición "&amp;COUNTIFS($V$6:V223,29,$F$6:F223,F223,$C$6:C223,C223,$O$6:O223,"&lt;&gt;")&amp;" de "&amp;COUNTIFS($V$6:$V$505,29,$F$6:$F$505,F223,$C$6:$C$505,C223,$O$6:$O$505,"&lt;&gt;")&amp;"). Para resolverlo: seleccione la celda O"&amp;ROW()&amp;" (columna Valor a declarar de ESTA fila) y presione Supr."),""))</f>
        <v/>
      </c>
      <c r="X223" s="463">
        <f>IF(A223="","",F223)</f>
        <v/>
      </c>
      <c r="Y223" s="463">
        <f>IF(A223="","",SUMIF(Entrada_Manual!$I$88:$I$187,A223,Entrada_Manual!$F$88:$F$187))</f>
        <v/>
      </c>
      <c r="Z223" s="463">
        <f>IF(A223="","",X223-Y223)</f>
        <v/>
      </c>
      <c r="AA223">
        <f>IF(A223="","",SUMPRODUCT((Entrada_Manual!$I$88:$I$187=A223)*1))</f>
        <v/>
      </c>
      <c r="AB223">
        <f>IF(A223="","",IF(S223&lt;=1,"",IF(AA223=0,"PENDIENTE — SIN ASIGNAR",IF(Z223=0,"RESUELTO","PARCIAL — DIFERENCIA "&amp;TEXT(Z223,"#,##0")))))</f>
        <v/>
      </c>
    </row>
    <row r="224" ht="14.25" customHeight="1" s="235">
      <c r="A224" s="47">
        <f>IF(Exogena_RAW!E233&lt;&gt;"",ROW()-5,"")</f>
        <v/>
      </c>
      <c r="B224" s="48">
        <f>IF(A224="","",233)</f>
        <v/>
      </c>
      <c r="C224" s="48">
        <f>IF(A224="","",IFERROR(Exogena_RAW!A233,""))</f>
        <v/>
      </c>
      <c r="D224" s="48">
        <f>IF(A224="","",IFERROR(Exogena_RAW!B233,""))</f>
        <v/>
      </c>
      <c r="E224" s="48">
        <f>IF(A224="","",Exogena_RAW!E233)</f>
        <v/>
      </c>
      <c r="F224" s="461">
        <f>IF(A224="","",Exogena_RAW!F233)</f>
        <v/>
      </c>
      <c r="G224" s="48">
        <f>IF(A224="","",IFERROR(Exogena_RAW!G233,""))</f>
        <v/>
      </c>
      <c r="H224" s="48">
        <f>IF(A224="","",IFERROR(Exogena_RAW!H233,""))</f>
        <v/>
      </c>
      <c r="I224" s="48">
        <f>IF(A224="","",IFERROR(IF(S224&gt;1,"VARIAS CASILLAS",IF(S224=1,IF(T224=1,"PROPUESTA DE CASILLA","REVISIÓN: CASILLA NO DIRECTA"),IF(OR(ISNUMBER(SEARCH("TOPE",UPPER(E224))),ISNUMBER(SEARCH("TOPE",UPPER(G224)))),"SOLO CONTROL",IF(ISNUMBER(SEARCH("RETEN",UPPER(E224))),"RETENCIÓN","REVISAR")))),"REVISAR"))</f>
        <v/>
      </c>
      <c r="J224" s="48">
        <f>IF(A224="","",IF(ISNUMBER(SEARCH("ingreso laboral promedio de los últimos seis meses",E224)),"",IFERROR(IF(AND(S224=1,T224=1),U224,""),"")))</f>
        <v/>
      </c>
      <c r="K224" s="216" t="n"/>
      <c r="L224" s="48">
        <f>IF(A224="","",IFERROR(IF(K224&lt;&gt;"","Casilla elegida por usuario",IF(S224&gt;1,"Varias casillas — elegir en K",IF(J224&lt;&gt;"","Sugerencia directa",IF(S224=1,"No trasladar directo — revisar",IF(OR(ISNUMBER(SEARCH("TOPE",UPPER(E224))),ISNUMBER(SEARCH("TOPE",UPPER(G224)))),"Solo control","Revisar manualmente"))))),"Revisar manualmente"))</f>
        <v/>
      </c>
      <c r="M224" s="461">
        <f>IF(A224="","",IF(IF(K224&lt;&gt;"",K224,J224)="",0,IF(COUNTIFS(Reglas!$I$5:$I$118,IF(K224&lt;&gt;"",K224,J224),Reglas!$J$5:$J$118,"Sí")=1,F224,0)))</f>
        <v/>
      </c>
      <c r="N224" s="56" t="n"/>
      <c r="O224" s="462">
        <f>IF(A224="","",IF(M224=0,"",M224))</f>
        <v/>
      </c>
      <c r="P224" s="461">
        <f>IF(A224="","",IF(O224="",0,IF(ISNUMBER(O224),O224,0)))</f>
        <v/>
      </c>
      <c r="Q224" s="48">
        <f>IF(A224="","",IF(Exogena_RAW!$C$4="","BLOQUEADO: FALTA AÑO",IF(Exogena_RAW!$K$10&lt;&gt;Reglas!$B$5,"BLOQUEADO: AÑO",IF(IF(K224&lt;&gt;"",K224,J224)="",IF(S224&gt;1,"REQUIERE ASIGNACIÓN MANUAL (VARIAS CASILLAS)","INFORMATIVO (sin casilla — no se declara)"),IF(COUNTIFS(Reglas!$I$5:$I$118,IF(K224&lt;&gt;"",K224,J224),Reglas!$J$5:$J$118,"Sí")=0,"BLOQUEADO: CASILLA NO DIRECTA",IF(O224="","EXCLUIDO (valor borrado por el usuario)",IF(_xlfn.ISFORMULA(O224),IF(W224&lt;&gt;"","BORRADOR — VALOR SUGERIDO DIAN ⚠ VER ALERTA","BORRADOR — VALOR SUGERIDO DIAN"),IF(W224&lt;&gt;"","ACEPTADO ⚠ VER ALERTA","ACEPTADO"))))))))</f>
        <v/>
      </c>
      <c r="R224" s="218" t="n"/>
      <c r="S224" s="58">
        <f>IF(A224="","",IFERROR(--ISNUMBER(SEARCH("R28",G224)),0)+IFERROR(--ISNUMBER(SEARCH("R29",G224)),0)+IFERROR(--ISNUMBER(SEARCH("R30",G224)),0)+IFERROR(--ISNUMBER(SEARCH("R31",G224)),0)+IFERROR(--ISNUMBER(SEARCH("R32",G224)),0)+IFERROR(--ISNUMBER(SEARCH("R33",G224)),0)+IFERROR(--ISNUMBER(SEARCH("R34",G224)),0)+IFERROR(--ISNUMBER(SEARCH("R35",G224)),0)+IFERROR(--ISNUMBER(SEARCH("R36",G224)),0)+IFERROR(--ISNUMBER(SEARCH("R37",G224)),0)+IFERROR(--ISNUMBER(SEARCH("R38",G224)),0)+IFERROR(--ISNUMBER(SEARCH("R39",G224)),0)+IFERROR(--ISNUMBER(SEARCH("R40",G224)),0)+IFERROR(--ISNUMBER(SEARCH("R41",G224)),0)+IFERROR(--ISNUMBER(SEARCH("R42",G224)),0)+IFERROR(--ISNUMBER(SEARCH("R43",G224)),0)+IFERROR(--ISNUMBER(SEARCH("R44",G224)),0)+IFERROR(--ISNUMBER(SEARCH("R45",G224)),0)+IFERROR(--ISNUMBER(SEARCH("R46",G224)),0)+IFERROR(--ISNUMBER(SEARCH("R47",G224)),0)+IFERROR(--ISNUMBER(SEARCH("R48",G224)),0)+IFERROR(--ISNUMBER(SEARCH("R49",G224)),0)+IFERROR(--ISNUMBER(SEARCH("R50",G224)),0)+IFERROR(--ISNUMBER(SEARCH("R51",G224)),0)+IFERROR(--ISNUMBER(SEARCH("R52",G224)),0)+IFERROR(--ISNUMBER(SEARCH("R53",G224)),0)+IFERROR(--ISNUMBER(SEARCH("R54",G224)),0)+IFERROR(--ISNUMBER(SEARCH("R55",G224)),0)+IFERROR(--ISNUMBER(SEARCH("R56",G224)),0)+IFERROR(--ISNUMBER(SEARCH("R57",G224)),0)+IFERROR(--ISNUMBER(SEARCH("R58",G224)),0)+IFERROR(--ISNUMBER(SEARCH("R59",G224)),0)+IFERROR(--ISNUMBER(SEARCH("R60",G224)),0)+IFERROR(--ISNUMBER(SEARCH("R61",G224)),0)+IFERROR(--ISNUMBER(SEARCH("R62",G224)),0)+IFERROR(--ISNUMBER(SEARCH("R63",G224)),0)+IFERROR(--ISNUMBER(SEARCH("R64",G224)),0)+IFERROR(--ISNUMBER(SEARCH("R65",G224)),0)+IFERROR(--ISNUMBER(SEARCH("R66",G224)),0)+IFERROR(--ISNUMBER(SEARCH("R67",G224)),0)+IFERROR(--ISNUMBER(SEARCH("R68",G224)),0)+IFERROR(--ISNUMBER(SEARCH("R69",G224)),0)+IFERROR(--ISNUMBER(SEARCH("R70",G224)),0)+IFERROR(--ISNUMBER(SEARCH("R71",G224)),0)+IFERROR(--ISNUMBER(SEARCH("R72",G224)),0)+IFERROR(--ISNUMBER(SEARCH("R73",G224)),0)+IFERROR(--ISNUMBER(SEARCH("R74",G224)),0)+IFERROR(--ISNUMBER(SEARCH("R75",G224)),0)+IFERROR(--ISNUMBER(SEARCH("R76",G224)),0)+IFERROR(--ISNUMBER(SEARCH("R77",G224)),0)+IFERROR(--ISNUMBER(SEARCH("R78",G224)),0)+IFERROR(--ISNUMBER(SEARCH("R79",G224)),0)+IFERROR(--ISNUMBER(SEARCH("R80",G224)),0)+IFERROR(--ISNUMBER(SEARCH("R81",G224)),0)+IFERROR(--ISNUMBER(SEARCH("R82",G224)),0)+IFERROR(--ISNUMBER(SEARCH("R83",G224)),0)+IFERROR(--ISNUMBER(SEARCH("R84",G224)),0)+IFERROR(--ISNUMBER(SEARCH("R85",G224)),0)+IFERROR(--ISNUMBER(SEARCH("R86",G224)),0)+IFERROR(--ISNUMBER(SEARCH("R87",G224)),0)+IFERROR(--ISNUMBER(SEARCH("R88",G224)),0)+IFERROR(--ISNUMBER(SEARCH("R89",G224)),0)+IFERROR(--ISNUMBER(SEARCH("R90",G224)),0)+IFERROR(--ISNUMBER(SEARCH("R91",G224)),0)+IFERROR(--ISNUMBER(SEARCH("R92",G224)),0)+IFERROR(--ISNUMBER(SEARCH("R93",G224)),0)+IFERROR(--ISNUMBER(SEARCH("R94",G224)),0)+IFERROR(--ISNUMBER(SEARCH("R95",G224)),0)+IFERROR(--ISNUMBER(SEARCH("R96",G224)),0)+IFERROR(--ISNUMBER(SEARCH("R97",G224)),0)+IFERROR(--ISNUMBER(SEARCH("R98",G224)),0)+IFERROR(--ISNUMBER(SEARCH("R99",G224)),0)+IFERROR(--ISNUMBER(SEARCH("R100",G224)),0)+IFERROR(--ISNUMBER(SEARCH("R101",G224)),0)+IFERROR(--ISNUMBER(SEARCH("R102",G224)),0)+IFERROR(--ISNUMBER(SEARCH("R103",G224)),0)+IFERROR(--ISNUMBER(SEARCH("R104",G224)),0)+IFERROR(--ISNUMBER(SEARCH("R105",G224)),0)+IFERROR(--ISNUMBER(SEARCH("R106",G224)),0)+IFERROR(--ISNUMBER(SEARCH("R107",G224)),0)+IFERROR(--ISNUMBER(SEARCH("R108",G224)),0)+IFERROR(--ISNUMBER(SEARCH("R109",G224)),0)+IFERROR(--ISNUMBER(SEARCH("R110",G224)),0)+IFERROR(--ISNUMBER(SEARCH("R111",G224)),0)+IFERROR(--ISNUMBER(SEARCH("R112",G224)),0)+IFERROR(--ISNUMBER(SEARCH("R113",G224)),0)+IFERROR(--ISNUMBER(SEARCH("R114",G224)),0)+IFERROR(--ISNUMBER(SEARCH("R115",G224)),0)+IFERROR(--ISNUMBER(SEARCH("R116",G224)),0)+IFERROR(--ISNUMBER(SEARCH("R117",G224)),0)+IFERROR(--ISNUMBER(SEARCH("R118",G224)),0)+IFERROR(--ISNUMBER(SEARCH("R119",G224)),0)+IFERROR(--ISNUMBER(SEARCH("R120",G224)),0)+IFERROR(--ISNUMBER(SEARCH("R121",G224)),0)+IFERROR(--ISNUMBER(SEARCH("R122",G224)),0)+IFERROR(--ISNUMBER(SEARCH("R123",G224)),0)+IFERROR(--ISNUMBER(SEARCH("R124",G224)),0)+IFERROR(--ISNUMBER(SEARCH("R125",G224)),0)+IFERROR(--ISNUMBER(SEARCH("R126",G224)),0)+IFERROR(--ISNUMBER(SEARCH("R127",G224)),0)+IFERROR(--ISNUMBER(SEARCH("R128",G224)),0)+IFERROR(--ISNUMBER(SEARCH("R129",G224)),0)+IFERROR(--ISNUMBER(SEARCH("R130",G224)),0)+IFERROR(--ISNUMBER(SEARCH("R131",G224)),0)+IFERROR(--ISNUMBER(SEARCH("R132",G224)),0)+IFERROR(--ISNUMBER(SEARCH("R133",G224)),0)+IFERROR(--ISNUMBER(SEARCH("R134",G224)),0)+IFERROR(--ISNUMBER(SEARCH("R135",G224)),0)+IFERROR(--ISNUMBER(SEARCH("R136",G224)),0)+IFERROR(--ISNUMBER(SEARCH("R137",G224)),0)+IFERROR(--ISNUMBER(SEARCH("R138",G224)),0)+IFERROR(--ISNUMBER(SEARCH("R139",G224)),0)+IFERROR(--ISNUMBER(SEARCH("R140",G224)),0)+IFERROR(--ISNUMBER(SEARCH("R141",G224)),0))</f>
        <v/>
      </c>
      <c r="T224" s="58">
        <f>IF(A224="","",IFERROR(--ISNUMBER(SEARCH("R28",G224)),0)+IFERROR(--ISNUMBER(SEARCH("R29",G224)),0)+IFERROR(--ISNUMBER(SEARCH("R30",G224)),0)+IFERROR(--ISNUMBER(SEARCH("R32",G224)),0)+IFERROR(--ISNUMBER(SEARCH("R33",G224)),0)+IFERROR(--ISNUMBER(SEARCH("R35",G224)),0)+IFERROR(--ISNUMBER(SEARCH("R36",G224)),0)+IFERROR(--ISNUMBER(SEARCH("R38",G224)),0)+IFERROR(--ISNUMBER(SEARCH("R39",G224)),0)+IFERROR(--ISNUMBER(SEARCH("R43",G224)),0)+IFERROR(--ISNUMBER(SEARCH("R44",G224)),0)+IFERROR(--ISNUMBER(SEARCH("R45",G224)),0)+IFERROR(--ISNUMBER(SEARCH("R47",G224)),0)+IFERROR(--ISNUMBER(SEARCH("R48",G224)),0)+IFERROR(--ISNUMBER(SEARCH("R50",G224)),0)+IFERROR(--ISNUMBER(SEARCH("R51",G224)),0)+IFERROR(--ISNUMBER(SEARCH("R56",G224)),0)+IFERROR(--ISNUMBER(SEARCH("R58",G224)),0)+IFERROR(--ISNUMBER(SEARCH("R59",G224)),0)+IFERROR(--ISNUMBER(SEARCH("R60",G224)),0)+IFERROR(--ISNUMBER(SEARCH("R62",G224)),0)+IFERROR(--ISNUMBER(SEARCH("R63",G224)),0)+IFERROR(--ISNUMBER(SEARCH("R64",G224)),0)+IFERROR(--ISNUMBER(SEARCH("R66",G224)),0)+IFERROR(--ISNUMBER(SEARCH("R67",G224)),0)+IFERROR(--ISNUMBER(SEARCH("R72",G224)),0)+IFERROR(--ISNUMBER(SEARCH("R74",G224)),0)+IFERROR(--ISNUMBER(SEARCH("R75",G224)),0)+IFERROR(--ISNUMBER(SEARCH("R76",G224)),0)+IFERROR(--ISNUMBER(SEARCH("R77",G224)),0)+IFERROR(--ISNUMBER(SEARCH("R79",G224)),0)+IFERROR(--ISNUMBER(SEARCH("R80",G224)),0)+IFERROR(--ISNUMBER(SEARCH("R81",G224)),0)+IFERROR(--ISNUMBER(SEARCH("R83",G224)),0)+IFERROR(--ISNUMBER(SEARCH("R84",G224)),0)+IFERROR(--ISNUMBER(SEARCH("R89",G224)),0)+IFERROR(--ISNUMBER(SEARCH("R94",G224)),0)+IFERROR(--ISNUMBER(SEARCH("R95",G224)),0)+IFERROR(--ISNUMBER(SEARCH("R96",G224)),0)+IFERROR(--ISNUMBER(SEARCH("R98",G224)),0)+IFERROR(--ISNUMBER(SEARCH("R99",G224)),0)+IFERROR(--ISNUMBER(SEARCH("R100",G224)),0)+IFERROR(--ISNUMBER(SEARCH("R104",G224)),0)+IFERROR(--ISNUMBER(SEARCH("R105",G224)),0)+IFERROR(--ISNUMBER(SEARCH("R107",G224)),0)+IFERROR(--ISNUMBER(SEARCH("R108",G224)),0)+IFERROR(--ISNUMBER(SEARCH("R109",G224)),0)+IFERROR(--ISNUMBER(SEARCH("R110",G224)),0)+IFERROR(--ISNUMBER(SEARCH("R112",G224)),0)+IFERROR(--ISNUMBER(SEARCH("R113",G224)),0)+IFERROR(--ISNUMBER(SEARCH("R114",G224)),0)+IFERROR(--ISNUMBER(SEARCH("R118",G224)),0)+IFERROR(--ISNUMBER(SEARCH("R119",G224)),0)+IFERROR(--ISNUMBER(SEARCH("R120",G224)),0)+IFERROR(--ISNUMBER(SEARCH("R122",G224)),0)+IFERROR(--ISNUMBER(SEARCH("R123",G224)),0)+IFERROR(--ISNUMBER(SEARCH("R124",G224)),0)+IFERROR(--ISNUMBER(SEARCH("R128",G224)),0)+IFERROR(--ISNUMBER(SEARCH("R130",G224)),0)+IFERROR(--ISNUMBER(SEARCH("R131",G224)),0)+IFERROR(--ISNUMBER(SEARCH("R132",G224)),0)+IFERROR(--ISNUMBER(SEARCH("R135",G224)),0)+IFERROR(--ISNUMBER(SEARCH("R138",G224)),0)+IFERROR(--ISNUMBER(SEARCH("R141",G224)),0))</f>
        <v/>
      </c>
      <c r="U224" s="58">
        <f>IF(A224="","",IFERROR(--ISNUMBER(SEARCH("R28",G224))*28,0)+IFERROR(--ISNUMBER(SEARCH("R29",G224))*29,0)+IFERROR(--ISNUMBER(SEARCH("R30",G224))*30,0)+IFERROR(--ISNUMBER(SEARCH("R31",G224))*31,0)+IFERROR(--ISNUMBER(SEARCH("R32",G224))*32,0)+IFERROR(--ISNUMBER(SEARCH("R33",G224))*33,0)+IFERROR(--ISNUMBER(SEARCH("R34",G224))*34,0)+IFERROR(--ISNUMBER(SEARCH("R35",G224))*35,0)+IFERROR(--ISNUMBER(SEARCH("R36",G224))*36,0)+IFERROR(--ISNUMBER(SEARCH("R37",G224))*37,0)+IFERROR(--ISNUMBER(SEARCH("R38",G224))*38,0)+IFERROR(--ISNUMBER(SEARCH("R39",G224))*39,0)+IFERROR(--ISNUMBER(SEARCH("R40",G224))*40,0)+IFERROR(--ISNUMBER(SEARCH("R41",G224))*41,0)+IFERROR(--ISNUMBER(SEARCH("R42",G224))*42,0)+IFERROR(--ISNUMBER(SEARCH("R43",G224))*43,0)+IFERROR(--ISNUMBER(SEARCH("R44",G224))*44,0)+IFERROR(--ISNUMBER(SEARCH("R45",G224))*45,0)+IFERROR(--ISNUMBER(SEARCH("R46",G224))*46,0)+IFERROR(--ISNUMBER(SEARCH("R47",G224))*47,0)+IFERROR(--ISNUMBER(SEARCH("R48",G224))*48,0)+IFERROR(--ISNUMBER(SEARCH("R49",G224))*49,0)+IFERROR(--ISNUMBER(SEARCH("R50",G224))*50,0)+IFERROR(--ISNUMBER(SEARCH("R51",G224))*51,0)+IFERROR(--ISNUMBER(SEARCH("R52",G224))*52,0)+IFERROR(--ISNUMBER(SEARCH("R53",G224))*53,0)+IFERROR(--ISNUMBER(SEARCH("R54",G224))*54,0)+IFERROR(--ISNUMBER(SEARCH("R55",G224))*55,0)+IFERROR(--ISNUMBER(SEARCH("R56",G224))*56,0)+IFERROR(--ISNUMBER(SEARCH("R57",G224))*57,0)+IFERROR(--ISNUMBER(SEARCH("R58",G224))*58,0)+IFERROR(--ISNUMBER(SEARCH("R59",G224))*59,0)+IFERROR(--ISNUMBER(SEARCH("R60",G224))*60,0)+IFERROR(--ISNUMBER(SEARCH("R61",G224))*61,0)+IFERROR(--ISNUMBER(SEARCH("R62",G224))*62,0)+IFERROR(--ISNUMBER(SEARCH("R63",G224))*63,0)+IFERROR(--ISNUMBER(SEARCH("R64",G224))*64,0)+IFERROR(--ISNUMBER(SEARCH("R65",G224))*65,0)+IFERROR(--ISNUMBER(SEARCH("R66",G224))*66,0)+IFERROR(--ISNUMBER(SEARCH("R67",G224))*67,0)+IFERROR(--ISNUMBER(SEARCH("R68",G224))*68,0)+IFERROR(--ISNUMBER(SEARCH("R69",G224))*69,0)+IFERROR(--ISNUMBER(SEARCH("R70",G224))*70,0)+IFERROR(--ISNUMBER(SEARCH("R71",G224))*71,0)+IFERROR(--ISNUMBER(SEARCH("R72",G224))*72,0)+IFERROR(--ISNUMBER(SEARCH("R73",G224))*73,0)+IFERROR(--ISNUMBER(SEARCH("R74",G224))*74,0)+IFERROR(--ISNUMBER(SEARCH("R75",G224))*75,0)+IFERROR(--ISNUMBER(SEARCH("R76",G224))*76,0)+IFERROR(--ISNUMBER(SEARCH("R77",G224))*77,0)+IFERROR(--ISNUMBER(SEARCH("R78",G224))*78,0)+IFERROR(--ISNUMBER(SEARCH("R79",G224))*79,0)+IFERROR(--ISNUMBER(SEARCH("R80",G224))*80,0)+IFERROR(--ISNUMBER(SEARCH("R81",G224))*81,0)+IFERROR(--ISNUMBER(SEARCH("R82",G224))*82,0)+IFERROR(--ISNUMBER(SEARCH("R83",G224))*83,0)+IFERROR(--ISNUMBER(SEARCH("R84",G224))*84,0)+IFERROR(--ISNUMBER(SEARCH("R85",G224))*85,0)+IFERROR(--ISNUMBER(SEARCH("R86",G224))*86,0)+IFERROR(--ISNUMBER(SEARCH("R87",G224))*87,0)+IFERROR(--ISNUMBER(SEARCH("R88",G224))*88,0)+IFERROR(--ISNUMBER(SEARCH("R89",G224))*89,0)+IFERROR(--ISNUMBER(SEARCH("R90",G224))*90,0)+IFERROR(--ISNUMBER(SEARCH("R91",G224))*91,0)+IFERROR(--ISNUMBER(SEARCH("R92",G224))*92,0)+IFERROR(--ISNUMBER(SEARCH("R93",G224))*93,0)+IFERROR(--ISNUMBER(SEARCH("R94",G224))*94,0)+IFERROR(--ISNUMBER(SEARCH("R95",G224))*95,0)+IFERROR(--ISNUMBER(SEARCH("R96",G224))*96,0)+IFERROR(--ISNUMBER(SEARCH("R97",G224))*97,0)+IFERROR(--ISNUMBER(SEARCH("R98",G224))*98,0)+IFERROR(--ISNUMBER(SEARCH("R99",G224))*99,0)+IFERROR(--ISNUMBER(SEARCH("R100",G224))*100,0)+IFERROR(--ISNUMBER(SEARCH("R101",G224))*101,0)+IFERROR(--ISNUMBER(SEARCH("R102",G224))*102,0)+IFERROR(--ISNUMBER(SEARCH("R103",G224))*103,0)+IFERROR(--ISNUMBER(SEARCH("R104",G224))*104,0)+IFERROR(--ISNUMBER(SEARCH("R105",G224))*105,0)+IFERROR(--ISNUMBER(SEARCH("R106",G224))*106,0)+IFERROR(--ISNUMBER(SEARCH("R107",G224))*107,0)+IFERROR(--ISNUMBER(SEARCH("R108",G224))*108,0)+IFERROR(--ISNUMBER(SEARCH("R109",G224))*109,0)+IFERROR(--ISNUMBER(SEARCH("R110",G224))*110,0)+IFERROR(--ISNUMBER(SEARCH("R111",G224))*111,0)+IFERROR(--ISNUMBER(SEARCH("R112",G224))*112,0)+IFERROR(--ISNUMBER(SEARCH("R113",G224))*113,0)+IFERROR(--ISNUMBER(SEARCH("R114",G224))*114,0)+IFERROR(--ISNUMBER(SEARCH("R115",G224))*115,0)+IFERROR(--ISNUMBER(SEARCH("R116",G224))*116,0)+IFERROR(--ISNUMBER(SEARCH("R117",G224))*117,0)+IFERROR(--ISNUMBER(SEARCH("R118",G224))*118,0)+IFERROR(--ISNUMBER(SEARCH("R119",G224))*119,0)+IFERROR(--ISNUMBER(SEARCH("R120",G224))*120,0)+IFERROR(--ISNUMBER(SEARCH("R121",G224))*121,0)+IFERROR(--ISNUMBER(SEARCH("R122",G224))*122,0)+IFERROR(--ISNUMBER(SEARCH("R123",G224))*123,0)+IFERROR(--ISNUMBER(SEARCH("R124",G224))*124,0)+IFERROR(--ISNUMBER(SEARCH("R125",G224))*125,0)+IFERROR(--ISNUMBER(SEARCH("R126",G224))*126,0)+IFERROR(--ISNUMBER(SEARCH("R127",G224))*127,0)+IFERROR(--ISNUMBER(SEARCH("R128",G224))*128,0)+IFERROR(--ISNUMBER(SEARCH("R129",G224))*129,0)+IFERROR(--ISNUMBER(SEARCH("R130",G224))*130,0)+IFERROR(--ISNUMBER(SEARCH("R131",G224))*131,0)+IFERROR(--ISNUMBER(SEARCH("R132",G224))*132,0)+IFERROR(--ISNUMBER(SEARCH("R133",G224))*133,0)+IFERROR(--ISNUMBER(SEARCH("R134",G224))*134,0)+IFERROR(--ISNUMBER(SEARCH("R135",G224))*135,0)+IFERROR(--ISNUMBER(SEARCH("R136",G224))*136,0)+IFERROR(--ISNUMBER(SEARCH("R137",G224))*137,0)+IFERROR(--ISNUMBER(SEARCH("R138",G224))*138,0)+IFERROR(--ISNUMBER(SEARCH("R139",G224))*139,0)+IFERROR(--ISNUMBER(SEARCH("R140",G224))*140,0)+IFERROR(--ISNUMBER(SEARCH("R141",G224))*141,0))</f>
        <v/>
      </c>
      <c r="V224" s="59">
        <f>IF(A224="","",IF(K224&lt;&gt;"",K224,J224))</f>
        <v/>
      </c>
      <c r="W224" s="59">
        <f>IF(A224="","",IF(AND(V224=29,O224&lt;&gt;"",COUNTIFS($V$6:$V$505,29,$F$6:$F$505,F224,$C$6:$C$505,C224,$O$6:$O$505,"&lt;&gt;")&gt;1),IF(COUNTIFS($V$6:V224,29,$F$6:F224,F224,$C$6:C224,C224,$O$6:O224,"&lt;&gt;")=1,"Esta es la fila que se debe CONSERVAR (aparición 1 de "&amp;COUNTIFS($V$6:$V$505,29,$F$6:$F$505,F224,$C$6:$C$505,C224,$O$6:$O$505,"&lt;&gt;")&amp;" con el mismo tercero y valor, casilla 29). Si hay más filas iguales, bórreles el valor a ELLAS, no a esta.","DUPLICADO — ya existe otra fila con el mismo tercero y valor para casilla 29 (aparición "&amp;COUNTIFS($V$6:V224,29,$F$6:F224,F224,$C$6:C224,C224,$O$6:O224,"&lt;&gt;")&amp;" de "&amp;COUNTIFS($V$6:$V$505,29,$F$6:$F$505,F224,$C$6:$C$505,C224,$O$6:$O$505,"&lt;&gt;")&amp;"). Para resolverlo: seleccione la celda O"&amp;ROW()&amp;" (columna Valor a declarar de ESTA fila) y presione Supr."),""))</f>
        <v/>
      </c>
      <c r="X224" s="463">
        <f>IF(A224="","",F224)</f>
        <v/>
      </c>
      <c r="Y224" s="463">
        <f>IF(A224="","",SUMIF(Entrada_Manual!$I$88:$I$187,A224,Entrada_Manual!$F$88:$F$187))</f>
        <v/>
      </c>
      <c r="Z224" s="463">
        <f>IF(A224="","",X224-Y224)</f>
        <v/>
      </c>
      <c r="AA224">
        <f>IF(A224="","",SUMPRODUCT((Entrada_Manual!$I$88:$I$187=A224)*1))</f>
        <v/>
      </c>
      <c r="AB224">
        <f>IF(A224="","",IF(S224&lt;=1,"",IF(AA224=0,"PENDIENTE — SIN ASIGNAR",IF(Z224=0,"RESUELTO","PARCIAL — DIFERENCIA "&amp;TEXT(Z224,"#,##0")))))</f>
        <v/>
      </c>
    </row>
    <row r="225" ht="14.25" customHeight="1" s="235">
      <c r="A225" s="47">
        <f>IF(Exogena_RAW!E234&lt;&gt;"",ROW()-5,"")</f>
        <v/>
      </c>
      <c r="B225" s="48">
        <f>IF(A225="","",234)</f>
        <v/>
      </c>
      <c r="C225" s="48">
        <f>IF(A225="","",IFERROR(Exogena_RAW!A234,""))</f>
        <v/>
      </c>
      <c r="D225" s="48">
        <f>IF(A225="","",IFERROR(Exogena_RAW!B234,""))</f>
        <v/>
      </c>
      <c r="E225" s="48">
        <f>IF(A225="","",Exogena_RAW!E234)</f>
        <v/>
      </c>
      <c r="F225" s="461">
        <f>IF(A225="","",Exogena_RAW!F234)</f>
        <v/>
      </c>
      <c r="G225" s="48">
        <f>IF(A225="","",IFERROR(Exogena_RAW!G234,""))</f>
        <v/>
      </c>
      <c r="H225" s="48">
        <f>IF(A225="","",IFERROR(Exogena_RAW!H234,""))</f>
        <v/>
      </c>
      <c r="I225" s="48">
        <f>IF(A225="","",IFERROR(IF(S225&gt;1,"VARIAS CASILLAS",IF(S225=1,IF(T225=1,"PROPUESTA DE CASILLA","REVISIÓN: CASILLA NO DIRECTA"),IF(OR(ISNUMBER(SEARCH("TOPE",UPPER(E225))),ISNUMBER(SEARCH("TOPE",UPPER(G225)))),"SOLO CONTROL",IF(ISNUMBER(SEARCH("RETEN",UPPER(E225))),"RETENCIÓN","REVISAR")))),"REVISAR"))</f>
        <v/>
      </c>
      <c r="J225" s="48">
        <f>IF(A225="","",IF(ISNUMBER(SEARCH("ingreso laboral promedio de los últimos seis meses",E225)),"",IFERROR(IF(AND(S225=1,T225=1),U225,""),"")))</f>
        <v/>
      </c>
      <c r="K225" s="216" t="n"/>
      <c r="L225" s="48">
        <f>IF(A225="","",IFERROR(IF(K225&lt;&gt;"","Casilla elegida por usuario",IF(S225&gt;1,"Varias casillas — elegir en K",IF(J225&lt;&gt;"","Sugerencia directa",IF(S225=1,"No trasladar directo — revisar",IF(OR(ISNUMBER(SEARCH("TOPE",UPPER(E225))),ISNUMBER(SEARCH("TOPE",UPPER(G225)))),"Solo control","Revisar manualmente"))))),"Revisar manualmente"))</f>
        <v/>
      </c>
      <c r="M225" s="461">
        <f>IF(A225="","",IF(IF(K225&lt;&gt;"",K225,J225)="",0,IF(COUNTIFS(Reglas!$I$5:$I$118,IF(K225&lt;&gt;"",K225,J225),Reglas!$J$5:$J$118,"Sí")=1,F225,0)))</f>
        <v/>
      </c>
      <c r="N225" s="56" t="n"/>
      <c r="O225" s="462">
        <f>IF(A225="","",IF(M225=0,"",M225))</f>
        <v/>
      </c>
      <c r="P225" s="461">
        <f>IF(A225="","",IF(O225="",0,IF(ISNUMBER(O225),O225,0)))</f>
        <v/>
      </c>
      <c r="Q225" s="48">
        <f>IF(A225="","",IF(Exogena_RAW!$C$4="","BLOQUEADO: FALTA AÑO",IF(Exogena_RAW!$K$10&lt;&gt;Reglas!$B$5,"BLOQUEADO: AÑO",IF(IF(K225&lt;&gt;"",K225,J225)="",IF(S225&gt;1,"REQUIERE ASIGNACIÓN MANUAL (VARIAS CASILLAS)","INFORMATIVO (sin casilla — no se declara)"),IF(COUNTIFS(Reglas!$I$5:$I$118,IF(K225&lt;&gt;"",K225,J225),Reglas!$J$5:$J$118,"Sí")=0,"BLOQUEADO: CASILLA NO DIRECTA",IF(O225="","EXCLUIDO (valor borrado por el usuario)",IF(_xlfn.ISFORMULA(O225),IF(W225&lt;&gt;"","BORRADOR — VALOR SUGERIDO DIAN ⚠ VER ALERTA","BORRADOR — VALOR SUGERIDO DIAN"),IF(W225&lt;&gt;"","ACEPTADO ⚠ VER ALERTA","ACEPTADO"))))))))</f>
        <v/>
      </c>
      <c r="R225" s="218" t="n"/>
      <c r="S225" s="58">
        <f>IF(A225="","",IFERROR(--ISNUMBER(SEARCH("R28",G225)),0)+IFERROR(--ISNUMBER(SEARCH("R29",G225)),0)+IFERROR(--ISNUMBER(SEARCH("R30",G225)),0)+IFERROR(--ISNUMBER(SEARCH("R31",G225)),0)+IFERROR(--ISNUMBER(SEARCH("R32",G225)),0)+IFERROR(--ISNUMBER(SEARCH("R33",G225)),0)+IFERROR(--ISNUMBER(SEARCH("R34",G225)),0)+IFERROR(--ISNUMBER(SEARCH("R35",G225)),0)+IFERROR(--ISNUMBER(SEARCH("R36",G225)),0)+IFERROR(--ISNUMBER(SEARCH("R37",G225)),0)+IFERROR(--ISNUMBER(SEARCH("R38",G225)),0)+IFERROR(--ISNUMBER(SEARCH("R39",G225)),0)+IFERROR(--ISNUMBER(SEARCH("R40",G225)),0)+IFERROR(--ISNUMBER(SEARCH("R41",G225)),0)+IFERROR(--ISNUMBER(SEARCH("R42",G225)),0)+IFERROR(--ISNUMBER(SEARCH("R43",G225)),0)+IFERROR(--ISNUMBER(SEARCH("R44",G225)),0)+IFERROR(--ISNUMBER(SEARCH("R45",G225)),0)+IFERROR(--ISNUMBER(SEARCH("R46",G225)),0)+IFERROR(--ISNUMBER(SEARCH("R47",G225)),0)+IFERROR(--ISNUMBER(SEARCH("R48",G225)),0)+IFERROR(--ISNUMBER(SEARCH("R49",G225)),0)+IFERROR(--ISNUMBER(SEARCH("R50",G225)),0)+IFERROR(--ISNUMBER(SEARCH("R51",G225)),0)+IFERROR(--ISNUMBER(SEARCH("R52",G225)),0)+IFERROR(--ISNUMBER(SEARCH("R53",G225)),0)+IFERROR(--ISNUMBER(SEARCH("R54",G225)),0)+IFERROR(--ISNUMBER(SEARCH("R55",G225)),0)+IFERROR(--ISNUMBER(SEARCH("R56",G225)),0)+IFERROR(--ISNUMBER(SEARCH("R57",G225)),0)+IFERROR(--ISNUMBER(SEARCH("R58",G225)),0)+IFERROR(--ISNUMBER(SEARCH("R59",G225)),0)+IFERROR(--ISNUMBER(SEARCH("R60",G225)),0)+IFERROR(--ISNUMBER(SEARCH("R61",G225)),0)+IFERROR(--ISNUMBER(SEARCH("R62",G225)),0)+IFERROR(--ISNUMBER(SEARCH("R63",G225)),0)+IFERROR(--ISNUMBER(SEARCH("R64",G225)),0)+IFERROR(--ISNUMBER(SEARCH("R65",G225)),0)+IFERROR(--ISNUMBER(SEARCH("R66",G225)),0)+IFERROR(--ISNUMBER(SEARCH("R67",G225)),0)+IFERROR(--ISNUMBER(SEARCH("R68",G225)),0)+IFERROR(--ISNUMBER(SEARCH("R69",G225)),0)+IFERROR(--ISNUMBER(SEARCH("R70",G225)),0)+IFERROR(--ISNUMBER(SEARCH("R71",G225)),0)+IFERROR(--ISNUMBER(SEARCH("R72",G225)),0)+IFERROR(--ISNUMBER(SEARCH("R73",G225)),0)+IFERROR(--ISNUMBER(SEARCH("R74",G225)),0)+IFERROR(--ISNUMBER(SEARCH("R75",G225)),0)+IFERROR(--ISNUMBER(SEARCH("R76",G225)),0)+IFERROR(--ISNUMBER(SEARCH("R77",G225)),0)+IFERROR(--ISNUMBER(SEARCH("R78",G225)),0)+IFERROR(--ISNUMBER(SEARCH("R79",G225)),0)+IFERROR(--ISNUMBER(SEARCH("R80",G225)),0)+IFERROR(--ISNUMBER(SEARCH("R81",G225)),0)+IFERROR(--ISNUMBER(SEARCH("R82",G225)),0)+IFERROR(--ISNUMBER(SEARCH("R83",G225)),0)+IFERROR(--ISNUMBER(SEARCH("R84",G225)),0)+IFERROR(--ISNUMBER(SEARCH("R85",G225)),0)+IFERROR(--ISNUMBER(SEARCH("R86",G225)),0)+IFERROR(--ISNUMBER(SEARCH("R87",G225)),0)+IFERROR(--ISNUMBER(SEARCH("R88",G225)),0)+IFERROR(--ISNUMBER(SEARCH("R89",G225)),0)+IFERROR(--ISNUMBER(SEARCH("R90",G225)),0)+IFERROR(--ISNUMBER(SEARCH("R91",G225)),0)+IFERROR(--ISNUMBER(SEARCH("R92",G225)),0)+IFERROR(--ISNUMBER(SEARCH("R93",G225)),0)+IFERROR(--ISNUMBER(SEARCH("R94",G225)),0)+IFERROR(--ISNUMBER(SEARCH("R95",G225)),0)+IFERROR(--ISNUMBER(SEARCH("R96",G225)),0)+IFERROR(--ISNUMBER(SEARCH("R97",G225)),0)+IFERROR(--ISNUMBER(SEARCH("R98",G225)),0)+IFERROR(--ISNUMBER(SEARCH("R99",G225)),0)+IFERROR(--ISNUMBER(SEARCH("R100",G225)),0)+IFERROR(--ISNUMBER(SEARCH("R101",G225)),0)+IFERROR(--ISNUMBER(SEARCH("R102",G225)),0)+IFERROR(--ISNUMBER(SEARCH("R103",G225)),0)+IFERROR(--ISNUMBER(SEARCH("R104",G225)),0)+IFERROR(--ISNUMBER(SEARCH("R105",G225)),0)+IFERROR(--ISNUMBER(SEARCH("R106",G225)),0)+IFERROR(--ISNUMBER(SEARCH("R107",G225)),0)+IFERROR(--ISNUMBER(SEARCH("R108",G225)),0)+IFERROR(--ISNUMBER(SEARCH("R109",G225)),0)+IFERROR(--ISNUMBER(SEARCH("R110",G225)),0)+IFERROR(--ISNUMBER(SEARCH("R111",G225)),0)+IFERROR(--ISNUMBER(SEARCH("R112",G225)),0)+IFERROR(--ISNUMBER(SEARCH("R113",G225)),0)+IFERROR(--ISNUMBER(SEARCH("R114",G225)),0)+IFERROR(--ISNUMBER(SEARCH("R115",G225)),0)+IFERROR(--ISNUMBER(SEARCH("R116",G225)),0)+IFERROR(--ISNUMBER(SEARCH("R117",G225)),0)+IFERROR(--ISNUMBER(SEARCH("R118",G225)),0)+IFERROR(--ISNUMBER(SEARCH("R119",G225)),0)+IFERROR(--ISNUMBER(SEARCH("R120",G225)),0)+IFERROR(--ISNUMBER(SEARCH("R121",G225)),0)+IFERROR(--ISNUMBER(SEARCH("R122",G225)),0)+IFERROR(--ISNUMBER(SEARCH("R123",G225)),0)+IFERROR(--ISNUMBER(SEARCH("R124",G225)),0)+IFERROR(--ISNUMBER(SEARCH("R125",G225)),0)+IFERROR(--ISNUMBER(SEARCH("R126",G225)),0)+IFERROR(--ISNUMBER(SEARCH("R127",G225)),0)+IFERROR(--ISNUMBER(SEARCH("R128",G225)),0)+IFERROR(--ISNUMBER(SEARCH("R129",G225)),0)+IFERROR(--ISNUMBER(SEARCH("R130",G225)),0)+IFERROR(--ISNUMBER(SEARCH("R131",G225)),0)+IFERROR(--ISNUMBER(SEARCH("R132",G225)),0)+IFERROR(--ISNUMBER(SEARCH("R133",G225)),0)+IFERROR(--ISNUMBER(SEARCH("R134",G225)),0)+IFERROR(--ISNUMBER(SEARCH("R135",G225)),0)+IFERROR(--ISNUMBER(SEARCH("R136",G225)),0)+IFERROR(--ISNUMBER(SEARCH("R137",G225)),0)+IFERROR(--ISNUMBER(SEARCH("R138",G225)),0)+IFERROR(--ISNUMBER(SEARCH("R139",G225)),0)+IFERROR(--ISNUMBER(SEARCH("R140",G225)),0)+IFERROR(--ISNUMBER(SEARCH("R141",G225)),0))</f>
        <v/>
      </c>
      <c r="T225" s="58">
        <f>IF(A225="","",IFERROR(--ISNUMBER(SEARCH("R28",G225)),0)+IFERROR(--ISNUMBER(SEARCH("R29",G225)),0)+IFERROR(--ISNUMBER(SEARCH("R30",G225)),0)+IFERROR(--ISNUMBER(SEARCH("R32",G225)),0)+IFERROR(--ISNUMBER(SEARCH("R33",G225)),0)+IFERROR(--ISNUMBER(SEARCH("R35",G225)),0)+IFERROR(--ISNUMBER(SEARCH("R36",G225)),0)+IFERROR(--ISNUMBER(SEARCH("R38",G225)),0)+IFERROR(--ISNUMBER(SEARCH("R39",G225)),0)+IFERROR(--ISNUMBER(SEARCH("R43",G225)),0)+IFERROR(--ISNUMBER(SEARCH("R44",G225)),0)+IFERROR(--ISNUMBER(SEARCH("R45",G225)),0)+IFERROR(--ISNUMBER(SEARCH("R47",G225)),0)+IFERROR(--ISNUMBER(SEARCH("R48",G225)),0)+IFERROR(--ISNUMBER(SEARCH("R50",G225)),0)+IFERROR(--ISNUMBER(SEARCH("R51",G225)),0)+IFERROR(--ISNUMBER(SEARCH("R56",G225)),0)+IFERROR(--ISNUMBER(SEARCH("R58",G225)),0)+IFERROR(--ISNUMBER(SEARCH("R59",G225)),0)+IFERROR(--ISNUMBER(SEARCH("R60",G225)),0)+IFERROR(--ISNUMBER(SEARCH("R62",G225)),0)+IFERROR(--ISNUMBER(SEARCH("R63",G225)),0)+IFERROR(--ISNUMBER(SEARCH("R64",G225)),0)+IFERROR(--ISNUMBER(SEARCH("R66",G225)),0)+IFERROR(--ISNUMBER(SEARCH("R67",G225)),0)+IFERROR(--ISNUMBER(SEARCH("R72",G225)),0)+IFERROR(--ISNUMBER(SEARCH("R74",G225)),0)+IFERROR(--ISNUMBER(SEARCH("R75",G225)),0)+IFERROR(--ISNUMBER(SEARCH("R76",G225)),0)+IFERROR(--ISNUMBER(SEARCH("R77",G225)),0)+IFERROR(--ISNUMBER(SEARCH("R79",G225)),0)+IFERROR(--ISNUMBER(SEARCH("R80",G225)),0)+IFERROR(--ISNUMBER(SEARCH("R81",G225)),0)+IFERROR(--ISNUMBER(SEARCH("R83",G225)),0)+IFERROR(--ISNUMBER(SEARCH("R84",G225)),0)+IFERROR(--ISNUMBER(SEARCH("R89",G225)),0)+IFERROR(--ISNUMBER(SEARCH("R94",G225)),0)+IFERROR(--ISNUMBER(SEARCH("R95",G225)),0)+IFERROR(--ISNUMBER(SEARCH("R96",G225)),0)+IFERROR(--ISNUMBER(SEARCH("R98",G225)),0)+IFERROR(--ISNUMBER(SEARCH("R99",G225)),0)+IFERROR(--ISNUMBER(SEARCH("R100",G225)),0)+IFERROR(--ISNUMBER(SEARCH("R104",G225)),0)+IFERROR(--ISNUMBER(SEARCH("R105",G225)),0)+IFERROR(--ISNUMBER(SEARCH("R107",G225)),0)+IFERROR(--ISNUMBER(SEARCH("R108",G225)),0)+IFERROR(--ISNUMBER(SEARCH("R109",G225)),0)+IFERROR(--ISNUMBER(SEARCH("R110",G225)),0)+IFERROR(--ISNUMBER(SEARCH("R112",G225)),0)+IFERROR(--ISNUMBER(SEARCH("R113",G225)),0)+IFERROR(--ISNUMBER(SEARCH("R114",G225)),0)+IFERROR(--ISNUMBER(SEARCH("R118",G225)),0)+IFERROR(--ISNUMBER(SEARCH("R119",G225)),0)+IFERROR(--ISNUMBER(SEARCH("R120",G225)),0)+IFERROR(--ISNUMBER(SEARCH("R122",G225)),0)+IFERROR(--ISNUMBER(SEARCH("R123",G225)),0)+IFERROR(--ISNUMBER(SEARCH("R124",G225)),0)+IFERROR(--ISNUMBER(SEARCH("R128",G225)),0)+IFERROR(--ISNUMBER(SEARCH("R130",G225)),0)+IFERROR(--ISNUMBER(SEARCH("R131",G225)),0)+IFERROR(--ISNUMBER(SEARCH("R132",G225)),0)+IFERROR(--ISNUMBER(SEARCH("R135",G225)),0)+IFERROR(--ISNUMBER(SEARCH("R138",G225)),0)+IFERROR(--ISNUMBER(SEARCH("R141",G225)),0))</f>
        <v/>
      </c>
      <c r="U225" s="58">
        <f>IF(A225="","",IFERROR(--ISNUMBER(SEARCH("R28",G225))*28,0)+IFERROR(--ISNUMBER(SEARCH("R29",G225))*29,0)+IFERROR(--ISNUMBER(SEARCH("R30",G225))*30,0)+IFERROR(--ISNUMBER(SEARCH("R31",G225))*31,0)+IFERROR(--ISNUMBER(SEARCH("R32",G225))*32,0)+IFERROR(--ISNUMBER(SEARCH("R33",G225))*33,0)+IFERROR(--ISNUMBER(SEARCH("R34",G225))*34,0)+IFERROR(--ISNUMBER(SEARCH("R35",G225))*35,0)+IFERROR(--ISNUMBER(SEARCH("R36",G225))*36,0)+IFERROR(--ISNUMBER(SEARCH("R37",G225))*37,0)+IFERROR(--ISNUMBER(SEARCH("R38",G225))*38,0)+IFERROR(--ISNUMBER(SEARCH("R39",G225))*39,0)+IFERROR(--ISNUMBER(SEARCH("R40",G225))*40,0)+IFERROR(--ISNUMBER(SEARCH("R41",G225))*41,0)+IFERROR(--ISNUMBER(SEARCH("R42",G225))*42,0)+IFERROR(--ISNUMBER(SEARCH("R43",G225))*43,0)+IFERROR(--ISNUMBER(SEARCH("R44",G225))*44,0)+IFERROR(--ISNUMBER(SEARCH("R45",G225))*45,0)+IFERROR(--ISNUMBER(SEARCH("R46",G225))*46,0)+IFERROR(--ISNUMBER(SEARCH("R47",G225))*47,0)+IFERROR(--ISNUMBER(SEARCH("R48",G225))*48,0)+IFERROR(--ISNUMBER(SEARCH("R49",G225))*49,0)+IFERROR(--ISNUMBER(SEARCH("R50",G225))*50,0)+IFERROR(--ISNUMBER(SEARCH("R51",G225))*51,0)+IFERROR(--ISNUMBER(SEARCH("R52",G225))*52,0)+IFERROR(--ISNUMBER(SEARCH("R53",G225))*53,0)+IFERROR(--ISNUMBER(SEARCH("R54",G225))*54,0)+IFERROR(--ISNUMBER(SEARCH("R55",G225))*55,0)+IFERROR(--ISNUMBER(SEARCH("R56",G225))*56,0)+IFERROR(--ISNUMBER(SEARCH("R57",G225))*57,0)+IFERROR(--ISNUMBER(SEARCH("R58",G225))*58,0)+IFERROR(--ISNUMBER(SEARCH("R59",G225))*59,0)+IFERROR(--ISNUMBER(SEARCH("R60",G225))*60,0)+IFERROR(--ISNUMBER(SEARCH("R61",G225))*61,0)+IFERROR(--ISNUMBER(SEARCH("R62",G225))*62,0)+IFERROR(--ISNUMBER(SEARCH("R63",G225))*63,0)+IFERROR(--ISNUMBER(SEARCH("R64",G225))*64,0)+IFERROR(--ISNUMBER(SEARCH("R65",G225))*65,0)+IFERROR(--ISNUMBER(SEARCH("R66",G225))*66,0)+IFERROR(--ISNUMBER(SEARCH("R67",G225))*67,0)+IFERROR(--ISNUMBER(SEARCH("R68",G225))*68,0)+IFERROR(--ISNUMBER(SEARCH("R69",G225))*69,0)+IFERROR(--ISNUMBER(SEARCH("R70",G225))*70,0)+IFERROR(--ISNUMBER(SEARCH("R71",G225))*71,0)+IFERROR(--ISNUMBER(SEARCH("R72",G225))*72,0)+IFERROR(--ISNUMBER(SEARCH("R73",G225))*73,0)+IFERROR(--ISNUMBER(SEARCH("R74",G225))*74,0)+IFERROR(--ISNUMBER(SEARCH("R75",G225))*75,0)+IFERROR(--ISNUMBER(SEARCH("R76",G225))*76,0)+IFERROR(--ISNUMBER(SEARCH("R77",G225))*77,0)+IFERROR(--ISNUMBER(SEARCH("R78",G225))*78,0)+IFERROR(--ISNUMBER(SEARCH("R79",G225))*79,0)+IFERROR(--ISNUMBER(SEARCH("R80",G225))*80,0)+IFERROR(--ISNUMBER(SEARCH("R81",G225))*81,0)+IFERROR(--ISNUMBER(SEARCH("R82",G225))*82,0)+IFERROR(--ISNUMBER(SEARCH("R83",G225))*83,0)+IFERROR(--ISNUMBER(SEARCH("R84",G225))*84,0)+IFERROR(--ISNUMBER(SEARCH("R85",G225))*85,0)+IFERROR(--ISNUMBER(SEARCH("R86",G225))*86,0)+IFERROR(--ISNUMBER(SEARCH("R87",G225))*87,0)+IFERROR(--ISNUMBER(SEARCH("R88",G225))*88,0)+IFERROR(--ISNUMBER(SEARCH("R89",G225))*89,0)+IFERROR(--ISNUMBER(SEARCH("R90",G225))*90,0)+IFERROR(--ISNUMBER(SEARCH("R91",G225))*91,0)+IFERROR(--ISNUMBER(SEARCH("R92",G225))*92,0)+IFERROR(--ISNUMBER(SEARCH("R93",G225))*93,0)+IFERROR(--ISNUMBER(SEARCH("R94",G225))*94,0)+IFERROR(--ISNUMBER(SEARCH("R95",G225))*95,0)+IFERROR(--ISNUMBER(SEARCH("R96",G225))*96,0)+IFERROR(--ISNUMBER(SEARCH("R97",G225))*97,0)+IFERROR(--ISNUMBER(SEARCH("R98",G225))*98,0)+IFERROR(--ISNUMBER(SEARCH("R99",G225))*99,0)+IFERROR(--ISNUMBER(SEARCH("R100",G225))*100,0)+IFERROR(--ISNUMBER(SEARCH("R101",G225))*101,0)+IFERROR(--ISNUMBER(SEARCH("R102",G225))*102,0)+IFERROR(--ISNUMBER(SEARCH("R103",G225))*103,0)+IFERROR(--ISNUMBER(SEARCH("R104",G225))*104,0)+IFERROR(--ISNUMBER(SEARCH("R105",G225))*105,0)+IFERROR(--ISNUMBER(SEARCH("R106",G225))*106,0)+IFERROR(--ISNUMBER(SEARCH("R107",G225))*107,0)+IFERROR(--ISNUMBER(SEARCH("R108",G225))*108,0)+IFERROR(--ISNUMBER(SEARCH("R109",G225))*109,0)+IFERROR(--ISNUMBER(SEARCH("R110",G225))*110,0)+IFERROR(--ISNUMBER(SEARCH("R111",G225))*111,0)+IFERROR(--ISNUMBER(SEARCH("R112",G225))*112,0)+IFERROR(--ISNUMBER(SEARCH("R113",G225))*113,0)+IFERROR(--ISNUMBER(SEARCH("R114",G225))*114,0)+IFERROR(--ISNUMBER(SEARCH("R115",G225))*115,0)+IFERROR(--ISNUMBER(SEARCH("R116",G225))*116,0)+IFERROR(--ISNUMBER(SEARCH("R117",G225))*117,0)+IFERROR(--ISNUMBER(SEARCH("R118",G225))*118,0)+IFERROR(--ISNUMBER(SEARCH("R119",G225))*119,0)+IFERROR(--ISNUMBER(SEARCH("R120",G225))*120,0)+IFERROR(--ISNUMBER(SEARCH("R121",G225))*121,0)+IFERROR(--ISNUMBER(SEARCH("R122",G225))*122,0)+IFERROR(--ISNUMBER(SEARCH("R123",G225))*123,0)+IFERROR(--ISNUMBER(SEARCH("R124",G225))*124,0)+IFERROR(--ISNUMBER(SEARCH("R125",G225))*125,0)+IFERROR(--ISNUMBER(SEARCH("R126",G225))*126,0)+IFERROR(--ISNUMBER(SEARCH("R127",G225))*127,0)+IFERROR(--ISNUMBER(SEARCH("R128",G225))*128,0)+IFERROR(--ISNUMBER(SEARCH("R129",G225))*129,0)+IFERROR(--ISNUMBER(SEARCH("R130",G225))*130,0)+IFERROR(--ISNUMBER(SEARCH("R131",G225))*131,0)+IFERROR(--ISNUMBER(SEARCH("R132",G225))*132,0)+IFERROR(--ISNUMBER(SEARCH("R133",G225))*133,0)+IFERROR(--ISNUMBER(SEARCH("R134",G225))*134,0)+IFERROR(--ISNUMBER(SEARCH("R135",G225))*135,0)+IFERROR(--ISNUMBER(SEARCH("R136",G225))*136,0)+IFERROR(--ISNUMBER(SEARCH("R137",G225))*137,0)+IFERROR(--ISNUMBER(SEARCH("R138",G225))*138,0)+IFERROR(--ISNUMBER(SEARCH("R139",G225))*139,0)+IFERROR(--ISNUMBER(SEARCH("R140",G225))*140,0)+IFERROR(--ISNUMBER(SEARCH("R141",G225))*141,0))</f>
        <v/>
      </c>
      <c r="V225" s="59">
        <f>IF(A225="","",IF(K225&lt;&gt;"",K225,J225))</f>
        <v/>
      </c>
      <c r="W225" s="59">
        <f>IF(A225="","",IF(AND(V225=29,O225&lt;&gt;"",COUNTIFS($V$6:$V$505,29,$F$6:$F$505,F225,$C$6:$C$505,C225,$O$6:$O$505,"&lt;&gt;")&gt;1),IF(COUNTIFS($V$6:V225,29,$F$6:F225,F225,$C$6:C225,C225,$O$6:O225,"&lt;&gt;")=1,"Esta es la fila que se debe CONSERVAR (aparición 1 de "&amp;COUNTIFS($V$6:$V$505,29,$F$6:$F$505,F225,$C$6:$C$505,C225,$O$6:$O$505,"&lt;&gt;")&amp;" con el mismo tercero y valor, casilla 29). Si hay más filas iguales, bórreles el valor a ELLAS, no a esta.","DUPLICADO — ya existe otra fila con el mismo tercero y valor para casilla 29 (aparición "&amp;COUNTIFS($V$6:V225,29,$F$6:F225,F225,$C$6:C225,C225,$O$6:O225,"&lt;&gt;")&amp;" de "&amp;COUNTIFS($V$6:$V$505,29,$F$6:$F$505,F225,$C$6:$C$505,C225,$O$6:$O$505,"&lt;&gt;")&amp;"). Para resolverlo: seleccione la celda O"&amp;ROW()&amp;" (columna Valor a declarar de ESTA fila) y presione Supr."),""))</f>
        <v/>
      </c>
      <c r="X225" s="463">
        <f>IF(A225="","",F225)</f>
        <v/>
      </c>
      <c r="Y225" s="463">
        <f>IF(A225="","",SUMIF(Entrada_Manual!$I$88:$I$187,A225,Entrada_Manual!$F$88:$F$187))</f>
        <v/>
      </c>
      <c r="Z225" s="463">
        <f>IF(A225="","",X225-Y225)</f>
        <v/>
      </c>
      <c r="AA225">
        <f>IF(A225="","",SUMPRODUCT((Entrada_Manual!$I$88:$I$187=A225)*1))</f>
        <v/>
      </c>
      <c r="AB225">
        <f>IF(A225="","",IF(S225&lt;=1,"",IF(AA225=0,"PENDIENTE — SIN ASIGNAR",IF(Z225=0,"RESUELTO","PARCIAL — DIFERENCIA "&amp;TEXT(Z225,"#,##0")))))</f>
        <v/>
      </c>
    </row>
    <row r="226" ht="14.25" customHeight="1" s="235">
      <c r="A226" s="47">
        <f>IF(Exogena_RAW!E235&lt;&gt;"",ROW()-5,"")</f>
        <v/>
      </c>
      <c r="B226" s="48">
        <f>IF(A226="","",235)</f>
        <v/>
      </c>
      <c r="C226" s="48">
        <f>IF(A226="","",IFERROR(Exogena_RAW!A235,""))</f>
        <v/>
      </c>
      <c r="D226" s="48">
        <f>IF(A226="","",IFERROR(Exogena_RAW!B235,""))</f>
        <v/>
      </c>
      <c r="E226" s="48">
        <f>IF(A226="","",Exogena_RAW!E235)</f>
        <v/>
      </c>
      <c r="F226" s="461">
        <f>IF(A226="","",Exogena_RAW!F235)</f>
        <v/>
      </c>
      <c r="G226" s="48">
        <f>IF(A226="","",IFERROR(Exogena_RAW!G235,""))</f>
        <v/>
      </c>
      <c r="H226" s="48">
        <f>IF(A226="","",IFERROR(Exogena_RAW!H235,""))</f>
        <v/>
      </c>
      <c r="I226" s="48">
        <f>IF(A226="","",IFERROR(IF(S226&gt;1,"VARIAS CASILLAS",IF(S226=1,IF(T226=1,"PROPUESTA DE CASILLA","REVISIÓN: CASILLA NO DIRECTA"),IF(OR(ISNUMBER(SEARCH("TOPE",UPPER(E226))),ISNUMBER(SEARCH("TOPE",UPPER(G226)))),"SOLO CONTROL",IF(ISNUMBER(SEARCH("RETEN",UPPER(E226))),"RETENCIÓN","REVISAR")))),"REVISAR"))</f>
        <v/>
      </c>
      <c r="J226" s="48">
        <f>IF(A226="","",IF(ISNUMBER(SEARCH("ingreso laboral promedio de los últimos seis meses",E226)),"",IFERROR(IF(AND(S226=1,T226=1),U226,""),"")))</f>
        <v/>
      </c>
      <c r="K226" s="216" t="n"/>
      <c r="L226" s="48">
        <f>IF(A226="","",IFERROR(IF(K226&lt;&gt;"","Casilla elegida por usuario",IF(S226&gt;1,"Varias casillas — elegir en K",IF(J226&lt;&gt;"","Sugerencia directa",IF(S226=1,"No trasladar directo — revisar",IF(OR(ISNUMBER(SEARCH("TOPE",UPPER(E226))),ISNUMBER(SEARCH("TOPE",UPPER(G226)))),"Solo control","Revisar manualmente"))))),"Revisar manualmente"))</f>
        <v/>
      </c>
      <c r="M226" s="461">
        <f>IF(A226="","",IF(IF(K226&lt;&gt;"",K226,J226)="",0,IF(COUNTIFS(Reglas!$I$5:$I$118,IF(K226&lt;&gt;"",K226,J226),Reglas!$J$5:$J$118,"Sí")=1,F226,0)))</f>
        <v/>
      </c>
      <c r="N226" s="56" t="n"/>
      <c r="O226" s="462">
        <f>IF(A226="","",IF(M226=0,"",M226))</f>
        <v/>
      </c>
      <c r="P226" s="461">
        <f>IF(A226="","",IF(O226="",0,IF(ISNUMBER(O226),O226,0)))</f>
        <v/>
      </c>
      <c r="Q226" s="48">
        <f>IF(A226="","",IF(Exogena_RAW!$C$4="","BLOQUEADO: FALTA AÑO",IF(Exogena_RAW!$K$10&lt;&gt;Reglas!$B$5,"BLOQUEADO: AÑO",IF(IF(K226&lt;&gt;"",K226,J226)="",IF(S226&gt;1,"REQUIERE ASIGNACIÓN MANUAL (VARIAS CASILLAS)","INFORMATIVO (sin casilla — no se declara)"),IF(COUNTIFS(Reglas!$I$5:$I$118,IF(K226&lt;&gt;"",K226,J226),Reglas!$J$5:$J$118,"Sí")=0,"BLOQUEADO: CASILLA NO DIRECTA",IF(O226="","EXCLUIDO (valor borrado por el usuario)",IF(_xlfn.ISFORMULA(O226),IF(W226&lt;&gt;"","BORRADOR — VALOR SUGERIDO DIAN ⚠ VER ALERTA","BORRADOR — VALOR SUGERIDO DIAN"),IF(W226&lt;&gt;"","ACEPTADO ⚠ VER ALERTA","ACEPTADO"))))))))</f>
        <v/>
      </c>
      <c r="R226" s="218" t="n"/>
      <c r="S226" s="58">
        <f>IF(A226="","",IFERROR(--ISNUMBER(SEARCH("R28",G226)),0)+IFERROR(--ISNUMBER(SEARCH("R29",G226)),0)+IFERROR(--ISNUMBER(SEARCH("R30",G226)),0)+IFERROR(--ISNUMBER(SEARCH("R31",G226)),0)+IFERROR(--ISNUMBER(SEARCH("R32",G226)),0)+IFERROR(--ISNUMBER(SEARCH("R33",G226)),0)+IFERROR(--ISNUMBER(SEARCH("R34",G226)),0)+IFERROR(--ISNUMBER(SEARCH("R35",G226)),0)+IFERROR(--ISNUMBER(SEARCH("R36",G226)),0)+IFERROR(--ISNUMBER(SEARCH("R37",G226)),0)+IFERROR(--ISNUMBER(SEARCH("R38",G226)),0)+IFERROR(--ISNUMBER(SEARCH("R39",G226)),0)+IFERROR(--ISNUMBER(SEARCH("R40",G226)),0)+IFERROR(--ISNUMBER(SEARCH("R41",G226)),0)+IFERROR(--ISNUMBER(SEARCH("R42",G226)),0)+IFERROR(--ISNUMBER(SEARCH("R43",G226)),0)+IFERROR(--ISNUMBER(SEARCH("R44",G226)),0)+IFERROR(--ISNUMBER(SEARCH("R45",G226)),0)+IFERROR(--ISNUMBER(SEARCH("R46",G226)),0)+IFERROR(--ISNUMBER(SEARCH("R47",G226)),0)+IFERROR(--ISNUMBER(SEARCH("R48",G226)),0)+IFERROR(--ISNUMBER(SEARCH("R49",G226)),0)+IFERROR(--ISNUMBER(SEARCH("R50",G226)),0)+IFERROR(--ISNUMBER(SEARCH("R51",G226)),0)+IFERROR(--ISNUMBER(SEARCH("R52",G226)),0)+IFERROR(--ISNUMBER(SEARCH("R53",G226)),0)+IFERROR(--ISNUMBER(SEARCH("R54",G226)),0)+IFERROR(--ISNUMBER(SEARCH("R55",G226)),0)+IFERROR(--ISNUMBER(SEARCH("R56",G226)),0)+IFERROR(--ISNUMBER(SEARCH("R57",G226)),0)+IFERROR(--ISNUMBER(SEARCH("R58",G226)),0)+IFERROR(--ISNUMBER(SEARCH("R59",G226)),0)+IFERROR(--ISNUMBER(SEARCH("R60",G226)),0)+IFERROR(--ISNUMBER(SEARCH("R61",G226)),0)+IFERROR(--ISNUMBER(SEARCH("R62",G226)),0)+IFERROR(--ISNUMBER(SEARCH("R63",G226)),0)+IFERROR(--ISNUMBER(SEARCH("R64",G226)),0)+IFERROR(--ISNUMBER(SEARCH("R65",G226)),0)+IFERROR(--ISNUMBER(SEARCH("R66",G226)),0)+IFERROR(--ISNUMBER(SEARCH("R67",G226)),0)+IFERROR(--ISNUMBER(SEARCH("R68",G226)),0)+IFERROR(--ISNUMBER(SEARCH("R69",G226)),0)+IFERROR(--ISNUMBER(SEARCH("R70",G226)),0)+IFERROR(--ISNUMBER(SEARCH("R71",G226)),0)+IFERROR(--ISNUMBER(SEARCH("R72",G226)),0)+IFERROR(--ISNUMBER(SEARCH("R73",G226)),0)+IFERROR(--ISNUMBER(SEARCH("R74",G226)),0)+IFERROR(--ISNUMBER(SEARCH("R75",G226)),0)+IFERROR(--ISNUMBER(SEARCH("R76",G226)),0)+IFERROR(--ISNUMBER(SEARCH("R77",G226)),0)+IFERROR(--ISNUMBER(SEARCH("R78",G226)),0)+IFERROR(--ISNUMBER(SEARCH("R79",G226)),0)+IFERROR(--ISNUMBER(SEARCH("R80",G226)),0)+IFERROR(--ISNUMBER(SEARCH("R81",G226)),0)+IFERROR(--ISNUMBER(SEARCH("R82",G226)),0)+IFERROR(--ISNUMBER(SEARCH("R83",G226)),0)+IFERROR(--ISNUMBER(SEARCH("R84",G226)),0)+IFERROR(--ISNUMBER(SEARCH("R85",G226)),0)+IFERROR(--ISNUMBER(SEARCH("R86",G226)),0)+IFERROR(--ISNUMBER(SEARCH("R87",G226)),0)+IFERROR(--ISNUMBER(SEARCH("R88",G226)),0)+IFERROR(--ISNUMBER(SEARCH("R89",G226)),0)+IFERROR(--ISNUMBER(SEARCH("R90",G226)),0)+IFERROR(--ISNUMBER(SEARCH("R91",G226)),0)+IFERROR(--ISNUMBER(SEARCH("R92",G226)),0)+IFERROR(--ISNUMBER(SEARCH("R93",G226)),0)+IFERROR(--ISNUMBER(SEARCH("R94",G226)),0)+IFERROR(--ISNUMBER(SEARCH("R95",G226)),0)+IFERROR(--ISNUMBER(SEARCH("R96",G226)),0)+IFERROR(--ISNUMBER(SEARCH("R97",G226)),0)+IFERROR(--ISNUMBER(SEARCH("R98",G226)),0)+IFERROR(--ISNUMBER(SEARCH("R99",G226)),0)+IFERROR(--ISNUMBER(SEARCH("R100",G226)),0)+IFERROR(--ISNUMBER(SEARCH("R101",G226)),0)+IFERROR(--ISNUMBER(SEARCH("R102",G226)),0)+IFERROR(--ISNUMBER(SEARCH("R103",G226)),0)+IFERROR(--ISNUMBER(SEARCH("R104",G226)),0)+IFERROR(--ISNUMBER(SEARCH("R105",G226)),0)+IFERROR(--ISNUMBER(SEARCH("R106",G226)),0)+IFERROR(--ISNUMBER(SEARCH("R107",G226)),0)+IFERROR(--ISNUMBER(SEARCH("R108",G226)),0)+IFERROR(--ISNUMBER(SEARCH("R109",G226)),0)+IFERROR(--ISNUMBER(SEARCH("R110",G226)),0)+IFERROR(--ISNUMBER(SEARCH("R111",G226)),0)+IFERROR(--ISNUMBER(SEARCH("R112",G226)),0)+IFERROR(--ISNUMBER(SEARCH("R113",G226)),0)+IFERROR(--ISNUMBER(SEARCH("R114",G226)),0)+IFERROR(--ISNUMBER(SEARCH("R115",G226)),0)+IFERROR(--ISNUMBER(SEARCH("R116",G226)),0)+IFERROR(--ISNUMBER(SEARCH("R117",G226)),0)+IFERROR(--ISNUMBER(SEARCH("R118",G226)),0)+IFERROR(--ISNUMBER(SEARCH("R119",G226)),0)+IFERROR(--ISNUMBER(SEARCH("R120",G226)),0)+IFERROR(--ISNUMBER(SEARCH("R121",G226)),0)+IFERROR(--ISNUMBER(SEARCH("R122",G226)),0)+IFERROR(--ISNUMBER(SEARCH("R123",G226)),0)+IFERROR(--ISNUMBER(SEARCH("R124",G226)),0)+IFERROR(--ISNUMBER(SEARCH("R125",G226)),0)+IFERROR(--ISNUMBER(SEARCH("R126",G226)),0)+IFERROR(--ISNUMBER(SEARCH("R127",G226)),0)+IFERROR(--ISNUMBER(SEARCH("R128",G226)),0)+IFERROR(--ISNUMBER(SEARCH("R129",G226)),0)+IFERROR(--ISNUMBER(SEARCH("R130",G226)),0)+IFERROR(--ISNUMBER(SEARCH("R131",G226)),0)+IFERROR(--ISNUMBER(SEARCH("R132",G226)),0)+IFERROR(--ISNUMBER(SEARCH("R133",G226)),0)+IFERROR(--ISNUMBER(SEARCH("R134",G226)),0)+IFERROR(--ISNUMBER(SEARCH("R135",G226)),0)+IFERROR(--ISNUMBER(SEARCH("R136",G226)),0)+IFERROR(--ISNUMBER(SEARCH("R137",G226)),0)+IFERROR(--ISNUMBER(SEARCH("R138",G226)),0)+IFERROR(--ISNUMBER(SEARCH("R139",G226)),0)+IFERROR(--ISNUMBER(SEARCH("R140",G226)),0)+IFERROR(--ISNUMBER(SEARCH("R141",G226)),0))</f>
        <v/>
      </c>
      <c r="T226" s="58">
        <f>IF(A226="","",IFERROR(--ISNUMBER(SEARCH("R28",G226)),0)+IFERROR(--ISNUMBER(SEARCH("R29",G226)),0)+IFERROR(--ISNUMBER(SEARCH("R30",G226)),0)+IFERROR(--ISNUMBER(SEARCH("R32",G226)),0)+IFERROR(--ISNUMBER(SEARCH("R33",G226)),0)+IFERROR(--ISNUMBER(SEARCH("R35",G226)),0)+IFERROR(--ISNUMBER(SEARCH("R36",G226)),0)+IFERROR(--ISNUMBER(SEARCH("R38",G226)),0)+IFERROR(--ISNUMBER(SEARCH("R39",G226)),0)+IFERROR(--ISNUMBER(SEARCH("R43",G226)),0)+IFERROR(--ISNUMBER(SEARCH("R44",G226)),0)+IFERROR(--ISNUMBER(SEARCH("R45",G226)),0)+IFERROR(--ISNUMBER(SEARCH("R47",G226)),0)+IFERROR(--ISNUMBER(SEARCH("R48",G226)),0)+IFERROR(--ISNUMBER(SEARCH("R50",G226)),0)+IFERROR(--ISNUMBER(SEARCH("R51",G226)),0)+IFERROR(--ISNUMBER(SEARCH("R56",G226)),0)+IFERROR(--ISNUMBER(SEARCH("R58",G226)),0)+IFERROR(--ISNUMBER(SEARCH("R59",G226)),0)+IFERROR(--ISNUMBER(SEARCH("R60",G226)),0)+IFERROR(--ISNUMBER(SEARCH("R62",G226)),0)+IFERROR(--ISNUMBER(SEARCH("R63",G226)),0)+IFERROR(--ISNUMBER(SEARCH("R64",G226)),0)+IFERROR(--ISNUMBER(SEARCH("R66",G226)),0)+IFERROR(--ISNUMBER(SEARCH("R67",G226)),0)+IFERROR(--ISNUMBER(SEARCH("R72",G226)),0)+IFERROR(--ISNUMBER(SEARCH("R74",G226)),0)+IFERROR(--ISNUMBER(SEARCH("R75",G226)),0)+IFERROR(--ISNUMBER(SEARCH("R76",G226)),0)+IFERROR(--ISNUMBER(SEARCH("R77",G226)),0)+IFERROR(--ISNUMBER(SEARCH("R79",G226)),0)+IFERROR(--ISNUMBER(SEARCH("R80",G226)),0)+IFERROR(--ISNUMBER(SEARCH("R81",G226)),0)+IFERROR(--ISNUMBER(SEARCH("R83",G226)),0)+IFERROR(--ISNUMBER(SEARCH("R84",G226)),0)+IFERROR(--ISNUMBER(SEARCH("R89",G226)),0)+IFERROR(--ISNUMBER(SEARCH("R94",G226)),0)+IFERROR(--ISNUMBER(SEARCH("R95",G226)),0)+IFERROR(--ISNUMBER(SEARCH("R96",G226)),0)+IFERROR(--ISNUMBER(SEARCH("R98",G226)),0)+IFERROR(--ISNUMBER(SEARCH("R99",G226)),0)+IFERROR(--ISNUMBER(SEARCH("R100",G226)),0)+IFERROR(--ISNUMBER(SEARCH("R104",G226)),0)+IFERROR(--ISNUMBER(SEARCH("R105",G226)),0)+IFERROR(--ISNUMBER(SEARCH("R107",G226)),0)+IFERROR(--ISNUMBER(SEARCH("R108",G226)),0)+IFERROR(--ISNUMBER(SEARCH("R109",G226)),0)+IFERROR(--ISNUMBER(SEARCH("R110",G226)),0)+IFERROR(--ISNUMBER(SEARCH("R112",G226)),0)+IFERROR(--ISNUMBER(SEARCH("R113",G226)),0)+IFERROR(--ISNUMBER(SEARCH("R114",G226)),0)+IFERROR(--ISNUMBER(SEARCH("R118",G226)),0)+IFERROR(--ISNUMBER(SEARCH("R119",G226)),0)+IFERROR(--ISNUMBER(SEARCH("R120",G226)),0)+IFERROR(--ISNUMBER(SEARCH("R122",G226)),0)+IFERROR(--ISNUMBER(SEARCH("R123",G226)),0)+IFERROR(--ISNUMBER(SEARCH("R124",G226)),0)+IFERROR(--ISNUMBER(SEARCH("R128",G226)),0)+IFERROR(--ISNUMBER(SEARCH("R130",G226)),0)+IFERROR(--ISNUMBER(SEARCH("R131",G226)),0)+IFERROR(--ISNUMBER(SEARCH("R132",G226)),0)+IFERROR(--ISNUMBER(SEARCH("R135",G226)),0)+IFERROR(--ISNUMBER(SEARCH("R138",G226)),0)+IFERROR(--ISNUMBER(SEARCH("R141",G226)),0))</f>
        <v/>
      </c>
      <c r="U226" s="58">
        <f>IF(A226="","",IFERROR(--ISNUMBER(SEARCH("R28",G226))*28,0)+IFERROR(--ISNUMBER(SEARCH("R29",G226))*29,0)+IFERROR(--ISNUMBER(SEARCH("R30",G226))*30,0)+IFERROR(--ISNUMBER(SEARCH("R31",G226))*31,0)+IFERROR(--ISNUMBER(SEARCH("R32",G226))*32,0)+IFERROR(--ISNUMBER(SEARCH("R33",G226))*33,0)+IFERROR(--ISNUMBER(SEARCH("R34",G226))*34,0)+IFERROR(--ISNUMBER(SEARCH("R35",G226))*35,0)+IFERROR(--ISNUMBER(SEARCH("R36",G226))*36,0)+IFERROR(--ISNUMBER(SEARCH("R37",G226))*37,0)+IFERROR(--ISNUMBER(SEARCH("R38",G226))*38,0)+IFERROR(--ISNUMBER(SEARCH("R39",G226))*39,0)+IFERROR(--ISNUMBER(SEARCH("R40",G226))*40,0)+IFERROR(--ISNUMBER(SEARCH("R41",G226))*41,0)+IFERROR(--ISNUMBER(SEARCH("R42",G226))*42,0)+IFERROR(--ISNUMBER(SEARCH("R43",G226))*43,0)+IFERROR(--ISNUMBER(SEARCH("R44",G226))*44,0)+IFERROR(--ISNUMBER(SEARCH("R45",G226))*45,0)+IFERROR(--ISNUMBER(SEARCH("R46",G226))*46,0)+IFERROR(--ISNUMBER(SEARCH("R47",G226))*47,0)+IFERROR(--ISNUMBER(SEARCH("R48",G226))*48,0)+IFERROR(--ISNUMBER(SEARCH("R49",G226))*49,0)+IFERROR(--ISNUMBER(SEARCH("R50",G226))*50,0)+IFERROR(--ISNUMBER(SEARCH("R51",G226))*51,0)+IFERROR(--ISNUMBER(SEARCH("R52",G226))*52,0)+IFERROR(--ISNUMBER(SEARCH("R53",G226))*53,0)+IFERROR(--ISNUMBER(SEARCH("R54",G226))*54,0)+IFERROR(--ISNUMBER(SEARCH("R55",G226))*55,0)+IFERROR(--ISNUMBER(SEARCH("R56",G226))*56,0)+IFERROR(--ISNUMBER(SEARCH("R57",G226))*57,0)+IFERROR(--ISNUMBER(SEARCH("R58",G226))*58,0)+IFERROR(--ISNUMBER(SEARCH("R59",G226))*59,0)+IFERROR(--ISNUMBER(SEARCH("R60",G226))*60,0)+IFERROR(--ISNUMBER(SEARCH("R61",G226))*61,0)+IFERROR(--ISNUMBER(SEARCH("R62",G226))*62,0)+IFERROR(--ISNUMBER(SEARCH("R63",G226))*63,0)+IFERROR(--ISNUMBER(SEARCH("R64",G226))*64,0)+IFERROR(--ISNUMBER(SEARCH("R65",G226))*65,0)+IFERROR(--ISNUMBER(SEARCH("R66",G226))*66,0)+IFERROR(--ISNUMBER(SEARCH("R67",G226))*67,0)+IFERROR(--ISNUMBER(SEARCH("R68",G226))*68,0)+IFERROR(--ISNUMBER(SEARCH("R69",G226))*69,0)+IFERROR(--ISNUMBER(SEARCH("R70",G226))*70,0)+IFERROR(--ISNUMBER(SEARCH("R71",G226))*71,0)+IFERROR(--ISNUMBER(SEARCH("R72",G226))*72,0)+IFERROR(--ISNUMBER(SEARCH("R73",G226))*73,0)+IFERROR(--ISNUMBER(SEARCH("R74",G226))*74,0)+IFERROR(--ISNUMBER(SEARCH("R75",G226))*75,0)+IFERROR(--ISNUMBER(SEARCH("R76",G226))*76,0)+IFERROR(--ISNUMBER(SEARCH("R77",G226))*77,0)+IFERROR(--ISNUMBER(SEARCH("R78",G226))*78,0)+IFERROR(--ISNUMBER(SEARCH("R79",G226))*79,0)+IFERROR(--ISNUMBER(SEARCH("R80",G226))*80,0)+IFERROR(--ISNUMBER(SEARCH("R81",G226))*81,0)+IFERROR(--ISNUMBER(SEARCH("R82",G226))*82,0)+IFERROR(--ISNUMBER(SEARCH("R83",G226))*83,0)+IFERROR(--ISNUMBER(SEARCH("R84",G226))*84,0)+IFERROR(--ISNUMBER(SEARCH("R85",G226))*85,0)+IFERROR(--ISNUMBER(SEARCH("R86",G226))*86,0)+IFERROR(--ISNUMBER(SEARCH("R87",G226))*87,0)+IFERROR(--ISNUMBER(SEARCH("R88",G226))*88,0)+IFERROR(--ISNUMBER(SEARCH("R89",G226))*89,0)+IFERROR(--ISNUMBER(SEARCH("R90",G226))*90,0)+IFERROR(--ISNUMBER(SEARCH("R91",G226))*91,0)+IFERROR(--ISNUMBER(SEARCH("R92",G226))*92,0)+IFERROR(--ISNUMBER(SEARCH("R93",G226))*93,0)+IFERROR(--ISNUMBER(SEARCH("R94",G226))*94,0)+IFERROR(--ISNUMBER(SEARCH("R95",G226))*95,0)+IFERROR(--ISNUMBER(SEARCH("R96",G226))*96,0)+IFERROR(--ISNUMBER(SEARCH("R97",G226))*97,0)+IFERROR(--ISNUMBER(SEARCH("R98",G226))*98,0)+IFERROR(--ISNUMBER(SEARCH("R99",G226))*99,0)+IFERROR(--ISNUMBER(SEARCH("R100",G226))*100,0)+IFERROR(--ISNUMBER(SEARCH("R101",G226))*101,0)+IFERROR(--ISNUMBER(SEARCH("R102",G226))*102,0)+IFERROR(--ISNUMBER(SEARCH("R103",G226))*103,0)+IFERROR(--ISNUMBER(SEARCH("R104",G226))*104,0)+IFERROR(--ISNUMBER(SEARCH("R105",G226))*105,0)+IFERROR(--ISNUMBER(SEARCH("R106",G226))*106,0)+IFERROR(--ISNUMBER(SEARCH("R107",G226))*107,0)+IFERROR(--ISNUMBER(SEARCH("R108",G226))*108,0)+IFERROR(--ISNUMBER(SEARCH("R109",G226))*109,0)+IFERROR(--ISNUMBER(SEARCH("R110",G226))*110,0)+IFERROR(--ISNUMBER(SEARCH("R111",G226))*111,0)+IFERROR(--ISNUMBER(SEARCH("R112",G226))*112,0)+IFERROR(--ISNUMBER(SEARCH("R113",G226))*113,0)+IFERROR(--ISNUMBER(SEARCH("R114",G226))*114,0)+IFERROR(--ISNUMBER(SEARCH("R115",G226))*115,0)+IFERROR(--ISNUMBER(SEARCH("R116",G226))*116,0)+IFERROR(--ISNUMBER(SEARCH("R117",G226))*117,0)+IFERROR(--ISNUMBER(SEARCH("R118",G226))*118,0)+IFERROR(--ISNUMBER(SEARCH("R119",G226))*119,0)+IFERROR(--ISNUMBER(SEARCH("R120",G226))*120,0)+IFERROR(--ISNUMBER(SEARCH("R121",G226))*121,0)+IFERROR(--ISNUMBER(SEARCH("R122",G226))*122,0)+IFERROR(--ISNUMBER(SEARCH("R123",G226))*123,0)+IFERROR(--ISNUMBER(SEARCH("R124",G226))*124,0)+IFERROR(--ISNUMBER(SEARCH("R125",G226))*125,0)+IFERROR(--ISNUMBER(SEARCH("R126",G226))*126,0)+IFERROR(--ISNUMBER(SEARCH("R127",G226))*127,0)+IFERROR(--ISNUMBER(SEARCH("R128",G226))*128,0)+IFERROR(--ISNUMBER(SEARCH("R129",G226))*129,0)+IFERROR(--ISNUMBER(SEARCH("R130",G226))*130,0)+IFERROR(--ISNUMBER(SEARCH("R131",G226))*131,0)+IFERROR(--ISNUMBER(SEARCH("R132",G226))*132,0)+IFERROR(--ISNUMBER(SEARCH("R133",G226))*133,0)+IFERROR(--ISNUMBER(SEARCH("R134",G226))*134,0)+IFERROR(--ISNUMBER(SEARCH("R135",G226))*135,0)+IFERROR(--ISNUMBER(SEARCH("R136",G226))*136,0)+IFERROR(--ISNUMBER(SEARCH("R137",G226))*137,0)+IFERROR(--ISNUMBER(SEARCH("R138",G226))*138,0)+IFERROR(--ISNUMBER(SEARCH("R139",G226))*139,0)+IFERROR(--ISNUMBER(SEARCH("R140",G226))*140,0)+IFERROR(--ISNUMBER(SEARCH("R141",G226))*141,0))</f>
        <v/>
      </c>
      <c r="V226" s="59">
        <f>IF(A226="","",IF(K226&lt;&gt;"",K226,J226))</f>
        <v/>
      </c>
      <c r="W226" s="59">
        <f>IF(A226="","",IF(AND(V226=29,O226&lt;&gt;"",COUNTIFS($V$6:$V$505,29,$F$6:$F$505,F226,$C$6:$C$505,C226,$O$6:$O$505,"&lt;&gt;")&gt;1),IF(COUNTIFS($V$6:V226,29,$F$6:F226,F226,$C$6:C226,C226,$O$6:O226,"&lt;&gt;")=1,"Esta es la fila que se debe CONSERVAR (aparición 1 de "&amp;COUNTIFS($V$6:$V$505,29,$F$6:$F$505,F226,$C$6:$C$505,C226,$O$6:$O$505,"&lt;&gt;")&amp;" con el mismo tercero y valor, casilla 29). Si hay más filas iguales, bórreles el valor a ELLAS, no a esta.","DUPLICADO — ya existe otra fila con el mismo tercero y valor para casilla 29 (aparición "&amp;COUNTIFS($V$6:V226,29,$F$6:F226,F226,$C$6:C226,C226,$O$6:O226,"&lt;&gt;")&amp;" de "&amp;COUNTIFS($V$6:$V$505,29,$F$6:$F$505,F226,$C$6:$C$505,C226,$O$6:$O$505,"&lt;&gt;")&amp;"). Para resolverlo: seleccione la celda O"&amp;ROW()&amp;" (columna Valor a declarar de ESTA fila) y presione Supr."),""))</f>
        <v/>
      </c>
      <c r="X226" s="463">
        <f>IF(A226="","",F226)</f>
        <v/>
      </c>
      <c r="Y226" s="463">
        <f>IF(A226="","",SUMIF(Entrada_Manual!$I$88:$I$187,A226,Entrada_Manual!$F$88:$F$187))</f>
        <v/>
      </c>
      <c r="Z226" s="463">
        <f>IF(A226="","",X226-Y226)</f>
        <v/>
      </c>
      <c r="AA226">
        <f>IF(A226="","",SUMPRODUCT((Entrada_Manual!$I$88:$I$187=A226)*1))</f>
        <v/>
      </c>
      <c r="AB226">
        <f>IF(A226="","",IF(S226&lt;=1,"",IF(AA226=0,"PENDIENTE — SIN ASIGNAR",IF(Z226=0,"RESUELTO","PARCIAL — DIFERENCIA "&amp;TEXT(Z226,"#,##0")))))</f>
        <v/>
      </c>
    </row>
    <row r="227" ht="14.25" customHeight="1" s="235">
      <c r="A227" s="47">
        <f>IF(Exogena_RAW!E236&lt;&gt;"",ROW()-5,"")</f>
        <v/>
      </c>
      <c r="B227" s="48">
        <f>IF(A227="","",236)</f>
        <v/>
      </c>
      <c r="C227" s="48">
        <f>IF(A227="","",IFERROR(Exogena_RAW!A236,""))</f>
        <v/>
      </c>
      <c r="D227" s="48">
        <f>IF(A227="","",IFERROR(Exogena_RAW!B236,""))</f>
        <v/>
      </c>
      <c r="E227" s="48">
        <f>IF(A227="","",Exogena_RAW!E236)</f>
        <v/>
      </c>
      <c r="F227" s="461">
        <f>IF(A227="","",Exogena_RAW!F236)</f>
        <v/>
      </c>
      <c r="G227" s="48">
        <f>IF(A227="","",IFERROR(Exogena_RAW!G236,""))</f>
        <v/>
      </c>
      <c r="H227" s="48">
        <f>IF(A227="","",IFERROR(Exogena_RAW!H236,""))</f>
        <v/>
      </c>
      <c r="I227" s="48">
        <f>IF(A227="","",IFERROR(IF(S227&gt;1,"VARIAS CASILLAS",IF(S227=1,IF(T227=1,"PROPUESTA DE CASILLA","REVISIÓN: CASILLA NO DIRECTA"),IF(OR(ISNUMBER(SEARCH("TOPE",UPPER(E227))),ISNUMBER(SEARCH("TOPE",UPPER(G227)))),"SOLO CONTROL",IF(ISNUMBER(SEARCH("RETEN",UPPER(E227))),"RETENCIÓN","REVISAR")))),"REVISAR"))</f>
        <v/>
      </c>
      <c r="J227" s="48">
        <f>IF(A227="","",IF(ISNUMBER(SEARCH("ingreso laboral promedio de los últimos seis meses",E227)),"",IFERROR(IF(AND(S227=1,T227=1),U227,""),"")))</f>
        <v/>
      </c>
      <c r="K227" s="216" t="n"/>
      <c r="L227" s="48">
        <f>IF(A227="","",IFERROR(IF(K227&lt;&gt;"","Casilla elegida por usuario",IF(S227&gt;1,"Varias casillas — elegir en K",IF(J227&lt;&gt;"","Sugerencia directa",IF(S227=1,"No trasladar directo — revisar",IF(OR(ISNUMBER(SEARCH("TOPE",UPPER(E227))),ISNUMBER(SEARCH("TOPE",UPPER(G227)))),"Solo control","Revisar manualmente"))))),"Revisar manualmente"))</f>
        <v/>
      </c>
      <c r="M227" s="461">
        <f>IF(A227="","",IF(IF(K227&lt;&gt;"",K227,J227)="",0,IF(COUNTIFS(Reglas!$I$5:$I$118,IF(K227&lt;&gt;"",K227,J227),Reglas!$J$5:$J$118,"Sí")=1,F227,0)))</f>
        <v/>
      </c>
      <c r="N227" s="56" t="n"/>
      <c r="O227" s="462">
        <f>IF(A227="","",IF(M227=0,"",M227))</f>
        <v/>
      </c>
      <c r="P227" s="461">
        <f>IF(A227="","",IF(O227="",0,IF(ISNUMBER(O227),O227,0)))</f>
        <v/>
      </c>
      <c r="Q227" s="48">
        <f>IF(A227="","",IF(Exogena_RAW!$C$4="","BLOQUEADO: FALTA AÑO",IF(Exogena_RAW!$K$10&lt;&gt;Reglas!$B$5,"BLOQUEADO: AÑO",IF(IF(K227&lt;&gt;"",K227,J227)="",IF(S227&gt;1,"REQUIERE ASIGNACIÓN MANUAL (VARIAS CASILLAS)","INFORMATIVO (sin casilla — no se declara)"),IF(COUNTIFS(Reglas!$I$5:$I$118,IF(K227&lt;&gt;"",K227,J227),Reglas!$J$5:$J$118,"Sí")=0,"BLOQUEADO: CASILLA NO DIRECTA",IF(O227="","EXCLUIDO (valor borrado por el usuario)",IF(_xlfn.ISFORMULA(O227),IF(W227&lt;&gt;"","BORRADOR — VALOR SUGERIDO DIAN ⚠ VER ALERTA","BORRADOR — VALOR SUGERIDO DIAN"),IF(W227&lt;&gt;"","ACEPTADO ⚠ VER ALERTA","ACEPTADO"))))))))</f>
        <v/>
      </c>
      <c r="R227" s="218" t="n"/>
      <c r="S227" s="58">
        <f>IF(A227="","",IFERROR(--ISNUMBER(SEARCH("R28",G227)),0)+IFERROR(--ISNUMBER(SEARCH("R29",G227)),0)+IFERROR(--ISNUMBER(SEARCH("R30",G227)),0)+IFERROR(--ISNUMBER(SEARCH("R31",G227)),0)+IFERROR(--ISNUMBER(SEARCH("R32",G227)),0)+IFERROR(--ISNUMBER(SEARCH("R33",G227)),0)+IFERROR(--ISNUMBER(SEARCH("R34",G227)),0)+IFERROR(--ISNUMBER(SEARCH("R35",G227)),0)+IFERROR(--ISNUMBER(SEARCH("R36",G227)),0)+IFERROR(--ISNUMBER(SEARCH("R37",G227)),0)+IFERROR(--ISNUMBER(SEARCH("R38",G227)),0)+IFERROR(--ISNUMBER(SEARCH("R39",G227)),0)+IFERROR(--ISNUMBER(SEARCH("R40",G227)),0)+IFERROR(--ISNUMBER(SEARCH("R41",G227)),0)+IFERROR(--ISNUMBER(SEARCH("R42",G227)),0)+IFERROR(--ISNUMBER(SEARCH("R43",G227)),0)+IFERROR(--ISNUMBER(SEARCH("R44",G227)),0)+IFERROR(--ISNUMBER(SEARCH("R45",G227)),0)+IFERROR(--ISNUMBER(SEARCH("R46",G227)),0)+IFERROR(--ISNUMBER(SEARCH("R47",G227)),0)+IFERROR(--ISNUMBER(SEARCH("R48",G227)),0)+IFERROR(--ISNUMBER(SEARCH("R49",G227)),0)+IFERROR(--ISNUMBER(SEARCH("R50",G227)),0)+IFERROR(--ISNUMBER(SEARCH("R51",G227)),0)+IFERROR(--ISNUMBER(SEARCH("R52",G227)),0)+IFERROR(--ISNUMBER(SEARCH("R53",G227)),0)+IFERROR(--ISNUMBER(SEARCH("R54",G227)),0)+IFERROR(--ISNUMBER(SEARCH("R55",G227)),0)+IFERROR(--ISNUMBER(SEARCH("R56",G227)),0)+IFERROR(--ISNUMBER(SEARCH("R57",G227)),0)+IFERROR(--ISNUMBER(SEARCH("R58",G227)),0)+IFERROR(--ISNUMBER(SEARCH("R59",G227)),0)+IFERROR(--ISNUMBER(SEARCH("R60",G227)),0)+IFERROR(--ISNUMBER(SEARCH("R61",G227)),0)+IFERROR(--ISNUMBER(SEARCH("R62",G227)),0)+IFERROR(--ISNUMBER(SEARCH("R63",G227)),0)+IFERROR(--ISNUMBER(SEARCH("R64",G227)),0)+IFERROR(--ISNUMBER(SEARCH("R65",G227)),0)+IFERROR(--ISNUMBER(SEARCH("R66",G227)),0)+IFERROR(--ISNUMBER(SEARCH("R67",G227)),0)+IFERROR(--ISNUMBER(SEARCH("R68",G227)),0)+IFERROR(--ISNUMBER(SEARCH("R69",G227)),0)+IFERROR(--ISNUMBER(SEARCH("R70",G227)),0)+IFERROR(--ISNUMBER(SEARCH("R71",G227)),0)+IFERROR(--ISNUMBER(SEARCH("R72",G227)),0)+IFERROR(--ISNUMBER(SEARCH("R73",G227)),0)+IFERROR(--ISNUMBER(SEARCH("R74",G227)),0)+IFERROR(--ISNUMBER(SEARCH("R75",G227)),0)+IFERROR(--ISNUMBER(SEARCH("R76",G227)),0)+IFERROR(--ISNUMBER(SEARCH("R77",G227)),0)+IFERROR(--ISNUMBER(SEARCH("R78",G227)),0)+IFERROR(--ISNUMBER(SEARCH("R79",G227)),0)+IFERROR(--ISNUMBER(SEARCH("R80",G227)),0)+IFERROR(--ISNUMBER(SEARCH("R81",G227)),0)+IFERROR(--ISNUMBER(SEARCH("R82",G227)),0)+IFERROR(--ISNUMBER(SEARCH("R83",G227)),0)+IFERROR(--ISNUMBER(SEARCH("R84",G227)),0)+IFERROR(--ISNUMBER(SEARCH("R85",G227)),0)+IFERROR(--ISNUMBER(SEARCH("R86",G227)),0)+IFERROR(--ISNUMBER(SEARCH("R87",G227)),0)+IFERROR(--ISNUMBER(SEARCH("R88",G227)),0)+IFERROR(--ISNUMBER(SEARCH("R89",G227)),0)+IFERROR(--ISNUMBER(SEARCH("R90",G227)),0)+IFERROR(--ISNUMBER(SEARCH("R91",G227)),0)+IFERROR(--ISNUMBER(SEARCH("R92",G227)),0)+IFERROR(--ISNUMBER(SEARCH("R93",G227)),0)+IFERROR(--ISNUMBER(SEARCH("R94",G227)),0)+IFERROR(--ISNUMBER(SEARCH("R95",G227)),0)+IFERROR(--ISNUMBER(SEARCH("R96",G227)),0)+IFERROR(--ISNUMBER(SEARCH("R97",G227)),0)+IFERROR(--ISNUMBER(SEARCH("R98",G227)),0)+IFERROR(--ISNUMBER(SEARCH("R99",G227)),0)+IFERROR(--ISNUMBER(SEARCH("R100",G227)),0)+IFERROR(--ISNUMBER(SEARCH("R101",G227)),0)+IFERROR(--ISNUMBER(SEARCH("R102",G227)),0)+IFERROR(--ISNUMBER(SEARCH("R103",G227)),0)+IFERROR(--ISNUMBER(SEARCH("R104",G227)),0)+IFERROR(--ISNUMBER(SEARCH("R105",G227)),0)+IFERROR(--ISNUMBER(SEARCH("R106",G227)),0)+IFERROR(--ISNUMBER(SEARCH("R107",G227)),0)+IFERROR(--ISNUMBER(SEARCH("R108",G227)),0)+IFERROR(--ISNUMBER(SEARCH("R109",G227)),0)+IFERROR(--ISNUMBER(SEARCH("R110",G227)),0)+IFERROR(--ISNUMBER(SEARCH("R111",G227)),0)+IFERROR(--ISNUMBER(SEARCH("R112",G227)),0)+IFERROR(--ISNUMBER(SEARCH("R113",G227)),0)+IFERROR(--ISNUMBER(SEARCH("R114",G227)),0)+IFERROR(--ISNUMBER(SEARCH("R115",G227)),0)+IFERROR(--ISNUMBER(SEARCH("R116",G227)),0)+IFERROR(--ISNUMBER(SEARCH("R117",G227)),0)+IFERROR(--ISNUMBER(SEARCH("R118",G227)),0)+IFERROR(--ISNUMBER(SEARCH("R119",G227)),0)+IFERROR(--ISNUMBER(SEARCH("R120",G227)),0)+IFERROR(--ISNUMBER(SEARCH("R121",G227)),0)+IFERROR(--ISNUMBER(SEARCH("R122",G227)),0)+IFERROR(--ISNUMBER(SEARCH("R123",G227)),0)+IFERROR(--ISNUMBER(SEARCH("R124",G227)),0)+IFERROR(--ISNUMBER(SEARCH("R125",G227)),0)+IFERROR(--ISNUMBER(SEARCH("R126",G227)),0)+IFERROR(--ISNUMBER(SEARCH("R127",G227)),0)+IFERROR(--ISNUMBER(SEARCH("R128",G227)),0)+IFERROR(--ISNUMBER(SEARCH("R129",G227)),0)+IFERROR(--ISNUMBER(SEARCH("R130",G227)),0)+IFERROR(--ISNUMBER(SEARCH("R131",G227)),0)+IFERROR(--ISNUMBER(SEARCH("R132",G227)),0)+IFERROR(--ISNUMBER(SEARCH("R133",G227)),0)+IFERROR(--ISNUMBER(SEARCH("R134",G227)),0)+IFERROR(--ISNUMBER(SEARCH("R135",G227)),0)+IFERROR(--ISNUMBER(SEARCH("R136",G227)),0)+IFERROR(--ISNUMBER(SEARCH("R137",G227)),0)+IFERROR(--ISNUMBER(SEARCH("R138",G227)),0)+IFERROR(--ISNUMBER(SEARCH("R139",G227)),0)+IFERROR(--ISNUMBER(SEARCH("R140",G227)),0)+IFERROR(--ISNUMBER(SEARCH("R141",G227)),0))</f>
        <v/>
      </c>
      <c r="T227" s="58">
        <f>IF(A227="","",IFERROR(--ISNUMBER(SEARCH("R28",G227)),0)+IFERROR(--ISNUMBER(SEARCH("R29",G227)),0)+IFERROR(--ISNUMBER(SEARCH("R30",G227)),0)+IFERROR(--ISNUMBER(SEARCH("R32",G227)),0)+IFERROR(--ISNUMBER(SEARCH("R33",G227)),0)+IFERROR(--ISNUMBER(SEARCH("R35",G227)),0)+IFERROR(--ISNUMBER(SEARCH("R36",G227)),0)+IFERROR(--ISNUMBER(SEARCH("R38",G227)),0)+IFERROR(--ISNUMBER(SEARCH("R39",G227)),0)+IFERROR(--ISNUMBER(SEARCH("R43",G227)),0)+IFERROR(--ISNUMBER(SEARCH("R44",G227)),0)+IFERROR(--ISNUMBER(SEARCH("R45",G227)),0)+IFERROR(--ISNUMBER(SEARCH("R47",G227)),0)+IFERROR(--ISNUMBER(SEARCH("R48",G227)),0)+IFERROR(--ISNUMBER(SEARCH("R50",G227)),0)+IFERROR(--ISNUMBER(SEARCH("R51",G227)),0)+IFERROR(--ISNUMBER(SEARCH("R56",G227)),0)+IFERROR(--ISNUMBER(SEARCH("R58",G227)),0)+IFERROR(--ISNUMBER(SEARCH("R59",G227)),0)+IFERROR(--ISNUMBER(SEARCH("R60",G227)),0)+IFERROR(--ISNUMBER(SEARCH("R62",G227)),0)+IFERROR(--ISNUMBER(SEARCH("R63",G227)),0)+IFERROR(--ISNUMBER(SEARCH("R64",G227)),0)+IFERROR(--ISNUMBER(SEARCH("R66",G227)),0)+IFERROR(--ISNUMBER(SEARCH("R67",G227)),0)+IFERROR(--ISNUMBER(SEARCH("R72",G227)),0)+IFERROR(--ISNUMBER(SEARCH("R74",G227)),0)+IFERROR(--ISNUMBER(SEARCH("R75",G227)),0)+IFERROR(--ISNUMBER(SEARCH("R76",G227)),0)+IFERROR(--ISNUMBER(SEARCH("R77",G227)),0)+IFERROR(--ISNUMBER(SEARCH("R79",G227)),0)+IFERROR(--ISNUMBER(SEARCH("R80",G227)),0)+IFERROR(--ISNUMBER(SEARCH("R81",G227)),0)+IFERROR(--ISNUMBER(SEARCH("R83",G227)),0)+IFERROR(--ISNUMBER(SEARCH("R84",G227)),0)+IFERROR(--ISNUMBER(SEARCH("R89",G227)),0)+IFERROR(--ISNUMBER(SEARCH("R94",G227)),0)+IFERROR(--ISNUMBER(SEARCH("R95",G227)),0)+IFERROR(--ISNUMBER(SEARCH("R96",G227)),0)+IFERROR(--ISNUMBER(SEARCH("R98",G227)),0)+IFERROR(--ISNUMBER(SEARCH("R99",G227)),0)+IFERROR(--ISNUMBER(SEARCH("R100",G227)),0)+IFERROR(--ISNUMBER(SEARCH("R104",G227)),0)+IFERROR(--ISNUMBER(SEARCH("R105",G227)),0)+IFERROR(--ISNUMBER(SEARCH("R107",G227)),0)+IFERROR(--ISNUMBER(SEARCH("R108",G227)),0)+IFERROR(--ISNUMBER(SEARCH("R109",G227)),0)+IFERROR(--ISNUMBER(SEARCH("R110",G227)),0)+IFERROR(--ISNUMBER(SEARCH("R112",G227)),0)+IFERROR(--ISNUMBER(SEARCH("R113",G227)),0)+IFERROR(--ISNUMBER(SEARCH("R114",G227)),0)+IFERROR(--ISNUMBER(SEARCH("R118",G227)),0)+IFERROR(--ISNUMBER(SEARCH("R119",G227)),0)+IFERROR(--ISNUMBER(SEARCH("R120",G227)),0)+IFERROR(--ISNUMBER(SEARCH("R122",G227)),0)+IFERROR(--ISNUMBER(SEARCH("R123",G227)),0)+IFERROR(--ISNUMBER(SEARCH("R124",G227)),0)+IFERROR(--ISNUMBER(SEARCH("R128",G227)),0)+IFERROR(--ISNUMBER(SEARCH("R130",G227)),0)+IFERROR(--ISNUMBER(SEARCH("R131",G227)),0)+IFERROR(--ISNUMBER(SEARCH("R132",G227)),0)+IFERROR(--ISNUMBER(SEARCH("R135",G227)),0)+IFERROR(--ISNUMBER(SEARCH("R138",G227)),0)+IFERROR(--ISNUMBER(SEARCH("R141",G227)),0))</f>
        <v/>
      </c>
      <c r="U227" s="58">
        <f>IF(A227="","",IFERROR(--ISNUMBER(SEARCH("R28",G227))*28,0)+IFERROR(--ISNUMBER(SEARCH("R29",G227))*29,0)+IFERROR(--ISNUMBER(SEARCH("R30",G227))*30,0)+IFERROR(--ISNUMBER(SEARCH("R31",G227))*31,0)+IFERROR(--ISNUMBER(SEARCH("R32",G227))*32,0)+IFERROR(--ISNUMBER(SEARCH("R33",G227))*33,0)+IFERROR(--ISNUMBER(SEARCH("R34",G227))*34,0)+IFERROR(--ISNUMBER(SEARCH("R35",G227))*35,0)+IFERROR(--ISNUMBER(SEARCH("R36",G227))*36,0)+IFERROR(--ISNUMBER(SEARCH("R37",G227))*37,0)+IFERROR(--ISNUMBER(SEARCH("R38",G227))*38,0)+IFERROR(--ISNUMBER(SEARCH("R39",G227))*39,0)+IFERROR(--ISNUMBER(SEARCH("R40",G227))*40,0)+IFERROR(--ISNUMBER(SEARCH("R41",G227))*41,0)+IFERROR(--ISNUMBER(SEARCH("R42",G227))*42,0)+IFERROR(--ISNUMBER(SEARCH("R43",G227))*43,0)+IFERROR(--ISNUMBER(SEARCH("R44",G227))*44,0)+IFERROR(--ISNUMBER(SEARCH("R45",G227))*45,0)+IFERROR(--ISNUMBER(SEARCH("R46",G227))*46,0)+IFERROR(--ISNUMBER(SEARCH("R47",G227))*47,0)+IFERROR(--ISNUMBER(SEARCH("R48",G227))*48,0)+IFERROR(--ISNUMBER(SEARCH("R49",G227))*49,0)+IFERROR(--ISNUMBER(SEARCH("R50",G227))*50,0)+IFERROR(--ISNUMBER(SEARCH("R51",G227))*51,0)+IFERROR(--ISNUMBER(SEARCH("R52",G227))*52,0)+IFERROR(--ISNUMBER(SEARCH("R53",G227))*53,0)+IFERROR(--ISNUMBER(SEARCH("R54",G227))*54,0)+IFERROR(--ISNUMBER(SEARCH("R55",G227))*55,0)+IFERROR(--ISNUMBER(SEARCH("R56",G227))*56,0)+IFERROR(--ISNUMBER(SEARCH("R57",G227))*57,0)+IFERROR(--ISNUMBER(SEARCH("R58",G227))*58,0)+IFERROR(--ISNUMBER(SEARCH("R59",G227))*59,0)+IFERROR(--ISNUMBER(SEARCH("R60",G227))*60,0)+IFERROR(--ISNUMBER(SEARCH("R61",G227))*61,0)+IFERROR(--ISNUMBER(SEARCH("R62",G227))*62,0)+IFERROR(--ISNUMBER(SEARCH("R63",G227))*63,0)+IFERROR(--ISNUMBER(SEARCH("R64",G227))*64,0)+IFERROR(--ISNUMBER(SEARCH("R65",G227))*65,0)+IFERROR(--ISNUMBER(SEARCH("R66",G227))*66,0)+IFERROR(--ISNUMBER(SEARCH("R67",G227))*67,0)+IFERROR(--ISNUMBER(SEARCH("R68",G227))*68,0)+IFERROR(--ISNUMBER(SEARCH("R69",G227))*69,0)+IFERROR(--ISNUMBER(SEARCH("R70",G227))*70,0)+IFERROR(--ISNUMBER(SEARCH("R71",G227))*71,0)+IFERROR(--ISNUMBER(SEARCH("R72",G227))*72,0)+IFERROR(--ISNUMBER(SEARCH("R73",G227))*73,0)+IFERROR(--ISNUMBER(SEARCH("R74",G227))*74,0)+IFERROR(--ISNUMBER(SEARCH("R75",G227))*75,0)+IFERROR(--ISNUMBER(SEARCH("R76",G227))*76,0)+IFERROR(--ISNUMBER(SEARCH("R77",G227))*77,0)+IFERROR(--ISNUMBER(SEARCH("R78",G227))*78,0)+IFERROR(--ISNUMBER(SEARCH("R79",G227))*79,0)+IFERROR(--ISNUMBER(SEARCH("R80",G227))*80,0)+IFERROR(--ISNUMBER(SEARCH("R81",G227))*81,0)+IFERROR(--ISNUMBER(SEARCH("R82",G227))*82,0)+IFERROR(--ISNUMBER(SEARCH("R83",G227))*83,0)+IFERROR(--ISNUMBER(SEARCH("R84",G227))*84,0)+IFERROR(--ISNUMBER(SEARCH("R85",G227))*85,0)+IFERROR(--ISNUMBER(SEARCH("R86",G227))*86,0)+IFERROR(--ISNUMBER(SEARCH("R87",G227))*87,0)+IFERROR(--ISNUMBER(SEARCH("R88",G227))*88,0)+IFERROR(--ISNUMBER(SEARCH("R89",G227))*89,0)+IFERROR(--ISNUMBER(SEARCH("R90",G227))*90,0)+IFERROR(--ISNUMBER(SEARCH("R91",G227))*91,0)+IFERROR(--ISNUMBER(SEARCH("R92",G227))*92,0)+IFERROR(--ISNUMBER(SEARCH("R93",G227))*93,0)+IFERROR(--ISNUMBER(SEARCH("R94",G227))*94,0)+IFERROR(--ISNUMBER(SEARCH("R95",G227))*95,0)+IFERROR(--ISNUMBER(SEARCH("R96",G227))*96,0)+IFERROR(--ISNUMBER(SEARCH("R97",G227))*97,0)+IFERROR(--ISNUMBER(SEARCH("R98",G227))*98,0)+IFERROR(--ISNUMBER(SEARCH("R99",G227))*99,0)+IFERROR(--ISNUMBER(SEARCH("R100",G227))*100,0)+IFERROR(--ISNUMBER(SEARCH("R101",G227))*101,0)+IFERROR(--ISNUMBER(SEARCH("R102",G227))*102,0)+IFERROR(--ISNUMBER(SEARCH("R103",G227))*103,0)+IFERROR(--ISNUMBER(SEARCH("R104",G227))*104,0)+IFERROR(--ISNUMBER(SEARCH("R105",G227))*105,0)+IFERROR(--ISNUMBER(SEARCH("R106",G227))*106,0)+IFERROR(--ISNUMBER(SEARCH("R107",G227))*107,0)+IFERROR(--ISNUMBER(SEARCH("R108",G227))*108,0)+IFERROR(--ISNUMBER(SEARCH("R109",G227))*109,0)+IFERROR(--ISNUMBER(SEARCH("R110",G227))*110,0)+IFERROR(--ISNUMBER(SEARCH("R111",G227))*111,0)+IFERROR(--ISNUMBER(SEARCH("R112",G227))*112,0)+IFERROR(--ISNUMBER(SEARCH("R113",G227))*113,0)+IFERROR(--ISNUMBER(SEARCH("R114",G227))*114,0)+IFERROR(--ISNUMBER(SEARCH("R115",G227))*115,0)+IFERROR(--ISNUMBER(SEARCH("R116",G227))*116,0)+IFERROR(--ISNUMBER(SEARCH("R117",G227))*117,0)+IFERROR(--ISNUMBER(SEARCH("R118",G227))*118,0)+IFERROR(--ISNUMBER(SEARCH("R119",G227))*119,0)+IFERROR(--ISNUMBER(SEARCH("R120",G227))*120,0)+IFERROR(--ISNUMBER(SEARCH("R121",G227))*121,0)+IFERROR(--ISNUMBER(SEARCH("R122",G227))*122,0)+IFERROR(--ISNUMBER(SEARCH("R123",G227))*123,0)+IFERROR(--ISNUMBER(SEARCH("R124",G227))*124,0)+IFERROR(--ISNUMBER(SEARCH("R125",G227))*125,0)+IFERROR(--ISNUMBER(SEARCH("R126",G227))*126,0)+IFERROR(--ISNUMBER(SEARCH("R127",G227))*127,0)+IFERROR(--ISNUMBER(SEARCH("R128",G227))*128,0)+IFERROR(--ISNUMBER(SEARCH("R129",G227))*129,0)+IFERROR(--ISNUMBER(SEARCH("R130",G227))*130,0)+IFERROR(--ISNUMBER(SEARCH("R131",G227))*131,0)+IFERROR(--ISNUMBER(SEARCH("R132",G227))*132,0)+IFERROR(--ISNUMBER(SEARCH("R133",G227))*133,0)+IFERROR(--ISNUMBER(SEARCH("R134",G227))*134,0)+IFERROR(--ISNUMBER(SEARCH("R135",G227))*135,0)+IFERROR(--ISNUMBER(SEARCH("R136",G227))*136,0)+IFERROR(--ISNUMBER(SEARCH("R137",G227))*137,0)+IFERROR(--ISNUMBER(SEARCH("R138",G227))*138,0)+IFERROR(--ISNUMBER(SEARCH("R139",G227))*139,0)+IFERROR(--ISNUMBER(SEARCH("R140",G227))*140,0)+IFERROR(--ISNUMBER(SEARCH("R141",G227))*141,0))</f>
        <v/>
      </c>
      <c r="V227" s="59">
        <f>IF(A227="","",IF(K227&lt;&gt;"",K227,J227))</f>
        <v/>
      </c>
      <c r="W227" s="59">
        <f>IF(A227="","",IF(AND(V227=29,O227&lt;&gt;"",COUNTIFS($V$6:$V$505,29,$F$6:$F$505,F227,$C$6:$C$505,C227,$O$6:$O$505,"&lt;&gt;")&gt;1),IF(COUNTIFS($V$6:V227,29,$F$6:F227,F227,$C$6:C227,C227,$O$6:O227,"&lt;&gt;")=1,"Esta es la fila que se debe CONSERVAR (aparición 1 de "&amp;COUNTIFS($V$6:$V$505,29,$F$6:$F$505,F227,$C$6:$C$505,C227,$O$6:$O$505,"&lt;&gt;")&amp;" con el mismo tercero y valor, casilla 29). Si hay más filas iguales, bórreles el valor a ELLAS, no a esta.","DUPLICADO — ya existe otra fila con el mismo tercero y valor para casilla 29 (aparición "&amp;COUNTIFS($V$6:V227,29,$F$6:F227,F227,$C$6:C227,C227,$O$6:O227,"&lt;&gt;")&amp;" de "&amp;COUNTIFS($V$6:$V$505,29,$F$6:$F$505,F227,$C$6:$C$505,C227,$O$6:$O$505,"&lt;&gt;")&amp;"). Para resolverlo: seleccione la celda O"&amp;ROW()&amp;" (columna Valor a declarar de ESTA fila) y presione Supr."),""))</f>
        <v/>
      </c>
      <c r="X227" s="463">
        <f>IF(A227="","",F227)</f>
        <v/>
      </c>
      <c r="Y227" s="463">
        <f>IF(A227="","",SUMIF(Entrada_Manual!$I$88:$I$187,A227,Entrada_Manual!$F$88:$F$187))</f>
        <v/>
      </c>
      <c r="Z227" s="463">
        <f>IF(A227="","",X227-Y227)</f>
        <v/>
      </c>
      <c r="AA227">
        <f>IF(A227="","",SUMPRODUCT((Entrada_Manual!$I$88:$I$187=A227)*1))</f>
        <v/>
      </c>
      <c r="AB227">
        <f>IF(A227="","",IF(S227&lt;=1,"",IF(AA227=0,"PENDIENTE — SIN ASIGNAR",IF(Z227=0,"RESUELTO","PARCIAL — DIFERENCIA "&amp;TEXT(Z227,"#,##0")))))</f>
        <v/>
      </c>
    </row>
    <row r="228" ht="14.25" customHeight="1" s="235">
      <c r="A228" s="47">
        <f>IF(Exogena_RAW!E237&lt;&gt;"",ROW()-5,"")</f>
        <v/>
      </c>
      <c r="B228" s="48">
        <f>IF(A228="","",237)</f>
        <v/>
      </c>
      <c r="C228" s="48">
        <f>IF(A228="","",IFERROR(Exogena_RAW!A237,""))</f>
        <v/>
      </c>
      <c r="D228" s="48">
        <f>IF(A228="","",IFERROR(Exogena_RAW!B237,""))</f>
        <v/>
      </c>
      <c r="E228" s="48">
        <f>IF(A228="","",Exogena_RAW!E237)</f>
        <v/>
      </c>
      <c r="F228" s="461">
        <f>IF(A228="","",Exogena_RAW!F237)</f>
        <v/>
      </c>
      <c r="G228" s="48">
        <f>IF(A228="","",IFERROR(Exogena_RAW!G237,""))</f>
        <v/>
      </c>
      <c r="H228" s="48">
        <f>IF(A228="","",IFERROR(Exogena_RAW!H237,""))</f>
        <v/>
      </c>
      <c r="I228" s="48">
        <f>IF(A228="","",IFERROR(IF(S228&gt;1,"VARIAS CASILLAS",IF(S228=1,IF(T228=1,"PROPUESTA DE CASILLA","REVISIÓN: CASILLA NO DIRECTA"),IF(OR(ISNUMBER(SEARCH("TOPE",UPPER(E228))),ISNUMBER(SEARCH("TOPE",UPPER(G228)))),"SOLO CONTROL",IF(ISNUMBER(SEARCH("RETEN",UPPER(E228))),"RETENCIÓN","REVISAR")))),"REVISAR"))</f>
        <v/>
      </c>
      <c r="J228" s="48">
        <f>IF(A228="","",IF(ISNUMBER(SEARCH("ingreso laboral promedio de los últimos seis meses",E228)),"",IFERROR(IF(AND(S228=1,T228=1),U228,""),"")))</f>
        <v/>
      </c>
      <c r="K228" s="216" t="n"/>
      <c r="L228" s="48">
        <f>IF(A228="","",IFERROR(IF(K228&lt;&gt;"","Casilla elegida por usuario",IF(S228&gt;1,"Varias casillas — elegir en K",IF(J228&lt;&gt;"","Sugerencia directa",IF(S228=1,"No trasladar directo — revisar",IF(OR(ISNUMBER(SEARCH("TOPE",UPPER(E228))),ISNUMBER(SEARCH("TOPE",UPPER(G228)))),"Solo control","Revisar manualmente"))))),"Revisar manualmente"))</f>
        <v/>
      </c>
      <c r="M228" s="461">
        <f>IF(A228="","",IF(IF(K228&lt;&gt;"",K228,J228)="",0,IF(COUNTIFS(Reglas!$I$5:$I$118,IF(K228&lt;&gt;"",K228,J228),Reglas!$J$5:$J$118,"Sí")=1,F228,0)))</f>
        <v/>
      </c>
      <c r="N228" s="56" t="n"/>
      <c r="O228" s="462">
        <f>IF(A228="","",IF(M228=0,"",M228))</f>
        <v/>
      </c>
      <c r="P228" s="461">
        <f>IF(A228="","",IF(O228="",0,IF(ISNUMBER(O228),O228,0)))</f>
        <v/>
      </c>
      <c r="Q228" s="48">
        <f>IF(A228="","",IF(Exogena_RAW!$C$4="","BLOQUEADO: FALTA AÑO",IF(Exogena_RAW!$K$10&lt;&gt;Reglas!$B$5,"BLOQUEADO: AÑO",IF(IF(K228&lt;&gt;"",K228,J228)="",IF(S228&gt;1,"REQUIERE ASIGNACIÓN MANUAL (VARIAS CASILLAS)","INFORMATIVO (sin casilla — no se declara)"),IF(COUNTIFS(Reglas!$I$5:$I$118,IF(K228&lt;&gt;"",K228,J228),Reglas!$J$5:$J$118,"Sí")=0,"BLOQUEADO: CASILLA NO DIRECTA",IF(O228="","EXCLUIDO (valor borrado por el usuario)",IF(_xlfn.ISFORMULA(O228),IF(W228&lt;&gt;"","BORRADOR — VALOR SUGERIDO DIAN ⚠ VER ALERTA","BORRADOR — VALOR SUGERIDO DIAN"),IF(W228&lt;&gt;"","ACEPTADO ⚠ VER ALERTA","ACEPTADO"))))))))</f>
        <v/>
      </c>
      <c r="R228" s="218" t="n"/>
      <c r="S228" s="58">
        <f>IF(A228="","",IFERROR(--ISNUMBER(SEARCH("R28",G228)),0)+IFERROR(--ISNUMBER(SEARCH("R29",G228)),0)+IFERROR(--ISNUMBER(SEARCH("R30",G228)),0)+IFERROR(--ISNUMBER(SEARCH("R31",G228)),0)+IFERROR(--ISNUMBER(SEARCH("R32",G228)),0)+IFERROR(--ISNUMBER(SEARCH("R33",G228)),0)+IFERROR(--ISNUMBER(SEARCH("R34",G228)),0)+IFERROR(--ISNUMBER(SEARCH("R35",G228)),0)+IFERROR(--ISNUMBER(SEARCH("R36",G228)),0)+IFERROR(--ISNUMBER(SEARCH("R37",G228)),0)+IFERROR(--ISNUMBER(SEARCH("R38",G228)),0)+IFERROR(--ISNUMBER(SEARCH("R39",G228)),0)+IFERROR(--ISNUMBER(SEARCH("R40",G228)),0)+IFERROR(--ISNUMBER(SEARCH("R41",G228)),0)+IFERROR(--ISNUMBER(SEARCH("R42",G228)),0)+IFERROR(--ISNUMBER(SEARCH("R43",G228)),0)+IFERROR(--ISNUMBER(SEARCH("R44",G228)),0)+IFERROR(--ISNUMBER(SEARCH("R45",G228)),0)+IFERROR(--ISNUMBER(SEARCH("R46",G228)),0)+IFERROR(--ISNUMBER(SEARCH("R47",G228)),0)+IFERROR(--ISNUMBER(SEARCH("R48",G228)),0)+IFERROR(--ISNUMBER(SEARCH("R49",G228)),0)+IFERROR(--ISNUMBER(SEARCH("R50",G228)),0)+IFERROR(--ISNUMBER(SEARCH("R51",G228)),0)+IFERROR(--ISNUMBER(SEARCH("R52",G228)),0)+IFERROR(--ISNUMBER(SEARCH("R53",G228)),0)+IFERROR(--ISNUMBER(SEARCH("R54",G228)),0)+IFERROR(--ISNUMBER(SEARCH("R55",G228)),0)+IFERROR(--ISNUMBER(SEARCH("R56",G228)),0)+IFERROR(--ISNUMBER(SEARCH("R57",G228)),0)+IFERROR(--ISNUMBER(SEARCH("R58",G228)),0)+IFERROR(--ISNUMBER(SEARCH("R59",G228)),0)+IFERROR(--ISNUMBER(SEARCH("R60",G228)),0)+IFERROR(--ISNUMBER(SEARCH("R61",G228)),0)+IFERROR(--ISNUMBER(SEARCH("R62",G228)),0)+IFERROR(--ISNUMBER(SEARCH("R63",G228)),0)+IFERROR(--ISNUMBER(SEARCH("R64",G228)),0)+IFERROR(--ISNUMBER(SEARCH("R65",G228)),0)+IFERROR(--ISNUMBER(SEARCH("R66",G228)),0)+IFERROR(--ISNUMBER(SEARCH("R67",G228)),0)+IFERROR(--ISNUMBER(SEARCH("R68",G228)),0)+IFERROR(--ISNUMBER(SEARCH("R69",G228)),0)+IFERROR(--ISNUMBER(SEARCH("R70",G228)),0)+IFERROR(--ISNUMBER(SEARCH("R71",G228)),0)+IFERROR(--ISNUMBER(SEARCH("R72",G228)),0)+IFERROR(--ISNUMBER(SEARCH("R73",G228)),0)+IFERROR(--ISNUMBER(SEARCH("R74",G228)),0)+IFERROR(--ISNUMBER(SEARCH("R75",G228)),0)+IFERROR(--ISNUMBER(SEARCH("R76",G228)),0)+IFERROR(--ISNUMBER(SEARCH("R77",G228)),0)+IFERROR(--ISNUMBER(SEARCH("R78",G228)),0)+IFERROR(--ISNUMBER(SEARCH("R79",G228)),0)+IFERROR(--ISNUMBER(SEARCH("R80",G228)),0)+IFERROR(--ISNUMBER(SEARCH("R81",G228)),0)+IFERROR(--ISNUMBER(SEARCH("R82",G228)),0)+IFERROR(--ISNUMBER(SEARCH("R83",G228)),0)+IFERROR(--ISNUMBER(SEARCH("R84",G228)),0)+IFERROR(--ISNUMBER(SEARCH("R85",G228)),0)+IFERROR(--ISNUMBER(SEARCH("R86",G228)),0)+IFERROR(--ISNUMBER(SEARCH("R87",G228)),0)+IFERROR(--ISNUMBER(SEARCH("R88",G228)),0)+IFERROR(--ISNUMBER(SEARCH("R89",G228)),0)+IFERROR(--ISNUMBER(SEARCH("R90",G228)),0)+IFERROR(--ISNUMBER(SEARCH("R91",G228)),0)+IFERROR(--ISNUMBER(SEARCH("R92",G228)),0)+IFERROR(--ISNUMBER(SEARCH("R93",G228)),0)+IFERROR(--ISNUMBER(SEARCH("R94",G228)),0)+IFERROR(--ISNUMBER(SEARCH("R95",G228)),0)+IFERROR(--ISNUMBER(SEARCH("R96",G228)),0)+IFERROR(--ISNUMBER(SEARCH("R97",G228)),0)+IFERROR(--ISNUMBER(SEARCH("R98",G228)),0)+IFERROR(--ISNUMBER(SEARCH("R99",G228)),0)+IFERROR(--ISNUMBER(SEARCH("R100",G228)),0)+IFERROR(--ISNUMBER(SEARCH("R101",G228)),0)+IFERROR(--ISNUMBER(SEARCH("R102",G228)),0)+IFERROR(--ISNUMBER(SEARCH("R103",G228)),0)+IFERROR(--ISNUMBER(SEARCH("R104",G228)),0)+IFERROR(--ISNUMBER(SEARCH("R105",G228)),0)+IFERROR(--ISNUMBER(SEARCH("R106",G228)),0)+IFERROR(--ISNUMBER(SEARCH("R107",G228)),0)+IFERROR(--ISNUMBER(SEARCH("R108",G228)),0)+IFERROR(--ISNUMBER(SEARCH("R109",G228)),0)+IFERROR(--ISNUMBER(SEARCH("R110",G228)),0)+IFERROR(--ISNUMBER(SEARCH("R111",G228)),0)+IFERROR(--ISNUMBER(SEARCH("R112",G228)),0)+IFERROR(--ISNUMBER(SEARCH("R113",G228)),0)+IFERROR(--ISNUMBER(SEARCH("R114",G228)),0)+IFERROR(--ISNUMBER(SEARCH("R115",G228)),0)+IFERROR(--ISNUMBER(SEARCH("R116",G228)),0)+IFERROR(--ISNUMBER(SEARCH("R117",G228)),0)+IFERROR(--ISNUMBER(SEARCH("R118",G228)),0)+IFERROR(--ISNUMBER(SEARCH("R119",G228)),0)+IFERROR(--ISNUMBER(SEARCH("R120",G228)),0)+IFERROR(--ISNUMBER(SEARCH("R121",G228)),0)+IFERROR(--ISNUMBER(SEARCH("R122",G228)),0)+IFERROR(--ISNUMBER(SEARCH("R123",G228)),0)+IFERROR(--ISNUMBER(SEARCH("R124",G228)),0)+IFERROR(--ISNUMBER(SEARCH("R125",G228)),0)+IFERROR(--ISNUMBER(SEARCH("R126",G228)),0)+IFERROR(--ISNUMBER(SEARCH("R127",G228)),0)+IFERROR(--ISNUMBER(SEARCH("R128",G228)),0)+IFERROR(--ISNUMBER(SEARCH("R129",G228)),0)+IFERROR(--ISNUMBER(SEARCH("R130",G228)),0)+IFERROR(--ISNUMBER(SEARCH("R131",G228)),0)+IFERROR(--ISNUMBER(SEARCH("R132",G228)),0)+IFERROR(--ISNUMBER(SEARCH("R133",G228)),0)+IFERROR(--ISNUMBER(SEARCH("R134",G228)),0)+IFERROR(--ISNUMBER(SEARCH("R135",G228)),0)+IFERROR(--ISNUMBER(SEARCH("R136",G228)),0)+IFERROR(--ISNUMBER(SEARCH("R137",G228)),0)+IFERROR(--ISNUMBER(SEARCH("R138",G228)),0)+IFERROR(--ISNUMBER(SEARCH("R139",G228)),0)+IFERROR(--ISNUMBER(SEARCH("R140",G228)),0)+IFERROR(--ISNUMBER(SEARCH("R141",G228)),0))</f>
        <v/>
      </c>
      <c r="T228" s="58">
        <f>IF(A228="","",IFERROR(--ISNUMBER(SEARCH("R28",G228)),0)+IFERROR(--ISNUMBER(SEARCH("R29",G228)),0)+IFERROR(--ISNUMBER(SEARCH("R30",G228)),0)+IFERROR(--ISNUMBER(SEARCH("R32",G228)),0)+IFERROR(--ISNUMBER(SEARCH("R33",G228)),0)+IFERROR(--ISNUMBER(SEARCH("R35",G228)),0)+IFERROR(--ISNUMBER(SEARCH("R36",G228)),0)+IFERROR(--ISNUMBER(SEARCH("R38",G228)),0)+IFERROR(--ISNUMBER(SEARCH("R39",G228)),0)+IFERROR(--ISNUMBER(SEARCH("R43",G228)),0)+IFERROR(--ISNUMBER(SEARCH("R44",G228)),0)+IFERROR(--ISNUMBER(SEARCH("R45",G228)),0)+IFERROR(--ISNUMBER(SEARCH("R47",G228)),0)+IFERROR(--ISNUMBER(SEARCH("R48",G228)),0)+IFERROR(--ISNUMBER(SEARCH("R50",G228)),0)+IFERROR(--ISNUMBER(SEARCH("R51",G228)),0)+IFERROR(--ISNUMBER(SEARCH("R56",G228)),0)+IFERROR(--ISNUMBER(SEARCH("R58",G228)),0)+IFERROR(--ISNUMBER(SEARCH("R59",G228)),0)+IFERROR(--ISNUMBER(SEARCH("R60",G228)),0)+IFERROR(--ISNUMBER(SEARCH("R62",G228)),0)+IFERROR(--ISNUMBER(SEARCH("R63",G228)),0)+IFERROR(--ISNUMBER(SEARCH("R64",G228)),0)+IFERROR(--ISNUMBER(SEARCH("R66",G228)),0)+IFERROR(--ISNUMBER(SEARCH("R67",G228)),0)+IFERROR(--ISNUMBER(SEARCH("R72",G228)),0)+IFERROR(--ISNUMBER(SEARCH("R74",G228)),0)+IFERROR(--ISNUMBER(SEARCH("R75",G228)),0)+IFERROR(--ISNUMBER(SEARCH("R76",G228)),0)+IFERROR(--ISNUMBER(SEARCH("R77",G228)),0)+IFERROR(--ISNUMBER(SEARCH("R79",G228)),0)+IFERROR(--ISNUMBER(SEARCH("R80",G228)),0)+IFERROR(--ISNUMBER(SEARCH("R81",G228)),0)+IFERROR(--ISNUMBER(SEARCH("R83",G228)),0)+IFERROR(--ISNUMBER(SEARCH("R84",G228)),0)+IFERROR(--ISNUMBER(SEARCH("R89",G228)),0)+IFERROR(--ISNUMBER(SEARCH("R94",G228)),0)+IFERROR(--ISNUMBER(SEARCH("R95",G228)),0)+IFERROR(--ISNUMBER(SEARCH("R96",G228)),0)+IFERROR(--ISNUMBER(SEARCH("R98",G228)),0)+IFERROR(--ISNUMBER(SEARCH("R99",G228)),0)+IFERROR(--ISNUMBER(SEARCH("R100",G228)),0)+IFERROR(--ISNUMBER(SEARCH("R104",G228)),0)+IFERROR(--ISNUMBER(SEARCH("R105",G228)),0)+IFERROR(--ISNUMBER(SEARCH("R107",G228)),0)+IFERROR(--ISNUMBER(SEARCH("R108",G228)),0)+IFERROR(--ISNUMBER(SEARCH("R109",G228)),0)+IFERROR(--ISNUMBER(SEARCH("R110",G228)),0)+IFERROR(--ISNUMBER(SEARCH("R112",G228)),0)+IFERROR(--ISNUMBER(SEARCH("R113",G228)),0)+IFERROR(--ISNUMBER(SEARCH("R114",G228)),0)+IFERROR(--ISNUMBER(SEARCH("R118",G228)),0)+IFERROR(--ISNUMBER(SEARCH("R119",G228)),0)+IFERROR(--ISNUMBER(SEARCH("R120",G228)),0)+IFERROR(--ISNUMBER(SEARCH("R122",G228)),0)+IFERROR(--ISNUMBER(SEARCH("R123",G228)),0)+IFERROR(--ISNUMBER(SEARCH("R124",G228)),0)+IFERROR(--ISNUMBER(SEARCH("R128",G228)),0)+IFERROR(--ISNUMBER(SEARCH("R130",G228)),0)+IFERROR(--ISNUMBER(SEARCH("R131",G228)),0)+IFERROR(--ISNUMBER(SEARCH("R132",G228)),0)+IFERROR(--ISNUMBER(SEARCH("R135",G228)),0)+IFERROR(--ISNUMBER(SEARCH("R138",G228)),0)+IFERROR(--ISNUMBER(SEARCH("R141",G228)),0))</f>
        <v/>
      </c>
      <c r="U228" s="58">
        <f>IF(A228="","",IFERROR(--ISNUMBER(SEARCH("R28",G228))*28,0)+IFERROR(--ISNUMBER(SEARCH("R29",G228))*29,0)+IFERROR(--ISNUMBER(SEARCH("R30",G228))*30,0)+IFERROR(--ISNUMBER(SEARCH("R31",G228))*31,0)+IFERROR(--ISNUMBER(SEARCH("R32",G228))*32,0)+IFERROR(--ISNUMBER(SEARCH("R33",G228))*33,0)+IFERROR(--ISNUMBER(SEARCH("R34",G228))*34,0)+IFERROR(--ISNUMBER(SEARCH("R35",G228))*35,0)+IFERROR(--ISNUMBER(SEARCH("R36",G228))*36,0)+IFERROR(--ISNUMBER(SEARCH("R37",G228))*37,0)+IFERROR(--ISNUMBER(SEARCH("R38",G228))*38,0)+IFERROR(--ISNUMBER(SEARCH("R39",G228))*39,0)+IFERROR(--ISNUMBER(SEARCH("R40",G228))*40,0)+IFERROR(--ISNUMBER(SEARCH("R41",G228))*41,0)+IFERROR(--ISNUMBER(SEARCH("R42",G228))*42,0)+IFERROR(--ISNUMBER(SEARCH("R43",G228))*43,0)+IFERROR(--ISNUMBER(SEARCH("R44",G228))*44,0)+IFERROR(--ISNUMBER(SEARCH("R45",G228))*45,0)+IFERROR(--ISNUMBER(SEARCH("R46",G228))*46,0)+IFERROR(--ISNUMBER(SEARCH("R47",G228))*47,0)+IFERROR(--ISNUMBER(SEARCH("R48",G228))*48,0)+IFERROR(--ISNUMBER(SEARCH("R49",G228))*49,0)+IFERROR(--ISNUMBER(SEARCH("R50",G228))*50,0)+IFERROR(--ISNUMBER(SEARCH("R51",G228))*51,0)+IFERROR(--ISNUMBER(SEARCH("R52",G228))*52,0)+IFERROR(--ISNUMBER(SEARCH("R53",G228))*53,0)+IFERROR(--ISNUMBER(SEARCH("R54",G228))*54,0)+IFERROR(--ISNUMBER(SEARCH("R55",G228))*55,0)+IFERROR(--ISNUMBER(SEARCH("R56",G228))*56,0)+IFERROR(--ISNUMBER(SEARCH("R57",G228))*57,0)+IFERROR(--ISNUMBER(SEARCH("R58",G228))*58,0)+IFERROR(--ISNUMBER(SEARCH("R59",G228))*59,0)+IFERROR(--ISNUMBER(SEARCH("R60",G228))*60,0)+IFERROR(--ISNUMBER(SEARCH("R61",G228))*61,0)+IFERROR(--ISNUMBER(SEARCH("R62",G228))*62,0)+IFERROR(--ISNUMBER(SEARCH("R63",G228))*63,0)+IFERROR(--ISNUMBER(SEARCH("R64",G228))*64,0)+IFERROR(--ISNUMBER(SEARCH("R65",G228))*65,0)+IFERROR(--ISNUMBER(SEARCH("R66",G228))*66,0)+IFERROR(--ISNUMBER(SEARCH("R67",G228))*67,0)+IFERROR(--ISNUMBER(SEARCH("R68",G228))*68,0)+IFERROR(--ISNUMBER(SEARCH("R69",G228))*69,0)+IFERROR(--ISNUMBER(SEARCH("R70",G228))*70,0)+IFERROR(--ISNUMBER(SEARCH("R71",G228))*71,0)+IFERROR(--ISNUMBER(SEARCH("R72",G228))*72,0)+IFERROR(--ISNUMBER(SEARCH("R73",G228))*73,0)+IFERROR(--ISNUMBER(SEARCH("R74",G228))*74,0)+IFERROR(--ISNUMBER(SEARCH("R75",G228))*75,0)+IFERROR(--ISNUMBER(SEARCH("R76",G228))*76,0)+IFERROR(--ISNUMBER(SEARCH("R77",G228))*77,0)+IFERROR(--ISNUMBER(SEARCH("R78",G228))*78,0)+IFERROR(--ISNUMBER(SEARCH("R79",G228))*79,0)+IFERROR(--ISNUMBER(SEARCH("R80",G228))*80,0)+IFERROR(--ISNUMBER(SEARCH("R81",G228))*81,0)+IFERROR(--ISNUMBER(SEARCH("R82",G228))*82,0)+IFERROR(--ISNUMBER(SEARCH("R83",G228))*83,0)+IFERROR(--ISNUMBER(SEARCH("R84",G228))*84,0)+IFERROR(--ISNUMBER(SEARCH("R85",G228))*85,0)+IFERROR(--ISNUMBER(SEARCH("R86",G228))*86,0)+IFERROR(--ISNUMBER(SEARCH("R87",G228))*87,0)+IFERROR(--ISNUMBER(SEARCH("R88",G228))*88,0)+IFERROR(--ISNUMBER(SEARCH("R89",G228))*89,0)+IFERROR(--ISNUMBER(SEARCH("R90",G228))*90,0)+IFERROR(--ISNUMBER(SEARCH("R91",G228))*91,0)+IFERROR(--ISNUMBER(SEARCH("R92",G228))*92,0)+IFERROR(--ISNUMBER(SEARCH("R93",G228))*93,0)+IFERROR(--ISNUMBER(SEARCH("R94",G228))*94,0)+IFERROR(--ISNUMBER(SEARCH("R95",G228))*95,0)+IFERROR(--ISNUMBER(SEARCH("R96",G228))*96,0)+IFERROR(--ISNUMBER(SEARCH("R97",G228))*97,0)+IFERROR(--ISNUMBER(SEARCH("R98",G228))*98,0)+IFERROR(--ISNUMBER(SEARCH("R99",G228))*99,0)+IFERROR(--ISNUMBER(SEARCH("R100",G228))*100,0)+IFERROR(--ISNUMBER(SEARCH("R101",G228))*101,0)+IFERROR(--ISNUMBER(SEARCH("R102",G228))*102,0)+IFERROR(--ISNUMBER(SEARCH("R103",G228))*103,0)+IFERROR(--ISNUMBER(SEARCH("R104",G228))*104,0)+IFERROR(--ISNUMBER(SEARCH("R105",G228))*105,0)+IFERROR(--ISNUMBER(SEARCH("R106",G228))*106,0)+IFERROR(--ISNUMBER(SEARCH("R107",G228))*107,0)+IFERROR(--ISNUMBER(SEARCH("R108",G228))*108,0)+IFERROR(--ISNUMBER(SEARCH("R109",G228))*109,0)+IFERROR(--ISNUMBER(SEARCH("R110",G228))*110,0)+IFERROR(--ISNUMBER(SEARCH("R111",G228))*111,0)+IFERROR(--ISNUMBER(SEARCH("R112",G228))*112,0)+IFERROR(--ISNUMBER(SEARCH("R113",G228))*113,0)+IFERROR(--ISNUMBER(SEARCH("R114",G228))*114,0)+IFERROR(--ISNUMBER(SEARCH("R115",G228))*115,0)+IFERROR(--ISNUMBER(SEARCH("R116",G228))*116,0)+IFERROR(--ISNUMBER(SEARCH("R117",G228))*117,0)+IFERROR(--ISNUMBER(SEARCH("R118",G228))*118,0)+IFERROR(--ISNUMBER(SEARCH("R119",G228))*119,0)+IFERROR(--ISNUMBER(SEARCH("R120",G228))*120,0)+IFERROR(--ISNUMBER(SEARCH("R121",G228))*121,0)+IFERROR(--ISNUMBER(SEARCH("R122",G228))*122,0)+IFERROR(--ISNUMBER(SEARCH("R123",G228))*123,0)+IFERROR(--ISNUMBER(SEARCH("R124",G228))*124,0)+IFERROR(--ISNUMBER(SEARCH("R125",G228))*125,0)+IFERROR(--ISNUMBER(SEARCH("R126",G228))*126,0)+IFERROR(--ISNUMBER(SEARCH("R127",G228))*127,0)+IFERROR(--ISNUMBER(SEARCH("R128",G228))*128,0)+IFERROR(--ISNUMBER(SEARCH("R129",G228))*129,0)+IFERROR(--ISNUMBER(SEARCH("R130",G228))*130,0)+IFERROR(--ISNUMBER(SEARCH("R131",G228))*131,0)+IFERROR(--ISNUMBER(SEARCH("R132",G228))*132,0)+IFERROR(--ISNUMBER(SEARCH("R133",G228))*133,0)+IFERROR(--ISNUMBER(SEARCH("R134",G228))*134,0)+IFERROR(--ISNUMBER(SEARCH("R135",G228))*135,0)+IFERROR(--ISNUMBER(SEARCH("R136",G228))*136,0)+IFERROR(--ISNUMBER(SEARCH("R137",G228))*137,0)+IFERROR(--ISNUMBER(SEARCH("R138",G228))*138,0)+IFERROR(--ISNUMBER(SEARCH("R139",G228))*139,0)+IFERROR(--ISNUMBER(SEARCH("R140",G228))*140,0)+IFERROR(--ISNUMBER(SEARCH("R141",G228))*141,0))</f>
        <v/>
      </c>
      <c r="V228" s="59">
        <f>IF(A228="","",IF(K228&lt;&gt;"",K228,J228))</f>
        <v/>
      </c>
      <c r="W228" s="59">
        <f>IF(A228="","",IF(AND(V228=29,O228&lt;&gt;"",COUNTIFS($V$6:$V$505,29,$F$6:$F$505,F228,$C$6:$C$505,C228,$O$6:$O$505,"&lt;&gt;")&gt;1),IF(COUNTIFS($V$6:V228,29,$F$6:F228,F228,$C$6:C228,C228,$O$6:O228,"&lt;&gt;")=1,"Esta es la fila que se debe CONSERVAR (aparición 1 de "&amp;COUNTIFS($V$6:$V$505,29,$F$6:$F$505,F228,$C$6:$C$505,C228,$O$6:$O$505,"&lt;&gt;")&amp;" con el mismo tercero y valor, casilla 29). Si hay más filas iguales, bórreles el valor a ELLAS, no a esta.","DUPLICADO — ya existe otra fila con el mismo tercero y valor para casilla 29 (aparición "&amp;COUNTIFS($V$6:V228,29,$F$6:F228,F228,$C$6:C228,C228,$O$6:O228,"&lt;&gt;")&amp;" de "&amp;COUNTIFS($V$6:$V$505,29,$F$6:$F$505,F228,$C$6:$C$505,C228,$O$6:$O$505,"&lt;&gt;")&amp;"). Para resolverlo: seleccione la celda O"&amp;ROW()&amp;" (columna Valor a declarar de ESTA fila) y presione Supr."),""))</f>
        <v/>
      </c>
      <c r="X228" s="463">
        <f>IF(A228="","",F228)</f>
        <v/>
      </c>
      <c r="Y228" s="463">
        <f>IF(A228="","",SUMIF(Entrada_Manual!$I$88:$I$187,A228,Entrada_Manual!$F$88:$F$187))</f>
        <v/>
      </c>
      <c r="Z228" s="463">
        <f>IF(A228="","",X228-Y228)</f>
        <v/>
      </c>
      <c r="AA228">
        <f>IF(A228="","",SUMPRODUCT((Entrada_Manual!$I$88:$I$187=A228)*1))</f>
        <v/>
      </c>
      <c r="AB228">
        <f>IF(A228="","",IF(S228&lt;=1,"",IF(AA228=0,"PENDIENTE — SIN ASIGNAR",IF(Z228=0,"RESUELTO","PARCIAL — DIFERENCIA "&amp;TEXT(Z228,"#,##0")))))</f>
        <v/>
      </c>
    </row>
    <row r="229" ht="14.25" customHeight="1" s="235">
      <c r="A229" s="47">
        <f>IF(Exogena_RAW!E238&lt;&gt;"",ROW()-5,"")</f>
        <v/>
      </c>
      <c r="B229" s="48">
        <f>IF(A229="","",238)</f>
        <v/>
      </c>
      <c r="C229" s="48">
        <f>IF(A229="","",IFERROR(Exogena_RAW!A238,""))</f>
        <v/>
      </c>
      <c r="D229" s="48">
        <f>IF(A229="","",IFERROR(Exogena_RAW!B238,""))</f>
        <v/>
      </c>
      <c r="E229" s="48">
        <f>IF(A229="","",Exogena_RAW!E238)</f>
        <v/>
      </c>
      <c r="F229" s="461">
        <f>IF(A229="","",Exogena_RAW!F238)</f>
        <v/>
      </c>
      <c r="G229" s="48">
        <f>IF(A229="","",IFERROR(Exogena_RAW!G238,""))</f>
        <v/>
      </c>
      <c r="H229" s="48">
        <f>IF(A229="","",IFERROR(Exogena_RAW!H238,""))</f>
        <v/>
      </c>
      <c r="I229" s="48">
        <f>IF(A229="","",IFERROR(IF(S229&gt;1,"VARIAS CASILLAS",IF(S229=1,IF(T229=1,"PROPUESTA DE CASILLA","REVISIÓN: CASILLA NO DIRECTA"),IF(OR(ISNUMBER(SEARCH("TOPE",UPPER(E229))),ISNUMBER(SEARCH("TOPE",UPPER(G229)))),"SOLO CONTROL",IF(ISNUMBER(SEARCH("RETEN",UPPER(E229))),"RETENCIÓN","REVISAR")))),"REVISAR"))</f>
        <v/>
      </c>
      <c r="J229" s="48">
        <f>IF(A229="","",IF(ISNUMBER(SEARCH("ingreso laboral promedio de los últimos seis meses",E229)),"",IFERROR(IF(AND(S229=1,T229=1),U229,""),"")))</f>
        <v/>
      </c>
      <c r="K229" s="216" t="n"/>
      <c r="L229" s="48">
        <f>IF(A229="","",IFERROR(IF(K229&lt;&gt;"","Casilla elegida por usuario",IF(S229&gt;1,"Varias casillas — elegir en K",IF(J229&lt;&gt;"","Sugerencia directa",IF(S229=1,"No trasladar directo — revisar",IF(OR(ISNUMBER(SEARCH("TOPE",UPPER(E229))),ISNUMBER(SEARCH("TOPE",UPPER(G229)))),"Solo control","Revisar manualmente"))))),"Revisar manualmente"))</f>
        <v/>
      </c>
      <c r="M229" s="461">
        <f>IF(A229="","",IF(IF(K229&lt;&gt;"",K229,J229)="",0,IF(COUNTIFS(Reglas!$I$5:$I$118,IF(K229&lt;&gt;"",K229,J229),Reglas!$J$5:$J$118,"Sí")=1,F229,0)))</f>
        <v/>
      </c>
      <c r="N229" s="56" t="n"/>
      <c r="O229" s="462">
        <f>IF(A229="","",IF(M229=0,"",M229))</f>
        <v/>
      </c>
      <c r="P229" s="461">
        <f>IF(A229="","",IF(O229="",0,IF(ISNUMBER(O229),O229,0)))</f>
        <v/>
      </c>
      <c r="Q229" s="48">
        <f>IF(A229="","",IF(Exogena_RAW!$C$4="","BLOQUEADO: FALTA AÑO",IF(Exogena_RAW!$K$10&lt;&gt;Reglas!$B$5,"BLOQUEADO: AÑO",IF(IF(K229&lt;&gt;"",K229,J229)="",IF(S229&gt;1,"REQUIERE ASIGNACIÓN MANUAL (VARIAS CASILLAS)","INFORMATIVO (sin casilla — no se declara)"),IF(COUNTIFS(Reglas!$I$5:$I$118,IF(K229&lt;&gt;"",K229,J229),Reglas!$J$5:$J$118,"Sí")=0,"BLOQUEADO: CASILLA NO DIRECTA",IF(O229="","EXCLUIDO (valor borrado por el usuario)",IF(_xlfn.ISFORMULA(O229),IF(W229&lt;&gt;"","BORRADOR — VALOR SUGERIDO DIAN ⚠ VER ALERTA","BORRADOR — VALOR SUGERIDO DIAN"),IF(W229&lt;&gt;"","ACEPTADO ⚠ VER ALERTA","ACEPTADO"))))))))</f>
        <v/>
      </c>
      <c r="R229" s="218" t="n"/>
      <c r="S229" s="58">
        <f>IF(A229="","",IFERROR(--ISNUMBER(SEARCH("R28",G229)),0)+IFERROR(--ISNUMBER(SEARCH("R29",G229)),0)+IFERROR(--ISNUMBER(SEARCH("R30",G229)),0)+IFERROR(--ISNUMBER(SEARCH("R31",G229)),0)+IFERROR(--ISNUMBER(SEARCH("R32",G229)),0)+IFERROR(--ISNUMBER(SEARCH("R33",G229)),0)+IFERROR(--ISNUMBER(SEARCH("R34",G229)),0)+IFERROR(--ISNUMBER(SEARCH("R35",G229)),0)+IFERROR(--ISNUMBER(SEARCH("R36",G229)),0)+IFERROR(--ISNUMBER(SEARCH("R37",G229)),0)+IFERROR(--ISNUMBER(SEARCH("R38",G229)),0)+IFERROR(--ISNUMBER(SEARCH("R39",G229)),0)+IFERROR(--ISNUMBER(SEARCH("R40",G229)),0)+IFERROR(--ISNUMBER(SEARCH("R41",G229)),0)+IFERROR(--ISNUMBER(SEARCH("R42",G229)),0)+IFERROR(--ISNUMBER(SEARCH("R43",G229)),0)+IFERROR(--ISNUMBER(SEARCH("R44",G229)),0)+IFERROR(--ISNUMBER(SEARCH("R45",G229)),0)+IFERROR(--ISNUMBER(SEARCH("R46",G229)),0)+IFERROR(--ISNUMBER(SEARCH("R47",G229)),0)+IFERROR(--ISNUMBER(SEARCH("R48",G229)),0)+IFERROR(--ISNUMBER(SEARCH("R49",G229)),0)+IFERROR(--ISNUMBER(SEARCH("R50",G229)),0)+IFERROR(--ISNUMBER(SEARCH("R51",G229)),0)+IFERROR(--ISNUMBER(SEARCH("R52",G229)),0)+IFERROR(--ISNUMBER(SEARCH("R53",G229)),0)+IFERROR(--ISNUMBER(SEARCH("R54",G229)),0)+IFERROR(--ISNUMBER(SEARCH("R55",G229)),0)+IFERROR(--ISNUMBER(SEARCH("R56",G229)),0)+IFERROR(--ISNUMBER(SEARCH("R57",G229)),0)+IFERROR(--ISNUMBER(SEARCH("R58",G229)),0)+IFERROR(--ISNUMBER(SEARCH("R59",G229)),0)+IFERROR(--ISNUMBER(SEARCH("R60",G229)),0)+IFERROR(--ISNUMBER(SEARCH("R61",G229)),0)+IFERROR(--ISNUMBER(SEARCH("R62",G229)),0)+IFERROR(--ISNUMBER(SEARCH("R63",G229)),0)+IFERROR(--ISNUMBER(SEARCH("R64",G229)),0)+IFERROR(--ISNUMBER(SEARCH("R65",G229)),0)+IFERROR(--ISNUMBER(SEARCH("R66",G229)),0)+IFERROR(--ISNUMBER(SEARCH("R67",G229)),0)+IFERROR(--ISNUMBER(SEARCH("R68",G229)),0)+IFERROR(--ISNUMBER(SEARCH("R69",G229)),0)+IFERROR(--ISNUMBER(SEARCH("R70",G229)),0)+IFERROR(--ISNUMBER(SEARCH("R71",G229)),0)+IFERROR(--ISNUMBER(SEARCH("R72",G229)),0)+IFERROR(--ISNUMBER(SEARCH("R73",G229)),0)+IFERROR(--ISNUMBER(SEARCH("R74",G229)),0)+IFERROR(--ISNUMBER(SEARCH("R75",G229)),0)+IFERROR(--ISNUMBER(SEARCH("R76",G229)),0)+IFERROR(--ISNUMBER(SEARCH("R77",G229)),0)+IFERROR(--ISNUMBER(SEARCH("R78",G229)),0)+IFERROR(--ISNUMBER(SEARCH("R79",G229)),0)+IFERROR(--ISNUMBER(SEARCH("R80",G229)),0)+IFERROR(--ISNUMBER(SEARCH("R81",G229)),0)+IFERROR(--ISNUMBER(SEARCH("R82",G229)),0)+IFERROR(--ISNUMBER(SEARCH("R83",G229)),0)+IFERROR(--ISNUMBER(SEARCH("R84",G229)),0)+IFERROR(--ISNUMBER(SEARCH("R85",G229)),0)+IFERROR(--ISNUMBER(SEARCH("R86",G229)),0)+IFERROR(--ISNUMBER(SEARCH("R87",G229)),0)+IFERROR(--ISNUMBER(SEARCH("R88",G229)),0)+IFERROR(--ISNUMBER(SEARCH("R89",G229)),0)+IFERROR(--ISNUMBER(SEARCH("R90",G229)),0)+IFERROR(--ISNUMBER(SEARCH("R91",G229)),0)+IFERROR(--ISNUMBER(SEARCH("R92",G229)),0)+IFERROR(--ISNUMBER(SEARCH("R93",G229)),0)+IFERROR(--ISNUMBER(SEARCH("R94",G229)),0)+IFERROR(--ISNUMBER(SEARCH("R95",G229)),0)+IFERROR(--ISNUMBER(SEARCH("R96",G229)),0)+IFERROR(--ISNUMBER(SEARCH("R97",G229)),0)+IFERROR(--ISNUMBER(SEARCH("R98",G229)),0)+IFERROR(--ISNUMBER(SEARCH("R99",G229)),0)+IFERROR(--ISNUMBER(SEARCH("R100",G229)),0)+IFERROR(--ISNUMBER(SEARCH("R101",G229)),0)+IFERROR(--ISNUMBER(SEARCH("R102",G229)),0)+IFERROR(--ISNUMBER(SEARCH("R103",G229)),0)+IFERROR(--ISNUMBER(SEARCH("R104",G229)),0)+IFERROR(--ISNUMBER(SEARCH("R105",G229)),0)+IFERROR(--ISNUMBER(SEARCH("R106",G229)),0)+IFERROR(--ISNUMBER(SEARCH("R107",G229)),0)+IFERROR(--ISNUMBER(SEARCH("R108",G229)),0)+IFERROR(--ISNUMBER(SEARCH("R109",G229)),0)+IFERROR(--ISNUMBER(SEARCH("R110",G229)),0)+IFERROR(--ISNUMBER(SEARCH("R111",G229)),0)+IFERROR(--ISNUMBER(SEARCH("R112",G229)),0)+IFERROR(--ISNUMBER(SEARCH("R113",G229)),0)+IFERROR(--ISNUMBER(SEARCH("R114",G229)),0)+IFERROR(--ISNUMBER(SEARCH("R115",G229)),0)+IFERROR(--ISNUMBER(SEARCH("R116",G229)),0)+IFERROR(--ISNUMBER(SEARCH("R117",G229)),0)+IFERROR(--ISNUMBER(SEARCH("R118",G229)),0)+IFERROR(--ISNUMBER(SEARCH("R119",G229)),0)+IFERROR(--ISNUMBER(SEARCH("R120",G229)),0)+IFERROR(--ISNUMBER(SEARCH("R121",G229)),0)+IFERROR(--ISNUMBER(SEARCH("R122",G229)),0)+IFERROR(--ISNUMBER(SEARCH("R123",G229)),0)+IFERROR(--ISNUMBER(SEARCH("R124",G229)),0)+IFERROR(--ISNUMBER(SEARCH("R125",G229)),0)+IFERROR(--ISNUMBER(SEARCH("R126",G229)),0)+IFERROR(--ISNUMBER(SEARCH("R127",G229)),0)+IFERROR(--ISNUMBER(SEARCH("R128",G229)),0)+IFERROR(--ISNUMBER(SEARCH("R129",G229)),0)+IFERROR(--ISNUMBER(SEARCH("R130",G229)),0)+IFERROR(--ISNUMBER(SEARCH("R131",G229)),0)+IFERROR(--ISNUMBER(SEARCH("R132",G229)),0)+IFERROR(--ISNUMBER(SEARCH("R133",G229)),0)+IFERROR(--ISNUMBER(SEARCH("R134",G229)),0)+IFERROR(--ISNUMBER(SEARCH("R135",G229)),0)+IFERROR(--ISNUMBER(SEARCH("R136",G229)),0)+IFERROR(--ISNUMBER(SEARCH("R137",G229)),0)+IFERROR(--ISNUMBER(SEARCH("R138",G229)),0)+IFERROR(--ISNUMBER(SEARCH("R139",G229)),0)+IFERROR(--ISNUMBER(SEARCH("R140",G229)),0)+IFERROR(--ISNUMBER(SEARCH("R141",G229)),0))</f>
        <v/>
      </c>
      <c r="T229" s="58">
        <f>IF(A229="","",IFERROR(--ISNUMBER(SEARCH("R28",G229)),0)+IFERROR(--ISNUMBER(SEARCH("R29",G229)),0)+IFERROR(--ISNUMBER(SEARCH("R30",G229)),0)+IFERROR(--ISNUMBER(SEARCH("R32",G229)),0)+IFERROR(--ISNUMBER(SEARCH("R33",G229)),0)+IFERROR(--ISNUMBER(SEARCH("R35",G229)),0)+IFERROR(--ISNUMBER(SEARCH("R36",G229)),0)+IFERROR(--ISNUMBER(SEARCH("R38",G229)),0)+IFERROR(--ISNUMBER(SEARCH("R39",G229)),0)+IFERROR(--ISNUMBER(SEARCH("R43",G229)),0)+IFERROR(--ISNUMBER(SEARCH("R44",G229)),0)+IFERROR(--ISNUMBER(SEARCH("R45",G229)),0)+IFERROR(--ISNUMBER(SEARCH("R47",G229)),0)+IFERROR(--ISNUMBER(SEARCH("R48",G229)),0)+IFERROR(--ISNUMBER(SEARCH("R50",G229)),0)+IFERROR(--ISNUMBER(SEARCH("R51",G229)),0)+IFERROR(--ISNUMBER(SEARCH("R56",G229)),0)+IFERROR(--ISNUMBER(SEARCH("R58",G229)),0)+IFERROR(--ISNUMBER(SEARCH("R59",G229)),0)+IFERROR(--ISNUMBER(SEARCH("R60",G229)),0)+IFERROR(--ISNUMBER(SEARCH("R62",G229)),0)+IFERROR(--ISNUMBER(SEARCH("R63",G229)),0)+IFERROR(--ISNUMBER(SEARCH("R64",G229)),0)+IFERROR(--ISNUMBER(SEARCH("R66",G229)),0)+IFERROR(--ISNUMBER(SEARCH("R67",G229)),0)+IFERROR(--ISNUMBER(SEARCH("R72",G229)),0)+IFERROR(--ISNUMBER(SEARCH("R74",G229)),0)+IFERROR(--ISNUMBER(SEARCH("R75",G229)),0)+IFERROR(--ISNUMBER(SEARCH("R76",G229)),0)+IFERROR(--ISNUMBER(SEARCH("R77",G229)),0)+IFERROR(--ISNUMBER(SEARCH("R79",G229)),0)+IFERROR(--ISNUMBER(SEARCH("R80",G229)),0)+IFERROR(--ISNUMBER(SEARCH("R81",G229)),0)+IFERROR(--ISNUMBER(SEARCH("R83",G229)),0)+IFERROR(--ISNUMBER(SEARCH("R84",G229)),0)+IFERROR(--ISNUMBER(SEARCH("R89",G229)),0)+IFERROR(--ISNUMBER(SEARCH("R94",G229)),0)+IFERROR(--ISNUMBER(SEARCH("R95",G229)),0)+IFERROR(--ISNUMBER(SEARCH("R96",G229)),0)+IFERROR(--ISNUMBER(SEARCH("R98",G229)),0)+IFERROR(--ISNUMBER(SEARCH("R99",G229)),0)+IFERROR(--ISNUMBER(SEARCH("R100",G229)),0)+IFERROR(--ISNUMBER(SEARCH("R104",G229)),0)+IFERROR(--ISNUMBER(SEARCH("R105",G229)),0)+IFERROR(--ISNUMBER(SEARCH("R107",G229)),0)+IFERROR(--ISNUMBER(SEARCH("R108",G229)),0)+IFERROR(--ISNUMBER(SEARCH("R109",G229)),0)+IFERROR(--ISNUMBER(SEARCH("R110",G229)),0)+IFERROR(--ISNUMBER(SEARCH("R112",G229)),0)+IFERROR(--ISNUMBER(SEARCH("R113",G229)),0)+IFERROR(--ISNUMBER(SEARCH("R114",G229)),0)+IFERROR(--ISNUMBER(SEARCH("R118",G229)),0)+IFERROR(--ISNUMBER(SEARCH("R119",G229)),0)+IFERROR(--ISNUMBER(SEARCH("R120",G229)),0)+IFERROR(--ISNUMBER(SEARCH("R122",G229)),0)+IFERROR(--ISNUMBER(SEARCH("R123",G229)),0)+IFERROR(--ISNUMBER(SEARCH("R124",G229)),0)+IFERROR(--ISNUMBER(SEARCH("R128",G229)),0)+IFERROR(--ISNUMBER(SEARCH("R130",G229)),0)+IFERROR(--ISNUMBER(SEARCH("R131",G229)),0)+IFERROR(--ISNUMBER(SEARCH("R132",G229)),0)+IFERROR(--ISNUMBER(SEARCH("R135",G229)),0)+IFERROR(--ISNUMBER(SEARCH("R138",G229)),0)+IFERROR(--ISNUMBER(SEARCH("R141",G229)),0))</f>
        <v/>
      </c>
      <c r="U229" s="58">
        <f>IF(A229="","",IFERROR(--ISNUMBER(SEARCH("R28",G229))*28,0)+IFERROR(--ISNUMBER(SEARCH("R29",G229))*29,0)+IFERROR(--ISNUMBER(SEARCH("R30",G229))*30,0)+IFERROR(--ISNUMBER(SEARCH("R31",G229))*31,0)+IFERROR(--ISNUMBER(SEARCH("R32",G229))*32,0)+IFERROR(--ISNUMBER(SEARCH("R33",G229))*33,0)+IFERROR(--ISNUMBER(SEARCH("R34",G229))*34,0)+IFERROR(--ISNUMBER(SEARCH("R35",G229))*35,0)+IFERROR(--ISNUMBER(SEARCH("R36",G229))*36,0)+IFERROR(--ISNUMBER(SEARCH("R37",G229))*37,0)+IFERROR(--ISNUMBER(SEARCH("R38",G229))*38,0)+IFERROR(--ISNUMBER(SEARCH("R39",G229))*39,0)+IFERROR(--ISNUMBER(SEARCH("R40",G229))*40,0)+IFERROR(--ISNUMBER(SEARCH("R41",G229))*41,0)+IFERROR(--ISNUMBER(SEARCH("R42",G229))*42,0)+IFERROR(--ISNUMBER(SEARCH("R43",G229))*43,0)+IFERROR(--ISNUMBER(SEARCH("R44",G229))*44,0)+IFERROR(--ISNUMBER(SEARCH("R45",G229))*45,0)+IFERROR(--ISNUMBER(SEARCH("R46",G229))*46,0)+IFERROR(--ISNUMBER(SEARCH("R47",G229))*47,0)+IFERROR(--ISNUMBER(SEARCH("R48",G229))*48,0)+IFERROR(--ISNUMBER(SEARCH("R49",G229))*49,0)+IFERROR(--ISNUMBER(SEARCH("R50",G229))*50,0)+IFERROR(--ISNUMBER(SEARCH("R51",G229))*51,0)+IFERROR(--ISNUMBER(SEARCH("R52",G229))*52,0)+IFERROR(--ISNUMBER(SEARCH("R53",G229))*53,0)+IFERROR(--ISNUMBER(SEARCH("R54",G229))*54,0)+IFERROR(--ISNUMBER(SEARCH("R55",G229))*55,0)+IFERROR(--ISNUMBER(SEARCH("R56",G229))*56,0)+IFERROR(--ISNUMBER(SEARCH("R57",G229))*57,0)+IFERROR(--ISNUMBER(SEARCH("R58",G229))*58,0)+IFERROR(--ISNUMBER(SEARCH("R59",G229))*59,0)+IFERROR(--ISNUMBER(SEARCH("R60",G229))*60,0)+IFERROR(--ISNUMBER(SEARCH("R61",G229))*61,0)+IFERROR(--ISNUMBER(SEARCH("R62",G229))*62,0)+IFERROR(--ISNUMBER(SEARCH("R63",G229))*63,0)+IFERROR(--ISNUMBER(SEARCH("R64",G229))*64,0)+IFERROR(--ISNUMBER(SEARCH("R65",G229))*65,0)+IFERROR(--ISNUMBER(SEARCH("R66",G229))*66,0)+IFERROR(--ISNUMBER(SEARCH("R67",G229))*67,0)+IFERROR(--ISNUMBER(SEARCH("R68",G229))*68,0)+IFERROR(--ISNUMBER(SEARCH("R69",G229))*69,0)+IFERROR(--ISNUMBER(SEARCH("R70",G229))*70,0)+IFERROR(--ISNUMBER(SEARCH("R71",G229))*71,0)+IFERROR(--ISNUMBER(SEARCH("R72",G229))*72,0)+IFERROR(--ISNUMBER(SEARCH("R73",G229))*73,0)+IFERROR(--ISNUMBER(SEARCH("R74",G229))*74,0)+IFERROR(--ISNUMBER(SEARCH("R75",G229))*75,0)+IFERROR(--ISNUMBER(SEARCH("R76",G229))*76,0)+IFERROR(--ISNUMBER(SEARCH("R77",G229))*77,0)+IFERROR(--ISNUMBER(SEARCH("R78",G229))*78,0)+IFERROR(--ISNUMBER(SEARCH("R79",G229))*79,0)+IFERROR(--ISNUMBER(SEARCH("R80",G229))*80,0)+IFERROR(--ISNUMBER(SEARCH("R81",G229))*81,0)+IFERROR(--ISNUMBER(SEARCH("R82",G229))*82,0)+IFERROR(--ISNUMBER(SEARCH("R83",G229))*83,0)+IFERROR(--ISNUMBER(SEARCH("R84",G229))*84,0)+IFERROR(--ISNUMBER(SEARCH("R85",G229))*85,0)+IFERROR(--ISNUMBER(SEARCH("R86",G229))*86,0)+IFERROR(--ISNUMBER(SEARCH("R87",G229))*87,0)+IFERROR(--ISNUMBER(SEARCH("R88",G229))*88,0)+IFERROR(--ISNUMBER(SEARCH("R89",G229))*89,0)+IFERROR(--ISNUMBER(SEARCH("R90",G229))*90,0)+IFERROR(--ISNUMBER(SEARCH("R91",G229))*91,0)+IFERROR(--ISNUMBER(SEARCH("R92",G229))*92,0)+IFERROR(--ISNUMBER(SEARCH("R93",G229))*93,0)+IFERROR(--ISNUMBER(SEARCH("R94",G229))*94,0)+IFERROR(--ISNUMBER(SEARCH("R95",G229))*95,0)+IFERROR(--ISNUMBER(SEARCH("R96",G229))*96,0)+IFERROR(--ISNUMBER(SEARCH("R97",G229))*97,0)+IFERROR(--ISNUMBER(SEARCH("R98",G229))*98,0)+IFERROR(--ISNUMBER(SEARCH("R99",G229))*99,0)+IFERROR(--ISNUMBER(SEARCH("R100",G229))*100,0)+IFERROR(--ISNUMBER(SEARCH("R101",G229))*101,0)+IFERROR(--ISNUMBER(SEARCH("R102",G229))*102,0)+IFERROR(--ISNUMBER(SEARCH("R103",G229))*103,0)+IFERROR(--ISNUMBER(SEARCH("R104",G229))*104,0)+IFERROR(--ISNUMBER(SEARCH("R105",G229))*105,0)+IFERROR(--ISNUMBER(SEARCH("R106",G229))*106,0)+IFERROR(--ISNUMBER(SEARCH("R107",G229))*107,0)+IFERROR(--ISNUMBER(SEARCH("R108",G229))*108,0)+IFERROR(--ISNUMBER(SEARCH("R109",G229))*109,0)+IFERROR(--ISNUMBER(SEARCH("R110",G229))*110,0)+IFERROR(--ISNUMBER(SEARCH("R111",G229))*111,0)+IFERROR(--ISNUMBER(SEARCH("R112",G229))*112,0)+IFERROR(--ISNUMBER(SEARCH("R113",G229))*113,0)+IFERROR(--ISNUMBER(SEARCH("R114",G229))*114,0)+IFERROR(--ISNUMBER(SEARCH("R115",G229))*115,0)+IFERROR(--ISNUMBER(SEARCH("R116",G229))*116,0)+IFERROR(--ISNUMBER(SEARCH("R117",G229))*117,0)+IFERROR(--ISNUMBER(SEARCH("R118",G229))*118,0)+IFERROR(--ISNUMBER(SEARCH("R119",G229))*119,0)+IFERROR(--ISNUMBER(SEARCH("R120",G229))*120,0)+IFERROR(--ISNUMBER(SEARCH("R121",G229))*121,0)+IFERROR(--ISNUMBER(SEARCH("R122",G229))*122,0)+IFERROR(--ISNUMBER(SEARCH("R123",G229))*123,0)+IFERROR(--ISNUMBER(SEARCH("R124",G229))*124,0)+IFERROR(--ISNUMBER(SEARCH("R125",G229))*125,0)+IFERROR(--ISNUMBER(SEARCH("R126",G229))*126,0)+IFERROR(--ISNUMBER(SEARCH("R127",G229))*127,0)+IFERROR(--ISNUMBER(SEARCH("R128",G229))*128,0)+IFERROR(--ISNUMBER(SEARCH("R129",G229))*129,0)+IFERROR(--ISNUMBER(SEARCH("R130",G229))*130,0)+IFERROR(--ISNUMBER(SEARCH("R131",G229))*131,0)+IFERROR(--ISNUMBER(SEARCH("R132",G229))*132,0)+IFERROR(--ISNUMBER(SEARCH("R133",G229))*133,0)+IFERROR(--ISNUMBER(SEARCH("R134",G229))*134,0)+IFERROR(--ISNUMBER(SEARCH("R135",G229))*135,0)+IFERROR(--ISNUMBER(SEARCH("R136",G229))*136,0)+IFERROR(--ISNUMBER(SEARCH("R137",G229))*137,0)+IFERROR(--ISNUMBER(SEARCH("R138",G229))*138,0)+IFERROR(--ISNUMBER(SEARCH("R139",G229))*139,0)+IFERROR(--ISNUMBER(SEARCH("R140",G229))*140,0)+IFERROR(--ISNUMBER(SEARCH("R141",G229))*141,0))</f>
        <v/>
      </c>
      <c r="V229" s="59">
        <f>IF(A229="","",IF(K229&lt;&gt;"",K229,J229))</f>
        <v/>
      </c>
      <c r="W229" s="59">
        <f>IF(A229="","",IF(AND(V229=29,O229&lt;&gt;"",COUNTIFS($V$6:$V$505,29,$F$6:$F$505,F229,$C$6:$C$505,C229,$O$6:$O$505,"&lt;&gt;")&gt;1),IF(COUNTIFS($V$6:V229,29,$F$6:F229,F229,$C$6:C229,C229,$O$6:O229,"&lt;&gt;")=1,"Esta es la fila que se debe CONSERVAR (aparición 1 de "&amp;COUNTIFS($V$6:$V$505,29,$F$6:$F$505,F229,$C$6:$C$505,C229,$O$6:$O$505,"&lt;&gt;")&amp;" con el mismo tercero y valor, casilla 29). Si hay más filas iguales, bórreles el valor a ELLAS, no a esta.","DUPLICADO — ya existe otra fila con el mismo tercero y valor para casilla 29 (aparición "&amp;COUNTIFS($V$6:V229,29,$F$6:F229,F229,$C$6:C229,C229,$O$6:O229,"&lt;&gt;")&amp;" de "&amp;COUNTIFS($V$6:$V$505,29,$F$6:$F$505,F229,$C$6:$C$505,C229,$O$6:$O$505,"&lt;&gt;")&amp;"). Para resolverlo: seleccione la celda O"&amp;ROW()&amp;" (columna Valor a declarar de ESTA fila) y presione Supr."),""))</f>
        <v/>
      </c>
      <c r="X229" s="463">
        <f>IF(A229="","",F229)</f>
        <v/>
      </c>
      <c r="Y229" s="463">
        <f>IF(A229="","",SUMIF(Entrada_Manual!$I$88:$I$187,A229,Entrada_Manual!$F$88:$F$187))</f>
        <v/>
      </c>
      <c r="Z229" s="463">
        <f>IF(A229="","",X229-Y229)</f>
        <v/>
      </c>
      <c r="AA229">
        <f>IF(A229="","",SUMPRODUCT((Entrada_Manual!$I$88:$I$187=A229)*1))</f>
        <v/>
      </c>
      <c r="AB229">
        <f>IF(A229="","",IF(S229&lt;=1,"",IF(AA229=0,"PENDIENTE — SIN ASIGNAR",IF(Z229=0,"RESUELTO","PARCIAL — DIFERENCIA "&amp;TEXT(Z229,"#,##0")))))</f>
        <v/>
      </c>
    </row>
    <row r="230" ht="14.25" customHeight="1" s="235">
      <c r="A230" s="47">
        <f>IF(Exogena_RAW!E239&lt;&gt;"",ROW()-5,"")</f>
        <v/>
      </c>
      <c r="B230" s="48">
        <f>IF(A230="","",239)</f>
        <v/>
      </c>
      <c r="C230" s="48">
        <f>IF(A230="","",IFERROR(Exogena_RAW!A239,""))</f>
        <v/>
      </c>
      <c r="D230" s="48">
        <f>IF(A230="","",IFERROR(Exogena_RAW!B239,""))</f>
        <v/>
      </c>
      <c r="E230" s="48">
        <f>IF(A230="","",Exogena_RAW!E239)</f>
        <v/>
      </c>
      <c r="F230" s="461">
        <f>IF(A230="","",Exogena_RAW!F239)</f>
        <v/>
      </c>
      <c r="G230" s="48">
        <f>IF(A230="","",IFERROR(Exogena_RAW!G239,""))</f>
        <v/>
      </c>
      <c r="H230" s="48">
        <f>IF(A230="","",IFERROR(Exogena_RAW!H239,""))</f>
        <v/>
      </c>
      <c r="I230" s="48">
        <f>IF(A230="","",IFERROR(IF(S230&gt;1,"VARIAS CASILLAS",IF(S230=1,IF(T230=1,"PROPUESTA DE CASILLA","REVISIÓN: CASILLA NO DIRECTA"),IF(OR(ISNUMBER(SEARCH("TOPE",UPPER(E230))),ISNUMBER(SEARCH("TOPE",UPPER(G230)))),"SOLO CONTROL",IF(ISNUMBER(SEARCH("RETEN",UPPER(E230))),"RETENCIÓN","REVISAR")))),"REVISAR"))</f>
        <v/>
      </c>
      <c r="J230" s="48">
        <f>IF(A230="","",IF(ISNUMBER(SEARCH("ingreso laboral promedio de los últimos seis meses",E230)),"",IFERROR(IF(AND(S230=1,T230=1),U230,""),"")))</f>
        <v/>
      </c>
      <c r="K230" s="216" t="n"/>
      <c r="L230" s="48">
        <f>IF(A230="","",IFERROR(IF(K230&lt;&gt;"","Casilla elegida por usuario",IF(S230&gt;1,"Varias casillas — elegir en K",IF(J230&lt;&gt;"","Sugerencia directa",IF(S230=1,"No trasladar directo — revisar",IF(OR(ISNUMBER(SEARCH("TOPE",UPPER(E230))),ISNUMBER(SEARCH("TOPE",UPPER(G230)))),"Solo control","Revisar manualmente"))))),"Revisar manualmente"))</f>
        <v/>
      </c>
      <c r="M230" s="461">
        <f>IF(A230="","",IF(IF(K230&lt;&gt;"",K230,J230)="",0,IF(COUNTIFS(Reglas!$I$5:$I$118,IF(K230&lt;&gt;"",K230,J230),Reglas!$J$5:$J$118,"Sí")=1,F230,0)))</f>
        <v/>
      </c>
      <c r="N230" s="56" t="n"/>
      <c r="O230" s="462">
        <f>IF(A230="","",IF(M230=0,"",M230))</f>
        <v/>
      </c>
      <c r="P230" s="461">
        <f>IF(A230="","",IF(O230="",0,IF(ISNUMBER(O230),O230,0)))</f>
        <v/>
      </c>
      <c r="Q230" s="48">
        <f>IF(A230="","",IF(Exogena_RAW!$C$4="","BLOQUEADO: FALTA AÑO",IF(Exogena_RAW!$K$10&lt;&gt;Reglas!$B$5,"BLOQUEADO: AÑO",IF(IF(K230&lt;&gt;"",K230,J230)="",IF(S230&gt;1,"REQUIERE ASIGNACIÓN MANUAL (VARIAS CASILLAS)","INFORMATIVO (sin casilla — no se declara)"),IF(COUNTIFS(Reglas!$I$5:$I$118,IF(K230&lt;&gt;"",K230,J230),Reglas!$J$5:$J$118,"Sí")=0,"BLOQUEADO: CASILLA NO DIRECTA",IF(O230="","EXCLUIDO (valor borrado por el usuario)",IF(_xlfn.ISFORMULA(O230),IF(W230&lt;&gt;"","BORRADOR — VALOR SUGERIDO DIAN ⚠ VER ALERTA","BORRADOR — VALOR SUGERIDO DIAN"),IF(W230&lt;&gt;"","ACEPTADO ⚠ VER ALERTA","ACEPTADO"))))))))</f>
        <v/>
      </c>
      <c r="R230" s="218" t="n"/>
      <c r="S230" s="58">
        <f>IF(A230="","",IFERROR(--ISNUMBER(SEARCH("R28",G230)),0)+IFERROR(--ISNUMBER(SEARCH("R29",G230)),0)+IFERROR(--ISNUMBER(SEARCH("R30",G230)),0)+IFERROR(--ISNUMBER(SEARCH("R31",G230)),0)+IFERROR(--ISNUMBER(SEARCH("R32",G230)),0)+IFERROR(--ISNUMBER(SEARCH("R33",G230)),0)+IFERROR(--ISNUMBER(SEARCH("R34",G230)),0)+IFERROR(--ISNUMBER(SEARCH("R35",G230)),0)+IFERROR(--ISNUMBER(SEARCH("R36",G230)),0)+IFERROR(--ISNUMBER(SEARCH("R37",G230)),0)+IFERROR(--ISNUMBER(SEARCH("R38",G230)),0)+IFERROR(--ISNUMBER(SEARCH("R39",G230)),0)+IFERROR(--ISNUMBER(SEARCH("R40",G230)),0)+IFERROR(--ISNUMBER(SEARCH("R41",G230)),0)+IFERROR(--ISNUMBER(SEARCH("R42",G230)),0)+IFERROR(--ISNUMBER(SEARCH("R43",G230)),0)+IFERROR(--ISNUMBER(SEARCH("R44",G230)),0)+IFERROR(--ISNUMBER(SEARCH("R45",G230)),0)+IFERROR(--ISNUMBER(SEARCH("R46",G230)),0)+IFERROR(--ISNUMBER(SEARCH("R47",G230)),0)+IFERROR(--ISNUMBER(SEARCH("R48",G230)),0)+IFERROR(--ISNUMBER(SEARCH("R49",G230)),0)+IFERROR(--ISNUMBER(SEARCH("R50",G230)),0)+IFERROR(--ISNUMBER(SEARCH("R51",G230)),0)+IFERROR(--ISNUMBER(SEARCH("R52",G230)),0)+IFERROR(--ISNUMBER(SEARCH("R53",G230)),0)+IFERROR(--ISNUMBER(SEARCH("R54",G230)),0)+IFERROR(--ISNUMBER(SEARCH("R55",G230)),0)+IFERROR(--ISNUMBER(SEARCH("R56",G230)),0)+IFERROR(--ISNUMBER(SEARCH("R57",G230)),0)+IFERROR(--ISNUMBER(SEARCH("R58",G230)),0)+IFERROR(--ISNUMBER(SEARCH("R59",G230)),0)+IFERROR(--ISNUMBER(SEARCH("R60",G230)),0)+IFERROR(--ISNUMBER(SEARCH("R61",G230)),0)+IFERROR(--ISNUMBER(SEARCH("R62",G230)),0)+IFERROR(--ISNUMBER(SEARCH("R63",G230)),0)+IFERROR(--ISNUMBER(SEARCH("R64",G230)),0)+IFERROR(--ISNUMBER(SEARCH("R65",G230)),0)+IFERROR(--ISNUMBER(SEARCH("R66",G230)),0)+IFERROR(--ISNUMBER(SEARCH("R67",G230)),0)+IFERROR(--ISNUMBER(SEARCH("R68",G230)),0)+IFERROR(--ISNUMBER(SEARCH("R69",G230)),0)+IFERROR(--ISNUMBER(SEARCH("R70",G230)),0)+IFERROR(--ISNUMBER(SEARCH("R71",G230)),0)+IFERROR(--ISNUMBER(SEARCH("R72",G230)),0)+IFERROR(--ISNUMBER(SEARCH("R73",G230)),0)+IFERROR(--ISNUMBER(SEARCH("R74",G230)),0)+IFERROR(--ISNUMBER(SEARCH("R75",G230)),0)+IFERROR(--ISNUMBER(SEARCH("R76",G230)),0)+IFERROR(--ISNUMBER(SEARCH("R77",G230)),0)+IFERROR(--ISNUMBER(SEARCH("R78",G230)),0)+IFERROR(--ISNUMBER(SEARCH("R79",G230)),0)+IFERROR(--ISNUMBER(SEARCH("R80",G230)),0)+IFERROR(--ISNUMBER(SEARCH("R81",G230)),0)+IFERROR(--ISNUMBER(SEARCH("R82",G230)),0)+IFERROR(--ISNUMBER(SEARCH("R83",G230)),0)+IFERROR(--ISNUMBER(SEARCH("R84",G230)),0)+IFERROR(--ISNUMBER(SEARCH("R85",G230)),0)+IFERROR(--ISNUMBER(SEARCH("R86",G230)),0)+IFERROR(--ISNUMBER(SEARCH("R87",G230)),0)+IFERROR(--ISNUMBER(SEARCH("R88",G230)),0)+IFERROR(--ISNUMBER(SEARCH("R89",G230)),0)+IFERROR(--ISNUMBER(SEARCH("R90",G230)),0)+IFERROR(--ISNUMBER(SEARCH("R91",G230)),0)+IFERROR(--ISNUMBER(SEARCH("R92",G230)),0)+IFERROR(--ISNUMBER(SEARCH("R93",G230)),0)+IFERROR(--ISNUMBER(SEARCH("R94",G230)),0)+IFERROR(--ISNUMBER(SEARCH("R95",G230)),0)+IFERROR(--ISNUMBER(SEARCH("R96",G230)),0)+IFERROR(--ISNUMBER(SEARCH("R97",G230)),0)+IFERROR(--ISNUMBER(SEARCH("R98",G230)),0)+IFERROR(--ISNUMBER(SEARCH("R99",G230)),0)+IFERROR(--ISNUMBER(SEARCH("R100",G230)),0)+IFERROR(--ISNUMBER(SEARCH("R101",G230)),0)+IFERROR(--ISNUMBER(SEARCH("R102",G230)),0)+IFERROR(--ISNUMBER(SEARCH("R103",G230)),0)+IFERROR(--ISNUMBER(SEARCH("R104",G230)),0)+IFERROR(--ISNUMBER(SEARCH("R105",G230)),0)+IFERROR(--ISNUMBER(SEARCH("R106",G230)),0)+IFERROR(--ISNUMBER(SEARCH("R107",G230)),0)+IFERROR(--ISNUMBER(SEARCH("R108",G230)),0)+IFERROR(--ISNUMBER(SEARCH("R109",G230)),0)+IFERROR(--ISNUMBER(SEARCH("R110",G230)),0)+IFERROR(--ISNUMBER(SEARCH("R111",G230)),0)+IFERROR(--ISNUMBER(SEARCH("R112",G230)),0)+IFERROR(--ISNUMBER(SEARCH("R113",G230)),0)+IFERROR(--ISNUMBER(SEARCH("R114",G230)),0)+IFERROR(--ISNUMBER(SEARCH("R115",G230)),0)+IFERROR(--ISNUMBER(SEARCH("R116",G230)),0)+IFERROR(--ISNUMBER(SEARCH("R117",G230)),0)+IFERROR(--ISNUMBER(SEARCH("R118",G230)),0)+IFERROR(--ISNUMBER(SEARCH("R119",G230)),0)+IFERROR(--ISNUMBER(SEARCH("R120",G230)),0)+IFERROR(--ISNUMBER(SEARCH("R121",G230)),0)+IFERROR(--ISNUMBER(SEARCH("R122",G230)),0)+IFERROR(--ISNUMBER(SEARCH("R123",G230)),0)+IFERROR(--ISNUMBER(SEARCH("R124",G230)),0)+IFERROR(--ISNUMBER(SEARCH("R125",G230)),0)+IFERROR(--ISNUMBER(SEARCH("R126",G230)),0)+IFERROR(--ISNUMBER(SEARCH("R127",G230)),0)+IFERROR(--ISNUMBER(SEARCH("R128",G230)),0)+IFERROR(--ISNUMBER(SEARCH("R129",G230)),0)+IFERROR(--ISNUMBER(SEARCH("R130",G230)),0)+IFERROR(--ISNUMBER(SEARCH("R131",G230)),0)+IFERROR(--ISNUMBER(SEARCH("R132",G230)),0)+IFERROR(--ISNUMBER(SEARCH("R133",G230)),0)+IFERROR(--ISNUMBER(SEARCH("R134",G230)),0)+IFERROR(--ISNUMBER(SEARCH("R135",G230)),0)+IFERROR(--ISNUMBER(SEARCH("R136",G230)),0)+IFERROR(--ISNUMBER(SEARCH("R137",G230)),0)+IFERROR(--ISNUMBER(SEARCH("R138",G230)),0)+IFERROR(--ISNUMBER(SEARCH("R139",G230)),0)+IFERROR(--ISNUMBER(SEARCH("R140",G230)),0)+IFERROR(--ISNUMBER(SEARCH("R141",G230)),0))</f>
        <v/>
      </c>
      <c r="T230" s="58">
        <f>IF(A230="","",IFERROR(--ISNUMBER(SEARCH("R28",G230)),0)+IFERROR(--ISNUMBER(SEARCH("R29",G230)),0)+IFERROR(--ISNUMBER(SEARCH("R30",G230)),0)+IFERROR(--ISNUMBER(SEARCH("R32",G230)),0)+IFERROR(--ISNUMBER(SEARCH("R33",G230)),0)+IFERROR(--ISNUMBER(SEARCH("R35",G230)),0)+IFERROR(--ISNUMBER(SEARCH("R36",G230)),0)+IFERROR(--ISNUMBER(SEARCH("R38",G230)),0)+IFERROR(--ISNUMBER(SEARCH("R39",G230)),0)+IFERROR(--ISNUMBER(SEARCH("R43",G230)),0)+IFERROR(--ISNUMBER(SEARCH("R44",G230)),0)+IFERROR(--ISNUMBER(SEARCH("R45",G230)),0)+IFERROR(--ISNUMBER(SEARCH("R47",G230)),0)+IFERROR(--ISNUMBER(SEARCH("R48",G230)),0)+IFERROR(--ISNUMBER(SEARCH("R50",G230)),0)+IFERROR(--ISNUMBER(SEARCH("R51",G230)),0)+IFERROR(--ISNUMBER(SEARCH("R56",G230)),0)+IFERROR(--ISNUMBER(SEARCH("R58",G230)),0)+IFERROR(--ISNUMBER(SEARCH("R59",G230)),0)+IFERROR(--ISNUMBER(SEARCH("R60",G230)),0)+IFERROR(--ISNUMBER(SEARCH("R62",G230)),0)+IFERROR(--ISNUMBER(SEARCH("R63",G230)),0)+IFERROR(--ISNUMBER(SEARCH("R64",G230)),0)+IFERROR(--ISNUMBER(SEARCH("R66",G230)),0)+IFERROR(--ISNUMBER(SEARCH("R67",G230)),0)+IFERROR(--ISNUMBER(SEARCH("R72",G230)),0)+IFERROR(--ISNUMBER(SEARCH("R74",G230)),0)+IFERROR(--ISNUMBER(SEARCH("R75",G230)),0)+IFERROR(--ISNUMBER(SEARCH("R76",G230)),0)+IFERROR(--ISNUMBER(SEARCH("R77",G230)),0)+IFERROR(--ISNUMBER(SEARCH("R79",G230)),0)+IFERROR(--ISNUMBER(SEARCH("R80",G230)),0)+IFERROR(--ISNUMBER(SEARCH("R81",G230)),0)+IFERROR(--ISNUMBER(SEARCH("R83",G230)),0)+IFERROR(--ISNUMBER(SEARCH("R84",G230)),0)+IFERROR(--ISNUMBER(SEARCH("R89",G230)),0)+IFERROR(--ISNUMBER(SEARCH("R94",G230)),0)+IFERROR(--ISNUMBER(SEARCH("R95",G230)),0)+IFERROR(--ISNUMBER(SEARCH("R96",G230)),0)+IFERROR(--ISNUMBER(SEARCH("R98",G230)),0)+IFERROR(--ISNUMBER(SEARCH("R99",G230)),0)+IFERROR(--ISNUMBER(SEARCH("R100",G230)),0)+IFERROR(--ISNUMBER(SEARCH("R104",G230)),0)+IFERROR(--ISNUMBER(SEARCH("R105",G230)),0)+IFERROR(--ISNUMBER(SEARCH("R107",G230)),0)+IFERROR(--ISNUMBER(SEARCH("R108",G230)),0)+IFERROR(--ISNUMBER(SEARCH("R109",G230)),0)+IFERROR(--ISNUMBER(SEARCH("R110",G230)),0)+IFERROR(--ISNUMBER(SEARCH("R112",G230)),0)+IFERROR(--ISNUMBER(SEARCH("R113",G230)),0)+IFERROR(--ISNUMBER(SEARCH("R114",G230)),0)+IFERROR(--ISNUMBER(SEARCH("R118",G230)),0)+IFERROR(--ISNUMBER(SEARCH("R119",G230)),0)+IFERROR(--ISNUMBER(SEARCH("R120",G230)),0)+IFERROR(--ISNUMBER(SEARCH("R122",G230)),0)+IFERROR(--ISNUMBER(SEARCH("R123",G230)),0)+IFERROR(--ISNUMBER(SEARCH("R124",G230)),0)+IFERROR(--ISNUMBER(SEARCH("R128",G230)),0)+IFERROR(--ISNUMBER(SEARCH("R130",G230)),0)+IFERROR(--ISNUMBER(SEARCH("R131",G230)),0)+IFERROR(--ISNUMBER(SEARCH("R132",G230)),0)+IFERROR(--ISNUMBER(SEARCH("R135",G230)),0)+IFERROR(--ISNUMBER(SEARCH("R138",G230)),0)+IFERROR(--ISNUMBER(SEARCH("R141",G230)),0))</f>
        <v/>
      </c>
      <c r="U230" s="58">
        <f>IF(A230="","",IFERROR(--ISNUMBER(SEARCH("R28",G230))*28,0)+IFERROR(--ISNUMBER(SEARCH("R29",G230))*29,0)+IFERROR(--ISNUMBER(SEARCH("R30",G230))*30,0)+IFERROR(--ISNUMBER(SEARCH("R31",G230))*31,0)+IFERROR(--ISNUMBER(SEARCH("R32",G230))*32,0)+IFERROR(--ISNUMBER(SEARCH("R33",G230))*33,0)+IFERROR(--ISNUMBER(SEARCH("R34",G230))*34,0)+IFERROR(--ISNUMBER(SEARCH("R35",G230))*35,0)+IFERROR(--ISNUMBER(SEARCH("R36",G230))*36,0)+IFERROR(--ISNUMBER(SEARCH("R37",G230))*37,0)+IFERROR(--ISNUMBER(SEARCH("R38",G230))*38,0)+IFERROR(--ISNUMBER(SEARCH("R39",G230))*39,0)+IFERROR(--ISNUMBER(SEARCH("R40",G230))*40,0)+IFERROR(--ISNUMBER(SEARCH("R41",G230))*41,0)+IFERROR(--ISNUMBER(SEARCH("R42",G230))*42,0)+IFERROR(--ISNUMBER(SEARCH("R43",G230))*43,0)+IFERROR(--ISNUMBER(SEARCH("R44",G230))*44,0)+IFERROR(--ISNUMBER(SEARCH("R45",G230))*45,0)+IFERROR(--ISNUMBER(SEARCH("R46",G230))*46,0)+IFERROR(--ISNUMBER(SEARCH("R47",G230))*47,0)+IFERROR(--ISNUMBER(SEARCH("R48",G230))*48,0)+IFERROR(--ISNUMBER(SEARCH("R49",G230))*49,0)+IFERROR(--ISNUMBER(SEARCH("R50",G230))*50,0)+IFERROR(--ISNUMBER(SEARCH("R51",G230))*51,0)+IFERROR(--ISNUMBER(SEARCH("R52",G230))*52,0)+IFERROR(--ISNUMBER(SEARCH("R53",G230))*53,0)+IFERROR(--ISNUMBER(SEARCH("R54",G230))*54,0)+IFERROR(--ISNUMBER(SEARCH("R55",G230))*55,0)+IFERROR(--ISNUMBER(SEARCH("R56",G230))*56,0)+IFERROR(--ISNUMBER(SEARCH("R57",G230))*57,0)+IFERROR(--ISNUMBER(SEARCH("R58",G230))*58,0)+IFERROR(--ISNUMBER(SEARCH("R59",G230))*59,0)+IFERROR(--ISNUMBER(SEARCH("R60",G230))*60,0)+IFERROR(--ISNUMBER(SEARCH("R61",G230))*61,0)+IFERROR(--ISNUMBER(SEARCH("R62",G230))*62,0)+IFERROR(--ISNUMBER(SEARCH("R63",G230))*63,0)+IFERROR(--ISNUMBER(SEARCH("R64",G230))*64,0)+IFERROR(--ISNUMBER(SEARCH("R65",G230))*65,0)+IFERROR(--ISNUMBER(SEARCH("R66",G230))*66,0)+IFERROR(--ISNUMBER(SEARCH("R67",G230))*67,0)+IFERROR(--ISNUMBER(SEARCH("R68",G230))*68,0)+IFERROR(--ISNUMBER(SEARCH("R69",G230))*69,0)+IFERROR(--ISNUMBER(SEARCH("R70",G230))*70,0)+IFERROR(--ISNUMBER(SEARCH("R71",G230))*71,0)+IFERROR(--ISNUMBER(SEARCH("R72",G230))*72,0)+IFERROR(--ISNUMBER(SEARCH("R73",G230))*73,0)+IFERROR(--ISNUMBER(SEARCH("R74",G230))*74,0)+IFERROR(--ISNUMBER(SEARCH("R75",G230))*75,0)+IFERROR(--ISNUMBER(SEARCH("R76",G230))*76,0)+IFERROR(--ISNUMBER(SEARCH("R77",G230))*77,0)+IFERROR(--ISNUMBER(SEARCH("R78",G230))*78,0)+IFERROR(--ISNUMBER(SEARCH("R79",G230))*79,0)+IFERROR(--ISNUMBER(SEARCH("R80",G230))*80,0)+IFERROR(--ISNUMBER(SEARCH("R81",G230))*81,0)+IFERROR(--ISNUMBER(SEARCH("R82",G230))*82,0)+IFERROR(--ISNUMBER(SEARCH("R83",G230))*83,0)+IFERROR(--ISNUMBER(SEARCH("R84",G230))*84,0)+IFERROR(--ISNUMBER(SEARCH("R85",G230))*85,0)+IFERROR(--ISNUMBER(SEARCH("R86",G230))*86,0)+IFERROR(--ISNUMBER(SEARCH("R87",G230))*87,0)+IFERROR(--ISNUMBER(SEARCH("R88",G230))*88,0)+IFERROR(--ISNUMBER(SEARCH("R89",G230))*89,0)+IFERROR(--ISNUMBER(SEARCH("R90",G230))*90,0)+IFERROR(--ISNUMBER(SEARCH("R91",G230))*91,0)+IFERROR(--ISNUMBER(SEARCH("R92",G230))*92,0)+IFERROR(--ISNUMBER(SEARCH("R93",G230))*93,0)+IFERROR(--ISNUMBER(SEARCH("R94",G230))*94,0)+IFERROR(--ISNUMBER(SEARCH("R95",G230))*95,0)+IFERROR(--ISNUMBER(SEARCH("R96",G230))*96,0)+IFERROR(--ISNUMBER(SEARCH("R97",G230))*97,0)+IFERROR(--ISNUMBER(SEARCH("R98",G230))*98,0)+IFERROR(--ISNUMBER(SEARCH("R99",G230))*99,0)+IFERROR(--ISNUMBER(SEARCH("R100",G230))*100,0)+IFERROR(--ISNUMBER(SEARCH("R101",G230))*101,0)+IFERROR(--ISNUMBER(SEARCH("R102",G230))*102,0)+IFERROR(--ISNUMBER(SEARCH("R103",G230))*103,0)+IFERROR(--ISNUMBER(SEARCH("R104",G230))*104,0)+IFERROR(--ISNUMBER(SEARCH("R105",G230))*105,0)+IFERROR(--ISNUMBER(SEARCH("R106",G230))*106,0)+IFERROR(--ISNUMBER(SEARCH("R107",G230))*107,0)+IFERROR(--ISNUMBER(SEARCH("R108",G230))*108,0)+IFERROR(--ISNUMBER(SEARCH("R109",G230))*109,0)+IFERROR(--ISNUMBER(SEARCH("R110",G230))*110,0)+IFERROR(--ISNUMBER(SEARCH("R111",G230))*111,0)+IFERROR(--ISNUMBER(SEARCH("R112",G230))*112,0)+IFERROR(--ISNUMBER(SEARCH("R113",G230))*113,0)+IFERROR(--ISNUMBER(SEARCH("R114",G230))*114,0)+IFERROR(--ISNUMBER(SEARCH("R115",G230))*115,0)+IFERROR(--ISNUMBER(SEARCH("R116",G230))*116,0)+IFERROR(--ISNUMBER(SEARCH("R117",G230))*117,0)+IFERROR(--ISNUMBER(SEARCH("R118",G230))*118,0)+IFERROR(--ISNUMBER(SEARCH("R119",G230))*119,0)+IFERROR(--ISNUMBER(SEARCH("R120",G230))*120,0)+IFERROR(--ISNUMBER(SEARCH("R121",G230))*121,0)+IFERROR(--ISNUMBER(SEARCH("R122",G230))*122,0)+IFERROR(--ISNUMBER(SEARCH("R123",G230))*123,0)+IFERROR(--ISNUMBER(SEARCH("R124",G230))*124,0)+IFERROR(--ISNUMBER(SEARCH("R125",G230))*125,0)+IFERROR(--ISNUMBER(SEARCH("R126",G230))*126,0)+IFERROR(--ISNUMBER(SEARCH("R127",G230))*127,0)+IFERROR(--ISNUMBER(SEARCH("R128",G230))*128,0)+IFERROR(--ISNUMBER(SEARCH("R129",G230))*129,0)+IFERROR(--ISNUMBER(SEARCH("R130",G230))*130,0)+IFERROR(--ISNUMBER(SEARCH("R131",G230))*131,0)+IFERROR(--ISNUMBER(SEARCH("R132",G230))*132,0)+IFERROR(--ISNUMBER(SEARCH("R133",G230))*133,0)+IFERROR(--ISNUMBER(SEARCH("R134",G230))*134,0)+IFERROR(--ISNUMBER(SEARCH("R135",G230))*135,0)+IFERROR(--ISNUMBER(SEARCH("R136",G230))*136,0)+IFERROR(--ISNUMBER(SEARCH("R137",G230))*137,0)+IFERROR(--ISNUMBER(SEARCH("R138",G230))*138,0)+IFERROR(--ISNUMBER(SEARCH("R139",G230))*139,0)+IFERROR(--ISNUMBER(SEARCH("R140",G230))*140,0)+IFERROR(--ISNUMBER(SEARCH("R141",G230))*141,0))</f>
        <v/>
      </c>
      <c r="V230" s="59">
        <f>IF(A230="","",IF(K230&lt;&gt;"",K230,J230))</f>
        <v/>
      </c>
      <c r="W230" s="59">
        <f>IF(A230="","",IF(AND(V230=29,O230&lt;&gt;"",COUNTIFS($V$6:$V$505,29,$F$6:$F$505,F230,$C$6:$C$505,C230,$O$6:$O$505,"&lt;&gt;")&gt;1),IF(COUNTIFS($V$6:V230,29,$F$6:F230,F230,$C$6:C230,C230,$O$6:O230,"&lt;&gt;")=1,"Esta es la fila que se debe CONSERVAR (aparición 1 de "&amp;COUNTIFS($V$6:$V$505,29,$F$6:$F$505,F230,$C$6:$C$505,C230,$O$6:$O$505,"&lt;&gt;")&amp;" con el mismo tercero y valor, casilla 29). Si hay más filas iguales, bórreles el valor a ELLAS, no a esta.","DUPLICADO — ya existe otra fila con el mismo tercero y valor para casilla 29 (aparición "&amp;COUNTIFS($V$6:V230,29,$F$6:F230,F230,$C$6:C230,C230,$O$6:O230,"&lt;&gt;")&amp;" de "&amp;COUNTIFS($V$6:$V$505,29,$F$6:$F$505,F230,$C$6:$C$505,C230,$O$6:$O$505,"&lt;&gt;")&amp;"). Para resolverlo: seleccione la celda O"&amp;ROW()&amp;" (columna Valor a declarar de ESTA fila) y presione Supr."),""))</f>
        <v/>
      </c>
      <c r="X230" s="463">
        <f>IF(A230="","",F230)</f>
        <v/>
      </c>
      <c r="Y230" s="463">
        <f>IF(A230="","",SUMIF(Entrada_Manual!$I$88:$I$187,A230,Entrada_Manual!$F$88:$F$187))</f>
        <v/>
      </c>
      <c r="Z230" s="463">
        <f>IF(A230="","",X230-Y230)</f>
        <v/>
      </c>
      <c r="AA230">
        <f>IF(A230="","",SUMPRODUCT((Entrada_Manual!$I$88:$I$187=A230)*1))</f>
        <v/>
      </c>
      <c r="AB230">
        <f>IF(A230="","",IF(S230&lt;=1,"",IF(AA230=0,"PENDIENTE — SIN ASIGNAR",IF(Z230=0,"RESUELTO","PARCIAL — DIFERENCIA "&amp;TEXT(Z230,"#,##0")))))</f>
        <v/>
      </c>
    </row>
    <row r="231" ht="14.25" customHeight="1" s="235">
      <c r="A231" s="47">
        <f>IF(Exogena_RAW!E240&lt;&gt;"",ROW()-5,"")</f>
        <v/>
      </c>
      <c r="B231" s="48">
        <f>IF(A231="","",240)</f>
        <v/>
      </c>
      <c r="C231" s="48">
        <f>IF(A231="","",IFERROR(Exogena_RAW!A240,""))</f>
        <v/>
      </c>
      <c r="D231" s="48">
        <f>IF(A231="","",IFERROR(Exogena_RAW!B240,""))</f>
        <v/>
      </c>
      <c r="E231" s="48">
        <f>IF(A231="","",Exogena_RAW!E240)</f>
        <v/>
      </c>
      <c r="F231" s="461">
        <f>IF(A231="","",Exogena_RAW!F240)</f>
        <v/>
      </c>
      <c r="G231" s="48">
        <f>IF(A231="","",IFERROR(Exogena_RAW!G240,""))</f>
        <v/>
      </c>
      <c r="H231" s="48">
        <f>IF(A231="","",IFERROR(Exogena_RAW!H240,""))</f>
        <v/>
      </c>
      <c r="I231" s="48">
        <f>IF(A231="","",IFERROR(IF(S231&gt;1,"VARIAS CASILLAS",IF(S231=1,IF(T231=1,"PROPUESTA DE CASILLA","REVISIÓN: CASILLA NO DIRECTA"),IF(OR(ISNUMBER(SEARCH("TOPE",UPPER(E231))),ISNUMBER(SEARCH("TOPE",UPPER(G231)))),"SOLO CONTROL",IF(ISNUMBER(SEARCH("RETEN",UPPER(E231))),"RETENCIÓN","REVISAR")))),"REVISAR"))</f>
        <v/>
      </c>
      <c r="J231" s="48">
        <f>IF(A231="","",IF(ISNUMBER(SEARCH("ingreso laboral promedio de los últimos seis meses",E231)),"",IFERROR(IF(AND(S231=1,T231=1),U231,""),"")))</f>
        <v/>
      </c>
      <c r="K231" s="216" t="n"/>
      <c r="L231" s="48">
        <f>IF(A231="","",IFERROR(IF(K231&lt;&gt;"","Casilla elegida por usuario",IF(S231&gt;1,"Varias casillas — elegir en K",IF(J231&lt;&gt;"","Sugerencia directa",IF(S231=1,"No trasladar directo — revisar",IF(OR(ISNUMBER(SEARCH("TOPE",UPPER(E231))),ISNUMBER(SEARCH("TOPE",UPPER(G231)))),"Solo control","Revisar manualmente"))))),"Revisar manualmente"))</f>
        <v/>
      </c>
      <c r="M231" s="461">
        <f>IF(A231="","",IF(IF(K231&lt;&gt;"",K231,J231)="",0,IF(COUNTIFS(Reglas!$I$5:$I$118,IF(K231&lt;&gt;"",K231,J231),Reglas!$J$5:$J$118,"Sí")=1,F231,0)))</f>
        <v/>
      </c>
      <c r="N231" s="56" t="n"/>
      <c r="O231" s="462">
        <f>IF(A231="","",IF(M231=0,"",M231))</f>
        <v/>
      </c>
      <c r="P231" s="461">
        <f>IF(A231="","",IF(O231="",0,IF(ISNUMBER(O231),O231,0)))</f>
        <v/>
      </c>
      <c r="Q231" s="48">
        <f>IF(A231="","",IF(Exogena_RAW!$C$4="","BLOQUEADO: FALTA AÑO",IF(Exogena_RAW!$K$10&lt;&gt;Reglas!$B$5,"BLOQUEADO: AÑO",IF(IF(K231&lt;&gt;"",K231,J231)="",IF(S231&gt;1,"REQUIERE ASIGNACIÓN MANUAL (VARIAS CASILLAS)","INFORMATIVO (sin casilla — no se declara)"),IF(COUNTIFS(Reglas!$I$5:$I$118,IF(K231&lt;&gt;"",K231,J231),Reglas!$J$5:$J$118,"Sí")=0,"BLOQUEADO: CASILLA NO DIRECTA",IF(O231="","EXCLUIDO (valor borrado por el usuario)",IF(_xlfn.ISFORMULA(O231),IF(W231&lt;&gt;"","BORRADOR — VALOR SUGERIDO DIAN ⚠ VER ALERTA","BORRADOR — VALOR SUGERIDO DIAN"),IF(W231&lt;&gt;"","ACEPTADO ⚠ VER ALERTA","ACEPTADO"))))))))</f>
        <v/>
      </c>
      <c r="R231" s="218" t="n"/>
      <c r="S231" s="58">
        <f>IF(A231="","",IFERROR(--ISNUMBER(SEARCH("R28",G231)),0)+IFERROR(--ISNUMBER(SEARCH("R29",G231)),0)+IFERROR(--ISNUMBER(SEARCH("R30",G231)),0)+IFERROR(--ISNUMBER(SEARCH("R31",G231)),0)+IFERROR(--ISNUMBER(SEARCH("R32",G231)),0)+IFERROR(--ISNUMBER(SEARCH("R33",G231)),0)+IFERROR(--ISNUMBER(SEARCH("R34",G231)),0)+IFERROR(--ISNUMBER(SEARCH("R35",G231)),0)+IFERROR(--ISNUMBER(SEARCH("R36",G231)),0)+IFERROR(--ISNUMBER(SEARCH("R37",G231)),0)+IFERROR(--ISNUMBER(SEARCH("R38",G231)),0)+IFERROR(--ISNUMBER(SEARCH("R39",G231)),0)+IFERROR(--ISNUMBER(SEARCH("R40",G231)),0)+IFERROR(--ISNUMBER(SEARCH("R41",G231)),0)+IFERROR(--ISNUMBER(SEARCH("R42",G231)),0)+IFERROR(--ISNUMBER(SEARCH("R43",G231)),0)+IFERROR(--ISNUMBER(SEARCH("R44",G231)),0)+IFERROR(--ISNUMBER(SEARCH("R45",G231)),0)+IFERROR(--ISNUMBER(SEARCH("R46",G231)),0)+IFERROR(--ISNUMBER(SEARCH("R47",G231)),0)+IFERROR(--ISNUMBER(SEARCH("R48",G231)),0)+IFERROR(--ISNUMBER(SEARCH("R49",G231)),0)+IFERROR(--ISNUMBER(SEARCH("R50",G231)),0)+IFERROR(--ISNUMBER(SEARCH("R51",G231)),0)+IFERROR(--ISNUMBER(SEARCH("R52",G231)),0)+IFERROR(--ISNUMBER(SEARCH("R53",G231)),0)+IFERROR(--ISNUMBER(SEARCH("R54",G231)),0)+IFERROR(--ISNUMBER(SEARCH("R55",G231)),0)+IFERROR(--ISNUMBER(SEARCH("R56",G231)),0)+IFERROR(--ISNUMBER(SEARCH("R57",G231)),0)+IFERROR(--ISNUMBER(SEARCH("R58",G231)),0)+IFERROR(--ISNUMBER(SEARCH("R59",G231)),0)+IFERROR(--ISNUMBER(SEARCH("R60",G231)),0)+IFERROR(--ISNUMBER(SEARCH("R61",G231)),0)+IFERROR(--ISNUMBER(SEARCH("R62",G231)),0)+IFERROR(--ISNUMBER(SEARCH("R63",G231)),0)+IFERROR(--ISNUMBER(SEARCH("R64",G231)),0)+IFERROR(--ISNUMBER(SEARCH("R65",G231)),0)+IFERROR(--ISNUMBER(SEARCH("R66",G231)),0)+IFERROR(--ISNUMBER(SEARCH("R67",G231)),0)+IFERROR(--ISNUMBER(SEARCH("R68",G231)),0)+IFERROR(--ISNUMBER(SEARCH("R69",G231)),0)+IFERROR(--ISNUMBER(SEARCH("R70",G231)),0)+IFERROR(--ISNUMBER(SEARCH("R71",G231)),0)+IFERROR(--ISNUMBER(SEARCH("R72",G231)),0)+IFERROR(--ISNUMBER(SEARCH("R73",G231)),0)+IFERROR(--ISNUMBER(SEARCH("R74",G231)),0)+IFERROR(--ISNUMBER(SEARCH("R75",G231)),0)+IFERROR(--ISNUMBER(SEARCH("R76",G231)),0)+IFERROR(--ISNUMBER(SEARCH("R77",G231)),0)+IFERROR(--ISNUMBER(SEARCH("R78",G231)),0)+IFERROR(--ISNUMBER(SEARCH("R79",G231)),0)+IFERROR(--ISNUMBER(SEARCH("R80",G231)),0)+IFERROR(--ISNUMBER(SEARCH("R81",G231)),0)+IFERROR(--ISNUMBER(SEARCH("R82",G231)),0)+IFERROR(--ISNUMBER(SEARCH("R83",G231)),0)+IFERROR(--ISNUMBER(SEARCH("R84",G231)),0)+IFERROR(--ISNUMBER(SEARCH("R85",G231)),0)+IFERROR(--ISNUMBER(SEARCH("R86",G231)),0)+IFERROR(--ISNUMBER(SEARCH("R87",G231)),0)+IFERROR(--ISNUMBER(SEARCH("R88",G231)),0)+IFERROR(--ISNUMBER(SEARCH("R89",G231)),0)+IFERROR(--ISNUMBER(SEARCH("R90",G231)),0)+IFERROR(--ISNUMBER(SEARCH("R91",G231)),0)+IFERROR(--ISNUMBER(SEARCH("R92",G231)),0)+IFERROR(--ISNUMBER(SEARCH("R93",G231)),0)+IFERROR(--ISNUMBER(SEARCH("R94",G231)),0)+IFERROR(--ISNUMBER(SEARCH("R95",G231)),0)+IFERROR(--ISNUMBER(SEARCH("R96",G231)),0)+IFERROR(--ISNUMBER(SEARCH("R97",G231)),0)+IFERROR(--ISNUMBER(SEARCH("R98",G231)),0)+IFERROR(--ISNUMBER(SEARCH("R99",G231)),0)+IFERROR(--ISNUMBER(SEARCH("R100",G231)),0)+IFERROR(--ISNUMBER(SEARCH("R101",G231)),0)+IFERROR(--ISNUMBER(SEARCH("R102",G231)),0)+IFERROR(--ISNUMBER(SEARCH("R103",G231)),0)+IFERROR(--ISNUMBER(SEARCH("R104",G231)),0)+IFERROR(--ISNUMBER(SEARCH("R105",G231)),0)+IFERROR(--ISNUMBER(SEARCH("R106",G231)),0)+IFERROR(--ISNUMBER(SEARCH("R107",G231)),0)+IFERROR(--ISNUMBER(SEARCH("R108",G231)),0)+IFERROR(--ISNUMBER(SEARCH("R109",G231)),0)+IFERROR(--ISNUMBER(SEARCH("R110",G231)),0)+IFERROR(--ISNUMBER(SEARCH("R111",G231)),0)+IFERROR(--ISNUMBER(SEARCH("R112",G231)),0)+IFERROR(--ISNUMBER(SEARCH("R113",G231)),0)+IFERROR(--ISNUMBER(SEARCH("R114",G231)),0)+IFERROR(--ISNUMBER(SEARCH("R115",G231)),0)+IFERROR(--ISNUMBER(SEARCH("R116",G231)),0)+IFERROR(--ISNUMBER(SEARCH("R117",G231)),0)+IFERROR(--ISNUMBER(SEARCH("R118",G231)),0)+IFERROR(--ISNUMBER(SEARCH("R119",G231)),0)+IFERROR(--ISNUMBER(SEARCH("R120",G231)),0)+IFERROR(--ISNUMBER(SEARCH("R121",G231)),0)+IFERROR(--ISNUMBER(SEARCH("R122",G231)),0)+IFERROR(--ISNUMBER(SEARCH("R123",G231)),0)+IFERROR(--ISNUMBER(SEARCH("R124",G231)),0)+IFERROR(--ISNUMBER(SEARCH("R125",G231)),0)+IFERROR(--ISNUMBER(SEARCH("R126",G231)),0)+IFERROR(--ISNUMBER(SEARCH("R127",G231)),0)+IFERROR(--ISNUMBER(SEARCH("R128",G231)),0)+IFERROR(--ISNUMBER(SEARCH("R129",G231)),0)+IFERROR(--ISNUMBER(SEARCH("R130",G231)),0)+IFERROR(--ISNUMBER(SEARCH("R131",G231)),0)+IFERROR(--ISNUMBER(SEARCH("R132",G231)),0)+IFERROR(--ISNUMBER(SEARCH("R133",G231)),0)+IFERROR(--ISNUMBER(SEARCH("R134",G231)),0)+IFERROR(--ISNUMBER(SEARCH("R135",G231)),0)+IFERROR(--ISNUMBER(SEARCH("R136",G231)),0)+IFERROR(--ISNUMBER(SEARCH("R137",G231)),0)+IFERROR(--ISNUMBER(SEARCH("R138",G231)),0)+IFERROR(--ISNUMBER(SEARCH("R139",G231)),0)+IFERROR(--ISNUMBER(SEARCH("R140",G231)),0)+IFERROR(--ISNUMBER(SEARCH("R141",G231)),0))</f>
        <v/>
      </c>
      <c r="T231" s="58">
        <f>IF(A231="","",IFERROR(--ISNUMBER(SEARCH("R28",G231)),0)+IFERROR(--ISNUMBER(SEARCH("R29",G231)),0)+IFERROR(--ISNUMBER(SEARCH("R30",G231)),0)+IFERROR(--ISNUMBER(SEARCH("R32",G231)),0)+IFERROR(--ISNUMBER(SEARCH("R33",G231)),0)+IFERROR(--ISNUMBER(SEARCH("R35",G231)),0)+IFERROR(--ISNUMBER(SEARCH("R36",G231)),0)+IFERROR(--ISNUMBER(SEARCH("R38",G231)),0)+IFERROR(--ISNUMBER(SEARCH("R39",G231)),0)+IFERROR(--ISNUMBER(SEARCH("R43",G231)),0)+IFERROR(--ISNUMBER(SEARCH("R44",G231)),0)+IFERROR(--ISNUMBER(SEARCH("R45",G231)),0)+IFERROR(--ISNUMBER(SEARCH("R47",G231)),0)+IFERROR(--ISNUMBER(SEARCH("R48",G231)),0)+IFERROR(--ISNUMBER(SEARCH("R50",G231)),0)+IFERROR(--ISNUMBER(SEARCH("R51",G231)),0)+IFERROR(--ISNUMBER(SEARCH("R56",G231)),0)+IFERROR(--ISNUMBER(SEARCH("R58",G231)),0)+IFERROR(--ISNUMBER(SEARCH("R59",G231)),0)+IFERROR(--ISNUMBER(SEARCH("R60",G231)),0)+IFERROR(--ISNUMBER(SEARCH("R62",G231)),0)+IFERROR(--ISNUMBER(SEARCH("R63",G231)),0)+IFERROR(--ISNUMBER(SEARCH("R64",G231)),0)+IFERROR(--ISNUMBER(SEARCH("R66",G231)),0)+IFERROR(--ISNUMBER(SEARCH("R67",G231)),0)+IFERROR(--ISNUMBER(SEARCH("R72",G231)),0)+IFERROR(--ISNUMBER(SEARCH("R74",G231)),0)+IFERROR(--ISNUMBER(SEARCH("R75",G231)),0)+IFERROR(--ISNUMBER(SEARCH("R76",G231)),0)+IFERROR(--ISNUMBER(SEARCH("R77",G231)),0)+IFERROR(--ISNUMBER(SEARCH("R79",G231)),0)+IFERROR(--ISNUMBER(SEARCH("R80",G231)),0)+IFERROR(--ISNUMBER(SEARCH("R81",G231)),0)+IFERROR(--ISNUMBER(SEARCH("R83",G231)),0)+IFERROR(--ISNUMBER(SEARCH("R84",G231)),0)+IFERROR(--ISNUMBER(SEARCH("R89",G231)),0)+IFERROR(--ISNUMBER(SEARCH("R94",G231)),0)+IFERROR(--ISNUMBER(SEARCH("R95",G231)),0)+IFERROR(--ISNUMBER(SEARCH("R96",G231)),0)+IFERROR(--ISNUMBER(SEARCH("R98",G231)),0)+IFERROR(--ISNUMBER(SEARCH("R99",G231)),0)+IFERROR(--ISNUMBER(SEARCH("R100",G231)),0)+IFERROR(--ISNUMBER(SEARCH("R104",G231)),0)+IFERROR(--ISNUMBER(SEARCH("R105",G231)),0)+IFERROR(--ISNUMBER(SEARCH("R107",G231)),0)+IFERROR(--ISNUMBER(SEARCH("R108",G231)),0)+IFERROR(--ISNUMBER(SEARCH("R109",G231)),0)+IFERROR(--ISNUMBER(SEARCH("R110",G231)),0)+IFERROR(--ISNUMBER(SEARCH("R112",G231)),0)+IFERROR(--ISNUMBER(SEARCH("R113",G231)),0)+IFERROR(--ISNUMBER(SEARCH("R114",G231)),0)+IFERROR(--ISNUMBER(SEARCH("R118",G231)),0)+IFERROR(--ISNUMBER(SEARCH("R119",G231)),0)+IFERROR(--ISNUMBER(SEARCH("R120",G231)),0)+IFERROR(--ISNUMBER(SEARCH("R122",G231)),0)+IFERROR(--ISNUMBER(SEARCH("R123",G231)),0)+IFERROR(--ISNUMBER(SEARCH("R124",G231)),0)+IFERROR(--ISNUMBER(SEARCH("R128",G231)),0)+IFERROR(--ISNUMBER(SEARCH("R130",G231)),0)+IFERROR(--ISNUMBER(SEARCH("R131",G231)),0)+IFERROR(--ISNUMBER(SEARCH("R132",G231)),0)+IFERROR(--ISNUMBER(SEARCH("R135",G231)),0)+IFERROR(--ISNUMBER(SEARCH("R138",G231)),0)+IFERROR(--ISNUMBER(SEARCH("R141",G231)),0))</f>
        <v/>
      </c>
      <c r="U231" s="58">
        <f>IF(A231="","",IFERROR(--ISNUMBER(SEARCH("R28",G231))*28,0)+IFERROR(--ISNUMBER(SEARCH("R29",G231))*29,0)+IFERROR(--ISNUMBER(SEARCH("R30",G231))*30,0)+IFERROR(--ISNUMBER(SEARCH("R31",G231))*31,0)+IFERROR(--ISNUMBER(SEARCH("R32",G231))*32,0)+IFERROR(--ISNUMBER(SEARCH("R33",G231))*33,0)+IFERROR(--ISNUMBER(SEARCH("R34",G231))*34,0)+IFERROR(--ISNUMBER(SEARCH("R35",G231))*35,0)+IFERROR(--ISNUMBER(SEARCH("R36",G231))*36,0)+IFERROR(--ISNUMBER(SEARCH("R37",G231))*37,0)+IFERROR(--ISNUMBER(SEARCH("R38",G231))*38,0)+IFERROR(--ISNUMBER(SEARCH("R39",G231))*39,0)+IFERROR(--ISNUMBER(SEARCH("R40",G231))*40,0)+IFERROR(--ISNUMBER(SEARCH("R41",G231))*41,0)+IFERROR(--ISNUMBER(SEARCH("R42",G231))*42,0)+IFERROR(--ISNUMBER(SEARCH("R43",G231))*43,0)+IFERROR(--ISNUMBER(SEARCH("R44",G231))*44,0)+IFERROR(--ISNUMBER(SEARCH("R45",G231))*45,0)+IFERROR(--ISNUMBER(SEARCH("R46",G231))*46,0)+IFERROR(--ISNUMBER(SEARCH("R47",G231))*47,0)+IFERROR(--ISNUMBER(SEARCH("R48",G231))*48,0)+IFERROR(--ISNUMBER(SEARCH("R49",G231))*49,0)+IFERROR(--ISNUMBER(SEARCH("R50",G231))*50,0)+IFERROR(--ISNUMBER(SEARCH("R51",G231))*51,0)+IFERROR(--ISNUMBER(SEARCH("R52",G231))*52,0)+IFERROR(--ISNUMBER(SEARCH("R53",G231))*53,0)+IFERROR(--ISNUMBER(SEARCH("R54",G231))*54,0)+IFERROR(--ISNUMBER(SEARCH("R55",G231))*55,0)+IFERROR(--ISNUMBER(SEARCH("R56",G231))*56,0)+IFERROR(--ISNUMBER(SEARCH("R57",G231))*57,0)+IFERROR(--ISNUMBER(SEARCH("R58",G231))*58,0)+IFERROR(--ISNUMBER(SEARCH("R59",G231))*59,0)+IFERROR(--ISNUMBER(SEARCH("R60",G231))*60,0)+IFERROR(--ISNUMBER(SEARCH("R61",G231))*61,0)+IFERROR(--ISNUMBER(SEARCH("R62",G231))*62,0)+IFERROR(--ISNUMBER(SEARCH("R63",G231))*63,0)+IFERROR(--ISNUMBER(SEARCH("R64",G231))*64,0)+IFERROR(--ISNUMBER(SEARCH("R65",G231))*65,0)+IFERROR(--ISNUMBER(SEARCH("R66",G231))*66,0)+IFERROR(--ISNUMBER(SEARCH("R67",G231))*67,0)+IFERROR(--ISNUMBER(SEARCH("R68",G231))*68,0)+IFERROR(--ISNUMBER(SEARCH("R69",G231))*69,0)+IFERROR(--ISNUMBER(SEARCH("R70",G231))*70,0)+IFERROR(--ISNUMBER(SEARCH("R71",G231))*71,0)+IFERROR(--ISNUMBER(SEARCH("R72",G231))*72,0)+IFERROR(--ISNUMBER(SEARCH("R73",G231))*73,0)+IFERROR(--ISNUMBER(SEARCH("R74",G231))*74,0)+IFERROR(--ISNUMBER(SEARCH("R75",G231))*75,0)+IFERROR(--ISNUMBER(SEARCH("R76",G231))*76,0)+IFERROR(--ISNUMBER(SEARCH("R77",G231))*77,0)+IFERROR(--ISNUMBER(SEARCH("R78",G231))*78,0)+IFERROR(--ISNUMBER(SEARCH("R79",G231))*79,0)+IFERROR(--ISNUMBER(SEARCH("R80",G231))*80,0)+IFERROR(--ISNUMBER(SEARCH("R81",G231))*81,0)+IFERROR(--ISNUMBER(SEARCH("R82",G231))*82,0)+IFERROR(--ISNUMBER(SEARCH("R83",G231))*83,0)+IFERROR(--ISNUMBER(SEARCH("R84",G231))*84,0)+IFERROR(--ISNUMBER(SEARCH("R85",G231))*85,0)+IFERROR(--ISNUMBER(SEARCH("R86",G231))*86,0)+IFERROR(--ISNUMBER(SEARCH("R87",G231))*87,0)+IFERROR(--ISNUMBER(SEARCH("R88",G231))*88,0)+IFERROR(--ISNUMBER(SEARCH("R89",G231))*89,0)+IFERROR(--ISNUMBER(SEARCH("R90",G231))*90,0)+IFERROR(--ISNUMBER(SEARCH("R91",G231))*91,0)+IFERROR(--ISNUMBER(SEARCH("R92",G231))*92,0)+IFERROR(--ISNUMBER(SEARCH("R93",G231))*93,0)+IFERROR(--ISNUMBER(SEARCH("R94",G231))*94,0)+IFERROR(--ISNUMBER(SEARCH("R95",G231))*95,0)+IFERROR(--ISNUMBER(SEARCH("R96",G231))*96,0)+IFERROR(--ISNUMBER(SEARCH("R97",G231))*97,0)+IFERROR(--ISNUMBER(SEARCH("R98",G231))*98,0)+IFERROR(--ISNUMBER(SEARCH("R99",G231))*99,0)+IFERROR(--ISNUMBER(SEARCH("R100",G231))*100,0)+IFERROR(--ISNUMBER(SEARCH("R101",G231))*101,0)+IFERROR(--ISNUMBER(SEARCH("R102",G231))*102,0)+IFERROR(--ISNUMBER(SEARCH("R103",G231))*103,0)+IFERROR(--ISNUMBER(SEARCH("R104",G231))*104,0)+IFERROR(--ISNUMBER(SEARCH("R105",G231))*105,0)+IFERROR(--ISNUMBER(SEARCH("R106",G231))*106,0)+IFERROR(--ISNUMBER(SEARCH("R107",G231))*107,0)+IFERROR(--ISNUMBER(SEARCH("R108",G231))*108,0)+IFERROR(--ISNUMBER(SEARCH("R109",G231))*109,0)+IFERROR(--ISNUMBER(SEARCH("R110",G231))*110,0)+IFERROR(--ISNUMBER(SEARCH("R111",G231))*111,0)+IFERROR(--ISNUMBER(SEARCH("R112",G231))*112,0)+IFERROR(--ISNUMBER(SEARCH("R113",G231))*113,0)+IFERROR(--ISNUMBER(SEARCH("R114",G231))*114,0)+IFERROR(--ISNUMBER(SEARCH("R115",G231))*115,0)+IFERROR(--ISNUMBER(SEARCH("R116",G231))*116,0)+IFERROR(--ISNUMBER(SEARCH("R117",G231))*117,0)+IFERROR(--ISNUMBER(SEARCH("R118",G231))*118,0)+IFERROR(--ISNUMBER(SEARCH("R119",G231))*119,0)+IFERROR(--ISNUMBER(SEARCH("R120",G231))*120,0)+IFERROR(--ISNUMBER(SEARCH("R121",G231))*121,0)+IFERROR(--ISNUMBER(SEARCH("R122",G231))*122,0)+IFERROR(--ISNUMBER(SEARCH("R123",G231))*123,0)+IFERROR(--ISNUMBER(SEARCH("R124",G231))*124,0)+IFERROR(--ISNUMBER(SEARCH("R125",G231))*125,0)+IFERROR(--ISNUMBER(SEARCH("R126",G231))*126,0)+IFERROR(--ISNUMBER(SEARCH("R127",G231))*127,0)+IFERROR(--ISNUMBER(SEARCH("R128",G231))*128,0)+IFERROR(--ISNUMBER(SEARCH("R129",G231))*129,0)+IFERROR(--ISNUMBER(SEARCH("R130",G231))*130,0)+IFERROR(--ISNUMBER(SEARCH("R131",G231))*131,0)+IFERROR(--ISNUMBER(SEARCH("R132",G231))*132,0)+IFERROR(--ISNUMBER(SEARCH("R133",G231))*133,0)+IFERROR(--ISNUMBER(SEARCH("R134",G231))*134,0)+IFERROR(--ISNUMBER(SEARCH("R135",G231))*135,0)+IFERROR(--ISNUMBER(SEARCH("R136",G231))*136,0)+IFERROR(--ISNUMBER(SEARCH("R137",G231))*137,0)+IFERROR(--ISNUMBER(SEARCH("R138",G231))*138,0)+IFERROR(--ISNUMBER(SEARCH("R139",G231))*139,0)+IFERROR(--ISNUMBER(SEARCH("R140",G231))*140,0)+IFERROR(--ISNUMBER(SEARCH("R141",G231))*141,0))</f>
        <v/>
      </c>
      <c r="V231" s="59">
        <f>IF(A231="","",IF(K231&lt;&gt;"",K231,J231))</f>
        <v/>
      </c>
      <c r="W231" s="59">
        <f>IF(A231="","",IF(AND(V231=29,O231&lt;&gt;"",COUNTIFS($V$6:$V$505,29,$F$6:$F$505,F231,$C$6:$C$505,C231,$O$6:$O$505,"&lt;&gt;")&gt;1),IF(COUNTIFS($V$6:V231,29,$F$6:F231,F231,$C$6:C231,C231,$O$6:O231,"&lt;&gt;")=1,"Esta es la fila que se debe CONSERVAR (aparición 1 de "&amp;COUNTIFS($V$6:$V$505,29,$F$6:$F$505,F231,$C$6:$C$505,C231,$O$6:$O$505,"&lt;&gt;")&amp;" con el mismo tercero y valor, casilla 29). Si hay más filas iguales, bórreles el valor a ELLAS, no a esta.","DUPLICADO — ya existe otra fila con el mismo tercero y valor para casilla 29 (aparición "&amp;COUNTIFS($V$6:V231,29,$F$6:F231,F231,$C$6:C231,C231,$O$6:O231,"&lt;&gt;")&amp;" de "&amp;COUNTIFS($V$6:$V$505,29,$F$6:$F$505,F231,$C$6:$C$505,C231,$O$6:$O$505,"&lt;&gt;")&amp;"). Para resolverlo: seleccione la celda O"&amp;ROW()&amp;" (columna Valor a declarar de ESTA fila) y presione Supr."),""))</f>
        <v/>
      </c>
      <c r="X231" s="463">
        <f>IF(A231="","",F231)</f>
        <v/>
      </c>
      <c r="Y231" s="463">
        <f>IF(A231="","",SUMIF(Entrada_Manual!$I$88:$I$187,A231,Entrada_Manual!$F$88:$F$187))</f>
        <v/>
      </c>
      <c r="Z231" s="463">
        <f>IF(A231="","",X231-Y231)</f>
        <v/>
      </c>
      <c r="AA231">
        <f>IF(A231="","",SUMPRODUCT((Entrada_Manual!$I$88:$I$187=A231)*1))</f>
        <v/>
      </c>
      <c r="AB231">
        <f>IF(A231="","",IF(S231&lt;=1,"",IF(AA231=0,"PENDIENTE — SIN ASIGNAR",IF(Z231=0,"RESUELTO","PARCIAL — DIFERENCIA "&amp;TEXT(Z231,"#,##0")))))</f>
        <v/>
      </c>
    </row>
    <row r="232" ht="14.25" customHeight="1" s="235">
      <c r="A232" s="47">
        <f>IF(Exogena_RAW!E241&lt;&gt;"",ROW()-5,"")</f>
        <v/>
      </c>
      <c r="B232" s="48">
        <f>IF(A232="","",241)</f>
        <v/>
      </c>
      <c r="C232" s="48">
        <f>IF(A232="","",IFERROR(Exogena_RAW!A241,""))</f>
        <v/>
      </c>
      <c r="D232" s="48">
        <f>IF(A232="","",IFERROR(Exogena_RAW!B241,""))</f>
        <v/>
      </c>
      <c r="E232" s="48">
        <f>IF(A232="","",Exogena_RAW!E241)</f>
        <v/>
      </c>
      <c r="F232" s="461">
        <f>IF(A232="","",Exogena_RAW!F241)</f>
        <v/>
      </c>
      <c r="G232" s="48">
        <f>IF(A232="","",IFERROR(Exogena_RAW!G241,""))</f>
        <v/>
      </c>
      <c r="H232" s="48">
        <f>IF(A232="","",IFERROR(Exogena_RAW!H241,""))</f>
        <v/>
      </c>
      <c r="I232" s="48">
        <f>IF(A232="","",IFERROR(IF(S232&gt;1,"VARIAS CASILLAS",IF(S232=1,IF(T232=1,"PROPUESTA DE CASILLA","REVISIÓN: CASILLA NO DIRECTA"),IF(OR(ISNUMBER(SEARCH("TOPE",UPPER(E232))),ISNUMBER(SEARCH("TOPE",UPPER(G232)))),"SOLO CONTROL",IF(ISNUMBER(SEARCH("RETEN",UPPER(E232))),"RETENCIÓN","REVISAR")))),"REVISAR"))</f>
        <v/>
      </c>
      <c r="J232" s="48">
        <f>IF(A232="","",IF(ISNUMBER(SEARCH("ingreso laboral promedio de los últimos seis meses",E232)),"",IFERROR(IF(AND(S232=1,T232=1),U232,""),"")))</f>
        <v/>
      </c>
      <c r="K232" s="216" t="n"/>
      <c r="L232" s="48">
        <f>IF(A232="","",IFERROR(IF(K232&lt;&gt;"","Casilla elegida por usuario",IF(S232&gt;1,"Varias casillas — elegir en K",IF(J232&lt;&gt;"","Sugerencia directa",IF(S232=1,"No trasladar directo — revisar",IF(OR(ISNUMBER(SEARCH("TOPE",UPPER(E232))),ISNUMBER(SEARCH("TOPE",UPPER(G232)))),"Solo control","Revisar manualmente"))))),"Revisar manualmente"))</f>
        <v/>
      </c>
      <c r="M232" s="461">
        <f>IF(A232="","",IF(IF(K232&lt;&gt;"",K232,J232)="",0,IF(COUNTIFS(Reglas!$I$5:$I$118,IF(K232&lt;&gt;"",K232,J232),Reglas!$J$5:$J$118,"Sí")=1,F232,0)))</f>
        <v/>
      </c>
      <c r="N232" s="56" t="n"/>
      <c r="O232" s="462">
        <f>IF(A232="","",IF(M232=0,"",M232))</f>
        <v/>
      </c>
      <c r="P232" s="461">
        <f>IF(A232="","",IF(O232="",0,IF(ISNUMBER(O232),O232,0)))</f>
        <v/>
      </c>
      <c r="Q232" s="48">
        <f>IF(A232="","",IF(Exogena_RAW!$C$4="","BLOQUEADO: FALTA AÑO",IF(Exogena_RAW!$K$10&lt;&gt;Reglas!$B$5,"BLOQUEADO: AÑO",IF(IF(K232&lt;&gt;"",K232,J232)="",IF(S232&gt;1,"REQUIERE ASIGNACIÓN MANUAL (VARIAS CASILLAS)","INFORMATIVO (sin casilla — no se declara)"),IF(COUNTIFS(Reglas!$I$5:$I$118,IF(K232&lt;&gt;"",K232,J232),Reglas!$J$5:$J$118,"Sí")=0,"BLOQUEADO: CASILLA NO DIRECTA",IF(O232="","EXCLUIDO (valor borrado por el usuario)",IF(_xlfn.ISFORMULA(O232),IF(W232&lt;&gt;"","BORRADOR — VALOR SUGERIDO DIAN ⚠ VER ALERTA","BORRADOR — VALOR SUGERIDO DIAN"),IF(W232&lt;&gt;"","ACEPTADO ⚠ VER ALERTA","ACEPTADO"))))))))</f>
        <v/>
      </c>
      <c r="R232" s="218" t="n"/>
      <c r="S232" s="58">
        <f>IF(A232="","",IFERROR(--ISNUMBER(SEARCH("R28",G232)),0)+IFERROR(--ISNUMBER(SEARCH("R29",G232)),0)+IFERROR(--ISNUMBER(SEARCH("R30",G232)),0)+IFERROR(--ISNUMBER(SEARCH("R31",G232)),0)+IFERROR(--ISNUMBER(SEARCH("R32",G232)),0)+IFERROR(--ISNUMBER(SEARCH("R33",G232)),0)+IFERROR(--ISNUMBER(SEARCH("R34",G232)),0)+IFERROR(--ISNUMBER(SEARCH("R35",G232)),0)+IFERROR(--ISNUMBER(SEARCH("R36",G232)),0)+IFERROR(--ISNUMBER(SEARCH("R37",G232)),0)+IFERROR(--ISNUMBER(SEARCH("R38",G232)),0)+IFERROR(--ISNUMBER(SEARCH("R39",G232)),0)+IFERROR(--ISNUMBER(SEARCH("R40",G232)),0)+IFERROR(--ISNUMBER(SEARCH("R41",G232)),0)+IFERROR(--ISNUMBER(SEARCH("R42",G232)),0)+IFERROR(--ISNUMBER(SEARCH("R43",G232)),0)+IFERROR(--ISNUMBER(SEARCH("R44",G232)),0)+IFERROR(--ISNUMBER(SEARCH("R45",G232)),0)+IFERROR(--ISNUMBER(SEARCH("R46",G232)),0)+IFERROR(--ISNUMBER(SEARCH("R47",G232)),0)+IFERROR(--ISNUMBER(SEARCH("R48",G232)),0)+IFERROR(--ISNUMBER(SEARCH("R49",G232)),0)+IFERROR(--ISNUMBER(SEARCH("R50",G232)),0)+IFERROR(--ISNUMBER(SEARCH("R51",G232)),0)+IFERROR(--ISNUMBER(SEARCH("R52",G232)),0)+IFERROR(--ISNUMBER(SEARCH("R53",G232)),0)+IFERROR(--ISNUMBER(SEARCH("R54",G232)),0)+IFERROR(--ISNUMBER(SEARCH("R55",G232)),0)+IFERROR(--ISNUMBER(SEARCH("R56",G232)),0)+IFERROR(--ISNUMBER(SEARCH("R57",G232)),0)+IFERROR(--ISNUMBER(SEARCH("R58",G232)),0)+IFERROR(--ISNUMBER(SEARCH("R59",G232)),0)+IFERROR(--ISNUMBER(SEARCH("R60",G232)),0)+IFERROR(--ISNUMBER(SEARCH("R61",G232)),0)+IFERROR(--ISNUMBER(SEARCH("R62",G232)),0)+IFERROR(--ISNUMBER(SEARCH("R63",G232)),0)+IFERROR(--ISNUMBER(SEARCH("R64",G232)),0)+IFERROR(--ISNUMBER(SEARCH("R65",G232)),0)+IFERROR(--ISNUMBER(SEARCH("R66",G232)),0)+IFERROR(--ISNUMBER(SEARCH("R67",G232)),0)+IFERROR(--ISNUMBER(SEARCH("R68",G232)),0)+IFERROR(--ISNUMBER(SEARCH("R69",G232)),0)+IFERROR(--ISNUMBER(SEARCH("R70",G232)),0)+IFERROR(--ISNUMBER(SEARCH("R71",G232)),0)+IFERROR(--ISNUMBER(SEARCH("R72",G232)),0)+IFERROR(--ISNUMBER(SEARCH("R73",G232)),0)+IFERROR(--ISNUMBER(SEARCH("R74",G232)),0)+IFERROR(--ISNUMBER(SEARCH("R75",G232)),0)+IFERROR(--ISNUMBER(SEARCH("R76",G232)),0)+IFERROR(--ISNUMBER(SEARCH("R77",G232)),0)+IFERROR(--ISNUMBER(SEARCH("R78",G232)),0)+IFERROR(--ISNUMBER(SEARCH("R79",G232)),0)+IFERROR(--ISNUMBER(SEARCH("R80",G232)),0)+IFERROR(--ISNUMBER(SEARCH("R81",G232)),0)+IFERROR(--ISNUMBER(SEARCH("R82",G232)),0)+IFERROR(--ISNUMBER(SEARCH("R83",G232)),0)+IFERROR(--ISNUMBER(SEARCH("R84",G232)),0)+IFERROR(--ISNUMBER(SEARCH("R85",G232)),0)+IFERROR(--ISNUMBER(SEARCH("R86",G232)),0)+IFERROR(--ISNUMBER(SEARCH("R87",G232)),0)+IFERROR(--ISNUMBER(SEARCH("R88",G232)),0)+IFERROR(--ISNUMBER(SEARCH("R89",G232)),0)+IFERROR(--ISNUMBER(SEARCH("R90",G232)),0)+IFERROR(--ISNUMBER(SEARCH("R91",G232)),0)+IFERROR(--ISNUMBER(SEARCH("R92",G232)),0)+IFERROR(--ISNUMBER(SEARCH("R93",G232)),0)+IFERROR(--ISNUMBER(SEARCH("R94",G232)),0)+IFERROR(--ISNUMBER(SEARCH("R95",G232)),0)+IFERROR(--ISNUMBER(SEARCH("R96",G232)),0)+IFERROR(--ISNUMBER(SEARCH("R97",G232)),0)+IFERROR(--ISNUMBER(SEARCH("R98",G232)),0)+IFERROR(--ISNUMBER(SEARCH("R99",G232)),0)+IFERROR(--ISNUMBER(SEARCH("R100",G232)),0)+IFERROR(--ISNUMBER(SEARCH("R101",G232)),0)+IFERROR(--ISNUMBER(SEARCH("R102",G232)),0)+IFERROR(--ISNUMBER(SEARCH("R103",G232)),0)+IFERROR(--ISNUMBER(SEARCH("R104",G232)),0)+IFERROR(--ISNUMBER(SEARCH("R105",G232)),0)+IFERROR(--ISNUMBER(SEARCH("R106",G232)),0)+IFERROR(--ISNUMBER(SEARCH("R107",G232)),0)+IFERROR(--ISNUMBER(SEARCH("R108",G232)),0)+IFERROR(--ISNUMBER(SEARCH("R109",G232)),0)+IFERROR(--ISNUMBER(SEARCH("R110",G232)),0)+IFERROR(--ISNUMBER(SEARCH("R111",G232)),0)+IFERROR(--ISNUMBER(SEARCH("R112",G232)),0)+IFERROR(--ISNUMBER(SEARCH("R113",G232)),0)+IFERROR(--ISNUMBER(SEARCH("R114",G232)),0)+IFERROR(--ISNUMBER(SEARCH("R115",G232)),0)+IFERROR(--ISNUMBER(SEARCH("R116",G232)),0)+IFERROR(--ISNUMBER(SEARCH("R117",G232)),0)+IFERROR(--ISNUMBER(SEARCH("R118",G232)),0)+IFERROR(--ISNUMBER(SEARCH("R119",G232)),0)+IFERROR(--ISNUMBER(SEARCH("R120",G232)),0)+IFERROR(--ISNUMBER(SEARCH("R121",G232)),0)+IFERROR(--ISNUMBER(SEARCH("R122",G232)),0)+IFERROR(--ISNUMBER(SEARCH("R123",G232)),0)+IFERROR(--ISNUMBER(SEARCH("R124",G232)),0)+IFERROR(--ISNUMBER(SEARCH("R125",G232)),0)+IFERROR(--ISNUMBER(SEARCH("R126",G232)),0)+IFERROR(--ISNUMBER(SEARCH("R127",G232)),0)+IFERROR(--ISNUMBER(SEARCH("R128",G232)),0)+IFERROR(--ISNUMBER(SEARCH("R129",G232)),0)+IFERROR(--ISNUMBER(SEARCH("R130",G232)),0)+IFERROR(--ISNUMBER(SEARCH("R131",G232)),0)+IFERROR(--ISNUMBER(SEARCH("R132",G232)),0)+IFERROR(--ISNUMBER(SEARCH("R133",G232)),0)+IFERROR(--ISNUMBER(SEARCH("R134",G232)),0)+IFERROR(--ISNUMBER(SEARCH("R135",G232)),0)+IFERROR(--ISNUMBER(SEARCH("R136",G232)),0)+IFERROR(--ISNUMBER(SEARCH("R137",G232)),0)+IFERROR(--ISNUMBER(SEARCH("R138",G232)),0)+IFERROR(--ISNUMBER(SEARCH("R139",G232)),0)+IFERROR(--ISNUMBER(SEARCH("R140",G232)),0)+IFERROR(--ISNUMBER(SEARCH("R141",G232)),0))</f>
        <v/>
      </c>
      <c r="T232" s="58">
        <f>IF(A232="","",IFERROR(--ISNUMBER(SEARCH("R28",G232)),0)+IFERROR(--ISNUMBER(SEARCH("R29",G232)),0)+IFERROR(--ISNUMBER(SEARCH("R30",G232)),0)+IFERROR(--ISNUMBER(SEARCH("R32",G232)),0)+IFERROR(--ISNUMBER(SEARCH("R33",G232)),0)+IFERROR(--ISNUMBER(SEARCH("R35",G232)),0)+IFERROR(--ISNUMBER(SEARCH("R36",G232)),0)+IFERROR(--ISNUMBER(SEARCH("R38",G232)),0)+IFERROR(--ISNUMBER(SEARCH("R39",G232)),0)+IFERROR(--ISNUMBER(SEARCH("R43",G232)),0)+IFERROR(--ISNUMBER(SEARCH("R44",G232)),0)+IFERROR(--ISNUMBER(SEARCH("R45",G232)),0)+IFERROR(--ISNUMBER(SEARCH("R47",G232)),0)+IFERROR(--ISNUMBER(SEARCH("R48",G232)),0)+IFERROR(--ISNUMBER(SEARCH("R50",G232)),0)+IFERROR(--ISNUMBER(SEARCH("R51",G232)),0)+IFERROR(--ISNUMBER(SEARCH("R56",G232)),0)+IFERROR(--ISNUMBER(SEARCH("R58",G232)),0)+IFERROR(--ISNUMBER(SEARCH("R59",G232)),0)+IFERROR(--ISNUMBER(SEARCH("R60",G232)),0)+IFERROR(--ISNUMBER(SEARCH("R62",G232)),0)+IFERROR(--ISNUMBER(SEARCH("R63",G232)),0)+IFERROR(--ISNUMBER(SEARCH("R64",G232)),0)+IFERROR(--ISNUMBER(SEARCH("R66",G232)),0)+IFERROR(--ISNUMBER(SEARCH("R67",G232)),0)+IFERROR(--ISNUMBER(SEARCH("R72",G232)),0)+IFERROR(--ISNUMBER(SEARCH("R74",G232)),0)+IFERROR(--ISNUMBER(SEARCH("R75",G232)),0)+IFERROR(--ISNUMBER(SEARCH("R76",G232)),0)+IFERROR(--ISNUMBER(SEARCH("R77",G232)),0)+IFERROR(--ISNUMBER(SEARCH("R79",G232)),0)+IFERROR(--ISNUMBER(SEARCH("R80",G232)),0)+IFERROR(--ISNUMBER(SEARCH("R81",G232)),0)+IFERROR(--ISNUMBER(SEARCH("R83",G232)),0)+IFERROR(--ISNUMBER(SEARCH("R84",G232)),0)+IFERROR(--ISNUMBER(SEARCH("R89",G232)),0)+IFERROR(--ISNUMBER(SEARCH("R94",G232)),0)+IFERROR(--ISNUMBER(SEARCH("R95",G232)),0)+IFERROR(--ISNUMBER(SEARCH("R96",G232)),0)+IFERROR(--ISNUMBER(SEARCH("R98",G232)),0)+IFERROR(--ISNUMBER(SEARCH("R99",G232)),0)+IFERROR(--ISNUMBER(SEARCH("R100",G232)),0)+IFERROR(--ISNUMBER(SEARCH("R104",G232)),0)+IFERROR(--ISNUMBER(SEARCH("R105",G232)),0)+IFERROR(--ISNUMBER(SEARCH("R107",G232)),0)+IFERROR(--ISNUMBER(SEARCH("R108",G232)),0)+IFERROR(--ISNUMBER(SEARCH("R109",G232)),0)+IFERROR(--ISNUMBER(SEARCH("R110",G232)),0)+IFERROR(--ISNUMBER(SEARCH("R112",G232)),0)+IFERROR(--ISNUMBER(SEARCH("R113",G232)),0)+IFERROR(--ISNUMBER(SEARCH("R114",G232)),0)+IFERROR(--ISNUMBER(SEARCH("R118",G232)),0)+IFERROR(--ISNUMBER(SEARCH("R119",G232)),0)+IFERROR(--ISNUMBER(SEARCH("R120",G232)),0)+IFERROR(--ISNUMBER(SEARCH("R122",G232)),0)+IFERROR(--ISNUMBER(SEARCH("R123",G232)),0)+IFERROR(--ISNUMBER(SEARCH("R124",G232)),0)+IFERROR(--ISNUMBER(SEARCH("R128",G232)),0)+IFERROR(--ISNUMBER(SEARCH("R130",G232)),0)+IFERROR(--ISNUMBER(SEARCH("R131",G232)),0)+IFERROR(--ISNUMBER(SEARCH("R132",G232)),0)+IFERROR(--ISNUMBER(SEARCH("R135",G232)),0)+IFERROR(--ISNUMBER(SEARCH("R138",G232)),0)+IFERROR(--ISNUMBER(SEARCH("R141",G232)),0))</f>
        <v/>
      </c>
      <c r="U232" s="58">
        <f>IF(A232="","",IFERROR(--ISNUMBER(SEARCH("R28",G232))*28,0)+IFERROR(--ISNUMBER(SEARCH("R29",G232))*29,0)+IFERROR(--ISNUMBER(SEARCH("R30",G232))*30,0)+IFERROR(--ISNUMBER(SEARCH("R31",G232))*31,0)+IFERROR(--ISNUMBER(SEARCH("R32",G232))*32,0)+IFERROR(--ISNUMBER(SEARCH("R33",G232))*33,0)+IFERROR(--ISNUMBER(SEARCH("R34",G232))*34,0)+IFERROR(--ISNUMBER(SEARCH("R35",G232))*35,0)+IFERROR(--ISNUMBER(SEARCH("R36",G232))*36,0)+IFERROR(--ISNUMBER(SEARCH("R37",G232))*37,0)+IFERROR(--ISNUMBER(SEARCH("R38",G232))*38,0)+IFERROR(--ISNUMBER(SEARCH("R39",G232))*39,0)+IFERROR(--ISNUMBER(SEARCH("R40",G232))*40,0)+IFERROR(--ISNUMBER(SEARCH("R41",G232))*41,0)+IFERROR(--ISNUMBER(SEARCH("R42",G232))*42,0)+IFERROR(--ISNUMBER(SEARCH("R43",G232))*43,0)+IFERROR(--ISNUMBER(SEARCH("R44",G232))*44,0)+IFERROR(--ISNUMBER(SEARCH("R45",G232))*45,0)+IFERROR(--ISNUMBER(SEARCH("R46",G232))*46,0)+IFERROR(--ISNUMBER(SEARCH("R47",G232))*47,0)+IFERROR(--ISNUMBER(SEARCH("R48",G232))*48,0)+IFERROR(--ISNUMBER(SEARCH("R49",G232))*49,0)+IFERROR(--ISNUMBER(SEARCH("R50",G232))*50,0)+IFERROR(--ISNUMBER(SEARCH("R51",G232))*51,0)+IFERROR(--ISNUMBER(SEARCH("R52",G232))*52,0)+IFERROR(--ISNUMBER(SEARCH("R53",G232))*53,0)+IFERROR(--ISNUMBER(SEARCH("R54",G232))*54,0)+IFERROR(--ISNUMBER(SEARCH("R55",G232))*55,0)+IFERROR(--ISNUMBER(SEARCH("R56",G232))*56,0)+IFERROR(--ISNUMBER(SEARCH("R57",G232))*57,0)+IFERROR(--ISNUMBER(SEARCH("R58",G232))*58,0)+IFERROR(--ISNUMBER(SEARCH("R59",G232))*59,0)+IFERROR(--ISNUMBER(SEARCH("R60",G232))*60,0)+IFERROR(--ISNUMBER(SEARCH("R61",G232))*61,0)+IFERROR(--ISNUMBER(SEARCH("R62",G232))*62,0)+IFERROR(--ISNUMBER(SEARCH("R63",G232))*63,0)+IFERROR(--ISNUMBER(SEARCH("R64",G232))*64,0)+IFERROR(--ISNUMBER(SEARCH("R65",G232))*65,0)+IFERROR(--ISNUMBER(SEARCH("R66",G232))*66,0)+IFERROR(--ISNUMBER(SEARCH("R67",G232))*67,0)+IFERROR(--ISNUMBER(SEARCH("R68",G232))*68,0)+IFERROR(--ISNUMBER(SEARCH("R69",G232))*69,0)+IFERROR(--ISNUMBER(SEARCH("R70",G232))*70,0)+IFERROR(--ISNUMBER(SEARCH("R71",G232))*71,0)+IFERROR(--ISNUMBER(SEARCH("R72",G232))*72,0)+IFERROR(--ISNUMBER(SEARCH("R73",G232))*73,0)+IFERROR(--ISNUMBER(SEARCH("R74",G232))*74,0)+IFERROR(--ISNUMBER(SEARCH("R75",G232))*75,0)+IFERROR(--ISNUMBER(SEARCH("R76",G232))*76,0)+IFERROR(--ISNUMBER(SEARCH("R77",G232))*77,0)+IFERROR(--ISNUMBER(SEARCH("R78",G232))*78,0)+IFERROR(--ISNUMBER(SEARCH("R79",G232))*79,0)+IFERROR(--ISNUMBER(SEARCH("R80",G232))*80,0)+IFERROR(--ISNUMBER(SEARCH("R81",G232))*81,0)+IFERROR(--ISNUMBER(SEARCH("R82",G232))*82,0)+IFERROR(--ISNUMBER(SEARCH("R83",G232))*83,0)+IFERROR(--ISNUMBER(SEARCH("R84",G232))*84,0)+IFERROR(--ISNUMBER(SEARCH("R85",G232))*85,0)+IFERROR(--ISNUMBER(SEARCH("R86",G232))*86,0)+IFERROR(--ISNUMBER(SEARCH("R87",G232))*87,0)+IFERROR(--ISNUMBER(SEARCH("R88",G232))*88,0)+IFERROR(--ISNUMBER(SEARCH("R89",G232))*89,0)+IFERROR(--ISNUMBER(SEARCH("R90",G232))*90,0)+IFERROR(--ISNUMBER(SEARCH("R91",G232))*91,0)+IFERROR(--ISNUMBER(SEARCH("R92",G232))*92,0)+IFERROR(--ISNUMBER(SEARCH("R93",G232))*93,0)+IFERROR(--ISNUMBER(SEARCH("R94",G232))*94,0)+IFERROR(--ISNUMBER(SEARCH("R95",G232))*95,0)+IFERROR(--ISNUMBER(SEARCH("R96",G232))*96,0)+IFERROR(--ISNUMBER(SEARCH("R97",G232))*97,0)+IFERROR(--ISNUMBER(SEARCH("R98",G232))*98,0)+IFERROR(--ISNUMBER(SEARCH("R99",G232))*99,0)+IFERROR(--ISNUMBER(SEARCH("R100",G232))*100,0)+IFERROR(--ISNUMBER(SEARCH("R101",G232))*101,0)+IFERROR(--ISNUMBER(SEARCH("R102",G232))*102,0)+IFERROR(--ISNUMBER(SEARCH("R103",G232))*103,0)+IFERROR(--ISNUMBER(SEARCH("R104",G232))*104,0)+IFERROR(--ISNUMBER(SEARCH("R105",G232))*105,0)+IFERROR(--ISNUMBER(SEARCH("R106",G232))*106,0)+IFERROR(--ISNUMBER(SEARCH("R107",G232))*107,0)+IFERROR(--ISNUMBER(SEARCH("R108",G232))*108,0)+IFERROR(--ISNUMBER(SEARCH("R109",G232))*109,0)+IFERROR(--ISNUMBER(SEARCH("R110",G232))*110,0)+IFERROR(--ISNUMBER(SEARCH("R111",G232))*111,0)+IFERROR(--ISNUMBER(SEARCH("R112",G232))*112,0)+IFERROR(--ISNUMBER(SEARCH("R113",G232))*113,0)+IFERROR(--ISNUMBER(SEARCH("R114",G232))*114,0)+IFERROR(--ISNUMBER(SEARCH("R115",G232))*115,0)+IFERROR(--ISNUMBER(SEARCH("R116",G232))*116,0)+IFERROR(--ISNUMBER(SEARCH("R117",G232))*117,0)+IFERROR(--ISNUMBER(SEARCH("R118",G232))*118,0)+IFERROR(--ISNUMBER(SEARCH("R119",G232))*119,0)+IFERROR(--ISNUMBER(SEARCH("R120",G232))*120,0)+IFERROR(--ISNUMBER(SEARCH("R121",G232))*121,0)+IFERROR(--ISNUMBER(SEARCH("R122",G232))*122,0)+IFERROR(--ISNUMBER(SEARCH("R123",G232))*123,0)+IFERROR(--ISNUMBER(SEARCH("R124",G232))*124,0)+IFERROR(--ISNUMBER(SEARCH("R125",G232))*125,0)+IFERROR(--ISNUMBER(SEARCH("R126",G232))*126,0)+IFERROR(--ISNUMBER(SEARCH("R127",G232))*127,0)+IFERROR(--ISNUMBER(SEARCH("R128",G232))*128,0)+IFERROR(--ISNUMBER(SEARCH("R129",G232))*129,0)+IFERROR(--ISNUMBER(SEARCH("R130",G232))*130,0)+IFERROR(--ISNUMBER(SEARCH("R131",G232))*131,0)+IFERROR(--ISNUMBER(SEARCH("R132",G232))*132,0)+IFERROR(--ISNUMBER(SEARCH("R133",G232))*133,0)+IFERROR(--ISNUMBER(SEARCH("R134",G232))*134,0)+IFERROR(--ISNUMBER(SEARCH("R135",G232))*135,0)+IFERROR(--ISNUMBER(SEARCH("R136",G232))*136,0)+IFERROR(--ISNUMBER(SEARCH("R137",G232))*137,0)+IFERROR(--ISNUMBER(SEARCH("R138",G232))*138,0)+IFERROR(--ISNUMBER(SEARCH("R139",G232))*139,0)+IFERROR(--ISNUMBER(SEARCH("R140",G232))*140,0)+IFERROR(--ISNUMBER(SEARCH("R141",G232))*141,0))</f>
        <v/>
      </c>
      <c r="V232" s="59">
        <f>IF(A232="","",IF(K232&lt;&gt;"",K232,J232))</f>
        <v/>
      </c>
      <c r="W232" s="59">
        <f>IF(A232="","",IF(AND(V232=29,O232&lt;&gt;"",COUNTIFS($V$6:$V$505,29,$F$6:$F$505,F232,$C$6:$C$505,C232,$O$6:$O$505,"&lt;&gt;")&gt;1),IF(COUNTIFS($V$6:V232,29,$F$6:F232,F232,$C$6:C232,C232,$O$6:O232,"&lt;&gt;")=1,"Esta es la fila que se debe CONSERVAR (aparición 1 de "&amp;COUNTIFS($V$6:$V$505,29,$F$6:$F$505,F232,$C$6:$C$505,C232,$O$6:$O$505,"&lt;&gt;")&amp;" con el mismo tercero y valor, casilla 29). Si hay más filas iguales, bórreles el valor a ELLAS, no a esta.","DUPLICADO — ya existe otra fila con el mismo tercero y valor para casilla 29 (aparición "&amp;COUNTIFS($V$6:V232,29,$F$6:F232,F232,$C$6:C232,C232,$O$6:O232,"&lt;&gt;")&amp;" de "&amp;COUNTIFS($V$6:$V$505,29,$F$6:$F$505,F232,$C$6:$C$505,C232,$O$6:$O$505,"&lt;&gt;")&amp;"). Para resolverlo: seleccione la celda O"&amp;ROW()&amp;" (columna Valor a declarar de ESTA fila) y presione Supr."),""))</f>
        <v/>
      </c>
      <c r="X232" s="463">
        <f>IF(A232="","",F232)</f>
        <v/>
      </c>
      <c r="Y232" s="463">
        <f>IF(A232="","",SUMIF(Entrada_Manual!$I$88:$I$187,A232,Entrada_Manual!$F$88:$F$187))</f>
        <v/>
      </c>
      <c r="Z232" s="463">
        <f>IF(A232="","",X232-Y232)</f>
        <v/>
      </c>
      <c r="AA232">
        <f>IF(A232="","",SUMPRODUCT((Entrada_Manual!$I$88:$I$187=A232)*1))</f>
        <v/>
      </c>
      <c r="AB232">
        <f>IF(A232="","",IF(S232&lt;=1,"",IF(AA232=0,"PENDIENTE — SIN ASIGNAR",IF(Z232=0,"RESUELTO","PARCIAL — DIFERENCIA "&amp;TEXT(Z232,"#,##0")))))</f>
        <v/>
      </c>
    </row>
    <row r="233" ht="14.25" customHeight="1" s="235">
      <c r="A233" s="47">
        <f>IF(Exogena_RAW!E242&lt;&gt;"",ROW()-5,"")</f>
        <v/>
      </c>
      <c r="B233" s="48">
        <f>IF(A233="","",242)</f>
        <v/>
      </c>
      <c r="C233" s="48">
        <f>IF(A233="","",IFERROR(Exogena_RAW!A242,""))</f>
        <v/>
      </c>
      <c r="D233" s="48">
        <f>IF(A233="","",IFERROR(Exogena_RAW!B242,""))</f>
        <v/>
      </c>
      <c r="E233" s="48">
        <f>IF(A233="","",Exogena_RAW!E242)</f>
        <v/>
      </c>
      <c r="F233" s="461">
        <f>IF(A233="","",Exogena_RAW!F242)</f>
        <v/>
      </c>
      <c r="G233" s="48">
        <f>IF(A233="","",IFERROR(Exogena_RAW!G242,""))</f>
        <v/>
      </c>
      <c r="H233" s="48">
        <f>IF(A233="","",IFERROR(Exogena_RAW!H242,""))</f>
        <v/>
      </c>
      <c r="I233" s="48">
        <f>IF(A233="","",IFERROR(IF(S233&gt;1,"VARIAS CASILLAS",IF(S233=1,IF(T233=1,"PROPUESTA DE CASILLA","REVISIÓN: CASILLA NO DIRECTA"),IF(OR(ISNUMBER(SEARCH("TOPE",UPPER(E233))),ISNUMBER(SEARCH("TOPE",UPPER(G233)))),"SOLO CONTROL",IF(ISNUMBER(SEARCH("RETEN",UPPER(E233))),"RETENCIÓN","REVISAR")))),"REVISAR"))</f>
        <v/>
      </c>
      <c r="J233" s="48">
        <f>IF(A233="","",IF(ISNUMBER(SEARCH("ingreso laboral promedio de los últimos seis meses",E233)),"",IFERROR(IF(AND(S233=1,T233=1),U233,""),"")))</f>
        <v/>
      </c>
      <c r="K233" s="216" t="n"/>
      <c r="L233" s="48">
        <f>IF(A233="","",IFERROR(IF(K233&lt;&gt;"","Casilla elegida por usuario",IF(S233&gt;1,"Varias casillas — elegir en K",IF(J233&lt;&gt;"","Sugerencia directa",IF(S233=1,"No trasladar directo — revisar",IF(OR(ISNUMBER(SEARCH("TOPE",UPPER(E233))),ISNUMBER(SEARCH("TOPE",UPPER(G233)))),"Solo control","Revisar manualmente"))))),"Revisar manualmente"))</f>
        <v/>
      </c>
      <c r="M233" s="461">
        <f>IF(A233="","",IF(IF(K233&lt;&gt;"",K233,J233)="",0,IF(COUNTIFS(Reglas!$I$5:$I$118,IF(K233&lt;&gt;"",K233,J233),Reglas!$J$5:$J$118,"Sí")=1,F233,0)))</f>
        <v/>
      </c>
      <c r="N233" s="56" t="n"/>
      <c r="O233" s="462">
        <f>IF(A233="","",IF(M233=0,"",M233))</f>
        <v/>
      </c>
      <c r="P233" s="461">
        <f>IF(A233="","",IF(O233="",0,IF(ISNUMBER(O233),O233,0)))</f>
        <v/>
      </c>
      <c r="Q233" s="48">
        <f>IF(A233="","",IF(Exogena_RAW!$C$4="","BLOQUEADO: FALTA AÑO",IF(Exogena_RAW!$K$10&lt;&gt;Reglas!$B$5,"BLOQUEADO: AÑO",IF(IF(K233&lt;&gt;"",K233,J233)="",IF(S233&gt;1,"REQUIERE ASIGNACIÓN MANUAL (VARIAS CASILLAS)","INFORMATIVO (sin casilla — no se declara)"),IF(COUNTIFS(Reglas!$I$5:$I$118,IF(K233&lt;&gt;"",K233,J233),Reglas!$J$5:$J$118,"Sí")=0,"BLOQUEADO: CASILLA NO DIRECTA",IF(O233="","EXCLUIDO (valor borrado por el usuario)",IF(_xlfn.ISFORMULA(O233),IF(W233&lt;&gt;"","BORRADOR — VALOR SUGERIDO DIAN ⚠ VER ALERTA","BORRADOR — VALOR SUGERIDO DIAN"),IF(W233&lt;&gt;"","ACEPTADO ⚠ VER ALERTA","ACEPTADO"))))))))</f>
        <v/>
      </c>
      <c r="R233" s="218" t="n"/>
      <c r="S233" s="58">
        <f>IF(A233="","",IFERROR(--ISNUMBER(SEARCH("R28",G233)),0)+IFERROR(--ISNUMBER(SEARCH("R29",G233)),0)+IFERROR(--ISNUMBER(SEARCH("R30",G233)),0)+IFERROR(--ISNUMBER(SEARCH("R31",G233)),0)+IFERROR(--ISNUMBER(SEARCH("R32",G233)),0)+IFERROR(--ISNUMBER(SEARCH("R33",G233)),0)+IFERROR(--ISNUMBER(SEARCH("R34",G233)),0)+IFERROR(--ISNUMBER(SEARCH("R35",G233)),0)+IFERROR(--ISNUMBER(SEARCH("R36",G233)),0)+IFERROR(--ISNUMBER(SEARCH("R37",G233)),0)+IFERROR(--ISNUMBER(SEARCH("R38",G233)),0)+IFERROR(--ISNUMBER(SEARCH("R39",G233)),0)+IFERROR(--ISNUMBER(SEARCH("R40",G233)),0)+IFERROR(--ISNUMBER(SEARCH("R41",G233)),0)+IFERROR(--ISNUMBER(SEARCH("R42",G233)),0)+IFERROR(--ISNUMBER(SEARCH("R43",G233)),0)+IFERROR(--ISNUMBER(SEARCH("R44",G233)),0)+IFERROR(--ISNUMBER(SEARCH("R45",G233)),0)+IFERROR(--ISNUMBER(SEARCH("R46",G233)),0)+IFERROR(--ISNUMBER(SEARCH("R47",G233)),0)+IFERROR(--ISNUMBER(SEARCH("R48",G233)),0)+IFERROR(--ISNUMBER(SEARCH("R49",G233)),0)+IFERROR(--ISNUMBER(SEARCH("R50",G233)),0)+IFERROR(--ISNUMBER(SEARCH("R51",G233)),0)+IFERROR(--ISNUMBER(SEARCH("R52",G233)),0)+IFERROR(--ISNUMBER(SEARCH("R53",G233)),0)+IFERROR(--ISNUMBER(SEARCH("R54",G233)),0)+IFERROR(--ISNUMBER(SEARCH("R55",G233)),0)+IFERROR(--ISNUMBER(SEARCH("R56",G233)),0)+IFERROR(--ISNUMBER(SEARCH("R57",G233)),0)+IFERROR(--ISNUMBER(SEARCH("R58",G233)),0)+IFERROR(--ISNUMBER(SEARCH("R59",G233)),0)+IFERROR(--ISNUMBER(SEARCH("R60",G233)),0)+IFERROR(--ISNUMBER(SEARCH("R61",G233)),0)+IFERROR(--ISNUMBER(SEARCH("R62",G233)),0)+IFERROR(--ISNUMBER(SEARCH("R63",G233)),0)+IFERROR(--ISNUMBER(SEARCH("R64",G233)),0)+IFERROR(--ISNUMBER(SEARCH("R65",G233)),0)+IFERROR(--ISNUMBER(SEARCH("R66",G233)),0)+IFERROR(--ISNUMBER(SEARCH("R67",G233)),0)+IFERROR(--ISNUMBER(SEARCH("R68",G233)),0)+IFERROR(--ISNUMBER(SEARCH("R69",G233)),0)+IFERROR(--ISNUMBER(SEARCH("R70",G233)),0)+IFERROR(--ISNUMBER(SEARCH("R71",G233)),0)+IFERROR(--ISNUMBER(SEARCH("R72",G233)),0)+IFERROR(--ISNUMBER(SEARCH("R73",G233)),0)+IFERROR(--ISNUMBER(SEARCH("R74",G233)),0)+IFERROR(--ISNUMBER(SEARCH("R75",G233)),0)+IFERROR(--ISNUMBER(SEARCH("R76",G233)),0)+IFERROR(--ISNUMBER(SEARCH("R77",G233)),0)+IFERROR(--ISNUMBER(SEARCH("R78",G233)),0)+IFERROR(--ISNUMBER(SEARCH("R79",G233)),0)+IFERROR(--ISNUMBER(SEARCH("R80",G233)),0)+IFERROR(--ISNUMBER(SEARCH("R81",G233)),0)+IFERROR(--ISNUMBER(SEARCH("R82",G233)),0)+IFERROR(--ISNUMBER(SEARCH("R83",G233)),0)+IFERROR(--ISNUMBER(SEARCH("R84",G233)),0)+IFERROR(--ISNUMBER(SEARCH("R85",G233)),0)+IFERROR(--ISNUMBER(SEARCH("R86",G233)),0)+IFERROR(--ISNUMBER(SEARCH("R87",G233)),0)+IFERROR(--ISNUMBER(SEARCH("R88",G233)),0)+IFERROR(--ISNUMBER(SEARCH("R89",G233)),0)+IFERROR(--ISNUMBER(SEARCH("R90",G233)),0)+IFERROR(--ISNUMBER(SEARCH("R91",G233)),0)+IFERROR(--ISNUMBER(SEARCH("R92",G233)),0)+IFERROR(--ISNUMBER(SEARCH("R93",G233)),0)+IFERROR(--ISNUMBER(SEARCH("R94",G233)),0)+IFERROR(--ISNUMBER(SEARCH("R95",G233)),0)+IFERROR(--ISNUMBER(SEARCH("R96",G233)),0)+IFERROR(--ISNUMBER(SEARCH("R97",G233)),0)+IFERROR(--ISNUMBER(SEARCH("R98",G233)),0)+IFERROR(--ISNUMBER(SEARCH("R99",G233)),0)+IFERROR(--ISNUMBER(SEARCH("R100",G233)),0)+IFERROR(--ISNUMBER(SEARCH("R101",G233)),0)+IFERROR(--ISNUMBER(SEARCH("R102",G233)),0)+IFERROR(--ISNUMBER(SEARCH("R103",G233)),0)+IFERROR(--ISNUMBER(SEARCH("R104",G233)),0)+IFERROR(--ISNUMBER(SEARCH("R105",G233)),0)+IFERROR(--ISNUMBER(SEARCH("R106",G233)),0)+IFERROR(--ISNUMBER(SEARCH("R107",G233)),0)+IFERROR(--ISNUMBER(SEARCH("R108",G233)),0)+IFERROR(--ISNUMBER(SEARCH("R109",G233)),0)+IFERROR(--ISNUMBER(SEARCH("R110",G233)),0)+IFERROR(--ISNUMBER(SEARCH("R111",G233)),0)+IFERROR(--ISNUMBER(SEARCH("R112",G233)),0)+IFERROR(--ISNUMBER(SEARCH("R113",G233)),0)+IFERROR(--ISNUMBER(SEARCH("R114",G233)),0)+IFERROR(--ISNUMBER(SEARCH("R115",G233)),0)+IFERROR(--ISNUMBER(SEARCH("R116",G233)),0)+IFERROR(--ISNUMBER(SEARCH("R117",G233)),0)+IFERROR(--ISNUMBER(SEARCH("R118",G233)),0)+IFERROR(--ISNUMBER(SEARCH("R119",G233)),0)+IFERROR(--ISNUMBER(SEARCH("R120",G233)),0)+IFERROR(--ISNUMBER(SEARCH("R121",G233)),0)+IFERROR(--ISNUMBER(SEARCH("R122",G233)),0)+IFERROR(--ISNUMBER(SEARCH("R123",G233)),0)+IFERROR(--ISNUMBER(SEARCH("R124",G233)),0)+IFERROR(--ISNUMBER(SEARCH("R125",G233)),0)+IFERROR(--ISNUMBER(SEARCH("R126",G233)),0)+IFERROR(--ISNUMBER(SEARCH("R127",G233)),0)+IFERROR(--ISNUMBER(SEARCH("R128",G233)),0)+IFERROR(--ISNUMBER(SEARCH("R129",G233)),0)+IFERROR(--ISNUMBER(SEARCH("R130",G233)),0)+IFERROR(--ISNUMBER(SEARCH("R131",G233)),0)+IFERROR(--ISNUMBER(SEARCH("R132",G233)),0)+IFERROR(--ISNUMBER(SEARCH("R133",G233)),0)+IFERROR(--ISNUMBER(SEARCH("R134",G233)),0)+IFERROR(--ISNUMBER(SEARCH("R135",G233)),0)+IFERROR(--ISNUMBER(SEARCH("R136",G233)),0)+IFERROR(--ISNUMBER(SEARCH("R137",G233)),0)+IFERROR(--ISNUMBER(SEARCH("R138",G233)),0)+IFERROR(--ISNUMBER(SEARCH("R139",G233)),0)+IFERROR(--ISNUMBER(SEARCH("R140",G233)),0)+IFERROR(--ISNUMBER(SEARCH("R141",G233)),0))</f>
        <v/>
      </c>
      <c r="T233" s="58">
        <f>IF(A233="","",IFERROR(--ISNUMBER(SEARCH("R28",G233)),0)+IFERROR(--ISNUMBER(SEARCH("R29",G233)),0)+IFERROR(--ISNUMBER(SEARCH("R30",G233)),0)+IFERROR(--ISNUMBER(SEARCH("R32",G233)),0)+IFERROR(--ISNUMBER(SEARCH("R33",G233)),0)+IFERROR(--ISNUMBER(SEARCH("R35",G233)),0)+IFERROR(--ISNUMBER(SEARCH("R36",G233)),0)+IFERROR(--ISNUMBER(SEARCH("R38",G233)),0)+IFERROR(--ISNUMBER(SEARCH("R39",G233)),0)+IFERROR(--ISNUMBER(SEARCH("R43",G233)),0)+IFERROR(--ISNUMBER(SEARCH("R44",G233)),0)+IFERROR(--ISNUMBER(SEARCH("R45",G233)),0)+IFERROR(--ISNUMBER(SEARCH("R47",G233)),0)+IFERROR(--ISNUMBER(SEARCH("R48",G233)),0)+IFERROR(--ISNUMBER(SEARCH("R50",G233)),0)+IFERROR(--ISNUMBER(SEARCH("R51",G233)),0)+IFERROR(--ISNUMBER(SEARCH("R56",G233)),0)+IFERROR(--ISNUMBER(SEARCH("R58",G233)),0)+IFERROR(--ISNUMBER(SEARCH("R59",G233)),0)+IFERROR(--ISNUMBER(SEARCH("R60",G233)),0)+IFERROR(--ISNUMBER(SEARCH("R62",G233)),0)+IFERROR(--ISNUMBER(SEARCH("R63",G233)),0)+IFERROR(--ISNUMBER(SEARCH("R64",G233)),0)+IFERROR(--ISNUMBER(SEARCH("R66",G233)),0)+IFERROR(--ISNUMBER(SEARCH("R67",G233)),0)+IFERROR(--ISNUMBER(SEARCH("R72",G233)),0)+IFERROR(--ISNUMBER(SEARCH("R74",G233)),0)+IFERROR(--ISNUMBER(SEARCH("R75",G233)),0)+IFERROR(--ISNUMBER(SEARCH("R76",G233)),0)+IFERROR(--ISNUMBER(SEARCH("R77",G233)),0)+IFERROR(--ISNUMBER(SEARCH("R79",G233)),0)+IFERROR(--ISNUMBER(SEARCH("R80",G233)),0)+IFERROR(--ISNUMBER(SEARCH("R81",G233)),0)+IFERROR(--ISNUMBER(SEARCH("R83",G233)),0)+IFERROR(--ISNUMBER(SEARCH("R84",G233)),0)+IFERROR(--ISNUMBER(SEARCH("R89",G233)),0)+IFERROR(--ISNUMBER(SEARCH("R94",G233)),0)+IFERROR(--ISNUMBER(SEARCH("R95",G233)),0)+IFERROR(--ISNUMBER(SEARCH("R96",G233)),0)+IFERROR(--ISNUMBER(SEARCH("R98",G233)),0)+IFERROR(--ISNUMBER(SEARCH("R99",G233)),0)+IFERROR(--ISNUMBER(SEARCH("R100",G233)),0)+IFERROR(--ISNUMBER(SEARCH("R104",G233)),0)+IFERROR(--ISNUMBER(SEARCH("R105",G233)),0)+IFERROR(--ISNUMBER(SEARCH("R107",G233)),0)+IFERROR(--ISNUMBER(SEARCH("R108",G233)),0)+IFERROR(--ISNUMBER(SEARCH("R109",G233)),0)+IFERROR(--ISNUMBER(SEARCH("R110",G233)),0)+IFERROR(--ISNUMBER(SEARCH("R112",G233)),0)+IFERROR(--ISNUMBER(SEARCH("R113",G233)),0)+IFERROR(--ISNUMBER(SEARCH("R114",G233)),0)+IFERROR(--ISNUMBER(SEARCH("R118",G233)),0)+IFERROR(--ISNUMBER(SEARCH("R119",G233)),0)+IFERROR(--ISNUMBER(SEARCH("R120",G233)),0)+IFERROR(--ISNUMBER(SEARCH("R122",G233)),0)+IFERROR(--ISNUMBER(SEARCH("R123",G233)),0)+IFERROR(--ISNUMBER(SEARCH("R124",G233)),0)+IFERROR(--ISNUMBER(SEARCH("R128",G233)),0)+IFERROR(--ISNUMBER(SEARCH("R130",G233)),0)+IFERROR(--ISNUMBER(SEARCH("R131",G233)),0)+IFERROR(--ISNUMBER(SEARCH("R132",G233)),0)+IFERROR(--ISNUMBER(SEARCH("R135",G233)),0)+IFERROR(--ISNUMBER(SEARCH("R138",G233)),0)+IFERROR(--ISNUMBER(SEARCH("R141",G233)),0))</f>
        <v/>
      </c>
      <c r="U233" s="58">
        <f>IF(A233="","",IFERROR(--ISNUMBER(SEARCH("R28",G233))*28,0)+IFERROR(--ISNUMBER(SEARCH("R29",G233))*29,0)+IFERROR(--ISNUMBER(SEARCH("R30",G233))*30,0)+IFERROR(--ISNUMBER(SEARCH("R31",G233))*31,0)+IFERROR(--ISNUMBER(SEARCH("R32",G233))*32,0)+IFERROR(--ISNUMBER(SEARCH("R33",G233))*33,0)+IFERROR(--ISNUMBER(SEARCH("R34",G233))*34,0)+IFERROR(--ISNUMBER(SEARCH("R35",G233))*35,0)+IFERROR(--ISNUMBER(SEARCH("R36",G233))*36,0)+IFERROR(--ISNUMBER(SEARCH("R37",G233))*37,0)+IFERROR(--ISNUMBER(SEARCH("R38",G233))*38,0)+IFERROR(--ISNUMBER(SEARCH("R39",G233))*39,0)+IFERROR(--ISNUMBER(SEARCH("R40",G233))*40,0)+IFERROR(--ISNUMBER(SEARCH("R41",G233))*41,0)+IFERROR(--ISNUMBER(SEARCH("R42",G233))*42,0)+IFERROR(--ISNUMBER(SEARCH("R43",G233))*43,0)+IFERROR(--ISNUMBER(SEARCH("R44",G233))*44,0)+IFERROR(--ISNUMBER(SEARCH("R45",G233))*45,0)+IFERROR(--ISNUMBER(SEARCH("R46",G233))*46,0)+IFERROR(--ISNUMBER(SEARCH("R47",G233))*47,0)+IFERROR(--ISNUMBER(SEARCH("R48",G233))*48,0)+IFERROR(--ISNUMBER(SEARCH("R49",G233))*49,0)+IFERROR(--ISNUMBER(SEARCH("R50",G233))*50,0)+IFERROR(--ISNUMBER(SEARCH("R51",G233))*51,0)+IFERROR(--ISNUMBER(SEARCH("R52",G233))*52,0)+IFERROR(--ISNUMBER(SEARCH("R53",G233))*53,0)+IFERROR(--ISNUMBER(SEARCH("R54",G233))*54,0)+IFERROR(--ISNUMBER(SEARCH("R55",G233))*55,0)+IFERROR(--ISNUMBER(SEARCH("R56",G233))*56,0)+IFERROR(--ISNUMBER(SEARCH("R57",G233))*57,0)+IFERROR(--ISNUMBER(SEARCH("R58",G233))*58,0)+IFERROR(--ISNUMBER(SEARCH("R59",G233))*59,0)+IFERROR(--ISNUMBER(SEARCH("R60",G233))*60,0)+IFERROR(--ISNUMBER(SEARCH("R61",G233))*61,0)+IFERROR(--ISNUMBER(SEARCH("R62",G233))*62,0)+IFERROR(--ISNUMBER(SEARCH("R63",G233))*63,0)+IFERROR(--ISNUMBER(SEARCH("R64",G233))*64,0)+IFERROR(--ISNUMBER(SEARCH("R65",G233))*65,0)+IFERROR(--ISNUMBER(SEARCH("R66",G233))*66,0)+IFERROR(--ISNUMBER(SEARCH("R67",G233))*67,0)+IFERROR(--ISNUMBER(SEARCH("R68",G233))*68,0)+IFERROR(--ISNUMBER(SEARCH("R69",G233))*69,0)+IFERROR(--ISNUMBER(SEARCH("R70",G233))*70,0)+IFERROR(--ISNUMBER(SEARCH("R71",G233))*71,0)+IFERROR(--ISNUMBER(SEARCH("R72",G233))*72,0)+IFERROR(--ISNUMBER(SEARCH("R73",G233))*73,0)+IFERROR(--ISNUMBER(SEARCH("R74",G233))*74,0)+IFERROR(--ISNUMBER(SEARCH("R75",G233))*75,0)+IFERROR(--ISNUMBER(SEARCH("R76",G233))*76,0)+IFERROR(--ISNUMBER(SEARCH("R77",G233))*77,0)+IFERROR(--ISNUMBER(SEARCH("R78",G233))*78,0)+IFERROR(--ISNUMBER(SEARCH("R79",G233))*79,0)+IFERROR(--ISNUMBER(SEARCH("R80",G233))*80,0)+IFERROR(--ISNUMBER(SEARCH("R81",G233))*81,0)+IFERROR(--ISNUMBER(SEARCH("R82",G233))*82,0)+IFERROR(--ISNUMBER(SEARCH("R83",G233))*83,0)+IFERROR(--ISNUMBER(SEARCH("R84",G233))*84,0)+IFERROR(--ISNUMBER(SEARCH("R85",G233))*85,0)+IFERROR(--ISNUMBER(SEARCH("R86",G233))*86,0)+IFERROR(--ISNUMBER(SEARCH("R87",G233))*87,0)+IFERROR(--ISNUMBER(SEARCH("R88",G233))*88,0)+IFERROR(--ISNUMBER(SEARCH("R89",G233))*89,0)+IFERROR(--ISNUMBER(SEARCH("R90",G233))*90,0)+IFERROR(--ISNUMBER(SEARCH("R91",G233))*91,0)+IFERROR(--ISNUMBER(SEARCH("R92",G233))*92,0)+IFERROR(--ISNUMBER(SEARCH("R93",G233))*93,0)+IFERROR(--ISNUMBER(SEARCH("R94",G233))*94,0)+IFERROR(--ISNUMBER(SEARCH("R95",G233))*95,0)+IFERROR(--ISNUMBER(SEARCH("R96",G233))*96,0)+IFERROR(--ISNUMBER(SEARCH("R97",G233))*97,0)+IFERROR(--ISNUMBER(SEARCH("R98",G233))*98,0)+IFERROR(--ISNUMBER(SEARCH("R99",G233))*99,0)+IFERROR(--ISNUMBER(SEARCH("R100",G233))*100,0)+IFERROR(--ISNUMBER(SEARCH("R101",G233))*101,0)+IFERROR(--ISNUMBER(SEARCH("R102",G233))*102,0)+IFERROR(--ISNUMBER(SEARCH("R103",G233))*103,0)+IFERROR(--ISNUMBER(SEARCH("R104",G233))*104,0)+IFERROR(--ISNUMBER(SEARCH("R105",G233))*105,0)+IFERROR(--ISNUMBER(SEARCH("R106",G233))*106,0)+IFERROR(--ISNUMBER(SEARCH("R107",G233))*107,0)+IFERROR(--ISNUMBER(SEARCH("R108",G233))*108,0)+IFERROR(--ISNUMBER(SEARCH("R109",G233))*109,0)+IFERROR(--ISNUMBER(SEARCH("R110",G233))*110,0)+IFERROR(--ISNUMBER(SEARCH("R111",G233))*111,0)+IFERROR(--ISNUMBER(SEARCH("R112",G233))*112,0)+IFERROR(--ISNUMBER(SEARCH("R113",G233))*113,0)+IFERROR(--ISNUMBER(SEARCH("R114",G233))*114,0)+IFERROR(--ISNUMBER(SEARCH("R115",G233))*115,0)+IFERROR(--ISNUMBER(SEARCH("R116",G233))*116,0)+IFERROR(--ISNUMBER(SEARCH("R117",G233))*117,0)+IFERROR(--ISNUMBER(SEARCH("R118",G233))*118,0)+IFERROR(--ISNUMBER(SEARCH("R119",G233))*119,0)+IFERROR(--ISNUMBER(SEARCH("R120",G233))*120,0)+IFERROR(--ISNUMBER(SEARCH("R121",G233))*121,0)+IFERROR(--ISNUMBER(SEARCH("R122",G233))*122,0)+IFERROR(--ISNUMBER(SEARCH("R123",G233))*123,0)+IFERROR(--ISNUMBER(SEARCH("R124",G233))*124,0)+IFERROR(--ISNUMBER(SEARCH("R125",G233))*125,0)+IFERROR(--ISNUMBER(SEARCH("R126",G233))*126,0)+IFERROR(--ISNUMBER(SEARCH("R127",G233))*127,0)+IFERROR(--ISNUMBER(SEARCH("R128",G233))*128,0)+IFERROR(--ISNUMBER(SEARCH("R129",G233))*129,0)+IFERROR(--ISNUMBER(SEARCH("R130",G233))*130,0)+IFERROR(--ISNUMBER(SEARCH("R131",G233))*131,0)+IFERROR(--ISNUMBER(SEARCH("R132",G233))*132,0)+IFERROR(--ISNUMBER(SEARCH("R133",G233))*133,0)+IFERROR(--ISNUMBER(SEARCH("R134",G233))*134,0)+IFERROR(--ISNUMBER(SEARCH("R135",G233))*135,0)+IFERROR(--ISNUMBER(SEARCH("R136",G233))*136,0)+IFERROR(--ISNUMBER(SEARCH("R137",G233))*137,0)+IFERROR(--ISNUMBER(SEARCH("R138",G233))*138,0)+IFERROR(--ISNUMBER(SEARCH("R139",G233))*139,0)+IFERROR(--ISNUMBER(SEARCH("R140",G233))*140,0)+IFERROR(--ISNUMBER(SEARCH("R141",G233))*141,0))</f>
        <v/>
      </c>
      <c r="V233" s="59">
        <f>IF(A233="","",IF(K233&lt;&gt;"",K233,J233))</f>
        <v/>
      </c>
      <c r="W233" s="59">
        <f>IF(A233="","",IF(AND(V233=29,O233&lt;&gt;"",COUNTIFS($V$6:$V$505,29,$F$6:$F$505,F233,$C$6:$C$505,C233,$O$6:$O$505,"&lt;&gt;")&gt;1),IF(COUNTIFS($V$6:V233,29,$F$6:F233,F233,$C$6:C233,C233,$O$6:O233,"&lt;&gt;")=1,"Esta es la fila que se debe CONSERVAR (aparición 1 de "&amp;COUNTIFS($V$6:$V$505,29,$F$6:$F$505,F233,$C$6:$C$505,C233,$O$6:$O$505,"&lt;&gt;")&amp;" con el mismo tercero y valor, casilla 29). Si hay más filas iguales, bórreles el valor a ELLAS, no a esta.","DUPLICADO — ya existe otra fila con el mismo tercero y valor para casilla 29 (aparición "&amp;COUNTIFS($V$6:V233,29,$F$6:F233,F233,$C$6:C233,C233,$O$6:O233,"&lt;&gt;")&amp;" de "&amp;COUNTIFS($V$6:$V$505,29,$F$6:$F$505,F233,$C$6:$C$505,C233,$O$6:$O$505,"&lt;&gt;")&amp;"). Para resolverlo: seleccione la celda O"&amp;ROW()&amp;" (columna Valor a declarar de ESTA fila) y presione Supr."),""))</f>
        <v/>
      </c>
      <c r="X233" s="463">
        <f>IF(A233="","",F233)</f>
        <v/>
      </c>
      <c r="Y233" s="463">
        <f>IF(A233="","",SUMIF(Entrada_Manual!$I$88:$I$187,A233,Entrada_Manual!$F$88:$F$187))</f>
        <v/>
      </c>
      <c r="Z233" s="463">
        <f>IF(A233="","",X233-Y233)</f>
        <v/>
      </c>
      <c r="AA233">
        <f>IF(A233="","",SUMPRODUCT((Entrada_Manual!$I$88:$I$187=A233)*1))</f>
        <v/>
      </c>
      <c r="AB233">
        <f>IF(A233="","",IF(S233&lt;=1,"",IF(AA233=0,"PENDIENTE — SIN ASIGNAR",IF(Z233=0,"RESUELTO","PARCIAL — DIFERENCIA "&amp;TEXT(Z233,"#,##0")))))</f>
        <v/>
      </c>
    </row>
    <row r="234" ht="14.25" customHeight="1" s="235">
      <c r="A234" s="47">
        <f>IF(Exogena_RAW!E243&lt;&gt;"",ROW()-5,"")</f>
        <v/>
      </c>
      <c r="B234" s="48">
        <f>IF(A234="","",243)</f>
        <v/>
      </c>
      <c r="C234" s="48">
        <f>IF(A234="","",IFERROR(Exogena_RAW!A243,""))</f>
        <v/>
      </c>
      <c r="D234" s="48">
        <f>IF(A234="","",IFERROR(Exogena_RAW!B243,""))</f>
        <v/>
      </c>
      <c r="E234" s="48">
        <f>IF(A234="","",Exogena_RAW!E243)</f>
        <v/>
      </c>
      <c r="F234" s="461">
        <f>IF(A234="","",Exogena_RAW!F243)</f>
        <v/>
      </c>
      <c r="G234" s="48">
        <f>IF(A234="","",IFERROR(Exogena_RAW!G243,""))</f>
        <v/>
      </c>
      <c r="H234" s="48">
        <f>IF(A234="","",IFERROR(Exogena_RAW!H243,""))</f>
        <v/>
      </c>
      <c r="I234" s="48">
        <f>IF(A234="","",IFERROR(IF(S234&gt;1,"VARIAS CASILLAS",IF(S234=1,IF(T234=1,"PROPUESTA DE CASILLA","REVISIÓN: CASILLA NO DIRECTA"),IF(OR(ISNUMBER(SEARCH("TOPE",UPPER(E234))),ISNUMBER(SEARCH("TOPE",UPPER(G234)))),"SOLO CONTROL",IF(ISNUMBER(SEARCH("RETEN",UPPER(E234))),"RETENCIÓN","REVISAR")))),"REVISAR"))</f>
        <v/>
      </c>
      <c r="J234" s="48">
        <f>IF(A234="","",IF(ISNUMBER(SEARCH("ingreso laboral promedio de los últimos seis meses",E234)),"",IFERROR(IF(AND(S234=1,T234=1),U234,""),"")))</f>
        <v/>
      </c>
      <c r="K234" s="216" t="n"/>
      <c r="L234" s="48">
        <f>IF(A234="","",IFERROR(IF(K234&lt;&gt;"","Casilla elegida por usuario",IF(S234&gt;1,"Varias casillas — elegir en K",IF(J234&lt;&gt;"","Sugerencia directa",IF(S234=1,"No trasladar directo — revisar",IF(OR(ISNUMBER(SEARCH("TOPE",UPPER(E234))),ISNUMBER(SEARCH("TOPE",UPPER(G234)))),"Solo control","Revisar manualmente"))))),"Revisar manualmente"))</f>
        <v/>
      </c>
      <c r="M234" s="461">
        <f>IF(A234="","",IF(IF(K234&lt;&gt;"",K234,J234)="",0,IF(COUNTIFS(Reglas!$I$5:$I$118,IF(K234&lt;&gt;"",K234,J234),Reglas!$J$5:$J$118,"Sí")=1,F234,0)))</f>
        <v/>
      </c>
      <c r="N234" s="56" t="n"/>
      <c r="O234" s="462">
        <f>IF(A234="","",IF(M234=0,"",M234))</f>
        <v/>
      </c>
      <c r="P234" s="461">
        <f>IF(A234="","",IF(O234="",0,IF(ISNUMBER(O234),O234,0)))</f>
        <v/>
      </c>
      <c r="Q234" s="48">
        <f>IF(A234="","",IF(Exogena_RAW!$C$4="","BLOQUEADO: FALTA AÑO",IF(Exogena_RAW!$K$10&lt;&gt;Reglas!$B$5,"BLOQUEADO: AÑO",IF(IF(K234&lt;&gt;"",K234,J234)="",IF(S234&gt;1,"REQUIERE ASIGNACIÓN MANUAL (VARIAS CASILLAS)","INFORMATIVO (sin casilla — no se declara)"),IF(COUNTIFS(Reglas!$I$5:$I$118,IF(K234&lt;&gt;"",K234,J234),Reglas!$J$5:$J$118,"Sí")=0,"BLOQUEADO: CASILLA NO DIRECTA",IF(O234="","EXCLUIDO (valor borrado por el usuario)",IF(_xlfn.ISFORMULA(O234),IF(W234&lt;&gt;"","BORRADOR — VALOR SUGERIDO DIAN ⚠ VER ALERTA","BORRADOR — VALOR SUGERIDO DIAN"),IF(W234&lt;&gt;"","ACEPTADO ⚠ VER ALERTA","ACEPTADO"))))))))</f>
        <v/>
      </c>
      <c r="R234" s="218" t="n"/>
      <c r="S234" s="58">
        <f>IF(A234="","",IFERROR(--ISNUMBER(SEARCH("R28",G234)),0)+IFERROR(--ISNUMBER(SEARCH("R29",G234)),0)+IFERROR(--ISNUMBER(SEARCH("R30",G234)),0)+IFERROR(--ISNUMBER(SEARCH("R31",G234)),0)+IFERROR(--ISNUMBER(SEARCH("R32",G234)),0)+IFERROR(--ISNUMBER(SEARCH("R33",G234)),0)+IFERROR(--ISNUMBER(SEARCH("R34",G234)),0)+IFERROR(--ISNUMBER(SEARCH("R35",G234)),0)+IFERROR(--ISNUMBER(SEARCH("R36",G234)),0)+IFERROR(--ISNUMBER(SEARCH("R37",G234)),0)+IFERROR(--ISNUMBER(SEARCH("R38",G234)),0)+IFERROR(--ISNUMBER(SEARCH("R39",G234)),0)+IFERROR(--ISNUMBER(SEARCH("R40",G234)),0)+IFERROR(--ISNUMBER(SEARCH("R41",G234)),0)+IFERROR(--ISNUMBER(SEARCH("R42",G234)),0)+IFERROR(--ISNUMBER(SEARCH("R43",G234)),0)+IFERROR(--ISNUMBER(SEARCH("R44",G234)),0)+IFERROR(--ISNUMBER(SEARCH("R45",G234)),0)+IFERROR(--ISNUMBER(SEARCH("R46",G234)),0)+IFERROR(--ISNUMBER(SEARCH("R47",G234)),0)+IFERROR(--ISNUMBER(SEARCH("R48",G234)),0)+IFERROR(--ISNUMBER(SEARCH("R49",G234)),0)+IFERROR(--ISNUMBER(SEARCH("R50",G234)),0)+IFERROR(--ISNUMBER(SEARCH("R51",G234)),0)+IFERROR(--ISNUMBER(SEARCH("R52",G234)),0)+IFERROR(--ISNUMBER(SEARCH("R53",G234)),0)+IFERROR(--ISNUMBER(SEARCH("R54",G234)),0)+IFERROR(--ISNUMBER(SEARCH("R55",G234)),0)+IFERROR(--ISNUMBER(SEARCH("R56",G234)),0)+IFERROR(--ISNUMBER(SEARCH("R57",G234)),0)+IFERROR(--ISNUMBER(SEARCH("R58",G234)),0)+IFERROR(--ISNUMBER(SEARCH("R59",G234)),0)+IFERROR(--ISNUMBER(SEARCH("R60",G234)),0)+IFERROR(--ISNUMBER(SEARCH("R61",G234)),0)+IFERROR(--ISNUMBER(SEARCH("R62",G234)),0)+IFERROR(--ISNUMBER(SEARCH("R63",G234)),0)+IFERROR(--ISNUMBER(SEARCH("R64",G234)),0)+IFERROR(--ISNUMBER(SEARCH("R65",G234)),0)+IFERROR(--ISNUMBER(SEARCH("R66",G234)),0)+IFERROR(--ISNUMBER(SEARCH("R67",G234)),0)+IFERROR(--ISNUMBER(SEARCH("R68",G234)),0)+IFERROR(--ISNUMBER(SEARCH("R69",G234)),0)+IFERROR(--ISNUMBER(SEARCH("R70",G234)),0)+IFERROR(--ISNUMBER(SEARCH("R71",G234)),0)+IFERROR(--ISNUMBER(SEARCH("R72",G234)),0)+IFERROR(--ISNUMBER(SEARCH("R73",G234)),0)+IFERROR(--ISNUMBER(SEARCH("R74",G234)),0)+IFERROR(--ISNUMBER(SEARCH("R75",G234)),0)+IFERROR(--ISNUMBER(SEARCH("R76",G234)),0)+IFERROR(--ISNUMBER(SEARCH("R77",G234)),0)+IFERROR(--ISNUMBER(SEARCH("R78",G234)),0)+IFERROR(--ISNUMBER(SEARCH("R79",G234)),0)+IFERROR(--ISNUMBER(SEARCH("R80",G234)),0)+IFERROR(--ISNUMBER(SEARCH("R81",G234)),0)+IFERROR(--ISNUMBER(SEARCH("R82",G234)),0)+IFERROR(--ISNUMBER(SEARCH("R83",G234)),0)+IFERROR(--ISNUMBER(SEARCH("R84",G234)),0)+IFERROR(--ISNUMBER(SEARCH("R85",G234)),0)+IFERROR(--ISNUMBER(SEARCH("R86",G234)),0)+IFERROR(--ISNUMBER(SEARCH("R87",G234)),0)+IFERROR(--ISNUMBER(SEARCH("R88",G234)),0)+IFERROR(--ISNUMBER(SEARCH("R89",G234)),0)+IFERROR(--ISNUMBER(SEARCH("R90",G234)),0)+IFERROR(--ISNUMBER(SEARCH("R91",G234)),0)+IFERROR(--ISNUMBER(SEARCH("R92",G234)),0)+IFERROR(--ISNUMBER(SEARCH("R93",G234)),0)+IFERROR(--ISNUMBER(SEARCH("R94",G234)),0)+IFERROR(--ISNUMBER(SEARCH("R95",G234)),0)+IFERROR(--ISNUMBER(SEARCH("R96",G234)),0)+IFERROR(--ISNUMBER(SEARCH("R97",G234)),0)+IFERROR(--ISNUMBER(SEARCH("R98",G234)),0)+IFERROR(--ISNUMBER(SEARCH("R99",G234)),0)+IFERROR(--ISNUMBER(SEARCH("R100",G234)),0)+IFERROR(--ISNUMBER(SEARCH("R101",G234)),0)+IFERROR(--ISNUMBER(SEARCH("R102",G234)),0)+IFERROR(--ISNUMBER(SEARCH("R103",G234)),0)+IFERROR(--ISNUMBER(SEARCH("R104",G234)),0)+IFERROR(--ISNUMBER(SEARCH("R105",G234)),0)+IFERROR(--ISNUMBER(SEARCH("R106",G234)),0)+IFERROR(--ISNUMBER(SEARCH("R107",G234)),0)+IFERROR(--ISNUMBER(SEARCH("R108",G234)),0)+IFERROR(--ISNUMBER(SEARCH("R109",G234)),0)+IFERROR(--ISNUMBER(SEARCH("R110",G234)),0)+IFERROR(--ISNUMBER(SEARCH("R111",G234)),0)+IFERROR(--ISNUMBER(SEARCH("R112",G234)),0)+IFERROR(--ISNUMBER(SEARCH("R113",G234)),0)+IFERROR(--ISNUMBER(SEARCH("R114",G234)),0)+IFERROR(--ISNUMBER(SEARCH("R115",G234)),0)+IFERROR(--ISNUMBER(SEARCH("R116",G234)),0)+IFERROR(--ISNUMBER(SEARCH("R117",G234)),0)+IFERROR(--ISNUMBER(SEARCH("R118",G234)),0)+IFERROR(--ISNUMBER(SEARCH("R119",G234)),0)+IFERROR(--ISNUMBER(SEARCH("R120",G234)),0)+IFERROR(--ISNUMBER(SEARCH("R121",G234)),0)+IFERROR(--ISNUMBER(SEARCH("R122",G234)),0)+IFERROR(--ISNUMBER(SEARCH("R123",G234)),0)+IFERROR(--ISNUMBER(SEARCH("R124",G234)),0)+IFERROR(--ISNUMBER(SEARCH("R125",G234)),0)+IFERROR(--ISNUMBER(SEARCH("R126",G234)),0)+IFERROR(--ISNUMBER(SEARCH("R127",G234)),0)+IFERROR(--ISNUMBER(SEARCH("R128",G234)),0)+IFERROR(--ISNUMBER(SEARCH("R129",G234)),0)+IFERROR(--ISNUMBER(SEARCH("R130",G234)),0)+IFERROR(--ISNUMBER(SEARCH("R131",G234)),0)+IFERROR(--ISNUMBER(SEARCH("R132",G234)),0)+IFERROR(--ISNUMBER(SEARCH("R133",G234)),0)+IFERROR(--ISNUMBER(SEARCH("R134",G234)),0)+IFERROR(--ISNUMBER(SEARCH("R135",G234)),0)+IFERROR(--ISNUMBER(SEARCH("R136",G234)),0)+IFERROR(--ISNUMBER(SEARCH("R137",G234)),0)+IFERROR(--ISNUMBER(SEARCH("R138",G234)),0)+IFERROR(--ISNUMBER(SEARCH("R139",G234)),0)+IFERROR(--ISNUMBER(SEARCH("R140",G234)),0)+IFERROR(--ISNUMBER(SEARCH("R141",G234)),0))</f>
        <v/>
      </c>
      <c r="T234" s="58">
        <f>IF(A234="","",IFERROR(--ISNUMBER(SEARCH("R28",G234)),0)+IFERROR(--ISNUMBER(SEARCH("R29",G234)),0)+IFERROR(--ISNUMBER(SEARCH("R30",G234)),0)+IFERROR(--ISNUMBER(SEARCH("R32",G234)),0)+IFERROR(--ISNUMBER(SEARCH("R33",G234)),0)+IFERROR(--ISNUMBER(SEARCH("R35",G234)),0)+IFERROR(--ISNUMBER(SEARCH("R36",G234)),0)+IFERROR(--ISNUMBER(SEARCH("R38",G234)),0)+IFERROR(--ISNUMBER(SEARCH("R39",G234)),0)+IFERROR(--ISNUMBER(SEARCH("R43",G234)),0)+IFERROR(--ISNUMBER(SEARCH("R44",G234)),0)+IFERROR(--ISNUMBER(SEARCH("R45",G234)),0)+IFERROR(--ISNUMBER(SEARCH("R47",G234)),0)+IFERROR(--ISNUMBER(SEARCH("R48",G234)),0)+IFERROR(--ISNUMBER(SEARCH("R50",G234)),0)+IFERROR(--ISNUMBER(SEARCH("R51",G234)),0)+IFERROR(--ISNUMBER(SEARCH("R56",G234)),0)+IFERROR(--ISNUMBER(SEARCH("R58",G234)),0)+IFERROR(--ISNUMBER(SEARCH("R59",G234)),0)+IFERROR(--ISNUMBER(SEARCH("R60",G234)),0)+IFERROR(--ISNUMBER(SEARCH("R62",G234)),0)+IFERROR(--ISNUMBER(SEARCH("R63",G234)),0)+IFERROR(--ISNUMBER(SEARCH("R64",G234)),0)+IFERROR(--ISNUMBER(SEARCH("R66",G234)),0)+IFERROR(--ISNUMBER(SEARCH("R67",G234)),0)+IFERROR(--ISNUMBER(SEARCH("R72",G234)),0)+IFERROR(--ISNUMBER(SEARCH("R74",G234)),0)+IFERROR(--ISNUMBER(SEARCH("R75",G234)),0)+IFERROR(--ISNUMBER(SEARCH("R76",G234)),0)+IFERROR(--ISNUMBER(SEARCH("R77",G234)),0)+IFERROR(--ISNUMBER(SEARCH("R79",G234)),0)+IFERROR(--ISNUMBER(SEARCH("R80",G234)),0)+IFERROR(--ISNUMBER(SEARCH("R81",G234)),0)+IFERROR(--ISNUMBER(SEARCH("R83",G234)),0)+IFERROR(--ISNUMBER(SEARCH("R84",G234)),0)+IFERROR(--ISNUMBER(SEARCH("R89",G234)),0)+IFERROR(--ISNUMBER(SEARCH("R94",G234)),0)+IFERROR(--ISNUMBER(SEARCH("R95",G234)),0)+IFERROR(--ISNUMBER(SEARCH("R96",G234)),0)+IFERROR(--ISNUMBER(SEARCH("R98",G234)),0)+IFERROR(--ISNUMBER(SEARCH("R99",G234)),0)+IFERROR(--ISNUMBER(SEARCH("R100",G234)),0)+IFERROR(--ISNUMBER(SEARCH("R104",G234)),0)+IFERROR(--ISNUMBER(SEARCH("R105",G234)),0)+IFERROR(--ISNUMBER(SEARCH("R107",G234)),0)+IFERROR(--ISNUMBER(SEARCH("R108",G234)),0)+IFERROR(--ISNUMBER(SEARCH("R109",G234)),0)+IFERROR(--ISNUMBER(SEARCH("R110",G234)),0)+IFERROR(--ISNUMBER(SEARCH("R112",G234)),0)+IFERROR(--ISNUMBER(SEARCH("R113",G234)),0)+IFERROR(--ISNUMBER(SEARCH("R114",G234)),0)+IFERROR(--ISNUMBER(SEARCH("R118",G234)),0)+IFERROR(--ISNUMBER(SEARCH("R119",G234)),0)+IFERROR(--ISNUMBER(SEARCH("R120",G234)),0)+IFERROR(--ISNUMBER(SEARCH("R122",G234)),0)+IFERROR(--ISNUMBER(SEARCH("R123",G234)),0)+IFERROR(--ISNUMBER(SEARCH("R124",G234)),0)+IFERROR(--ISNUMBER(SEARCH("R128",G234)),0)+IFERROR(--ISNUMBER(SEARCH("R130",G234)),0)+IFERROR(--ISNUMBER(SEARCH("R131",G234)),0)+IFERROR(--ISNUMBER(SEARCH("R132",G234)),0)+IFERROR(--ISNUMBER(SEARCH("R135",G234)),0)+IFERROR(--ISNUMBER(SEARCH("R138",G234)),0)+IFERROR(--ISNUMBER(SEARCH("R141",G234)),0))</f>
        <v/>
      </c>
      <c r="U234" s="58">
        <f>IF(A234="","",IFERROR(--ISNUMBER(SEARCH("R28",G234))*28,0)+IFERROR(--ISNUMBER(SEARCH("R29",G234))*29,0)+IFERROR(--ISNUMBER(SEARCH("R30",G234))*30,0)+IFERROR(--ISNUMBER(SEARCH("R31",G234))*31,0)+IFERROR(--ISNUMBER(SEARCH("R32",G234))*32,0)+IFERROR(--ISNUMBER(SEARCH("R33",G234))*33,0)+IFERROR(--ISNUMBER(SEARCH("R34",G234))*34,0)+IFERROR(--ISNUMBER(SEARCH("R35",G234))*35,0)+IFERROR(--ISNUMBER(SEARCH("R36",G234))*36,0)+IFERROR(--ISNUMBER(SEARCH("R37",G234))*37,0)+IFERROR(--ISNUMBER(SEARCH("R38",G234))*38,0)+IFERROR(--ISNUMBER(SEARCH("R39",G234))*39,0)+IFERROR(--ISNUMBER(SEARCH("R40",G234))*40,0)+IFERROR(--ISNUMBER(SEARCH("R41",G234))*41,0)+IFERROR(--ISNUMBER(SEARCH("R42",G234))*42,0)+IFERROR(--ISNUMBER(SEARCH("R43",G234))*43,0)+IFERROR(--ISNUMBER(SEARCH("R44",G234))*44,0)+IFERROR(--ISNUMBER(SEARCH("R45",G234))*45,0)+IFERROR(--ISNUMBER(SEARCH("R46",G234))*46,0)+IFERROR(--ISNUMBER(SEARCH("R47",G234))*47,0)+IFERROR(--ISNUMBER(SEARCH("R48",G234))*48,0)+IFERROR(--ISNUMBER(SEARCH("R49",G234))*49,0)+IFERROR(--ISNUMBER(SEARCH("R50",G234))*50,0)+IFERROR(--ISNUMBER(SEARCH("R51",G234))*51,0)+IFERROR(--ISNUMBER(SEARCH("R52",G234))*52,0)+IFERROR(--ISNUMBER(SEARCH("R53",G234))*53,0)+IFERROR(--ISNUMBER(SEARCH("R54",G234))*54,0)+IFERROR(--ISNUMBER(SEARCH("R55",G234))*55,0)+IFERROR(--ISNUMBER(SEARCH("R56",G234))*56,0)+IFERROR(--ISNUMBER(SEARCH("R57",G234))*57,0)+IFERROR(--ISNUMBER(SEARCH("R58",G234))*58,0)+IFERROR(--ISNUMBER(SEARCH("R59",G234))*59,0)+IFERROR(--ISNUMBER(SEARCH("R60",G234))*60,0)+IFERROR(--ISNUMBER(SEARCH("R61",G234))*61,0)+IFERROR(--ISNUMBER(SEARCH("R62",G234))*62,0)+IFERROR(--ISNUMBER(SEARCH("R63",G234))*63,0)+IFERROR(--ISNUMBER(SEARCH("R64",G234))*64,0)+IFERROR(--ISNUMBER(SEARCH("R65",G234))*65,0)+IFERROR(--ISNUMBER(SEARCH("R66",G234))*66,0)+IFERROR(--ISNUMBER(SEARCH("R67",G234))*67,0)+IFERROR(--ISNUMBER(SEARCH("R68",G234))*68,0)+IFERROR(--ISNUMBER(SEARCH("R69",G234))*69,0)+IFERROR(--ISNUMBER(SEARCH("R70",G234))*70,0)+IFERROR(--ISNUMBER(SEARCH("R71",G234))*71,0)+IFERROR(--ISNUMBER(SEARCH("R72",G234))*72,0)+IFERROR(--ISNUMBER(SEARCH("R73",G234))*73,0)+IFERROR(--ISNUMBER(SEARCH("R74",G234))*74,0)+IFERROR(--ISNUMBER(SEARCH("R75",G234))*75,0)+IFERROR(--ISNUMBER(SEARCH("R76",G234))*76,0)+IFERROR(--ISNUMBER(SEARCH("R77",G234))*77,0)+IFERROR(--ISNUMBER(SEARCH("R78",G234))*78,0)+IFERROR(--ISNUMBER(SEARCH("R79",G234))*79,0)+IFERROR(--ISNUMBER(SEARCH("R80",G234))*80,0)+IFERROR(--ISNUMBER(SEARCH("R81",G234))*81,0)+IFERROR(--ISNUMBER(SEARCH("R82",G234))*82,0)+IFERROR(--ISNUMBER(SEARCH("R83",G234))*83,0)+IFERROR(--ISNUMBER(SEARCH("R84",G234))*84,0)+IFERROR(--ISNUMBER(SEARCH("R85",G234))*85,0)+IFERROR(--ISNUMBER(SEARCH("R86",G234))*86,0)+IFERROR(--ISNUMBER(SEARCH("R87",G234))*87,0)+IFERROR(--ISNUMBER(SEARCH("R88",G234))*88,0)+IFERROR(--ISNUMBER(SEARCH("R89",G234))*89,0)+IFERROR(--ISNUMBER(SEARCH("R90",G234))*90,0)+IFERROR(--ISNUMBER(SEARCH("R91",G234))*91,0)+IFERROR(--ISNUMBER(SEARCH("R92",G234))*92,0)+IFERROR(--ISNUMBER(SEARCH("R93",G234))*93,0)+IFERROR(--ISNUMBER(SEARCH("R94",G234))*94,0)+IFERROR(--ISNUMBER(SEARCH("R95",G234))*95,0)+IFERROR(--ISNUMBER(SEARCH("R96",G234))*96,0)+IFERROR(--ISNUMBER(SEARCH("R97",G234))*97,0)+IFERROR(--ISNUMBER(SEARCH("R98",G234))*98,0)+IFERROR(--ISNUMBER(SEARCH("R99",G234))*99,0)+IFERROR(--ISNUMBER(SEARCH("R100",G234))*100,0)+IFERROR(--ISNUMBER(SEARCH("R101",G234))*101,0)+IFERROR(--ISNUMBER(SEARCH("R102",G234))*102,0)+IFERROR(--ISNUMBER(SEARCH("R103",G234))*103,0)+IFERROR(--ISNUMBER(SEARCH("R104",G234))*104,0)+IFERROR(--ISNUMBER(SEARCH("R105",G234))*105,0)+IFERROR(--ISNUMBER(SEARCH("R106",G234))*106,0)+IFERROR(--ISNUMBER(SEARCH("R107",G234))*107,0)+IFERROR(--ISNUMBER(SEARCH("R108",G234))*108,0)+IFERROR(--ISNUMBER(SEARCH("R109",G234))*109,0)+IFERROR(--ISNUMBER(SEARCH("R110",G234))*110,0)+IFERROR(--ISNUMBER(SEARCH("R111",G234))*111,0)+IFERROR(--ISNUMBER(SEARCH("R112",G234))*112,0)+IFERROR(--ISNUMBER(SEARCH("R113",G234))*113,0)+IFERROR(--ISNUMBER(SEARCH("R114",G234))*114,0)+IFERROR(--ISNUMBER(SEARCH("R115",G234))*115,0)+IFERROR(--ISNUMBER(SEARCH("R116",G234))*116,0)+IFERROR(--ISNUMBER(SEARCH("R117",G234))*117,0)+IFERROR(--ISNUMBER(SEARCH("R118",G234))*118,0)+IFERROR(--ISNUMBER(SEARCH("R119",G234))*119,0)+IFERROR(--ISNUMBER(SEARCH("R120",G234))*120,0)+IFERROR(--ISNUMBER(SEARCH("R121",G234))*121,0)+IFERROR(--ISNUMBER(SEARCH("R122",G234))*122,0)+IFERROR(--ISNUMBER(SEARCH("R123",G234))*123,0)+IFERROR(--ISNUMBER(SEARCH("R124",G234))*124,0)+IFERROR(--ISNUMBER(SEARCH("R125",G234))*125,0)+IFERROR(--ISNUMBER(SEARCH("R126",G234))*126,0)+IFERROR(--ISNUMBER(SEARCH("R127",G234))*127,0)+IFERROR(--ISNUMBER(SEARCH("R128",G234))*128,0)+IFERROR(--ISNUMBER(SEARCH("R129",G234))*129,0)+IFERROR(--ISNUMBER(SEARCH("R130",G234))*130,0)+IFERROR(--ISNUMBER(SEARCH("R131",G234))*131,0)+IFERROR(--ISNUMBER(SEARCH("R132",G234))*132,0)+IFERROR(--ISNUMBER(SEARCH("R133",G234))*133,0)+IFERROR(--ISNUMBER(SEARCH("R134",G234))*134,0)+IFERROR(--ISNUMBER(SEARCH("R135",G234))*135,0)+IFERROR(--ISNUMBER(SEARCH("R136",G234))*136,0)+IFERROR(--ISNUMBER(SEARCH("R137",G234))*137,0)+IFERROR(--ISNUMBER(SEARCH("R138",G234))*138,0)+IFERROR(--ISNUMBER(SEARCH("R139",G234))*139,0)+IFERROR(--ISNUMBER(SEARCH("R140",G234))*140,0)+IFERROR(--ISNUMBER(SEARCH("R141",G234))*141,0))</f>
        <v/>
      </c>
      <c r="V234" s="59">
        <f>IF(A234="","",IF(K234&lt;&gt;"",K234,J234))</f>
        <v/>
      </c>
      <c r="W234" s="59">
        <f>IF(A234="","",IF(AND(V234=29,O234&lt;&gt;"",COUNTIFS($V$6:$V$505,29,$F$6:$F$505,F234,$C$6:$C$505,C234,$O$6:$O$505,"&lt;&gt;")&gt;1),IF(COUNTIFS($V$6:V234,29,$F$6:F234,F234,$C$6:C234,C234,$O$6:O234,"&lt;&gt;")=1,"Esta es la fila que se debe CONSERVAR (aparición 1 de "&amp;COUNTIFS($V$6:$V$505,29,$F$6:$F$505,F234,$C$6:$C$505,C234,$O$6:$O$505,"&lt;&gt;")&amp;" con el mismo tercero y valor, casilla 29). Si hay más filas iguales, bórreles el valor a ELLAS, no a esta.","DUPLICADO — ya existe otra fila con el mismo tercero y valor para casilla 29 (aparición "&amp;COUNTIFS($V$6:V234,29,$F$6:F234,F234,$C$6:C234,C234,$O$6:O234,"&lt;&gt;")&amp;" de "&amp;COUNTIFS($V$6:$V$505,29,$F$6:$F$505,F234,$C$6:$C$505,C234,$O$6:$O$505,"&lt;&gt;")&amp;"). Para resolverlo: seleccione la celda O"&amp;ROW()&amp;" (columna Valor a declarar de ESTA fila) y presione Supr."),""))</f>
        <v/>
      </c>
      <c r="X234" s="463">
        <f>IF(A234="","",F234)</f>
        <v/>
      </c>
      <c r="Y234" s="463">
        <f>IF(A234="","",SUMIF(Entrada_Manual!$I$88:$I$187,A234,Entrada_Manual!$F$88:$F$187))</f>
        <v/>
      </c>
      <c r="Z234" s="463">
        <f>IF(A234="","",X234-Y234)</f>
        <v/>
      </c>
      <c r="AA234">
        <f>IF(A234="","",SUMPRODUCT((Entrada_Manual!$I$88:$I$187=A234)*1))</f>
        <v/>
      </c>
      <c r="AB234">
        <f>IF(A234="","",IF(S234&lt;=1,"",IF(AA234=0,"PENDIENTE — SIN ASIGNAR",IF(Z234=0,"RESUELTO","PARCIAL — DIFERENCIA "&amp;TEXT(Z234,"#,##0")))))</f>
        <v/>
      </c>
    </row>
    <row r="235" ht="14.25" customHeight="1" s="235">
      <c r="A235" s="47">
        <f>IF(Exogena_RAW!E244&lt;&gt;"",ROW()-5,"")</f>
        <v/>
      </c>
      <c r="B235" s="48">
        <f>IF(A235="","",244)</f>
        <v/>
      </c>
      <c r="C235" s="48">
        <f>IF(A235="","",IFERROR(Exogena_RAW!A244,""))</f>
        <v/>
      </c>
      <c r="D235" s="48">
        <f>IF(A235="","",IFERROR(Exogena_RAW!B244,""))</f>
        <v/>
      </c>
      <c r="E235" s="48">
        <f>IF(A235="","",Exogena_RAW!E244)</f>
        <v/>
      </c>
      <c r="F235" s="461">
        <f>IF(A235="","",Exogena_RAW!F244)</f>
        <v/>
      </c>
      <c r="G235" s="48">
        <f>IF(A235="","",IFERROR(Exogena_RAW!G244,""))</f>
        <v/>
      </c>
      <c r="H235" s="48">
        <f>IF(A235="","",IFERROR(Exogena_RAW!H244,""))</f>
        <v/>
      </c>
      <c r="I235" s="48">
        <f>IF(A235="","",IFERROR(IF(S235&gt;1,"VARIAS CASILLAS",IF(S235=1,IF(T235=1,"PROPUESTA DE CASILLA","REVISIÓN: CASILLA NO DIRECTA"),IF(OR(ISNUMBER(SEARCH("TOPE",UPPER(E235))),ISNUMBER(SEARCH("TOPE",UPPER(G235)))),"SOLO CONTROL",IF(ISNUMBER(SEARCH("RETEN",UPPER(E235))),"RETENCIÓN","REVISAR")))),"REVISAR"))</f>
        <v/>
      </c>
      <c r="J235" s="48">
        <f>IF(A235="","",IF(ISNUMBER(SEARCH("ingreso laboral promedio de los últimos seis meses",E235)),"",IFERROR(IF(AND(S235=1,T235=1),U235,""),"")))</f>
        <v/>
      </c>
      <c r="K235" s="216" t="n"/>
      <c r="L235" s="48">
        <f>IF(A235="","",IFERROR(IF(K235&lt;&gt;"","Casilla elegida por usuario",IF(S235&gt;1,"Varias casillas — elegir en K",IF(J235&lt;&gt;"","Sugerencia directa",IF(S235=1,"No trasladar directo — revisar",IF(OR(ISNUMBER(SEARCH("TOPE",UPPER(E235))),ISNUMBER(SEARCH("TOPE",UPPER(G235)))),"Solo control","Revisar manualmente"))))),"Revisar manualmente"))</f>
        <v/>
      </c>
      <c r="M235" s="461">
        <f>IF(A235="","",IF(IF(K235&lt;&gt;"",K235,J235)="",0,IF(COUNTIFS(Reglas!$I$5:$I$118,IF(K235&lt;&gt;"",K235,J235),Reglas!$J$5:$J$118,"Sí")=1,F235,0)))</f>
        <v/>
      </c>
      <c r="N235" s="56" t="n"/>
      <c r="O235" s="462">
        <f>IF(A235="","",IF(M235=0,"",M235))</f>
        <v/>
      </c>
      <c r="P235" s="461">
        <f>IF(A235="","",IF(O235="",0,IF(ISNUMBER(O235),O235,0)))</f>
        <v/>
      </c>
      <c r="Q235" s="48">
        <f>IF(A235="","",IF(Exogena_RAW!$C$4="","BLOQUEADO: FALTA AÑO",IF(Exogena_RAW!$K$10&lt;&gt;Reglas!$B$5,"BLOQUEADO: AÑO",IF(IF(K235&lt;&gt;"",K235,J235)="",IF(S235&gt;1,"REQUIERE ASIGNACIÓN MANUAL (VARIAS CASILLAS)","INFORMATIVO (sin casilla — no se declara)"),IF(COUNTIFS(Reglas!$I$5:$I$118,IF(K235&lt;&gt;"",K235,J235),Reglas!$J$5:$J$118,"Sí")=0,"BLOQUEADO: CASILLA NO DIRECTA",IF(O235="","EXCLUIDO (valor borrado por el usuario)",IF(_xlfn.ISFORMULA(O235),IF(W235&lt;&gt;"","BORRADOR — VALOR SUGERIDO DIAN ⚠ VER ALERTA","BORRADOR — VALOR SUGERIDO DIAN"),IF(W235&lt;&gt;"","ACEPTADO ⚠ VER ALERTA","ACEPTADO"))))))))</f>
        <v/>
      </c>
      <c r="R235" s="218" t="n"/>
      <c r="S235" s="58">
        <f>IF(A235="","",IFERROR(--ISNUMBER(SEARCH("R28",G235)),0)+IFERROR(--ISNUMBER(SEARCH("R29",G235)),0)+IFERROR(--ISNUMBER(SEARCH("R30",G235)),0)+IFERROR(--ISNUMBER(SEARCH("R31",G235)),0)+IFERROR(--ISNUMBER(SEARCH("R32",G235)),0)+IFERROR(--ISNUMBER(SEARCH("R33",G235)),0)+IFERROR(--ISNUMBER(SEARCH("R34",G235)),0)+IFERROR(--ISNUMBER(SEARCH("R35",G235)),0)+IFERROR(--ISNUMBER(SEARCH("R36",G235)),0)+IFERROR(--ISNUMBER(SEARCH("R37",G235)),0)+IFERROR(--ISNUMBER(SEARCH("R38",G235)),0)+IFERROR(--ISNUMBER(SEARCH("R39",G235)),0)+IFERROR(--ISNUMBER(SEARCH("R40",G235)),0)+IFERROR(--ISNUMBER(SEARCH("R41",G235)),0)+IFERROR(--ISNUMBER(SEARCH("R42",G235)),0)+IFERROR(--ISNUMBER(SEARCH("R43",G235)),0)+IFERROR(--ISNUMBER(SEARCH("R44",G235)),0)+IFERROR(--ISNUMBER(SEARCH("R45",G235)),0)+IFERROR(--ISNUMBER(SEARCH("R46",G235)),0)+IFERROR(--ISNUMBER(SEARCH("R47",G235)),0)+IFERROR(--ISNUMBER(SEARCH("R48",G235)),0)+IFERROR(--ISNUMBER(SEARCH("R49",G235)),0)+IFERROR(--ISNUMBER(SEARCH("R50",G235)),0)+IFERROR(--ISNUMBER(SEARCH("R51",G235)),0)+IFERROR(--ISNUMBER(SEARCH("R52",G235)),0)+IFERROR(--ISNUMBER(SEARCH("R53",G235)),0)+IFERROR(--ISNUMBER(SEARCH("R54",G235)),0)+IFERROR(--ISNUMBER(SEARCH("R55",G235)),0)+IFERROR(--ISNUMBER(SEARCH("R56",G235)),0)+IFERROR(--ISNUMBER(SEARCH("R57",G235)),0)+IFERROR(--ISNUMBER(SEARCH("R58",G235)),0)+IFERROR(--ISNUMBER(SEARCH("R59",G235)),0)+IFERROR(--ISNUMBER(SEARCH("R60",G235)),0)+IFERROR(--ISNUMBER(SEARCH("R61",G235)),0)+IFERROR(--ISNUMBER(SEARCH("R62",G235)),0)+IFERROR(--ISNUMBER(SEARCH("R63",G235)),0)+IFERROR(--ISNUMBER(SEARCH("R64",G235)),0)+IFERROR(--ISNUMBER(SEARCH("R65",G235)),0)+IFERROR(--ISNUMBER(SEARCH("R66",G235)),0)+IFERROR(--ISNUMBER(SEARCH("R67",G235)),0)+IFERROR(--ISNUMBER(SEARCH("R68",G235)),0)+IFERROR(--ISNUMBER(SEARCH("R69",G235)),0)+IFERROR(--ISNUMBER(SEARCH("R70",G235)),0)+IFERROR(--ISNUMBER(SEARCH("R71",G235)),0)+IFERROR(--ISNUMBER(SEARCH("R72",G235)),0)+IFERROR(--ISNUMBER(SEARCH("R73",G235)),0)+IFERROR(--ISNUMBER(SEARCH("R74",G235)),0)+IFERROR(--ISNUMBER(SEARCH("R75",G235)),0)+IFERROR(--ISNUMBER(SEARCH("R76",G235)),0)+IFERROR(--ISNUMBER(SEARCH("R77",G235)),0)+IFERROR(--ISNUMBER(SEARCH("R78",G235)),0)+IFERROR(--ISNUMBER(SEARCH("R79",G235)),0)+IFERROR(--ISNUMBER(SEARCH("R80",G235)),0)+IFERROR(--ISNUMBER(SEARCH("R81",G235)),0)+IFERROR(--ISNUMBER(SEARCH("R82",G235)),0)+IFERROR(--ISNUMBER(SEARCH("R83",G235)),0)+IFERROR(--ISNUMBER(SEARCH("R84",G235)),0)+IFERROR(--ISNUMBER(SEARCH("R85",G235)),0)+IFERROR(--ISNUMBER(SEARCH("R86",G235)),0)+IFERROR(--ISNUMBER(SEARCH("R87",G235)),0)+IFERROR(--ISNUMBER(SEARCH("R88",G235)),0)+IFERROR(--ISNUMBER(SEARCH("R89",G235)),0)+IFERROR(--ISNUMBER(SEARCH("R90",G235)),0)+IFERROR(--ISNUMBER(SEARCH("R91",G235)),0)+IFERROR(--ISNUMBER(SEARCH("R92",G235)),0)+IFERROR(--ISNUMBER(SEARCH("R93",G235)),0)+IFERROR(--ISNUMBER(SEARCH("R94",G235)),0)+IFERROR(--ISNUMBER(SEARCH("R95",G235)),0)+IFERROR(--ISNUMBER(SEARCH("R96",G235)),0)+IFERROR(--ISNUMBER(SEARCH("R97",G235)),0)+IFERROR(--ISNUMBER(SEARCH("R98",G235)),0)+IFERROR(--ISNUMBER(SEARCH("R99",G235)),0)+IFERROR(--ISNUMBER(SEARCH("R100",G235)),0)+IFERROR(--ISNUMBER(SEARCH("R101",G235)),0)+IFERROR(--ISNUMBER(SEARCH("R102",G235)),0)+IFERROR(--ISNUMBER(SEARCH("R103",G235)),0)+IFERROR(--ISNUMBER(SEARCH("R104",G235)),0)+IFERROR(--ISNUMBER(SEARCH("R105",G235)),0)+IFERROR(--ISNUMBER(SEARCH("R106",G235)),0)+IFERROR(--ISNUMBER(SEARCH("R107",G235)),0)+IFERROR(--ISNUMBER(SEARCH("R108",G235)),0)+IFERROR(--ISNUMBER(SEARCH("R109",G235)),0)+IFERROR(--ISNUMBER(SEARCH("R110",G235)),0)+IFERROR(--ISNUMBER(SEARCH("R111",G235)),0)+IFERROR(--ISNUMBER(SEARCH("R112",G235)),0)+IFERROR(--ISNUMBER(SEARCH("R113",G235)),0)+IFERROR(--ISNUMBER(SEARCH("R114",G235)),0)+IFERROR(--ISNUMBER(SEARCH("R115",G235)),0)+IFERROR(--ISNUMBER(SEARCH("R116",G235)),0)+IFERROR(--ISNUMBER(SEARCH("R117",G235)),0)+IFERROR(--ISNUMBER(SEARCH("R118",G235)),0)+IFERROR(--ISNUMBER(SEARCH("R119",G235)),0)+IFERROR(--ISNUMBER(SEARCH("R120",G235)),0)+IFERROR(--ISNUMBER(SEARCH("R121",G235)),0)+IFERROR(--ISNUMBER(SEARCH("R122",G235)),0)+IFERROR(--ISNUMBER(SEARCH("R123",G235)),0)+IFERROR(--ISNUMBER(SEARCH("R124",G235)),0)+IFERROR(--ISNUMBER(SEARCH("R125",G235)),0)+IFERROR(--ISNUMBER(SEARCH("R126",G235)),0)+IFERROR(--ISNUMBER(SEARCH("R127",G235)),0)+IFERROR(--ISNUMBER(SEARCH("R128",G235)),0)+IFERROR(--ISNUMBER(SEARCH("R129",G235)),0)+IFERROR(--ISNUMBER(SEARCH("R130",G235)),0)+IFERROR(--ISNUMBER(SEARCH("R131",G235)),0)+IFERROR(--ISNUMBER(SEARCH("R132",G235)),0)+IFERROR(--ISNUMBER(SEARCH("R133",G235)),0)+IFERROR(--ISNUMBER(SEARCH("R134",G235)),0)+IFERROR(--ISNUMBER(SEARCH("R135",G235)),0)+IFERROR(--ISNUMBER(SEARCH("R136",G235)),0)+IFERROR(--ISNUMBER(SEARCH("R137",G235)),0)+IFERROR(--ISNUMBER(SEARCH("R138",G235)),0)+IFERROR(--ISNUMBER(SEARCH("R139",G235)),0)+IFERROR(--ISNUMBER(SEARCH("R140",G235)),0)+IFERROR(--ISNUMBER(SEARCH("R141",G235)),0))</f>
        <v/>
      </c>
      <c r="T235" s="58">
        <f>IF(A235="","",IFERROR(--ISNUMBER(SEARCH("R28",G235)),0)+IFERROR(--ISNUMBER(SEARCH("R29",G235)),0)+IFERROR(--ISNUMBER(SEARCH("R30",G235)),0)+IFERROR(--ISNUMBER(SEARCH("R32",G235)),0)+IFERROR(--ISNUMBER(SEARCH("R33",G235)),0)+IFERROR(--ISNUMBER(SEARCH("R35",G235)),0)+IFERROR(--ISNUMBER(SEARCH("R36",G235)),0)+IFERROR(--ISNUMBER(SEARCH("R38",G235)),0)+IFERROR(--ISNUMBER(SEARCH("R39",G235)),0)+IFERROR(--ISNUMBER(SEARCH("R43",G235)),0)+IFERROR(--ISNUMBER(SEARCH("R44",G235)),0)+IFERROR(--ISNUMBER(SEARCH("R45",G235)),0)+IFERROR(--ISNUMBER(SEARCH("R47",G235)),0)+IFERROR(--ISNUMBER(SEARCH("R48",G235)),0)+IFERROR(--ISNUMBER(SEARCH("R50",G235)),0)+IFERROR(--ISNUMBER(SEARCH("R51",G235)),0)+IFERROR(--ISNUMBER(SEARCH("R56",G235)),0)+IFERROR(--ISNUMBER(SEARCH("R58",G235)),0)+IFERROR(--ISNUMBER(SEARCH("R59",G235)),0)+IFERROR(--ISNUMBER(SEARCH("R60",G235)),0)+IFERROR(--ISNUMBER(SEARCH("R62",G235)),0)+IFERROR(--ISNUMBER(SEARCH("R63",G235)),0)+IFERROR(--ISNUMBER(SEARCH("R64",G235)),0)+IFERROR(--ISNUMBER(SEARCH("R66",G235)),0)+IFERROR(--ISNUMBER(SEARCH("R67",G235)),0)+IFERROR(--ISNUMBER(SEARCH("R72",G235)),0)+IFERROR(--ISNUMBER(SEARCH("R74",G235)),0)+IFERROR(--ISNUMBER(SEARCH("R75",G235)),0)+IFERROR(--ISNUMBER(SEARCH("R76",G235)),0)+IFERROR(--ISNUMBER(SEARCH("R77",G235)),0)+IFERROR(--ISNUMBER(SEARCH("R79",G235)),0)+IFERROR(--ISNUMBER(SEARCH("R80",G235)),0)+IFERROR(--ISNUMBER(SEARCH("R81",G235)),0)+IFERROR(--ISNUMBER(SEARCH("R83",G235)),0)+IFERROR(--ISNUMBER(SEARCH("R84",G235)),0)+IFERROR(--ISNUMBER(SEARCH("R89",G235)),0)+IFERROR(--ISNUMBER(SEARCH("R94",G235)),0)+IFERROR(--ISNUMBER(SEARCH("R95",G235)),0)+IFERROR(--ISNUMBER(SEARCH("R96",G235)),0)+IFERROR(--ISNUMBER(SEARCH("R98",G235)),0)+IFERROR(--ISNUMBER(SEARCH("R99",G235)),0)+IFERROR(--ISNUMBER(SEARCH("R100",G235)),0)+IFERROR(--ISNUMBER(SEARCH("R104",G235)),0)+IFERROR(--ISNUMBER(SEARCH("R105",G235)),0)+IFERROR(--ISNUMBER(SEARCH("R107",G235)),0)+IFERROR(--ISNUMBER(SEARCH("R108",G235)),0)+IFERROR(--ISNUMBER(SEARCH("R109",G235)),0)+IFERROR(--ISNUMBER(SEARCH("R110",G235)),0)+IFERROR(--ISNUMBER(SEARCH("R112",G235)),0)+IFERROR(--ISNUMBER(SEARCH("R113",G235)),0)+IFERROR(--ISNUMBER(SEARCH("R114",G235)),0)+IFERROR(--ISNUMBER(SEARCH("R118",G235)),0)+IFERROR(--ISNUMBER(SEARCH("R119",G235)),0)+IFERROR(--ISNUMBER(SEARCH("R120",G235)),0)+IFERROR(--ISNUMBER(SEARCH("R122",G235)),0)+IFERROR(--ISNUMBER(SEARCH("R123",G235)),0)+IFERROR(--ISNUMBER(SEARCH("R124",G235)),0)+IFERROR(--ISNUMBER(SEARCH("R128",G235)),0)+IFERROR(--ISNUMBER(SEARCH("R130",G235)),0)+IFERROR(--ISNUMBER(SEARCH("R131",G235)),0)+IFERROR(--ISNUMBER(SEARCH("R132",G235)),0)+IFERROR(--ISNUMBER(SEARCH("R135",G235)),0)+IFERROR(--ISNUMBER(SEARCH("R138",G235)),0)+IFERROR(--ISNUMBER(SEARCH("R141",G235)),0))</f>
        <v/>
      </c>
      <c r="U235" s="58">
        <f>IF(A235="","",IFERROR(--ISNUMBER(SEARCH("R28",G235))*28,0)+IFERROR(--ISNUMBER(SEARCH("R29",G235))*29,0)+IFERROR(--ISNUMBER(SEARCH("R30",G235))*30,0)+IFERROR(--ISNUMBER(SEARCH("R31",G235))*31,0)+IFERROR(--ISNUMBER(SEARCH("R32",G235))*32,0)+IFERROR(--ISNUMBER(SEARCH("R33",G235))*33,0)+IFERROR(--ISNUMBER(SEARCH("R34",G235))*34,0)+IFERROR(--ISNUMBER(SEARCH("R35",G235))*35,0)+IFERROR(--ISNUMBER(SEARCH("R36",G235))*36,0)+IFERROR(--ISNUMBER(SEARCH("R37",G235))*37,0)+IFERROR(--ISNUMBER(SEARCH("R38",G235))*38,0)+IFERROR(--ISNUMBER(SEARCH("R39",G235))*39,0)+IFERROR(--ISNUMBER(SEARCH("R40",G235))*40,0)+IFERROR(--ISNUMBER(SEARCH("R41",G235))*41,0)+IFERROR(--ISNUMBER(SEARCH("R42",G235))*42,0)+IFERROR(--ISNUMBER(SEARCH("R43",G235))*43,0)+IFERROR(--ISNUMBER(SEARCH("R44",G235))*44,0)+IFERROR(--ISNUMBER(SEARCH("R45",G235))*45,0)+IFERROR(--ISNUMBER(SEARCH("R46",G235))*46,0)+IFERROR(--ISNUMBER(SEARCH("R47",G235))*47,0)+IFERROR(--ISNUMBER(SEARCH("R48",G235))*48,0)+IFERROR(--ISNUMBER(SEARCH("R49",G235))*49,0)+IFERROR(--ISNUMBER(SEARCH("R50",G235))*50,0)+IFERROR(--ISNUMBER(SEARCH("R51",G235))*51,0)+IFERROR(--ISNUMBER(SEARCH("R52",G235))*52,0)+IFERROR(--ISNUMBER(SEARCH("R53",G235))*53,0)+IFERROR(--ISNUMBER(SEARCH("R54",G235))*54,0)+IFERROR(--ISNUMBER(SEARCH("R55",G235))*55,0)+IFERROR(--ISNUMBER(SEARCH("R56",G235))*56,0)+IFERROR(--ISNUMBER(SEARCH("R57",G235))*57,0)+IFERROR(--ISNUMBER(SEARCH("R58",G235))*58,0)+IFERROR(--ISNUMBER(SEARCH("R59",G235))*59,0)+IFERROR(--ISNUMBER(SEARCH("R60",G235))*60,0)+IFERROR(--ISNUMBER(SEARCH("R61",G235))*61,0)+IFERROR(--ISNUMBER(SEARCH("R62",G235))*62,0)+IFERROR(--ISNUMBER(SEARCH("R63",G235))*63,0)+IFERROR(--ISNUMBER(SEARCH("R64",G235))*64,0)+IFERROR(--ISNUMBER(SEARCH("R65",G235))*65,0)+IFERROR(--ISNUMBER(SEARCH("R66",G235))*66,0)+IFERROR(--ISNUMBER(SEARCH("R67",G235))*67,0)+IFERROR(--ISNUMBER(SEARCH("R68",G235))*68,0)+IFERROR(--ISNUMBER(SEARCH("R69",G235))*69,0)+IFERROR(--ISNUMBER(SEARCH("R70",G235))*70,0)+IFERROR(--ISNUMBER(SEARCH("R71",G235))*71,0)+IFERROR(--ISNUMBER(SEARCH("R72",G235))*72,0)+IFERROR(--ISNUMBER(SEARCH("R73",G235))*73,0)+IFERROR(--ISNUMBER(SEARCH("R74",G235))*74,0)+IFERROR(--ISNUMBER(SEARCH("R75",G235))*75,0)+IFERROR(--ISNUMBER(SEARCH("R76",G235))*76,0)+IFERROR(--ISNUMBER(SEARCH("R77",G235))*77,0)+IFERROR(--ISNUMBER(SEARCH("R78",G235))*78,0)+IFERROR(--ISNUMBER(SEARCH("R79",G235))*79,0)+IFERROR(--ISNUMBER(SEARCH("R80",G235))*80,0)+IFERROR(--ISNUMBER(SEARCH("R81",G235))*81,0)+IFERROR(--ISNUMBER(SEARCH("R82",G235))*82,0)+IFERROR(--ISNUMBER(SEARCH("R83",G235))*83,0)+IFERROR(--ISNUMBER(SEARCH("R84",G235))*84,0)+IFERROR(--ISNUMBER(SEARCH("R85",G235))*85,0)+IFERROR(--ISNUMBER(SEARCH("R86",G235))*86,0)+IFERROR(--ISNUMBER(SEARCH("R87",G235))*87,0)+IFERROR(--ISNUMBER(SEARCH("R88",G235))*88,0)+IFERROR(--ISNUMBER(SEARCH("R89",G235))*89,0)+IFERROR(--ISNUMBER(SEARCH("R90",G235))*90,0)+IFERROR(--ISNUMBER(SEARCH("R91",G235))*91,0)+IFERROR(--ISNUMBER(SEARCH("R92",G235))*92,0)+IFERROR(--ISNUMBER(SEARCH("R93",G235))*93,0)+IFERROR(--ISNUMBER(SEARCH("R94",G235))*94,0)+IFERROR(--ISNUMBER(SEARCH("R95",G235))*95,0)+IFERROR(--ISNUMBER(SEARCH("R96",G235))*96,0)+IFERROR(--ISNUMBER(SEARCH("R97",G235))*97,0)+IFERROR(--ISNUMBER(SEARCH("R98",G235))*98,0)+IFERROR(--ISNUMBER(SEARCH("R99",G235))*99,0)+IFERROR(--ISNUMBER(SEARCH("R100",G235))*100,0)+IFERROR(--ISNUMBER(SEARCH("R101",G235))*101,0)+IFERROR(--ISNUMBER(SEARCH("R102",G235))*102,0)+IFERROR(--ISNUMBER(SEARCH("R103",G235))*103,0)+IFERROR(--ISNUMBER(SEARCH("R104",G235))*104,0)+IFERROR(--ISNUMBER(SEARCH("R105",G235))*105,0)+IFERROR(--ISNUMBER(SEARCH("R106",G235))*106,0)+IFERROR(--ISNUMBER(SEARCH("R107",G235))*107,0)+IFERROR(--ISNUMBER(SEARCH("R108",G235))*108,0)+IFERROR(--ISNUMBER(SEARCH("R109",G235))*109,0)+IFERROR(--ISNUMBER(SEARCH("R110",G235))*110,0)+IFERROR(--ISNUMBER(SEARCH("R111",G235))*111,0)+IFERROR(--ISNUMBER(SEARCH("R112",G235))*112,0)+IFERROR(--ISNUMBER(SEARCH("R113",G235))*113,0)+IFERROR(--ISNUMBER(SEARCH("R114",G235))*114,0)+IFERROR(--ISNUMBER(SEARCH("R115",G235))*115,0)+IFERROR(--ISNUMBER(SEARCH("R116",G235))*116,0)+IFERROR(--ISNUMBER(SEARCH("R117",G235))*117,0)+IFERROR(--ISNUMBER(SEARCH("R118",G235))*118,0)+IFERROR(--ISNUMBER(SEARCH("R119",G235))*119,0)+IFERROR(--ISNUMBER(SEARCH("R120",G235))*120,0)+IFERROR(--ISNUMBER(SEARCH("R121",G235))*121,0)+IFERROR(--ISNUMBER(SEARCH("R122",G235))*122,0)+IFERROR(--ISNUMBER(SEARCH("R123",G235))*123,0)+IFERROR(--ISNUMBER(SEARCH("R124",G235))*124,0)+IFERROR(--ISNUMBER(SEARCH("R125",G235))*125,0)+IFERROR(--ISNUMBER(SEARCH("R126",G235))*126,0)+IFERROR(--ISNUMBER(SEARCH("R127",G235))*127,0)+IFERROR(--ISNUMBER(SEARCH("R128",G235))*128,0)+IFERROR(--ISNUMBER(SEARCH("R129",G235))*129,0)+IFERROR(--ISNUMBER(SEARCH("R130",G235))*130,0)+IFERROR(--ISNUMBER(SEARCH("R131",G235))*131,0)+IFERROR(--ISNUMBER(SEARCH("R132",G235))*132,0)+IFERROR(--ISNUMBER(SEARCH("R133",G235))*133,0)+IFERROR(--ISNUMBER(SEARCH("R134",G235))*134,0)+IFERROR(--ISNUMBER(SEARCH("R135",G235))*135,0)+IFERROR(--ISNUMBER(SEARCH("R136",G235))*136,0)+IFERROR(--ISNUMBER(SEARCH("R137",G235))*137,0)+IFERROR(--ISNUMBER(SEARCH("R138",G235))*138,0)+IFERROR(--ISNUMBER(SEARCH("R139",G235))*139,0)+IFERROR(--ISNUMBER(SEARCH("R140",G235))*140,0)+IFERROR(--ISNUMBER(SEARCH("R141",G235))*141,0))</f>
        <v/>
      </c>
      <c r="V235" s="59">
        <f>IF(A235="","",IF(K235&lt;&gt;"",K235,J235))</f>
        <v/>
      </c>
      <c r="W235" s="59">
        <f>IF(A235="","",IF(AND(V235=29,O235&lt;&gt;"",COUNTIFS($V$6:$V$505,29,$F$6:$F$505,F235,$C$6:$C$505,C235,$O$6:$O$505,"&lt;&gt;")&gt;1),IF(COUNTIFS($V$6:V235,29,$F$6:F235,F235,$C$6:C235,C235,$O$6:O235,"&lt;&gt;")=1,"Esta es la fila que se debe CONSERVAR (aparición 1 de "&amp;COUNTIFS($V$6:$V$505,29,$F$6:$F$505,F235,$C$6:$C$505,C235,$O$6:$O$505,"&lt;&gt;")&amp;" con el mismo tercero y valor, casilla 29). Si hay más filas iguales, bórreles el valor a ELLAS, no a esta.","DUPLICADO — ya existe otra fila con el mismo tercero y valor para casilla 29 (aparición "&amp;COUNTIFS($V$6:V235,29,$F$6:F235,F235,$C$6:C235,C235,$O$6:O235,"&lt;&gt;")&amp;" de "&amp;COUNTIFS($V$6:$V$505,29,$F$6:$F$505,F235,$C$6:$C$505,C235,$O$6:$O$505,"&lt;&gt;")&amp;"). Para resolverlo: seleccione la celda O"&amp;ROW()&amp;" (columna Valor a declarar de ESTA fila) y presione Supr."),""))</f>
        <v/>
      </c>
      <c r="X235" s="463">
        <f>IF(A235="","",F235)</f>
        <v/>
      </c>
      <c r="Y235" s="463">
        <f>IF(A235="","",SUMIF(Entrada_Manual!$I$88:$I$187,A235,Entrada_Manual!$F$88:$F$187))</f>
        <v/>
      </c>
      <c r="Z235" s="463">
        <f>IF(A235="","",X235-Y235)</f>
        <v/>
      </c>
      <c r="AA235">
        <f>IF(A235="","",SUMPRODUCT((Entrada_Manual!$I$88:$I$187=A235)*1))</f>
        <v/>
      </c>
      <c r="AB235">
        <f>IF(A235="","",IF(S235&lt;=1,"",IF(AA235=0,"PENDIENTE — SIN ASIGNAR",IF(Z235=0,"RESUELTO","PARCIAL — DIFERENCIA "&amp;TEXT(Z235,"#,##0")))))</f>
        <v/>
      </c>
    </row>
    <row r="236" ht="14.25" customHeight="1" s="235">
      <c r="A236" s="47">
        <f>IF(Exogena_RAW!E245&lt;&gt;"",ROW()-5,"")</f>
        <v/>
      </c>
      <c r="B236" s="48">
        <f>IF(A236="","",245)</f>
        <v/>
      </c>
      <c r="C236" s="48">
        <f>IF(A236="","",IFERROR(Exogena_RAW!A245,""))</f>
        <v/>
      </c>
      <c r="D236" s="48">
        <f>IF(A236="","",IFERROR(Exogena_RAW!B245,""))</f>
        <v/>
      </c>
      <c r="E236" s="48">
        <f>IF(A236="","",Exogena_RAW!E245)</f>
        <v/>
      </c>
      <c r="F236" s="461">
        <f>IF(A236="","",Exogena_RAW!F245)</f>
        <v/>
      </c>
      <c r="G236" s="48">
        <f>IF(A236="","",IFERROR(Exogena_RAW!G245,""))</f>
        <v/>
      </c>
      <c r="H236" s="48">
        <f>IF(A236="","",IFERROR(Exogena_RAW!H245,""))</f>
        <v/>
      </c>
      <c r="I236" s="48">
        <f>IF(A236="","",IFERROR(IF(S236&gt;1,"VARIAS CASILLAS",IF(S236=1,IF(T236=1,"PROPUESTA DE CASILLA","REVISIÓN: CASILLA NO DIRECTA"),IF(OR(ISNUMBER(SEARCH("TOPE",UPPER(E236))),ISNUMBER(SEARCH("TOPE",UPPER(G236)))),"SOLO CONTROL",IF(ISNUMBER(SEARCH("RETEN",UPPER(E236))),"RETENCIÓN","REVISAR")))),"REVISAR"))</f>
        <v/>
      </c>
      <c r="J236" s="48">
        <f>IF(A236="","",IF(ISNUMBER(SEARCH("ingreso laboral promedio de los últimos seis meses",E236)),"",IFERROR(IF(AND(S236=1,T236=1),U236,""),"")))</f>
        <v/>
      </c>
      <c r="K236" s="216" t="n"/>
      <c r="L236" s="48">
        <f>IF(A236="","",IFERROR(IF(K236&lt;&gt;"","Casilla elegida por usuario",IF(S236&gt;1,"Varias casillas — elegir en K",IF(J236&lt;&gt;"","Sugerencia directa",IF(S236=1,"No trasladar directo — revisar",IF(OR(ISNUMBER(SEARCH("TOPE",UPPER(E236))),ISNUMBER(SEARCH("TOPE",UPPER(G236)))),"Solo control","Revisar manualmente"))))),"Revisar manualmente"))</f>
        <v/>
      </c>
      <c r="M236" s="461">
        <f>IF(A236="","",IF(IF(K236&lt;&gt;"",K236,J236)="",0,IF(COUNTIFS(Reglas!$I$5:$I$118,IF(K236&lt;&gt;"",K236,J236),Reglas!$J$5:$J$118,"Sí")=1,F236,0)))</f>
        <v/>
      </c>
      <c r="N236" s="56" t="n"/>
      <c r="O236" s="462">
        <f>IF(A236="","",IF(M236=0,"",M236))</f>
        <v/>
      </c>
      <c r="P236" s="461">
        <f>IF(A236="","",IF(O236="",0,IF(ISNUMBER(O236),O236,0)))</f>
        <v/>
      </c>
      <c r="Q236" s="48">
        <f>IF(A236="","",IF(Exogena_RAW!$C$4="","BLOQUEADO: FALTA AÑO",IF(Exogena_RAW!$K$10&lt;&gt;Reglas!$B$5,"BLOQUEADO: AÑO",IF(IF(K236&lt;&gt;"",K236,J236)="",IF(S236&gt;1,"REQUIERE ASIGNACIÓN MANUAL (VARIAS CASILLAS)","INFORMATIVO (sin casilla — no se declara)"),IF(COUNTIFS(Reglas!$I$5:$I$118,IF(K236&lt;&gt;"",K236,J236),Reglas!$J$5:$J$118,"Sí")=0,"BLOQUEADO: CASILLA NO DIRECTA",IF(O236="","EXCLUIDO (valor borrado por el usuario)",IF(_xlfn.ISFORMULA(O236),IF(W236&lt;&gt;"","BORRADOR — VALOR SUGERIDO DIAN ⚠ VER ALERTA","BORRADOR — VALOR SUGERIDO DIAN"),IF(W236&lt;&gt;"","ACEPTADO ⚠ VER ALERTA","ACEPTADO"))))))))</f>
        <v/>
      </c>
      <c r="R236" s="218" t="n"/>
      <c r="S236" s="58">
        <f>IF(A236="","",IFERROR(--ISNUMBER(SEARCH("R28",G236)),0)+IFERROR(--ISNUMBER(SEARCH("R29",G236)),0)+IFERROR(--ISNUMBER(SEARCH("R30",G236)),0)+IFERROR(--ISNUMBER(SEARCH("R31",G236)),0)+IFERROR(--ISNUMBER(SEARCH("R32",G236)),0)+IFERROR(--ISNUMBER(SEARCH("R33",G236)),0)+IFERROR(--ISNUMBER(SEARCH("R34",G236)),0)+IFERROR(--ISNUMBER(SEARCH("R35",G236)),0)+IFERROR(--ISNUMBER(SEARCH("R36",G236)),0)+IFERROR(--ISNUMBER(SEARCH("R37",G236)),0)+IFERROR(--ISNUMBER(SEARCH("R38",G236)),0)+IFERROR(--ISNUMBER(SEARCH("R39",G236)),0)+IFERROR(--ISNUMBER(SEARCH("R40",G236)),0)+IFERROR(--ISNUMBER(SEARCH("R41",G236)),0)+IFERROR(--ISNUMBER(SEARCH("R42",G236)),0)+IFERROR(--ISNUMBER(SEARCH("R43",G236)),0)+IFERROR(--ISNUMBER(SEARCH("R44",G236)),0)+IFERROR(--ISNUMBER(SEARCH("R45",G236)),0)+IFERROR(--ISNUMBER(SEARCH("R46",G236)),0)+IFERROR(--ISNUMBER(SEARCH("R47",G236)),0)+IFERROR(--ISNUMBER(SEARCH("R48",G236)),0)+IFERROR(--ISNUMBER(SEARCH("R49",G236)),0)+IFERROR(--ISNUMBER(SEARCH("R50",G236)),0)+IFERROR(--ISNUMBER(SEARCH("R51",G236)),0)+IFERROR(--ISNUMBER(SEARCH("R52",G236)),0)+IFERROR(--ISNUMBER(SEARCH("R53",G236)),0)+IFERROR(--ISNUMBER(SEARCH("R54",G236)),0)+IFERROR(--ISNUMBER(SEARCH("R55",G236)),0)+IFERROR(--ISNUMBER(SEARCH("R56",G236)),0)+IFERROR(--ISNUMBER(SEARCH("R57",G236)),0)+IFERROR(--ISNUMBER(SEARCH("R58",G236)),0)+IFERROR(--ISNUMBER(SEARCH("R59",G236)),0)+IFERROR(--ISNUMBER(SEARCH("R60",G236)),0)+IFERROR(--ISNUMBER(SEARCH("R61",G236)),0)+IFERROR(--ISNUMBER(SEARCH("R62",G236)),0)+IFERROR(--ISNUMBER(SEARCH("R63",G236)),0)+IFERROR(--ISNUMBER(SEARCH("R64",G236)),0)+IFERROR(--ISNUMBER(SEARCH("R65",G236)),0)+IFERROR(--ISNUMBER(SEARCH("R66",G236)),0)+IFERROR(--ISNUMBER(SEARCH("R67",G236)),0)+IFERROR(--ISNUMBER(SEARCH("R68",G236)),0)+IFERROR(--ISNUMBER(SEARCH("R69",G236)),0)+IFERROR(--ISNUMBER(SEARCH("R70",G236)),0)+IFERROR(--ISNUMBER(SEARCH("R71",G236)),0)+IFERROR(--ISNUMBER(SEARCH("R72",G236)),0)+IFERROR(--ISNUMBER(SEARCH("R73",G236)),0)+IFERROR(--ISNUMBER(SEARCH("R74",G236)),0)+IFERROR(--ISNUMBER(SEARCH("R75",G236)),0)+IFERROR(--ISNUMBER(SEARCH("R76",G236)),0)+IFERROR(--ISNUMBER(SEARCH("R77",G236)),0)+IFERROR(--ISNUMBER(SEARCH("R78",G236)),0)+IFERROR(--ISNUMBER(SEARCH("R79",G236)),0)+IFERROR(--ISNUMBER(SEARCH("R80",G236)),0)+IFERROR(--ISNUMBER(SEARCH("R81",G236)),0)+IFERROR(--ISNUMBER(SEARCH("R82",G236)),0)+IFERROR(--ISNUMBER(SEARCH("R83",G236)),0)+IFERROR(--ISNUMBER(SEARCH("R84",G236)),0)+IFERROR(--ISNUMBER(SEARCH("R85",G236)),0)+IFERROR(--ISNUMBER(SEARCH("R86",G236)),0)+IFERROR(--ISNUMBER(SEARCH("R87",G236)),0)+IFERROR(--ISNUMBER(SEARCH("R88",G236)),0)+IFERROR(--ISNUMBER(SEARCH("R89",G236)),0)+IFERROR(--ISNUMBER(SEARCH("R90",G236)),0)+IFERROR(--ISNUMBER(SEARCH("R91",G236)),0)+IFERROR(--ISNUMBER(SEARCH("R92",G236)),0)+IFERROR(--ISNUMBER(SEARCH("R93",G236)),0)+IFERROR(--ISNUMBER(SEARCH("R94",G236)),0)+IFERROR(--ISNUMBER(SEARCH("R95",G236)),0)+IFERROR(--ISNUMBER(SEARCH("R96",G236)),0)+IFERROR(--ISNUMBER(SEARCH("R97",G236)),0)+IFERROR(--ISNUMBER(SEARCH("R98",G236)),0)+IFERROR(--ISNUMBER(SEARCH("R99",G236)),0)+IFERROR(--ISNUMBER(SEARCH("R100",G236)),0)+IFERROR(--ISNUMBER(SEARCH("R101",G236)),0)+IFERROR(--ISNUMBER(SEARCH("R102",G236)),0)+IFERROR(--ISNUMBER(SEARCH("R103",G236)),0)+IFERROR(--ISNUMBER(SEARCH("R104",G236)),0)+IFERROR(--ISNUMBER(SEARCH("R105",G236)),0)+IFERROR(--ISNUMBER(SEARCH("R106",G236)),0)+IFERROR(--ISNUMBER(SEARCH("R107",G236)),0)+IFERROR(--ISNUMBER(SEARCH("R108",G236)),0)+IFERROR(--ISNUMBER(SEARCH("R109",G236)),0)+IFERROR(--ISNUMBER(SEARCH("R110",G236)),0)+IFERROR(--ISNUMBER(SEARCH("R111",G236)),0)+IFERROR(--ISNUMBER(SEARCH("R112",G236)),0)+IFERROR(--ISNUMBER(SEARCH("R113",G236)),0)+IFERROR(--ISNUMBER(SEARCH("R114",G236)),0)+IFERROR(--ISNUMBER(SEARCH("R115",G236)),0)+IFERROR(--ISNUMBER(SEARCH("R116",G236)),0)+IFERROR(--ISNUMBER(SEARCH("R117",G236)),0)+IFERROR(--ISNUMBER(SEARCH("R118",G236)),0)+IFERROR(--ISNUMBER(SEARCH("R119",G236)),0)+IFERROR(--ISNUMBER(SEARCH("R120",G236)),0)+IFERROR(--ISNUMBER(SEARCH("R121",G236)),0)+IFERROR(--ISNUMBER(SEARCH("R122",G236)),0)+IFERROR(--ISNUMBER(SEARCH("R123",G236)),0)+IFERROR(--ISNUMBER(SEARCH("R124",G236)),0)+IFERROR(--ISNUMBER(SEARCH("R125",G236)),0)+IFERROR(--ISNUMBER(SEARCH("R126",G236)),0)+IFERROR(--ISNUMBER(SEARCH("R127",G236)),0)+IFERROR(--ISNUMBER(SEARCH("R128",G236)),0)+IFERROR(--ISNUMBER(SEARCH("R129",G236)),0)+IFERROR(--ISNUMBER(SEARCH("R130",G236)),0)+IFERROR(--ISNUMBER(SEARCH("R131",G236)),0)+IFERROR(--ISNUMBER(SEARCH("R132",G236)),0)+IFERROR(--ISNUMBER(SEARCH("R133",G236)),0)+IFERROR(--ISNUMBER(SEARCH("R134",G236)),0)+IFERROR(--ISNUMBER(SEARCH("R135",G236)),0)+IFERROR(--ISNUMBER(SEARCH("R136",G236)),0)+IFERROR(--ISNUMBER(SEARCH("R137",G236)),0)+IFERROR(--ISNUMBER(SEARCH("R138",G236)),0)+IFERROR(--ISNUMBER(SEARCH("R139",G236)),0)+IFERROR(--ISNUMBER(SEARCH("R140",G236)),0)+IFERROR(--ISNUMBER(SEARCH("R141",G236)),0))</f>
        <v/>
      </c>
      <c r="T236" s="58">
        <f>IF(A236="","",IFERROR(--ISNUMBER(SEARCH("R28",G236)),0)+IFERROR(--ISNUMBER(SEARCH("R29",G236)),0)+IFERROR(--ISNUMBER(SEARCH("R30",G236)),0)+IFERROR(--ISNUMBER(SEARCH("R32",G236)),0)+IFERROR(--ISNUMBER(SEARCH("R33",G236)),0)+IFERROR(--ISNUMBER(SEARCH("R35",G236)),0)+IFERROR(--ISNUMBER(SEARCH("R36",G236)),0)+IFERROR(--ISNUMBER(SEARCH("R38",G236)),0)+IFERROR(--ISNUMBER(SEARCH("R39",G236)),0)+IFERROR(--ISNUMBER(SEARCH("R43",G236)),0)+IFERROR(--ISNUMBER(SEARCH("R44",G236)),0)+IFERROR(--ISNUMBER(SEARCH("R45",G236)),0)+IFERROR(--ISNUMBER(SEARCH("R47",G236)),0)+IFERROR(--ISNUMBER(SEARCH("R48",G236)),0)+IFERROR(--ISNUMBER(SEARCH("R50",G236)),0)+IFERROR(--ISNUMBER(SEARCH("R51",G236)),0)+IFERROR(--ISNUMBER(SEARCH("R56",G236)),0)+IFERROR(--ISNUMBER(SEARCH("R58",G236)),0)+IFERROR(--ISNUMBER(SEARCH("R59",G236)),0)+IFERROR(--ISNUMBER(SEARCH("R60",G236)),0)+IFERROR(--ISNUMBER(SEARCH("R62",G236)),0)+IFERROR(--ISNUMBER(SEARCH("R63",G236)),0)+IFERROR(--ISNUMBER(SEARCH("R64",G236)),0)+IFERROR(--ISNUMBER(SEARCH("R66",G236)),0)+IFERROR(--ISNUMBER(SEARCH("R67",G236)),0)+IFERROR(--ISNUMBER(SEARCH("R72",G236)),0)+IFERROR(--ISNUMBER(SEARCH("R74",G236)),0)+IFERROR(--ISNUMBER(SEARCH("R75",G236)),0)+IFERROR(--ISNUMBER(SEARCH("R76",G236)),0)+IFERROR(--ISNUMBER(SEARCH("R77",G236)),0)+IFERROR(--ISNUMBER(SEARCH("R79",G236)),0)+IFERROR(--ISNUMBER(SEARCH("R80",G236)),0)+IFERROR(--ISNUMBER(SEARCH("R81",G236)),0)+IFERROR(--ISNUMBER(SEARCH("R83",G236)),0)+IFERROR(--ISNUMBER(SEARCH("R84",G236)),0)+IFERROR(--ISNUMBER(SEARCH("R89",G236)),0)+IFERROR(--ISNUMBER(SEARCH("R94",G236)),0)+IFERROR(--ISNUMBER(SEARCH("R95",G236)),0)+IFERROR(--ISNUMBER(SEARCH("R96",G236)),0)+IFERROR(--ISNUMBER(SEARCH("R98",G236)),0)+IFERROR(--ISNUMBER(SEARCH("R99",G236)),0)+IFERROR(--ISNUMBER(SEARCH("R100",G236)),0)+IFERROR(--ISNUMBER(SEARCH("R104",G236)),0)+IFERROR(--ISNUMBER(SEARCH("R105",G236)),0)+IFERROR(--ISNUMBER(SEARCH("R107",G236)),0)+IFERROR(--ISNUMBER(SEARCH("R108",G236)),0)+IFERROR(--ISNUMBER(SEARCH("R109",G236)),0)+IFERROR(--ISNUMBER(SEARCH("R110",G236)),0)+IFERROR(--ISNUMBER(SEARCH("R112",G236)),0)+IFERROR(--ISNUMBER(SEARCH("R113",G236)),0)+IFERROR(--ISNUMBER(SEARCH("R114",G236)),0)+IFERROR(--ISNUMBER(SEARCH("R118",G236)),0)+IFERROR(--ISNUMBER(SEARCH("R119",G236)),0)+IFERROR(--ISNUMBER(SEARCH("R120",G236)),0)+IFERROR(--ISNUMBER(SEARCH("R122",G236)),0)+IFERROR(--ISNUMBER(SEARCH("R123",G236)),0)+IFERROR(--ISNUMBER(SEARCH("R124",G236)),0)+IFERROR(--ISNUMBER(SEARCH("R128",G236)),0)+IFERROR(--ISNUMBER(SEARCH("R130",G236)),0)+IFERROR(--ISNUMBER(SEARCH("R131",G236)),0)+IFERROR(--ISNUMBER(SEARCH("R132",G236)),0)+IFERROR(--ISNUMBER(SEARCH("R135",G236)),0)+IFERROR(--ISNUMBER(SEARCH("R138",G236)),0)+IFERROR(--ISNUMBER(SEARCH("R141",G236)),0))</f>
        <v/>
      </c>
      <c r="U236" s="58">
        <f>IF(A236="","",IFERROR(--ISNUMBER(SEARCH("R28",G236))*28,0)+IFERROR(--ISNUMBER(SEARCH("R29",G236))*29,0)+IFERROR(--ISNUMBER(SEARCH("R30",G236))*30,0)+IFERROR(--ISNUMBER(SEARCH("R31",G236))*31,0)+IFERROR(--ISNUMBER(SEARCH("R32",G236))*32,0)+IFERROR(--ISNUMBER(SEARCH("R33",G236))*33,0)+IFERROR(--ISNUMBER(SEARCH("R34",G236))*34,0)+IFERROR(--ISNUMBER(SEARCH("R35",G236))*35,0)+IFERROR(--ISNUMBER(SEARCH("R36",G236))*36,0)+IFERROR(--ISNUMBER(SEARCH("R37",G236))*37,0)+IFERROR(--ISNUMBER(SEARCH("R38",G236))*38,0)+IFERROR(--ISNUMBER(SEARCH("R39",G236))*39,0)+IFERROR(--ISNUMBER(SEARCH("R40",G236))*40,0)+IFERROR(--ISNUMBER(SEARCH("R41",G236))*41,0)+IFERROR(--ISNUMBER(SEARCH("R42",G236))*42,0)+IFERROR(--ISNUMBER(SEARCH("R43",G236))*43,0)+IFERROR(--ISNUMBER(SEARCH("R44",G236))*44,0)+IFERROR(--ISNUMBER(SEARCH("R45",G236))*45,0)+IFERROR(--ISNUMBER(SEARCH("R46",G236))*46,0)+IFERROR(--ISNUMBER(SEARCH("R47",G236))*47,0)+IFERROR(--ISNUMBER(SEARCH("R48",G236))*48,0)+IFERROR(--ISNUMBER(SEARCH("R49",G236))*49,0)+IFERROR(--ISNUMBER(SEARCH("R50",G236))*50,0)+IFERROR(--ISNUMBER(SEARCH("R51",G236))*51,0)+IFERROR(--ISNUMBER(SEARCH("R52",G236))*52,0)+IFERROR(--ISNUMBER(SEARCH("R53",G236))*53,0)+IFERROR(--ISNUMBER(SEARCH("R54",G236))*54,0)+IFERROR(--ISNUMBER(SEARCH("R55",G236))*55,0)+IFERROR(--ISNUMBER(SEARCH("R56",G236))*56,0)+IFERROR(--ISNUMBER(SEARCH("R57",G236))*57,0)+IFERROR(--ISNUMBER(SEARCH("R58",G236))*58,0)+IFERROR(--ISNUMBER(SEARCH("R59",G236))*59,0)+IFERROR(--ISNUMBER(SEARCH("R60",G236))*60,0)+IFERROR(--ISNUMBER(SEARCH("R61",G236))*61,0)+IFERROR(--ISNUMBER(SEARCH("R62",G236))*62,0)+IFERROR(--ISNUMBER(SEARCH("R63",G236))*63,0)+IFERROR(--ISNUMBER(SEARCH("R64",G236))*64,0)+IFERROR(--ISNUMBER(SEARCH("R65",G236))*65,0)+IFERROR(--ISNUMBER(SEARCH("R66",G236))*66,0)+IFERROR(--ISNUMBER(SEARCH("R67",G236))*67,0)+IFERROR(--ISNUMBER(SEARCH("R68",G236))*68,0)+IFERROR(--ISNUMBER(SEARCH("R69",G236))*69,0)+IFERROR(--ISNUMBER(SEARCH("R70",G236))*70,0)+IFERROR(--ISNUMBER(SEARCH("R71",G236))*71,0)+IFERROR(--ISNUMBER(SEARCH("R72",G236))*72,0)+IFERROR(--ISNUMBER(SEARCH("R73",G236))*73,0)+IFERROR(--ISNUMBER(SEARCH("R74",G236))*74,0)+IFERROR(--ISNUMBER(SEARCH("R75",G236))*75,0)+IFERROR(--ISNUMBER(SEARCH("R76",G236))*76,0)+IFERROR(--ISNUMBER(SEARCH("R77",G236))*77,0)+IFERROR(--ISNUMBER(SEARCH("R78",G236))*78,0)+IFERROR(--ISNUMBER(SEARCH("R79",G236))*79,0)+IFERROR(--ISNUMBER(SEARCH("R80",G236))*80,0)+IFERROR(--ISNUMBER(SEARCH("R81",G236))*81,0)+IFERROR(--ISNUMBER(SEARCH("R82",G236))*82,0)+IFERROR(--ISNUMBER(SEARCH("R83",G236))*83,0)+IFERROR(--ISNUMBER(SEARCH("R84",G236))*84,0)+IFERROR(--ISNUMBER(SEARCH("R85",G236))*85,0)+IFERROR(--ISNUMBER(SEARCH("R86",G236))*86,0)+IFERROR(--ISNUMBER(SEARCH("R87",G236))*87,0)+IFERROR(--ISNUMBER(SEARCH("R88",G236))*88,0)+IFERROR(--ISNUMBER(SEARCH("R89",G236))*89,0)+IFERROR(--ISNUMBER(SEARCH("R90",G236))*90,0)+IFERROR(--ISNUMBER(SEARCH("R91",G236))*91,0)+IFERROR(--ISNUMBER(SEARCH("R92",G236))*92,0)+IFERROR(--ISNUMBER(SEARCH("R93",G236))*93,0)+IFERROR(--ISNUMBER(SEARCH("R94",G236))*94,0)+IFERROR(--ISNUMBER(SEARCH("R95",G236))*95,0)+IFERROR(--ISNUMBER(SEARCH("R96",G236))*96,0)+IFERROR(--ISNUMBER(SEARCH("R97",G236))*97,0)+IFERROR(--ISNUMBER(SEARCH("R98",G236))*98,0)+IFERROR(--ISNUMBER(SEARCH("R99",G236))*99,0)+IFERROR(--ISNUMBER(SEARCH("R100",G236))*100,0)+IFERROR(--ISNUMBER(SEARCH("R101",G236))*101,0)+IFERROR(--ISNUMBER(SEARCH("R102",G236))*102,0)+IFERROR(--ISNUMBER(SEARCH("R103",G236))*103,0)+IFERROR(--ISNUMBER(SEARCH("R104",G236))*104,0)+IFERROR(--ISNUMBER(SEARCH("R105",G236))*105,0)+IFERROR(--ISNUMBER(SEARCH("R106",G236))*106,0)+IFERROR(--ISNUMBER(SEARCH("R107",G236))*107,0)+IFERROR(--ISNUMBER(SEARCH("R108",G236))*108,0)+IFERROR(--ISNUMBER(SEARCH("R109",G236))*109,0)+IFERROR(--ISNUMBER(SEARCH("R110",G236))*110,0)+IFERROR(--ISNUMBER(SEARCH("R111",G236))*111,0)+IFERROR(--ISNUMBER(SEARCH("R112",G236))*112,0)+IFERROR(--ISNUMBER(SEARCH("R113",G236))*113,0)+IFERROR(--ISNUMBER(SEARCH("R114",G236))*114,0)+IFERROR(--ISNUMBER(SEARCH("R115",G236))*115,0)+IFERROR(--ISNUMBER(SEARCH("R116",G236))*116,0)+IFERROR(--ISNUMBER(SEARCH("R117",G236))*117,0)+IFERROR(--ISNUMBER(SEARCH("R118",G236))*118,0)+IFERROR(--ISNUMBER(SEARCH("R119",G236))*119,0)+IFERROR(--ISNUMBER(SEARCH("R120",G236))*120,0)+IFERROR(--ISNUMBER(SEARCH("R121",G236))*121,0)+IFERROR(--ISNUMBER(SEARCH("R122",G236))*122,0)+IFERROR(--ISNUMBER(SEARCH("R123",G236))*123,0)+IFERROR(--ISNUMBER(SEARCH("R124",G236))*124,0)+IFERROR(--ISNUMBER(SEARCH("R125",G236))*125,0)+IFERROR(--ISNUMBER(SEARCH("R126",G236))*126,0)+IFERROR(--ISNUMBER(SEARCH("R127",G236))*127,0)+IFERROR(--ISNUMBER(SEARCH("R128",G236))*128,0)+IFERROR(--ISNUMBER(SEARCH("R129",G236))*129,0)+IFERROR(--ISNUMBER(SEARCH("R130",G236))*130,0)+IFERROR(--ISNUMBER(SEARCH("R131",G236))*131,0)+IFERROR(--ISNUMBER(SEARCH("R132",G236))*132,0)+IFERROR(--ISNUMBER(SEARCH("R133",G236))*133,0)+IFERROR(--ISNUMBER(SEARCH("R134",G236))*134,0)+IFERROR(--ISNUMBER(SEARCH("R135",G236))*135,0)+IFERROR(--ISNUMBER(SEARCH("R136",G236))*136,0)+IFERROR(--ISNUMBER(SEARCH("R137",G236))*137,0)+IFERROR(--ISNUMBER(SEARCH("R138",G236))*138,0)+IFERROR(--ISNUMBER(SEARCH("R139",G236))*139,0)+IFERROR(--ISNUMBER(SEARCH("R140",G236))*140,0)+IFERROR(--ISNUMBER(SEARCH("R141",G236))*141,0))</f>
        <v/>
      </c>
      <c r="V236" s="59">
        <f>IF(A236="","",IF(K236&lt;&gt;"",K236,J236))</f>
        <v/>
      </c>
      <c r="W236" s="59">
        <f>IF(A236="","",IF(AND(V236=29,O236&lt;&gt;"",COUNTIFS($V$6:$V$505,29,$F$6:$F$505,F236,$C$6:$C$505,C236,$O$6:$O$505,"&lt;&gt;")&gt;1),IF(COUNTIFS($V$6:V236,29,$F$6:F236,F236,$C$6:C236,C236,$O$6:O236,"&lt;&gt;")=1,"Esta es la fila que se debe CONSERVAR (aparición 1 de "&amp;COUNTIFS($V$6:$V$505,29,$F$6:$F$505,F236,$C$6:$C$505,C236,$O$6:$O$505,"&lt;&gt;")&amp;" con el mismo tercero y valor, casilla 29). Si hay más filas iguales, bórreles el valor a ELLAS, no a esta.","DUPLICADO — ya existe otra fila con el mismo tercero y valor para casilla 29 (aparición "&amp;COUNTIFS($V$6:V236,29,$F$6:F236,F236,$C$6:C236,C236,$O$6:O236,"&lt;&gt;")&amp;" de "&amp;COUNTIFS($V$6:$V$505,29,$F$6:$F$505,F236,$C$6:$C$505,C236,$O$6:$O$505,"&lt;&gt;")&amp;"). Para resolverlo: seleccione la celda O"&amp;ROW()&amp;" (columna Valor a declarar de ESTA fila) y presione Supr."),""))</f>
        <v/>
      </c>
      <c r="X236" s="463">
        <f>IF(A236="","",F236)</f>
        <v/>
      </c>
      <c r="Y236" s="463">
        <f>IF(A236="","",SUMIF(Entrada_Manual!$I$88:$I$187,A236,Entrada_Manual!$F$88:$F$187))</f>
        <v/>
      </c>
      <c r="Z236" s="463">
        <f>IF(A236="","",X236-Y236)</f>
        <v/>
      </c>
      <c r="AA236">
        <f>IF(A236="","",SUMPRODUCT((Entrada_Manual!$I$88:$I$187=A236)*1))</f>
        <v/>
      </c>
      <c r="AB236">
        <f>IF(A236="","",IF(S236&lt;=1,"",IF(AA236=0,"PENDIENTE — SIN ASIGNAR",IF(Z236=0,"RESUELTO","PARCIAL — DIFERENCIA "&amp;TEXT(Z236,"#,##0")))))</f>
        <v/>
      </c>
    </row>
    <row r="237" ht="14.25" customHeight="1" s="235">
      <c r="A237" s="47">
        <f>IF(Exogena_RAW!E246&lt;&gt;"",ROW()-5,"")</f>
        <v/>
      </c>
      <c r="B237" s="48">
        <f>IF(A237="","",246)</f>
        <v/>
      </c>
      <c r="C237" s="48">
        <f>IF(A237="","",IFERROR(Exogena_RAW!A246,""))</f>
        <v/>
      </c>
      <c r="D237" s="48">
        <f>IF(A237="","",IFERROR(Exogena_RAW!B246,""))</f>
        <v/>
      </c>
      <c r="E237" s="48">
        <f>IF(A237="","",Exogena_RAW!E246)</f>
        <v/>
      </c>
      <c r="F237" s="461">
        <f>IF(A237="","",Exogena_RAW!F246)</f>
        <v/>
      </c>
      <c r="G237" s="48">
        <f>IF(A237="","",IFERROR(Exogena_RAW!G246,""))</f>
        <v/>
      </c>
      <c r="H237" s="48">
        <f>IF(A237="","",IFERROR(Exogena_RAW!H246,""))</f>
        <v/>
      </c>
      <c r="I237" s="48">
        <f>IF(A237="","",IFERROR(IF(S237&gt;1,"VARIAS CASILLAS",IF(S237=1,IF(T237=1,"PROPUESTA DE CASILLA","REVISIÓN: CASILLA NO DIRECTA"),IF(OR(ISNUMBER(SEARCH("TOPE",UPPER(E237))),ISNUMBER(SEARCH("TOPE",UPPER(G237)))),"SOLO CONTROL",IF(ISNUMBER(SEARCH("RETEN",UPPER(E237))),"RETENCIÓN","REVISAR")))),"REVISAR"))</f>
        <v/>
      </c>
      <c r="J237" s="48">
        <f>IF(A237="","",IF(ISNUMBER(SEARCH("ingreso laboral promedio de los últimos seis meses",E237)),"",IFERROR(IF(AND(S237=1,T237=1),U237,""),"")))</f>
        <v/>
      </c>
      <c r="K237" s="216" t="n"/>
      <c r="L237" s="48">
        <f>IF(A237="","",IFERROR(IF(K237&lt;&gt;"","Casilla elegida por usuario",IF(S237&gt;1,"Varias casillas — elegir en K",IF(J237&lt;&gt;"","Sugerencia directa",IF(S237=1,"No trasladar directo — revisar",IF(OR(ISNUMBER(SEARCH("TOPE",UPPER(E237))),ISNUMBER(SEARCH("TOPE",UPPER(G237)))),"Solo control","Revisar manualmente"))))),"Revisar manualmente"))</f>
        <v/>
      </c>
      <c r="M237" s="461">
        <f>IF(A237="","",IF(IF(K237&lt;&gt;"",K237,J237)="",0,IF(COUNTIFS(Reglas!$I$5:$I$118,IF(K237&lt;&gt;"",K237,J237),Reglas!$J$5:$J$118,"Sí")=1,F237,0)))</f>
        <v/>
      </c>
      <c r="N237" s="56" t="n"/>
      <c r="O237" s="462">
        <f>IF(A237="","",IF(M237=0,"",M237))</f>
        <v/>
      </c>
      <c r="P237" s="461">
        <f>IF(A237="","",IF(O237="",0,IF(ISNUMBER(O237),O237,0)))</f>
        <v/>
      </c>
      <c r="Q237" s="48">
        <f>IF(A237="","",IF(Exogena_RAW!$C$4="","BLOQUEADO: FALTA AÑO",IF(Exogena_RAW!$K$10&lt;&gt;Reglas!$B$5,"BLOQUEADO: AÑO",IF(IF(K237&lt;&gt;"",K237,J237)="",IF(S237&gt;1,"REQUIERE ASIGNACIÓN MANUAL (VARIAS CASILLAS)","INFORMATIVO (sin casilla — no se declara)"),IF(COUNTIFS(Reglas!$I$5:$I$118,IF(K237&lt;&gt;"",K237,J237),Reglas!$J$5:$J$118,"Sí")=0,"BLOQUEADO: CASILLA NO DIRECTA",IF(O237="","EXCLUIDO (valor borrado por el usuario)",IF(_xlfn.ISFORMULA(O237),IF(W237&lt;&gt;"","BORRADOR — VALOR SUGERIDO DIAN ⚠ VER ALERTA","BORRADOR — VALOR SUGERIDO DIAN"),IF(W237&lt;&gt;"","ACEPTADO ⚠ VER ALERTA","ACEPTADO"))))))))</f>
        <v/>
      </c>
      <c r="R237" s="218" t="n"/>
      <c r="S237" s="58">
        <f>IF(A237="","",IFERROR(--ISNUMBER(SEARCH("R28",G237)),0)+IFERROR(--ISNUMBER(SEARCH("R29",G237)),0)+IFERROR(--ISNUMBER(SEARCH("R30",G237)),0)+IFERROR(--ISNUMBER(SEARCH("R31",G237)),0)+IFERROR(--ISNUMBER(SEARCH("R32",G237)),0)+IFERROR(--ISNUMBER(SEARCH("R33",G237)),0)+IFERROR(--ISNUMBER(SEARCH("R34",G237)),0)+IFERROR(--ISNUMBER(SEARCH("R35",G237)),0)+IFERROR(--ISNUMBER(SEARCH("R36",G237)),0)+IFERROR(--ISNUMBER(SEARCH("R37",G237)),0)+IFERROR(--ISNUMBER(SEARCH("R38",G237)),0)+IFERROR(--ISNUMBER(SEARCH("R39",G237)),0)+IFERROR(--ISNUMBER(SEARCH("R40",G237)),0)+IFERROR(--ISNUMBER(SEARCH("R41",G237)),0)+IFERROR(--ISNUMBER(SEARCH("R42",G237)),0)+IFERROR(--ISNUMBER(SEARCH("R43",G237)),0)+IFERROR(--ISNUMBER(SEARCH("R44",G237)),0)+IFERROR(--ISNUMBER(SEARCH("R45",G237)),0)+IFERROR(--ISNUMBER(SEARCH("R46",G237)),0)+IFERROR(--ISNUMBER(SEARCH("R47",G237)),0)+IFERROR(--ISNUMBER(SEARCH("R48",G237)),0)+IFERROR(--ISNUMBER(SEARCH("R49",G237)),0)+IFERROR(--ISNUMBER(SEARCH("R50",G237)),0)+IFERROR(--ISNUMBER(SEARCH("R51",G237)),0)+IFERROR(--ISNUMBER(SEARCH("R52",G237)),0)+IFERROR(--ISNUMBER(SEARCH("R53",G237)),0)+IFERROR(--ISNUMBER(SEARCH("R54",G237)),0)+IFERROR(--ISNUMBER(SEARCH("R55",G237)),0)+IFERROR(--ISNUMBER(SEARCH("R56",G237)),0)+IFERROR(--ISNUMBER(SEARCH("R57",G237)),0)+IFERROR(--ISNUMBER(SEARCH("R58",G237)),0)+IFERROR(--ISNUMBER(SEARCH("R59",G237)),0)+IFERROR(--ISNUMBER(SEARCH("R60",G237)),0)+IFERROR(--ISNUMBER(SEARCH("R61",G237)),0)+IFERROR(--ISNUMBER(SEARCH("R62",G237)),0)+IFERROR(--ISNUMBER(SEARCH("R63",G237)),0)+IFERROR(--ISNUMBER(SEARCH("R64",G237)),0)+IFERROR(--ISNUMBER(SEARCH("R65",G237)),0)+IFERROR(--ISNUMBER(SEARCH("R66",G237)),0)+IFERROR(--ISNUMBER(SEARCH("R67",G237)),0)+IFERROR(--ISNUMBER(SEARCH("R68",G237)),0)+IFERROR(--ISNUMBER(SEARCH("R69",G237)),0)+IFERROR(--ISNUMBER(SEARCH("R70",G237)),0)+IFERROR(--ISNUMBER(SEARCH("R71",G237)),0)+IFERROR(--ISNUMBER(SEARCH("R72",G237)),0)+IFERROR(--ISNUMBER(SEARCH("R73",G237)),0)+IFERROR(--ISNUMBER(SEARCH("R74",G237)),0)+IFERROR(--ISNUMBER(SEARCH("R75",G237)),0)+IFERROR(--ISNUMBER(SEARCH("R76",G237)),0)+IFERROR(--ISNUMBER(SEARCH("R77",G237)),0)+IFERROR(--ISNUMBER(SEARCH("R78",G237)),0)+IFERROR(--ISNUMBER(SEARCH("R79",G237)),0)+IFERROR(--ISNUMBER(SEARCH("R80",G237)),0)+IFERROR(--ISNUMBER(SEARCH("R81",G237)),0)+IFERROR(--ISNUMBER(SEARCH("R82",G237)),0)+IFERROR(--ISNUMBER(SEARCH("R83",G237)),0)+IFERROR(--ISNUMBER(SEARCH("R84",G237)),0)+IFERROR(--ISNUMBER(SEARCH("R85",G237)),0)+IFERROR(--ISNUMBER(SEARCH("R86",G237)),0)+IFERROR(--ISNUMBER(SEARCH("R87",G237)),0)+IFERROR(--ISNUMBER(SEARCH("R88",G237)),0)+IFERROR(--ISNUMBER(SEARCH("R89",G237)),0)+IFERROR(--ISNUMBER(SEARCH("R90",G237)),0)+IFERROR(--ISNUMBER(SEARCH("R91",G237)),0)+IFERROR(--ISNUMBER(SEARCH("R92",G237)),0)+IFERROR(--ISNUMBER(SEARCH("R93",G237)),0)+IFERROR(--ISNUMBER(SEARCH("R94",G237)),0)+IFERROR(--ISNUMBER(SEARCH("R95",G237)),0)+IFERROR(--ISNUMBER(SEARCH("R96",G237)),0)+IFERROR(--ISNUMBER(SEARCH("R97",G237)),0)+IFERROR(--ISNUMBER(SEARCH("R98",G237)),0)+IFERROR(--ISNUMBER(SEARCH("R99",G237)),0)+IFERROR(--ISNUMBER(SEARCH("R100",G237)),0)+IFERROR(--ISNUMBER(SEARCH("R101",G237)),0)+IFERROR(--ISNUMBER(SEARCH("R102",G237)),0)+IFERROR(--ISNUMBER(SEARCH("R103",G237)),0)+IFERROR(--ISNUMBER(SEARCH("R104",G237)),0)+IFERROR(--ISNUMBER(SEARCH("R105",G237)),0)+IFERROR(--ISNUMBER(SEARCH("R106",G237)),0)+IFERROR(--ISNUMBER(SEARCH("R107",G237)),0)+IFERROR(--ISNUMBER(SEARCH("R108",G237)),0)+IFERROR(--ISNUMBER(SEARCH("R109",G237)),0)+IFERROR(--ISNUMBER(SEARCH("R110",G237)),0)+IFERROR(--ISNUMBER(SEARCH("R111",G237)),0)+IFERROR(--ISNUMBER(SEARCH("R112",G237)),0)+IFERROR(--ISNUMBER(SEARCH("R113",G237)),0)+IFERROR(--ISNUMBER(SEARCH("R114",G237)),0)+IFERROR(--ISNUMBER(SEARCH("R115",G237)),0)+IFERROR(--ISNUMBER(SEARCH("R116",G237)),0)+IFERROR(--ISNUMBER(SEARCH("R117",G237)),0)+IFERROR(--ISNUMBER(SEARCH("R118",G237)),0)+IFERROR(--ISNUMBER(SEARCH("R119",G237)),0)+IFERROR(--ISNUMBER(SEARCH("R120",G237)),0)+IFERROR(--ISNUMBER(SEARCH("R121",G237)),0)+IFERROR(--ISNUMBER(SEARCH("R122",G237)),0)+IFERROR(--ISNUMBER(SEARCH("R123",G237)),0)+IFERROR(--ISNUMBER(SEARCH("R124",G237)),0)+IFERROR(--ISNUMBER(SEARCH("R125",G237)),0)+IFERROR(--ISNUMBER(SEARCH("R126",G237)),0)+IFERROR(--ISNUMBER(SEARCH("R127",G237)),0)+IFERROR(--ISNUMBER(SEARCH("R128",G237)),0)+IFERROR(--ISNUMBER(SEARCH("R129",G237)),0)+IFERROR(--ISNUMBER(SEARCH("R130",G237)),0)+IFERROR(--ISNUMBER(SEARCH("R131",G237)),0)+IFERROR(--ISNUMBER(SEARCH("R132",G237)),0)+IFERROR(--ISNUMBER(SEARCH("R133",G237)),0)+IFERROR(--ISNUMBER(SEARCH("R134",G237)),0)+IFERROR(--ISNUMBER(SEARCH("R135",G237)),0)+IFERROR(--ISNUMBER(SEARCH("R136",G237)),0)+IFERROR(--ISNUMBER(SEARCH("R137",G237)),0)+IFERROR(--ISNUMBER(SEARCH("R138",G237)),0)+IFERROR(--ISNUMBER(SEARCH("R139",G237)),0)+IFERROR(--ISNUMBER(SEARCH("R140",G237)),0)+IFERROR(--ISNUMBER(SEARCH("R141",G237)),0))</f>
        <v/>
      </c>
      <c r="T237" s="58">
        <f>IF(A237="","",IFERROR(--ISNUMBER(SEARCH("R28",G237)),0)+IFERROR(--ISNUMBER(SEARCH("R29",G237)),0)+IFERROR(--ISNUMBER(SEARCH("R30",G237)),0)+IFERROR(--ISNUMBER(SEARCH("R32",G237)),0)+IFERROR(--ISNUMBER(SEARCH("R33",G237)),0)+IFERROR(--ISNUMBER(SEARCH("R35",G237)),0)+IFERROR(--ISNUMBER(SEARCH("R36",G237)),0)+IFERROR(--ISNUMBER(SEARCH("R38",G237)),0)+IFERROR(--ISNUMBER(SEARCH("R39",G237)),0)+IFERROR(--ISNUMBER(SEARCH("R43",G237)),0)+IFERROR(--ISNUMBER(SEARCH("R44",G237)),0)+IFERROR(--ISNUMBER(SEARCH("R45",G237)),0)+IFERROR(--ISNUMBER(SEARCH("R47",G237)),0)+IFERROR(--ISNUMBER(SEARCH("R48",G237)),0)+IFERROR(--ISNUMBER(SEARCH("R50",G237)),0)+IFERROR(--ISNUMBER(SEARCH("R51",G237)),0)+IFERROR(--ISNUMBER(SEARCH("R56",G237)),0)+IFERROR(--ISNUMBER(SEARCH("R58",G237)),0)+IFERROR(--ISNUMBER(SEARCH("R59",G237)),0)+IFERROR(--ISNUMBER(SEARCH("R60",G237)),0)+IFERROR(--ISNUMBER(SEARCH("R62",G237)),0)+IFERROR(--ISNUMBER(SEARCH("R63",G237)),0)+IFERROR(--ISNUMBER(SEARCH("R64",G237)),0)+IFERROR(--ISNUMBER(SEARCH("R66",G237)),0)+IFERROR(--ISNUMBER(SEARCH("R67",G237)),0)+IFERROR(--ISNUMBER(SEARCH("R72",G237)),0)+IFERROR(--ISNUMBER(SEARCH("R74",G237)),0)+IFERROR(--ISNUMBER(SEARCH("R75",G237)),0)+IFERROR(--ISNUMBER(SEARCH("R76",G237)),0)+IFERROR(--ISNUMBER(SEARCH("R77",G237)),0)+IFERROR(--ISNUMBER(SEARCH("R79",G237)),0)+IFERROR(--ISNUMBER(SEARCH("R80",G237)),0)+IFERROR(--ISNUMBER(SEARCH("R81",G237)),0)+IFERROR(--ISNUMBER(SEARCH("R83",G237)),0)+IFERROR(--ISNUMBER(SEARCH("R84",G237)),0)+IFERROR(--ISNUMBER(SEARCH("R89",G237)),0)+IFERROR(--ISNUMBER(SEARCH("R94",G237)),0)+IFERROR(--ISNUMBER(SEARCH("R95",G237)),0)+IFERROR(--ISNUMBER(SEARCH("R96",G237)),0)+IFERROR(--ISNUMBER(SEARCH("R98",G237)),0)+IFERROR(--ISNUMBER(SEARCH("R99",G237)),0)+IFERROR(--ISNUMBER(SEARCH("R100",G237)),0)+IFERROR(--ISNUMBER(SEARCH("R104",G237)),0)+IFERROR(--ISNUMBER(SEARCH("R105",G237)),0)+IFERROR(--ISNUMBER(SEARCH("R107",G237)),0)+IFERROR(--ISNUMBER(SEARCH("R108",G237)),0)+IFERROR(--ISNUMBER(SEARCH("R109",G237)),0)+IFERROR(--ISNUMBER(SEARCH("R110",G237)),0)+IFERROR(--ISNUMBER(SEARCH("R112",G237)),0)+IFERROR(--ISNUMBER(SEARCH("R113",G237)),0)+IFERROR(--ISNUMBER(SEARCH("R114",G237)),0)+IFERROR(--ISNUMBER(SEARCH("R118",G237)),0)+IFERROR(--ISNUMBER(SEARCH("R119",G237)),0)+IFERROR(--ISNUMBER(SEARCH("R120",G237)),0)+IFERROR(--ISNUMBER(SEARCH("R122",G237)),0)+IFERROR(--ISNUMBER(SEARCH("R123",G237)),0)+IFERROR(--ISNUMBER(SEARCH("R124",G237)),0)+IFERROR(--ISNUMBER(SEARCH("R128",G237)),0)+IFERROR(--ISNUMBER(SEARCH("R130",G237)),0)+IFERROR(--ISNUMBER(SEARCH("R131",G237)),0)+IFERROR(--ISNUMBER(SEARCH("R132",G237)),0)+IFERROR(--ISNUMBER(SEARCH("R135",G237)),0)+IFERROR(--ISNUMBER(SEARCH("R138",G237)),0)+IFERROR(--ISNUMBER(SEARCH("R141",G237)),0))</f>
        <v/>
      </c>
      <c r="U237" s="58">
        <f>IF(A237="","",IFERROR(--ISNUMBER(SEARCH("R28",G237))*28,0)+IFERROR(--ISNUMBER(SEARCH("R29",G237))*29,0)+IFERROR(--ISNUMBER(SEARCH("R30",G237))*30,0)+IFERROR(--ISNUMBER(SEARCH("R31",G237))*31,0)+IFERROR(--ISNUMBER(SEARCH("R32",G237))*32,0)+IFERROR(--ISNUMBER(SEARCH("R33",G237))*33,0)+IFERROR(--ISNUMBER(SEARCH("R34",G237))*34,0)+IFERROR(--ISNUMBER(SEARCH("R35",G237))*35,0)+IFERROR(--ISNUMBER(SEARCH("R36",G237))*36,0)+IFERROR(--ISNUMBER(SEARCH("R37",G237))*37,0)+IFERROR(--ISNUMBER(SEARCH("R38",G237))*38,0)+IFERROR(--ISNUMBER(SEARCH("R39",G237))*39,0)+IFERROR(--ISNUMBER(SEARCH("R40",G237))*40,0)+IFERROR(--ISNUMBER(SEARCH("R41",G237))*41,0)+IFERROR(--ISNUMBER(SEARCH("R42",G237))*42,0)+IFERROR(--ISNUMBER(SEARCH("R43",G237))*43,0)+IFERROR(--ISNUMBER(SEARCH("R44",G237))*44,0)+IFERROR(--ISNUMBER(SEARCH("R45",G237))*45,0)+IFERROR(--ISNUMBER(SEARCH("R46",G237))*46,0)+IFERROR(--ISNUMBER(SEARCH("R47",G237))*47,0)+IFERROR(--ISNUMBER(SEARCH("R48",G237))*48,0)+IFERROR(--ISNUMBER(SEARCH("R49",G237))*49,0)+IFERROR(--ISNUMBER(SEARCH("R50",G237))*50,0)+IFERROR(--ISNUMBER(SEARCH("R51",G237))*51,0)+IFERROR(--ISNUMBER(SEARCH("R52",G237))*52,0)+IFERROR(--ISNUMBER(SEARCH("R53",G237))*53,0)+IFERROR(--ISNUMBER(SEARCH("R54",G237))*54,0)+IFERROR(--ISNUMBER(SEARCH("R55",G237))*55,0)+IFERROR(--ISNUMBER(SEARCH("R56",G237))*56,0)+IFERROR(--ISNUMBER(SEARCH("R57",G237))*57,0)+IFERROR(--ISNUMBER(SEARCH("R58",G237))*58,0)+IFERROR(--ISNUMBER(SEARCH("R59",G237))*59,0)+IFERROR(--ISNUMBER(SEARCH("R60",G237))*60,0)+IFERROR(--ISNUMBER(SEARCH("R61",G237))*61,0)+IFERROR(--ISNUMBER(SEARCH("R62",G237))*62,0)+IFERROR(--ISNUMBER(SEARCH("R63",G237))*63,0)+IFERROR(--ISNUMBER(SEARCH("R64",G237))*64,0)+IFERROR(--ISNUMBER(SEARCH("R65",G237))*65,0)+IFERROR(--ISNUMBER(SEARCH("R66",G237))*66,0)+IFERROR(--ISNUMBER(SEARCH("R67",G237))*67,0)+IFERROR(--ISNUMBER(SEARCH("R68",G237))*68,0)+IFERROR(--ISNUMBER(SEARCH("R69",G237))*69,0)+IFERROR(--ISNUMBER(SEARCH("R70",G237))*70,0)+IFERROR(--ISNUMBER(SEARCH("R71",G237))*71,0)+IFERROR(--ISNUMBER(SEARCH("R72",G237))*72,0)+IFERROR(--ISNUMBER(SEARCH("R73",G237))*73,0)+IFERROR(--ISNUMBER(SEARCH("R74",G237))*74,0)+IFERROR(--ISNUMBER(SEARCH("R75",G237))*75,0)+IFERROR(--ISNUMBER(SEARCH("R76",G237))*76,0)+IFERROR(--ISNUMBER(SEARCH("R77",G237))*77,0)+IFERROR(--ISNUMBER(SEARCH("R78",G237))*78,0)+IFERROR(--ISNUMBER(SEARCH("R79",G237))*79,0)+IFERROR(--ISNUMBER(SEARCH("R80",G237))*80,0)+IFERROR(--ISNUMBER(SEARCH("R81",G237))*81,0)+IFERROR(--ISNUMBER(SEARCH("R82",G237))*82,0)+IFERROR(--ISNUMBER(SEARCH("R83",G237))*83,0)+IFERROR(--ISNUMBER(SEARCH("R84",G237))*84,0)+IFERROR(--ISNUMBER(SEARCH("R85",G237))*85,0)+IFERROR(--ISNUMBER(SEARCH("R86",G237))*86,0)+IFERROR(--ISNUMBER(SEARCH("R87",G237))*87,0)+IFERROR(--ISNUMBER(SEARCH("R88",G237))*88,0)+IFERROR(--ISNUMBER(SEARCH("R89",G237))*89,0)+IFERROR(--ISNUMBER(SEARCH("R90",G237))*90,0)+IFERROR(--ISNUMBER(SEARCH("R91",G237))*91,0)+IFERROR(--ISNUMBER(SEARCH("R92",G237))*92,0)+IFERROR(--ISNUMBER(SEARCH("R93",G237))*93,0)+IFERROR(--ISNUMBER(SEARCH("R94",G237))*94,0)+IFERROR(--ISNUMBER(SEARCH("R95",G237))*95,0)+IFERROR(--ISNUMBER(SEARCH("R96",G237))*96,0)+IFERROR(--ISNUMBER(SEARCH("R97",G237))*97,0)+IFERROR(--ISNUMBER(SEARCH("R98",G237))*98,0)+IFERROR(--ISNUMBER(SEARCH("R99",G237))*99,0)+IFERROR(--ISNUMBER(SEARCH("R100",G237))*100,0)+IFERROR(--ISNUMBER(SEARCH("R101",G237))*101,0)+IFERROR(--ISNUMBER(SEARCH("R102",G237))*102,0)+IFERROR(--ISNUMBER(SEARCH("R103",G237))*103,0)+IFERROR(--ISNUMBER(SEARCH("R104",G237))*104,0)+IFERROR(--ISNUMBER(SEARCH("R105",G237))*105,0)+IFERROR(--ISNUMBER(SEARCH("R106",G237))*106,0)+IFERROR(--ISNUMBER(SEARCH("R107",G237))*107,0)+IFERROR(--ISNUMBER(SEARCH("R108",G237))*108,0)+IFERROR(--ISNUMBER(SEARCH("R109",G237))*109,0)+IFERROR(--ISNUMBER(SEARCH("R110",G237))*110,0)+IFERROR(--ISNUMBER(SEARCH("R111",G237))*111,0)+IFERROR(--ISNUMBER(SEARCH("R112",G237))*112,0)+IFERROR(--ISNUMBER(SEARCH("R113",G237))*113,0)+IFERROR(--ISNUMBER(SEARCH("R114",G237))*114,0)+IFERROR(--ISNUMBER(SEARCH("R115",G237))*115,0)+IFERROR(--ISNUMBER(SEARCH("R116",G237))*116,0)+IFERROR(--ISNUMBER(SEARCH("R117",G237))*117,0)+IFERROR(--ISNUMBER(SEARCH("R118",G237))*118,0)+IFERROR(--ISNUMBER(SEARCH("R119",G237))*119,0)+IFERROR(--ISNUMBER(SEARCH("R120",G237))*120,0)+IFERROR(--ISNUMBER(SEARCH("R121",G237))*121,0)+IFERROR(--ISNUMBER(SEARCH("R122",G237))*122,0)+IFERROR(--ISNUMBER(SEARCH("R123",G237))*123,0)+IFERROR(--ISNUMBER(SEARCH("R124",G237))*124,0)+IFERROR(--ISNUMBER(SEARCH("R125",G237))*125,0)+IFERROR(--ISNUMBER(SEARCH("R126",G237))*126,0)+IFERROR(--ISNUMBER(SEARCH("R127",G237))*127,0)+IFERROR(--ISNUMBER(SEARCH("R128",G237))*128,0)+IFERROR(--ISNUMBER(SEARCH("R129",G237))*129,0)+IFERROR(--ISNUMBER(SEARCH("R130",G237))*130,0)+IFERROR(--ISNUMBER(SEARCH("R131",G237))*131,0)+IFERROR(--ISNUMBER(SEARCH("R132",G237))*132,0)+IFERROR(--ISNUMBER(SEARCH("R133",G237))*133,0)+IFERROR(--ISNUMBER(SEARCH("R134",G237))*134,0)+IFERROR(--ISNUMBER(SEARCH("R135",G237))*135,0)+IFERROR(--ISNUMBER(SEARCH("R136",G237))*136,0)+IFERROR(--ISNUMBER(SEARCH("R137",G237))*137,0)+IFERROR(--ISNUMBER(SEARCH("R138",G237))*138,0)+IFERROR(--ISNUMBER(SEARCH("R139",G237))*139,0)+IFERROR(--ISNUMBER(SEARCH("R140",G237))*140,0)+IFERROR(--ISNUMBER(SEARCH("R141",G237))*141,0))</f>
        <v/>
      </c>
      <c r="V237" s="59">
        <f>IF(A237="","",IF(K237&lt;&gt;"",K237,J237))</f>
        <v/>
      </c>
      <c r="W237" s="59">
        <f>IF(A237="","",IF(AND(V237=29,O237&lt;&gt;"",COUNTIFS($V$6:$V$505,29,$F$6:$F$505,F237,$C$6:$C$505,C237,$O$6:$O$505,"&lt;&gt;")&gt;1),IF(COUNTIFS($V$6:V237,29,$F$6:F237,F237,$C$6:C237,C237,$O$6:O237,"&lt;&gt;")=1,"Esta es la fila que se debe CONSERVAR (aparición 1 de "&amp;COUNTIFS($V$6:$V$505,29,$F$6:$F$505,F237,$C$6:$C$505,C237,$O$6:$O$505,"&lt;&gt;")&amp;" con el mismo tercero y valor, casilla 29). Si hay más filas iguales, bórreles el valor a ELLAS, no a esta.","DUPLICADO — ya existe otra fila con el mismo tercero y valor para casilla 29 (aparición "&amp;COUNTIFS($V$6:V237,29,$F$6:F237,F237,$C$6:C237,C237,$O$6:O237,"&lt;&gt;")&amp;" de "&amp;COUNTIFS($V$6:$V$505,29,$F$6:$F$505,F237,$C$6:$C$505,C237,$O$6:$O$505,"&lt;&gt;")&amp;"). Para resolverlo: seleccione la celda O"&amp;ROW()&amp;" (columna Valor a declarar de ESTA fila) y presione Supr."),""))</f>
        <v/>
      </c>
      <c r="X237" s="463">
        <f>IF(A237="","",F237)</f>
        <v/>
      </c>
      <c r="Y237" s="463">
        <f>IF(A237="","",SUMIF(Entrada_Manual!$I$88:$I$187,A237,Entrada_Manual!$F$88:$F$187))</f>
        <v/>
      </c>
      <c r="Z237" s="463">
        <f>IF(A237="","",X237-Y237)</f>
        <v/>
      </c>
      <c r="AA237">
        <f>IF(A237="","",SUMPRODUCT((Entrada_Manual!$I$88:$I$187=A237)*1))</f>
        <v/>
      </c>
      <c r="AB237">
        <f>IF(A237="","",IF(S237&lt;=1,"",IF(AA237=0,"PENDIENTE — SIN ASIGNAR",IF(Z237=0,"RESUELTO","PARCIAL — DIFERENCIA "&amp;TEXT(Z237,"#,##0")))))</f>
        <v/>
      </c>
    </row>
    <row r="238" ht="14.25" customHeight="1" s="235">
      <c r="A238" s="47">
        <f>IF(Exogena_RAW!E247&lt;&gt;"",ROW()-5,"")</f>
        <v/>
      </c>
      <c r="B238" s="48">
        <f>IF(A238="","",247)</f>
        <v/>
      </c>
      <c r="C238" s="48">
        <f>IF(A238="","",IFERROR(Exogena_RAW!A247,""))</f>
        <v/>
      </c>
      <c r="D238" s="48">
        <f>IF(A238="","",IFERROR(Exogena_RAW!B247,""))</f>
        <v/>
      </c>
      <c r="E238" s="48">
        <f>IF(A238="","",Exogena_RAW!E247)</f>
        <v/>
      </c>
      <c r="F238" s="461">
        <f>IF(A238="","",Exogena_RAW!F247)</f>
        <v/>
      </c>
      <c r="G238" s="48">
        <f>IF(A238="","",IFERROR(Exogena_RAW!G247,""))</f>
        <v/>
      </c>
      <c r="H238" s="48">
        <f>IF(A238="","",IFERROR(Exogena_RAW!H247,""))</f>
        <v/>
      </c>
      <c r="I238" s="48">
        <f>IF(A238="","",IFERROR(IF(S238&gt;1,"VARIAS CASILLAS",IF(S238=1,IF(T238=1,"PROPUESTA DE CASILLA","REVISIÓN: CASILLA NO DIRECTA"),IF(OR(ISNUMBER(SEARCH("TOPE",UPPER(E238))),ISNUMBER(SEARCH("TOPE",UPPER(G238)))),"SOLO CONTROL",IF(ISNUMBER(SEARCH("RETEN",UPPER(E238))),"RETENCIÓN","REVISAR")))),"REVISAR"))</f>
        <v/>
      </c>
      <c r="J238" s="48">
        <f>IF(A238="","",IF(ISNUMBER(SEARCH("ingreso laboral promedio de los últimos seis meses",E238)),"",IFERROR(IF(AND(S238=1,T238=1),U238,""),"")))</f>
        <v/>
      </c>
      <c r="K238" s="216" t="n"/>
      <c r="L238" s="48">
        <f>IF(A238="","",IFERROR(IF(K238&lt;&gt;"","Casilla elegida por usuario",IF(S238&gt;1,"Varias casillas — elegir en K",IF(J238&lt;&gt;"","Sugerencia directa",IF(S238=1,"No trasladar directo — revisar",IF(OR(ISNUMBER(SEARCH("TOPE",UPPER(E238))),ISNUMBER(SEARCH("TOPE",UPPER(G238)))),"Solo control","Revisar manualmente"))))),"Revisar manualmente"))</f>
        <v/>
      </c>
      <c r="M238" s="461">
        <f>IF(A238="","",IF(IF(K238&lt;&gt;"",K238,J238)="",0,IF(COUNTIFS(Reglas!$I$5:$I$118,IF(K238&lt;&gt;"",K238,J238),Reglas!$J$5:$J$118,"Sí")=1,F238,0)))</f>
        <v/>
      </c>
      <c r="N238" s="56" t="n"/>
      <c r="O238" s="462">
        <f>IF(A238="","",IF(M238=0,"",M238))</f>
        <v/>
      </c>
      <c r="P238" s="461">
        <f>IF(A238="","",IF(O238="",0,IF(ISNUMBER(O238),O238,0)))</f>
        <v/>
      </c>
      <c r="Q238" s="48">
        <f>IF(A238="","",IF(Exogena_RAW!$C$4="","BLOQUEADO: FALTA AÑO",IF(Exogena_RAW!$K$10&lt;&gt;Reglas!$B$5,"BLOQUEADO: AÑO",IF(IF(K238&lt;&gt;"",K238,J238)="",IF(S238&gt;1,"REQUIERE ASIGNACIÓN MANUAL (VARIAS CASILLAS)","INFORMATIVO (sin casilla — no se declara)"),IF(COUNTIFS(Reglas!$I$5:$I$118,IF(K238&lt;&gt;"",K238,J238),Reglas!$J$5:$J$118,"Sí")=0,"BLOQUEADO: CASILLA NO DIRECTA",IF(O238="","EXCLUIDO (valor borrado por el usuario)",IF(_xlfn.ISFORMULA(O238),IF(W238&lt;&gt;"","BORRADOR — VALOR SUGERIDO DIAN ⚠ VER ALERTA","BORRADOR — VALOR SUGERIDO DIAN"),IF(W238&lt;&gt;"","ACEPTADO ⚠ VER ALERTA","ACEPTADO"))))))))</f>
        <v/>
      </c>
      <c r="R238" s="218" t="n"/>
      <c r="S238" s="58">
        <f>IF(A238="","",IFERROR(--ISNUMBER(SEARCH("R28",G238)),0)+IFERROR(--ISNUMBER(SEARCH("R29",G238)),0)+IFERROR(--ISNUMBER(SEARCH("R30",G238)),0)+IFERROR(--ISNUMBER(SEARCH("R31",G238)),0)+IFERROR(--ISNUMBER(SEARCH("R32",G238)),0)+IFERROR(--ISNUMBER(SEARCH("R33",G238)),0)+IFERROR(--ISNUMBER(SEARCH("R34",G238)),0)+IFERROR(--ISNUMBER(SEARCH("R35",G238)),0)+IFERROR(--ISNUMBER(SEARCH("R36",G238)),0)+IFERROR(--ISNUMBER(SEARCH("R37",G238)),0)+IFERROR(--ISNUMBER(SEARCH("R38",G238)),0)+IFERROR(--ISNUMBER(SEARCH("R39",G238)),0)+IFERROR(--ISNUMBER(SEARCH("R40",G238)),0)+IFERROR(--ISNUMBER(SEARCH("R41",G238)),0)+IFERROR(--ISNUMBER(SEARCH("R42",G238)),0)+IFERROR(--ISNUMBER(SEARCH("R43",G238)),0)+IFERROR(--ISNUMBER(SEARCH("R44",G238)),0)+IFERROR(--ISNUMBER(SEARCH("R45",G238)),0)+IFERROR(--ISNUMBER(SEARCH("R46",G238)),0)+IFERROR(--ISNUMBER(SEARCH("R47",G238)),0)+IFERROR(--ISNUMBER(SEARCH("R48",G238)),0)+IFERROR(--ISNUMBER(SEARCH("R49",G238)),0)+IFERROR(--ISNUMBER(SEARCH("R50",G238)),0)+IFERROR(--ISNUMBER(SEARCH("R51",G238)),0)+IFERROR(--ISNUMBER(SEARCH("R52",G238)),0)+IFERROR(--ISNUMBER(SEARCH("R53",G238)),0)+IFERROR(--ISNUMBER(SEARCH("R54",G238)),0)+IFERROR(--ISNUMBER(SEARCH("R55",G238)),0)+IFERROR(--ISNUMBER(SEARCH("R56",G238)),0)+IFERROR(--ISNUMBER(SEARCH("R57",G238)),0)+IFERROR(--ISNUMBER(SEARCH("R58",G238)),0)+IFERROR(--ISNUMBER(SEARCH("R59",G238)),0)+IFERROR(--ISNUMBER(SEARCH("R60",G238)),0)+IFERROR(--ISNUMBER(SEARCH("R61",G238)),0)+IFERROR(--ISNUMBER(SEARCH("R62",G238)),0)+IFERROR(--ISNUMBER(SEARCH("R63",G238)),0)+IFERROR(--ISNUMBER(SEARCH("R64",G238)),0)+IFERROR(--ISNUMBER(SEARCH("R65",G238)),0)+IFERROR(--ISNUMBER(SEARCH("R66",G238)),0)+IFERROR(--ISNUMBER(SEARCH("R67",G238)),0)+IFERROR(--ISNUMBER(SEARCH("R68",G238)),0)+IFERROR(--ISNUMBER(SEARCH("R69",G238)),0)+IFERROR(--ISNUMBER(SEARCH("R70",G238)),0)+IFERROR(--ISNUMBER(SEARCH("R71",G238)),0)+IFERROR(--ISNUMBER(SEARCH("R72",G238)),0)+IFERROR(--ISNUMBER(SEARCH("R73",G238)),0)+IFERROR(--ISNUMBER(SEARCH("R74",G238)),0)+IFERROR(--ISNUMBER(SEARCH("R75",G238)),0)+IFERROR(--ISNUMBER(SEARCH("R76",G238)),0)+IFERROR(--ISNUMBER(SEARCH("R77",G238)),0)+IFERROR(--ISNUMBER(SEARCH("R78",G238)),0)+IFERROR(--ISNUMBER(SEARCH("R79",G238)),0)+IFERROR(--ISNUMBER(SEARCH("R80",G238)),0)+IFERROR(--ISNUMBER(SEARCH("R81",G238)),0)+IFERROR(--ISNUMBER(SEARCH("R82",G238)),0)+IFERROR(--ISNUMBER(SEARCH("R83",G238)),0)+IFERROR(--ISNUMBER(SEARCH("R84",G238)),0)+IFERROR(--ISNUMBER(SEARCH("R85",G238)),0)+IFERROR(--ISNUMBER(SEARCH("R86",G238)),0)+IFERROR(--ISNUMBER(SEARCH("R87",G238)),0)+IFERROR(--ISNUMBER(SEARCH("R88",G238)),0)+IFERROR(--ISNUMBER(SEARCH("R89",G238)),0)+IFERROR(--ISNUMBER(SEARCH("R90",G238)),0)+IFERROR(--ISNUMBER(SEARCH("R91",G238)),0)+IFERROR(--ISNUMBER(SEARCH("R92",G238)),0)+IFERROR(--ISNUMBER(SEARCH("R93",G238)),0)+IFERROR(--ISNUMBER(SEARCH("R94",G238)),0)+IFERROR(--ISNUMBER(SEARCH("R95",G238)),0)+IFERROR(--ISNUMBER(SEARCH("R96",G238)),0)+IFERROR(--ISNUMBER(SEARCH("R97",G238)),0)+IFERROR(--ISNUMBER(SEARCH("R98",G238)),0)+IFERROR(--ISNUMBER(SEARCH("R99",G238)),0)+IFERROR(--ISNUMBER(SEARCH("R100",G238)),0)+IFERROR(--ISNUMBER(SEARCH("R101",G238)),0)+IFERROR(--ISNUMBER(SEARCH("R102",G238)),0)+IFERROR(--ISNUMBER(SEARCH("R103",G238)),0)+IFERROR(--ISNUMBER(SEARCH("R104",G238)),0)+IFERROR(--ISNUMBER(SEARCH("R105",G238)),0)+IFERROR(--ISNUMBER(SEARCH("R106",G238)),0)+IFERROR(--ISNUMBER(SEARCH("R107",G238)),0)+IFERROR(--ISNUMBER(SEARCH("R108",G238)),0)+IFERROR(--ISNUMBER(SEARCH("R109",G238)),0)+IFERROR(--ISNUMBER(SEARCH("R110",G238)),0)+IFERROR(--ISNUMBER(SEARCH("R111",G238)),0)+IFERROR(--ISNUMBER(SEARCH("R112",G238)),0)+IFERROR(--ISNUMBER(SEARCH("R113",G238)),0)+IFERROR(--ISNUMBER(SEARCH("R114",G238)),0)+IFERROR(--ISNUMBER(SEARCH("R115",G238)),0)+IFERROR(--ISNUMBER(SEARCH("R116",G238)),0)+IFERROR(--ISNUMBER(SEARCH("R117",G238)),0)+IFERROR(--ISNUMBER(SEARCH("R118",G238)),0)+IFERROR(--ISNUMBER(SEARCH("R119",G238)),0)+IFERROR(--ISNUMBER(SEARCH("R120",G238)),0)+IFERROR(--ISNUMBER(SEARCH("R121",G238)),0)+IFERROR(--ISNUMBER(SEARCH("R122",G238)),0)+IFERROR(--ISNUMBER(SEARCH("R123",G238)),0)+IFERROR(--ISNUMBER(SEARCH("R124",G238)),0)+IFERROR(--ISNUMBER(SEARCH("R125",G238)),0)+IFERROR(--ISNUMBER(SEARCH("R126",G238)),0)+IFERROR(--ISNUMBER(SEARCH("R127",G238)),0)+IFERROR(--ISNUMBER(SEARCH("R128",G238)),0)+IFERROR(--ISNUMBER(SEARCH("R129",G238)),0)+IFERROR(--ISNUMBER(SEARCH("R130",G238)),0)+IFERROR(--ISNUMBER(SEARCH("R131",G238)),0)+IFERROR(--ISNUMBER(SEARCH("R132",G238)),0)+IFERROR(--ISNUMBER(SEARCH("R133",G238)),0)+IFERROR(--ISNUMBER(SEARCH("R134",G238)),0)+IFERROR(--ISNUMBER(SEARCH("R135",G238)),0)+IFERROR(--ISNUMBER(SEARCH("R136",G238)),0)+IFERROR(--ISNUMBER(SEARCH("R137",G238)),0)+IFERROR(--ISNUMBER(SEARCH("R138",G238)),0)+IFERROR(--ISNUMBER(SEARCH("R139",G238)),0)+IFERROR(--ISNUMBER(SEARCH("R140",G238)),0)+IFERROR(--ISNUMBER(SEARCH("R141",G238)),0))</f>
        <v/>
      </c>
      <c r="T238" s="58">
        <f>IF(A238="","",IFERROR(--ISNUMBER(SEARCH("R28",G238)),0)+IFERROR(--ISNUMBER(SEARCH("R29",G238)),0)+IFERROR(--ISNUMBER(SEARCH("R30",G238)),0)+IFERROR(--ISNUMBER(SEARCH("R32",G238)),0)+IFERROR(--ISNUMBER(SEARCH("R33",G238)),0)+IFERROR(--ISNUMBER(SEARCH("R35",G238)),0)+IFERROR(--ISNUMBER(SEARCH("R36",G238)),0)+IFERROR(--ISNUMBER(SEARCH("R38",G238)),0)+IFERROR(--ISNUMBER(SEARCH("R39",G238)),0)+IFERROR(--ISNUMBER(SEARCH("R43",G238)),0)+IFERROR(--ISNUMBER(SEARCH("R44",G238)),0)+IFERROR(--ISNUMBER(SEARCH("R45",G238)),0)+IFERROR(--ISNUMBER(SEARCH("R47",G238)),0)+IFERROR(--ISNUMBER(SEARCH("R48",G238)),0)+IFERROR(--ISNUMBER(SEARCH("R50",G238)),0)+IFERROR(--ISNUMBER(SEARCH("R51",G238)),0)+IFERROR(--ISNUMBER(SEARCH("R56",G238)),0)+IFERROR(--ISNUMBER(SEARCH("R58",G238)),0)+IFERROR(--ISNUMBER(SEARCH("R59",G238)),0)+IFERROR(--ISNUMBER(SEARCH("R60",G238)),0)+IFERROR(--ISNUMBER(SEARCH("R62",G238)),0)+IFERROR(--ISNUMBER(SEARCH("R63",G238)),0)+IFERROR(--ISNUMBER(SEARCH("R64",G238)),0)+IFERROR(--ISNUMBER(SEARCH("R66",G238)),0)+IFERROR(--ISNUMBER(SEARCH("R67",G238)),0)+IFERROR(--ISNUMBER(SEARCH("R72",G238)),0)+IFERROR(--ISNUMBER(SEARCH("R74",G238)),0)+IFERROR(--ISNUMBER(SEARCH("R75",G238)),0)+IFERROR(--ISNUMBER(SEARCH("R76",G238)),0)+IFERROR(--ISNUMBER(SEARCH("R77",G238)),0)+IFERROR(--ISNUMBER(SEARCH("R79",G238)),0)+IFERROR(--ISNUMBER(SEARCH("R80",G238)),0)+IFERROR(--ISNUMBER(SEARCH("R81",G238)),0)+IFERROR(--ISNUMBER(SEARCH("R83",G238)),0)+IFERROR(--ISNUMBER(SEARCH("R84",G238)),0)+IFERROR(--ISNUMBER(SEARCH("R89",G238)),0)+IFERROR(--ISNUMBER(SEARCH("R94",G238)),0)+IFERROR(--ISNUMBER(SEARCH("R95",G238)),0)+IFERROR(--ISNUMBER(SEARCH("R96",G238)),0)+IFERROR(--ISNUMBER(SEARCH("R98",G238)),0)+IFERROR(--ISNUMBER(SEARCH("R99",G238)),0)+IFERROR(--ISNUMBER(SEARCH("R100",G238)),0)+IFERROR(--ISNUMBER(SEARCH("R104",G238)),0)+IFERROR(--ISNUMBER(SEARCH("R105",G238)),0)+IFERROR(--ISNUMBER(SEARCH("R107",G238)),0)+IFERROR(--ISNUMBER(SEARCH("R108",G238)),0)+IFERROR(--ISNUMBER(SEARCH("R109",G238)),0)+IFERROR(--ISNUMBER(SEARCH("R110",G238)),0)+IFERROR(--ISNUMBER(SEARCH("R112",G238)),0)+IFERROR(--ISNUMBER(SEARCH("R113",G238)),0)+IFERROR(--ISNUMBER(SEARCH("R114",G238)),0)+IFERROR(--ISNUMBER(SEARCH("R118",G238)),0)+IFERROR(--ISNUMBER(SEARCH("R119",G238)),0)+IFERROR(--ISNUMBER(SEARCH("R120",G238)),0)+IFERROR(--ISNUMBER(SEARCH("R122",G238)),0)+IFERROR(--ISNUMBER(SEARCH("R123",G238)),0)+IFERROR(--ISNUMBER(SEARCH("R124",G238)),0)+IFERROR(--ISNUMBER(SEARCH("R128",G238)),0)+IFERROR(--ISNUMBER(SEARCH("R130",G238)),0)+IFERROR(--ISNUMBER(SEARCH("R131",G238)),0)+IFERROR(--ISNUMBER(SEARCH("R132",G238)),0)+IFERROR(--ISNUMBER(SEARCH("R135",G238)),0)+IFERROR(--ISNUMBER(SEARCH("R138",G238)),0)+IFERROR(--ISNUMBER(SEARCH("R141",G238)),0))</f>
        <v/>
      </c>
      <c r="U238" s="58">
        <f>IF(A238="","",IFERROR(--ISNUMBER(SEARCH("R28",G238))*28,0)+IFERROR(--ISNUMBER(SEARCH("R29",G238))*29,0)+IFERROR(--ISNUMBER(SEARCH("R30",G238))*30,0)+IFERROR(--ISNUMBER(SEARCH("R31",G238))*31,0)+IFERROR(--ISNUMBER(SEARCH("R32",G238))*32,0)+IFERROR(--ISNUMBER(SEARCH("R33",G238))*33,0)+IFERROR(--ISNUMBER(SEARCH("R34",G238))*34,0)+IFERROR(--ISNUMBER(SEARCH("R35",G238))*35,0)+IFERROR(--ISNUMBER(SEARCH("R36",G238))*36,0)+IFERROR(--ISNUMBER(SEARCH("R37",G238))*37,0)+IFERROR(--ISNUMBER(SEARCH("R38",G238))*38,0)+IFERROR(--ISNUMBER(SEARCH("R39",G238))*39,0)+IFERROR(--ISNUMBER(SEARCH("R40",G238))*40,0)+IFERROR(--ISNUMBER(SEARCH("R41",G238))*41,0)+IFERROR(--ISNUMBER(SEARCH("R42",G238))*42,0)+IFERROR(--ISNUMBER(SEARCH("R43",G238))*43,0)+IFERROR(--ISNUMBER(SEARCH("R44",G238))*44,0)+IFERROR(--ISNUMBER(SEARCH("R45",G238))*45,0)+IFERROR(--ISNUMBER(SEARCH("R46",G238))*46,0)+IFERROR(--ISNUMBER(SEARCH("R47",G238))*47,0)+IFERROR(--ISNUMBER(SEARCH("R48",G238))*48,0)+IFERROR(--ISNUMBER(SEARCH("R49",G238))*49,0)+IFERROR(--ISNUMBER(SEARCH("R50",G238))*50,0)+IFERROR(--ISNUMBER(SEARCH("R51",G238))*51,0)+IFERROR(--ISNUMBER(SEARCH("R52",G238))*52,0)+IFERROR(--ISNUMBER(SEARCH("R53",G238))*53,0)+IFERROR(--ISNUMBER(SEARCH("R54",G238))*54,0)+IFERROR(--ISNUMBER(SEARCH("R55",G238))*55,0)+IFERROR(--ISNUMBER(SEARCH("R56",G238))*56,0)+IFERROR(--ISNUMBER(SEARCH("R57",G238))*57,0)+IFERROR(--ISNUMBER(SEARCH("R58",G238))*58,0)+IFERROR(--ISNUMBER(SEARCH("R59",G238))*59,0)+IFERROR(--ISNUMBER(SEARCH("R60",G238))*60,0)+IFERROR(--ISNUMBER(SEARCH("R61",G238))*61,0)+IFERROR(--ISNUMBER(SEARCH("R62",G238))*62,0)+IFERROR(--ISNUMBER(SEARCH("R63",G238))*63,0)+IFERROR(--ISNUMBER(SEARCH("R64",G238))*64,0)+IFERROR(--ISNUMBER(SEARCH("R65",G238))*65,0)+IFERROR(--ISNUMBER(SEARCH("R66",G238))*66,0)+IFERROR(--ISNUMBER(SEARCH("R67",G238))*67,0)+IFERROR(--ISNUMBER(SEARCH("R68",G238))*68,0)+IFERROR(--ISNUMBER(SEARCH("R69",G238))*69,0)+IFERROR(--ISNUMBER(SEARCH("R70",G238))*70,0)+IFERROR(--ISNUMBER(SEARCH("R71",G238))*71,0)+IFERROR(--ISNUMBER(SEARCH("R72",G238))*72,0)+IFERROR(--ISNUMBER(SEARCH("R73",G238))*73,0)+IFERROR(--ISNUMBER(SEARCH("R74",G238))*74,0)+IFERROR(--ISNUMBER(SEARCH("R75",G238))*75,0)+IFERROR(--ISNUMBER(SEARCH("R76",G238))*76,0)+IFERROR(--ISNUMBER(SEARCH("R77",G238))*77,0)+IFERROR(--ISNUMBER(SEARCH("R78",G238))*78,0)+IFERROR(--ISNUMBER(SEARCH("R79",G238))*79,0)+IFERROR(--ISNUMBER(SEARCH("R80",G238))*80,0)+IFERROR(--ISNUMBER(SEARCH("R81",G238))*81,0)+IFERROR(--ISNUMBER(SEARCH("R82",G238))*82,0)+IFERROR(--ISNUMBER(SEARCH("R83",G238))*83,0)+IFERROR(--ISNUMBER(SEARCH("R84",G238))*84,0)+IFERROR(--ISNUMBER(SEARCH("R85",G238))*85,0)+IFERROR(--ISNUMBER(SEARCH("R86",G238))*86,0)+IFERROR(--ISNUMBER(SEARCH("R87",G238))*87,0)+IFERROR(--ISNUMBER(SEARCH("R88",G238))*88,0)+IFERROR(--ISNUMBER(SEARCH("R89",G238))*89,0)+IFERROR(--ISNUMBER(SEARCH("R90",G238))*90,0)+IFERROR(--ISNUMBER(SEARCH("R91",G238))*91,0)+IFERROR(--ISNUMBER(SEARCH("R92",G238))*92,0)+IFERROR(--ISNUMBER(SEARCH("R93",G238))*93,0)+IFERROR(--ISNUMBER(SEARCH("R94",G238))*94,0)+IFERROR(--ISNUMBER(SEARCH("R95",G238))*95,0)+IFERROR(--ISNUMBER(SEARCH("R96",G238))*96,0)+IFERROR(--ISNUMBER(SEARCH("R97",G238))*97,0)+IFERROR(--ISNUMBER(SEARCH("R98",G238))*98,0)+IFERROR(--ISNUMBER(SEARCH("R99",G238))*99,0)+IFERROR(--ISNUMBER(SEARCH("R100",G238))*100,0)+IFERROR(--ISNUMBER(SEARCH("R101",G238))*101,0)+IFERROR(--ISNUMBER(SEARCH("R102",G238))*102,0)+IFERROR(--ISNUMBER(SEARCH("R103",G238))*103,0)+IFERROR(--ISNUMBER(SEARCH("R104",G238))*104,0)+IFERROR(--ISNUMBER(SEARCH("R105",G238))*105,0)+IFERROR(--ISNUMBER(SEARCH("R106",G238))*106,0)+IFERROR(--ISNUMBER(SEARCH("R107",G238))*107,0)+IFERROR(--ISNUMBER(SEARCH("R108",G238))*108,0)+IFERROR(--ISNUMBER(SEARCH("R109",G238))*109,0)+IFERROR(--ISNUMBER(SEARCH("R110",G238))*110,0)+IFERROR(--ISNUMBER(SEARCH("R111",G238))*111,0)+IFERROR(--ISNUMBER(SEARCH("R112",G238))*112,0)+IFERROR(--ISNUMBER(SEARCH("R113",G238))*113,0)+IFERROR(--ISNUMBER(SEARCH("R114",G238))*114,0)+IFERROR(--ISNUMBER(SEARCH("R115",G238))*115,0)+IFERROR(--ISNUMBER(SEARCH("R116",G238))*116,0)+IFERROR(--ISNUMBER(SEARCH("R117",G238))*117,0)+IFERROR(--ISNUMBER(SEARCH("R118",G238))*118,0)+IFERROR(--ISNUMBER(SEARCH("R119",G238))*119,0)+IFERROR(--ISNUMBER(SEARCH("R120",G238))*120,0)+IFERROR(--ISNUMBER(SEARCH("R121",G238))*121,0)+IFERROR(--ISNUMBER(SEARCH("R122",G238))*122,0)+IFERROR(--ISNUMBER(SEARCH("R123",G238))*123,0)+IFERROR(--ISNUMBER(SEARCH("R124",G238))*124,0)+IFERROR(--ISNUMBER(SEARCH("R125",G238))*125,0)+IFERROR(--ISNUMBER(SEARCH("R126",G238))*126,0)+IFERROR(--ISNUMBER(SEARCH("R127",G238))*127,0)+IFERROR(--ISNUMBER(SEARCH("R128",G238))*128,0)+IFERROR(--ISNUMBER(SEARCH("R129",G238))*129,0)+IFERROR(--ISNUMBER(SEARCH("R130",G238))*130,0)+IFERROR(--ISNUMBER(SEARCH("R131",G238))*131,0)+IFERROR(--ISNUMBER(SEARCH("R132",G238))*132,0)+IFERROR(--ISNUMBER(SEARCH("R133",G238))*133,0)+IFERROR(--ISNUMBER(SEARCH("R134",G238))*134,0)+IFERROR(--ISNUMBER(SEARCH("R135",G238))*135,0)+IFERROR(--ISNUMBER(SEARCH("R136",G238))*136,0)+IFERROR(--ISNUMBER(SEARCH("R137",G238))*137,0)+IFERROR(--ISNUMBER(SEARCH("R138",G238))*138,0)+IFERROR(--ISNUMBER(SEARCH("R139",G238))*139,0)+IFERROR(--ISNUMBER(SEARCH("R140",G238))*140,0)+IFERROR(--ISNUMBER(SEARCH("R141",G238))*141,0))</f>
        <v/>
      </c>
      <c r="V238" s="59">
        <f>IF(A238="","",IF(K238&lt;&gt;"",K238,J238))</f>
        <v/>
      </c>
      <c r="W238" s="59">
        <f>IF(A238="","",IF(AND(V238=29,O238&lt;&gt;"",COUNTIFS($V$6:$V$505,29,$F$6:$F$505,F238,$C$6:$C$505,C238,$O$6:$O$505,"&lt;&gt;")&gt;1),IF(COUNTIFS($V$6:V238,29,$F$6:F238,F238,$C$6:C238,C238,$O$6:O238,"&lt;&gt;")=1,"Esta es la fila que se debe CONSERVAR (aparición 1 de "&amp;COUNTIFS($V$6:$V$505,29,$F$6:$F$505,F238,$C$6:$C$505,C238,$O$6:$O$505,"&lt;&gt;")&amp;" con el mismo tercero y valor, casilla 29). Si hay más filas iguales, bórreles el valor a ELLAS, no a esta.","DUPLICADO — ya existe otra fila con el mismo tercero y valor para casilla 29 (aparición "&amp;COUNTIFS($V$6:V238,29,$F$6:F238,F238,$C$6:C238,C238,$O$6:O238,"&lt;&gt;")&amp;" de "&amp;COUNTIFS($V$6:$V$505,29,$F$6:$F$505,F238,$C$6:$C$505,C238,$O$6:$O$505,"&lt;&gt;")&amp;"). Para resolverlo: seleccione la celda O"&amp;ROW()&amp;" (columna Valor a declarar de ESTA fila) y presione Supr."),""))</f>
        <v/>
      </c>
      <c r="X238" s="463">
        <f>IF(A238="","",F238)</f>
        <v/>
      </c>
      <c r="Y238" s="463">
        <f>IF(A238="","",SUMIF(Entrada_Manual!$I$88:$I$187,A238,Entrada_Manual!$F$88:$F$187))</f>
        <v/>
      </c>
      <c r="Z238" s="463">
        <f>IF(A238="","",X238-Y238)</f>
        <v/>
      </c>
      <c r="AA238">
        <f>IF(A238="","",SUMPRODUCT((Entrada_Manual!$I$88:$I$187=A238)*1))</f>
        <v/>
      </c>
      <c r="AB238">
        <f>IF(A238="","",IF(S238&lt;=1,"",IF(AA238=0,"PENDIENTE — SIN ASIGNAR",IF(Z238=0,"RESUELTO","PARCIAL — DIFERENCIA "&amp;TEXT(Z238,"#,##0")))))</f>
        <v/>
      </c>
    </row>
    <row r="239" ht="14.25" customHeight="1" s="235">
      <c r="A239" s="47">
        <f>IF(Exogena_RAW!E248&lt;&gt;"",ROW()-5,"")</f>
        <v/>
      </c>
      <c r="B239" s="48">
        <f>IF(A239="","",248)</f>
        <v/>
      </c>
      <c r="C239" s="48">
        <f>IF(A239="","",IFERROR(Exogena_RAW!A248,""))</f>
        <v/>
      </c>
      <c r="D239" s="48">
        <f>IF(A239="","",IFERROR(Exogena_RAW!B248,""))</f>
        <v/>
      </c>
      <c r="E239" s="48">
        <f>IF(A239="","",Exogena_RAW!E248)</f>
        <v/>
      </c>
      <c r="F239" s="461">
        <f>IF(A239="","",Exogena_RAW!F248)</f>
        <v/>
      </c>
      <c r="G239" s="48">
        <f>IF(A239="","",IFERROR(Exogena_RAW!G248,""))</f>
        <v/>
      </c>
      <c r="H239" s="48">
        <f>IF(A239="","",IFERROR(Exogena_RAW!H248,""))</f>
        <v/>
      </c>
      <c r="I239" s="48">
        <f>IF(A239="","",IFERROR(IF(S239&gt;1,"VARIAS CASILLAS",IF(S239=1,IF(T239=1,"PROPUESTA DE CASILLA","REVISIÓN: CASILLA NO DIRECTA"),IF(OR(ISNUMBER(SEARCH("TOPE",UPPER(E239))),ISNUMBER(SEARCH("TOPE",UPPER(G239)))),"SOLO CONTROL",IF(ISNUMBER(SEARCH("RETEN",UPPER(E239))),"RETENCIÓN","REVISAR")))),"REVISAR"))</f>
        <v/>
      </c>
      <c r="J239" s="48">
        <f>IF(A239="","",IF(ISNUMBER(SEARCH("ingreso laboral promedio de los últimos seis meses",E239)),"",IFERROR(IF(AND(S239=1,T239=1),U239,""),"")))</f>
        <v/>
      </c>
      <c r="K239" s="216" t="n"/>
      <c r="L239" s="48">
        <f>IF(A239="","",IFERROR(IF(K239&lt;&gt;"","Casilla elegida por usuario",IF(S239&gt;1,"Varias casillas — elegir en K",IF(J239&lt;&gt;"","Sugerencia directa",IF(S239=1,"No trasladar directo — revisar",IF(OR(ISNUMBER(SEARCH("TOPE",UPPER(E239))),ISNUMBER(SEARCH("TOPE",UPPER(G239)))),"Solo control","Revisar manualmente"))))),"Revisar manualmente"))</f>
        <v/>
      </c>
      <c r="M239" s="461">
        <f>IF(A239="","",IF(IF(K239&lt;&gt;"",K239,J239)="",0,IF(COUNTIFS(Reglas!$I$5:$I$118,IF(K239&lt;&gt;"",K239,J239),Reglas!$J$5:$J$118,"Sí")=1,F239,0)))</f>
        <v/>
      </c>
      <c r="N239" s="56" t="n"/>
      <c r="O239" s="462">
        <f>IF(A239="","",IF(M239=0,"",M239))</f>
        <v/>
      </c>
      <c r="P239" s="461">
        <f>IF(A239="","",IF(O239="",0,IF(ISNUMBER(O239),O239,0)))</f>
        <v/>
      </c>
      <c r="Q239" s="48">
        <f>IF(A239="","",IF(Exogena_RAW!$C$4="","BLOQUEADO: FALTA AÑO",IF(Exogena_RAW!$K$10&lt;&gt;Reglas!$B$5,"BLOQUEADO: AÑO",IF(IF(K239&lt;&gt;"",K239,J239)="",IF(S239&gt;1,"REQUIERE ASIGNACIÓN MANUAL (VARIAS CASILLAS)","INFORMATIVO (sin casilla — no se declara)"),IF(COUNTIFS(Reglas!$I$5:$I$118,IF(K239&lt;&gt;"",K239,J239),Reglas!$J$5:$J$118,"Sí")=0,"BLOQUEADO: CASILLA NO DIRECTA",IF(O239="","EXCLUIDO (valor borrado por el usuario)",IF(_xlfn.ISFORMULA(O239),IF(W239&lt;&gt;"","BORRADOR — VALOR SUGERIDO DIAN ⚠ VER ALERTA","BORRADOR — VALOR SUGERIDO DIAN"),IF(W239&lt;&gt;"","ACEPTADO ⚠ VER ALERTA","ACEPTADO"))))))))</f>
        <v/>
      </c>
      <c r="R239" s="218" t="n"/>
      <c r="S239" s="58">
        <f>IF(A239="","",IFERROR(--ISNUMBER(SEARCH("R28",G239)),0)+IFERROR(--ISNUMBER(SEARCH("R29",G239)),0)+IFERROR(--ISNUMBER(SEARCH("R30",G239)),0)+IFERROR(--ISNUMBER(SEARCH("R31",G239)),0)+IFERROR(--ISNUMBER(SEARCH("R32",G239)),0)+IFERROR(--ISNUMBER(SEARCH("R33",G239)),0)+IFERROR(--ISNUMBER(SEARCH("R34",G239)),0)+IFERROR(--ISNUMBER(SEARCH("R35",G239)),0)+IFERROR(--ISNUMBER(SEARCH("R36",G239)),0)+IFERROR(--ISNUMBER(SEARCH("R37",G239)),0)+IFERROR(--ISNUMBER(SEARCH("R38",G239)),0)+IFERROR(--ISNUMBER(SEARCH("R39",G239)),0)+IFERROR(--ISNUMBER(SEARCH("R40",G239)),0)+IFERROR(--ISNUMBER(SEARCH("R41",G239)),0)+IFERROR(--ISNUMBER(SEARCH("R42",G239)),0)+IFERROR(--ISNUMBER(SEARCH("R43",G239)),0)+IFERROR(--ISNUMBER(SEARCH("R44",G239)),0)+IFERROR(--ISNUMBER(SEARCH("R45",G239)),0)+IFERROR(--ISNUMBER(SEARCH("R46",G239)),0)+IFERROR(--ISNUMBER(SEARCH("R47",G239)),0)+IFERROR(--ISNUMBER(SEARCH("R48",G239)),0)+IFERROR(--ISNUMBER(SEARCH("R49",G239)),0)+IFERROR(--ISNUMBER(SEARCH("R50",G239)),0)+IFERROR(--ISNUMBER(SEARCH("R51",G239)),0)+IFERROR(--ISNUMBER(SEARCH("R52",G239)),0)+IFERROR(--ISNUMBER(SEARCH("R53",G239)),0)+IFERROR(--ISNUMBER(SEARCH("R54",G239)),0)+IFERROR(--ISNUMBER(SEARCH("R55",G239)),0)+IFERROR(--ISNUMBER(SEARCH("R56",G239)),0)+IFERROR(--ISNUMBER(SEARCH("R57",G239)),0)+IFERROR(--ISNUMBER(SEARCH("R58",G239)),0)+IFERROR(--ISNUMBER(SEARCH("R59",G239)),0)+IFERROR(--ISNUMBER(SEARCH("R60",G239)),0)+IFERROR(--ISNUMBER(SEARCH("R61",G239)),0)+IFERROR(--ISNUMBER(SEARCH("R62",G239)),0)+IFERROR(--ISNUMBER(SEARCH("R63",G239)),0)+IFERROR(--ISNUMBER(SEARCH("R64",G239)),0)+IFERROR(--ISNUMBER(SEARCH("R65",G239)),0)+IFERROR(--ISNUMBER(SEARCH("R66",G239)),0)+IFERROR(--ISNUMBER(SEARCH("R67",G239)),0)+IFERROR(--ISNUMBER(SEARCH("R68",G239)),0)+IFERROR(--ISNUMBER(SEARCH("R69",G239)),0)+IFERROR(--ISNUMBER(SEARCH("R70",G239)),0)+IFERROR(--ISNUMBER(SEARCH("R71",G239)),0)+IFERROR(--ISNUMBER(SEARCH("R72",G239)),0)+IFERROR(--ISNUMBER(SEARCH("R73",G239)),0)+IFERROR(--ISNUMBER(SEARCH("R74",G239)),0)+IFERROR(--ISNUMBER(SEARCH("R75",G239)),0)+IFERROR(--ISNUMBER(SEARCH("R76",G239)),0)+IFERROR(--ISNUMBER(SEARCH("R77",G239)),0)+IFERROR(--ISNUMBER(SEARCH("R78",G239)),0)+IFERROR(--ISNUMBER(SEARCH("R79",G239)),0)+IFERROR(--ISNUMBER(SEARCH("R80",G239)),0)+IFERROR(--ISNUMBER(SEARCH("R81",G239)),0)+IFERROR(--ISNUMBER(SEARCH("R82",G239)),0)+IFERROR(--ISNUMBER(SEARCH("R83",G239)),0)+IFERROR(--ISNUMBER(SEARCH("R84",G239)),0)+IFERROR(--ISNUMBER(SEARCH("R85",G239)),0)+IFERROR(--ISNUMBER(SEARCH("R86",G239)),0)+IFERROR(--ISNUMBER(SEARCH("R87",G239)),0)+IFERROR(--ISNUMBER(SEARCH("R88",G239)),0)+IFERROR(--ISNUMBER(SEARCH("R89",G239)),0)+IFERROR(--ISNUMBER(SEARCH("R90",G239)),0)+IFERROR(--ISNUMBER(SEARCH("R91",G239)),0)+IFERROR(--ISNUMBER(SEARCH("R92",G239)),0)+IFERROR(--ISNUMBER(SEARCH("R93",G239)),0)+IFERROR(--ISNUMBER(SEARCH("R94",G239)),0)+IFERROR(--ISNUMBER(SEARCH("R95",G239)),0)+IFERROR(--ISNUMBER(SEARCH("R96",G239)),0)+IFERROR(--ISNUMBER(SEARCH("R97",G239)),0)+IFERROR(--ISNUMBER(SEARCH("R98",G239)),0)+IFERROR(--ISNUMBER(SEARCH("R99",G239)),0)+IFERROR(--ISNUMBER(SEARCH("R100",G239)),0)+IFERROR(--ISNUMBER(SEARCH("R101",G239)),0)+IFERROR(--ISNUMBER(SEARCH("R102",G239)),0)+IFERROR(--ISNUMBER(SEARCH("R103",G239)),0)+IFERROR(--ISNUMBER(SEARCH("R104",G239)),0)+IFERROR(--ISNUMBER(SEARCH("R105",G239)),0)+IFERROR(--ISNUMBER(SEARCH("R106",G239)),0)+IFERROR(--ISNUMBER(SEARCH("R107",G239)),0)+IFERROR(--ISNUMBER(SEARCH("R108",G239)),0)+IFERROR(--ISNUMBER(SEARCH("R109",G239)),0)+IFERROR(--ISNUMBER(SEARCH("R110",G239)),0)+IFERROR(--ISNUMBER(SEARCH("R111",G239)),0)+IFERROR(--ISNUMBER(SEARCH("R112",G239)),0)+IFERROR(--ISNUMBER(SEARCH("R113",G239)),0)+IFERROR(--ISNUMBER(SEARCH("R114",G239)),0)+IFERROR(--ISNUMBER(SEARCH("R115",G239)),0)+IFERROR(--ISNUMBER(SEARCH("R116",G239)),0)+IFERROR(--ISNUMBER(SEARCH("R117",G239)),0)+IFERROR(--ISNUMBER(SEARCH("R118",G239)),0)+IFERROR(--ISNUMBER(SEARCH("R119",G239)),0)+IFERROR(--ISNUMBER(SEARCH("R120",G239)),0)+IFERROR(--ISNUMBER(SEARCH("R121",G239)),0)+IFERROR(--ISNUMBER(SEARCH("R122",G239)),0)+IFERROR(--ISNUMBER(SEARCH("R123",G239)),0)+IFERROR(--ISNUMBER(SEARCH("R124",G239)),0)+IFERROR(--ISNUMBER(SEARCH("R125",G239)),0)+IFERROR(--ISNUMBER(SEARCH("R126",G239)),0)+IFERROR(--ISNUMBER(SEARCH("R127",G239)),0)+IFERROR(--ISNUMBER(SEARCH("R128",G239)),0)+IFERROR(--ISNUMBER(SEARCH("R129",G239)),0)+IFERROR(--ISNUMBER(SEARCH("R130",G239)),0)+IFERROR(--ISNUMBER(SEARCH("R131",G239)),0)+IFERROR(--ISNUMBER(SEARCH("R132",G239)),0)+IFERROR(--ISNUMBER(SEARCH("R133",G239)),0)+IFERROR(--ISNUMBER(SEARCH("R134",G239)),0)+IFERROR(--ISNUMBER(SEARCH("R135",G239)),0)+IFERROR(--ISNUMBER(SEARCH("R136",G239)),0)+IFERROR(--ISNUMBER(SEARCH("R137",G239)),0)+IFERROR(--ISNUMBER(SEARCH("R138",G239)),0)+IFERROR(--ISNUMBER(SEARCH("R139",G239)),0)+IFERROR(--ISNUMBER(SEARCH("R140",G239)),0)+IFERROR(--ISNUMBER(SEARCH("R141",G239)),0))</f>
        <v/>
      </c>
      <c r="T239" s="58">
        <f>IF(A239="","",IFERROR(--ISNUMBER(SEARCH("R28",G239)),0)+IFERROR(--ISNUMBER(SEARCH("R29",G239)),0)+IFERROR(--ISNUMBER(SEARCH("R30",G239)),0)+IFERROR(--ISNUMBER(SEARCH("R32",G239)),0)+IFERROR(--ISNUMBER(SEARCH("R33",G239)),0)+IFERROR(--ISNUMBER(SEARCH("R35",G239)),0)+IFERROR(--ISNUMBER(SEARCH("R36",G239)),0)+IFERROR(--ISNUMBER(SEARCH("R38",G239)),0)+IFERROR(--ISNUMBER(SEARCH("R39",G239)),0)+IFERROR(--ISNUMBER(SEARCH("R43",G239)),0)+IFERROR(--ISNUMBER(SEARCH("R44",G239)),0)+IFERROR(--ISNUMBER(SEARCH("R45",G239)),0)+IFERROR(--ISNUMBER(SEARCH("R47",G239)),0)+IFERROR(--ISNUMBER(SEARCH("R48",G239)),0)+IFERROR(--ISNUMBER(SEARCH("R50",G239)),0)+IFERROR(--ISNUMBER(SEARCH("R51",G239)),0)+IFERROR(--ISNUMBER(SEARCH("R56",G239)),0)+IFERROR(--ISNUMBER(SEARCH("R58",G239)),0)+IFERROR(--ISNUMBER(SEARCH("R59",G239)),0)+IFERROR(--ISNUMBER(SEARCH("R60",G239)),0)+IFERROR(--ISNUMBER(SEARCH("R62",G239)),0)+IFERROR(--ISNUMBER(SEARCH("R63",G239)),0)+IFERROR(--ISNUMBER(SEARCH("R64",G239)),0)+IFERROR(--ISNUMBER(SEARCH("R66",G239)),0)+IFERROR(--ISNUMBER(SEARCH("R67",G239)),0)+IFERROR(--ISNUMBER(SEARCH("R72",G239)),0)+IFERROR(--ISNUMBER(SEARCH("R74",G239)),0)+IFERROR(--ISNUMBER(SEARCH("R75",G239)),0)+IFERROR(--ISNUMBER(SEARCH("R76",G239)),0)+IFERROR(--ISNUMBER(SEARCH("R77",G239)),0)+IFERROR(--ISNUMBER(SEARCH("R79",G239)),0)+IFERROR(--ISNUMBER(SEARCH("R80",G239)),0)+IFERROR(--ISNUMBER(SEARCH("R81",G239)),0)+IFERROR(--ISNUMBER(SEARCH("R83",G239)),0)+IFERROR(--ISNUMBER(SEARCH("R84",G239)),0)+IFERROR(--ISNUMBER(SEARCH("R89",G239)),0)+IFERROR(--ISNUMBER(SEARCH("R94",G239)),0)+IFERROR(--ISNUMBER(SEARCH("R95",G239)),0)+IFERROR(--ISNUMBER(SEARCH("R96",G239)),0)+IFERROR(--ISNUMBER(SEARCH("R98",G239)),0)+IFERROR(--ISNUMBER(SEARCH("R99",G239)),0)+IFERROR(--ISNUMBER(SEARCH("R100",G239)),0)+IFERROR(--ISNUMBER(SEARCH("R104",G239)),0)+IFERROR(--ISNUMBER(SEARCH("R105",G239)),0)+IFERROR(--ISNUMBER(SEARCH("R107",G239)),0)+IFERROR(--ISNUMBER(SEARCH("R108",G239)),0)+IFERROR(--ISNUMBER(SEARCH("R109",G239)),0)+IFERROR(--ISNUMBER(SEARCH("R110",G239)),0)+IFERROR(--ISNUMBER(SEARCH("R112",G239)),0)+IFERROR(--ISNUMBER(SEARCH("R113",G239)),0)+IFERROR(--ISNUMBER(SEARCH("R114",G239)),0)+IFERROR(--ISNUMBER(SEARCH("R118",G239)),0)+IFERROR(--ISNUMBER(SEARCH("R119",G239)),0)+IFERROR(--ISNUMBER(SEARCH("R120",G239)),0)+IFERROR(--ISNUMBER(SEARCH("R122",G239)),0)+IFERROR(--ISNUMBER(SEARCH("R123",G239)),0)+IFERROR(--ISNUMBER(SEARCH("R124",G239)),0)+IFERROR(--ISNUMBER(SEARCH("R128",G239)),0)+IFERROR(--ISNUMBER(SEARCH("R130",G239)),0)+IFERROR(--ISNUMBER(SEARCH("R131",G239)),0)+IFERROR(--ISNUMBER(SEARCH("R132",G239)),0)+IFERROR(--ISNUMBER(SEARCH("R135",G239)),0)+IFERROR(--ISNUMBER(SEARCH("R138",G239)),0)+IFERROR(--ISNUMBER(SEARCH("R141",G239)),0))</f>
        <v/>
      </c>
      <c r="U239" s="58">
        <f>IF(A239="","",IFERROR(--ISNUMBER(SEARCH("R28",G239))*28,0)+IFERROR(--ISNUMBER(SEARCH("R29",G239))*29,0)+IFERROR(--ISNUMBER(SEARCH("R30",G239))*30,0)+IFERROR(--ISNUMBER(SEARCH("R31",G239))*31,0)+IFERROR(--ISNUMBER(SEARCH("R32",G239))*32,0)+IFERROR(--ISNUMBER(SEARCH("R33",G239))*33,0)+IFERROR(--ISNUMBER(SEARCH("R34",G239))*34,0)+IFERROR(--ISNUMBER(SEARCH("R35",G239))*35,0)+IFERROR(--ISNUMBER(SEARCH("R36",G239))*36,0)+IFERROR(--ISNUMBER(SEARCH("R37",G239))*37,0)+IFERROR(--ISNUMBER(SEARCH("R38",G239))*38,0)+IFERROR(--ISNUMBER(SEARCH("R39",G239))*39,0)+IFERROR(--ISNUMBER(SEARCH("R40",G239))*40,0)+IFERROR(--ISNUMBER(SEARCH("R41",G239))*41,0)+IFERROR(--ISNUMBER(SEARCH("R42",G239))*42,0)+IFERROR(--ISNUMBER(SEARCH("R43",G239))*43,0)+IFERROR(--ISNUMBER(SEARCH("R44",G239))*44,0)+IFERROR(--ISNUMBER(SEARCH("R45",G239))*45,0)+IFERROR(--ISNUMBER(SEARCH("R46",G239))*46,0)+IFERROR(--ISNUMBER(SEARCH("R47",G239))*47,0)+IFERROR(--ISNUMBER(SEARCH("R48",G239))*48,0)+IFERROR(--ISNUMBER(SEARCH("R49",G239))*49,0)+IFERROR(--ISNUMBER(SEARCH("R50",G239))*50,0)+IFERROR(--ISNUMBER(SEARCH("R51",G239))*51,0)+IFERROR(--ISNUMBER(SEARCH("R52",G239))*52,0)+IFERROR(--ISNUMBER(SEARCH("R53",G239))*53,0)+IFERROR(--ISNUMBER(SEARCH("R54",G239))*54,0)+IFERROR(--ISNUMBER(SEARCH("R55",G239))*55,0)+IFERROR(--ISNUMBER(SEARCH("R56",G239))*56,0)+IFERROR(--ISNUMBER(SEARCH("R57",G239))*57,0)+IFERROR(--ISNUMBER(SEARCH("R58",G239))*58,0)+IFERROR(--ISNUMBER(SEARCH("R59",G239))*59,0)+IFERROR(--ISNUMBER(SEARCH("R60",G239))*60,0)+IFERROR(--ISNUMBER(SEARCH("R61",G239))*61,0)+IFERROR(--ISNUMBER(SEARCH("R62",G239))*62,0)+IFERROR(--ISNUMBER(SEARCH("R63",G239))*63,0)+IFERROR(--ISNUMBER(SEARCH("R64",G239))*64,0)+IFERROR(--ISNUMBER(SEARCH("R65",G239))*65,0)+IFERROR(--ISNUMBER(SEARCH("R66",G239))*66,0)+IFERROR(--ISNUMBER(SEARCH("R67",G239))*67,0)+IFERROR(--ISNUMBER(SEARCH("R68",G239))*68,0)+IFERROR(--ISNUMBER(SEARCH("R69",G239))*69,0)+IFERROR(--ISNUMBER(SEARCH("R70",G239))*70,0)+IFERROR(--ISNUMBER(SEARCH("R71",G239))*71,0)+IFERROR(--ISNUMBER(SEARCH("R72",G239))*72,0)+IFERROR(--ISNUMBER(SEARCH("R73",G239))*73,0)+IFERROR(--ISNUMBER(SEARCH("R74",G239))*74,0)+IFERROR(--ISNUMBER(SEARCH("R75",G239))*75,0)+IFERROR(--ISNUMBER(SEARCH("R76",G239))*76,0)+IFERROR(--ISNUMBER(SEARCH("R77",G239))*77,0)+IFERROR(--ISNUMBER(SEARCH("R78",G239))*78,0)+IFERROR(--ISNUMBER(SEARCH("R79",G239))*79,0)+IFERROR(--ISNUMBER(SEARCH("R80",G239))*80,0)+IFERROR(--ISNUMBER(SEARCH("R81",G239))*81,0)+IFERROR(--ISNUMBER(SEARCH("R82",G239))*82,0)+IFERROR(--ISNUMBER(SEARCH("R83",G239))*83,0)+IFERROR(--ISNUMBER(SEARCH("R84",G239))*84,0)+IFERROR(--ISNUMBER(SEARCH("R85",G239))*85,0)+IFERROR(--ISNUMBER(SEARCH("R86",G239))*86,0)+IFERROR(--ISNUMBER(SEARCH("R87",G239))*87,0)+IFERROR(--ISNUMBER(SEARCH("R88",G239))*88,0)+IFERROR(--ISNUMBER(SEARCH("R89",G239))*89,0)+IFERROR(--ISNUMBER(SEARCH("R90",G239))*90,0)+IFERROR(--ISNUMBER(SEARCH("R91",G239))*91,0)+IFERROR(--ISNUMBER(SEARCH("R92",G239))*92,0)+IFERROR(--ISNUMBER(SEARCH("R93",G239))*93,0)+IFERROR(--ISNUMBER(SEARCH("R94",G239))*94,0)+IFERROR(--ISNUMBER(SEARCH("R95",G239))*95,0)+IFERROR(--ISNUMBER(SEARCH("R96",G239))*96,0)+IFERROR(--ISNUMBER(SEARCH("R97",G239))*97,0)+IFERROR(--ISNUMBER(SEARCH("R98",G239))*98,0)+IFERROR(--ISNUMBER(SEARCH("R99",G239))*99,0)+IFERROR(--ISNUMBER(SEARCH("R100",G239))*100,0)+IFERROR(--ISNUMBER(SEARCH("R101",G239))*101,0)+IFERROR(--ISNUMBER(SEARCH("R102",G239))*102,0)+IFERROR(--ISNUMBER(SEARCH("R103",G239))*103,0)+IFERROR(--ISNUMBER(SEARCH("R104",G239))*104,0)+IFERROR(--ISNUMBER(SEARCH("R105",G239))*105,0)+IFERROR(--ISNUMBER(SEARCH("R106",G239))*106,0)+IFERROR(--ISNUMBER(SEARCH("R107",G239))*107,0)+IFERROR(--ISNUMBER(SEARCH("R108",G239))*108,0)+IFERROR(--ISNUMBER(SEARCH("R109",G239))*109,0)+IFERROR(--ISNUMBER(SEARCH("R110",G239))*110,0)+IFERROR(--ISNUMBER(SEARCH("R111",G239))*111,0)+IFERROR(--ISNUMBER(SEARCH("R112",G239))*112,0)+IFERROR(--ISNUMBER(SEARCH("R113",G239))*113,0)+IFERROR(--ISNUMBER(SEARCH("R114",G239))*114,0)+IFERROR(--ISNUMBER(SEARCH("R115",G239))*115,0)+IFERROR(--ISNUMBER(SEARCH("R116",G239))*116,0)+IFERROR(--ISNUMBER(SEARCH("R117",G239))*117,0)+IFERROR(--ISNUMBER(SEARCH("R118",G239))*118,0)+IFERROR(--ISNUMBER(SEARCH("R119",G239))*119,0)+IFERROR(--ISNUMBER(SEARCH("R120",G239))*120,0)+IFERROR(--ISNUMBER(SEARCH("R121",G239))*121,0)+IFERROR(--ISNUMBER(SEARCH("R122",G239))*122,0)+IFERROR(--ISNUMBER(SEARCH("R123",G239))*123,0)+IFERROR(--ISNUMBER(SEARCH("R124",G239))*124,0)+IFERROR(--ISNUMBER(SEARCH("R125",G239))*125,0)+IFERROR(--ISNUMBER(SEARCH("R126",G239))*126,0)+IFERROR(--ISNUMBER(SEARCH("R127",G239))*127,0)+IFERROR(--ISNUMBER(SEARCH("R128",G239))*128,0)+IFERROR(--ISNUMBER(SEARCH("R129",G239))*129,0)+IFERROR(--ISNUMBER(SEARCH("R130",G239))*130,0)+IFERROR(--ISNUMBER(SEARCH("R131",G239))*131,0)+IFERROR(--ISNUMBER(SEARCH("R132",G239))*132,0)+IFERROR(--ISNUMBER(SEARCH("R133",G239))*133,0)+IFERROR(--ISNUMBER(SEARCH("R134",G239))*134,0)+IFERROR(--ISNUMBER(SEARCH("R135",G239))*135,0)+IFERROR(--ISNUMBER(SEARCH("R136",G239))*136,0)+IFERROR(--ISNUMBER(SEARCH("R137",G239))*137,0)+IFERROR(--ISNUMBER(SEARCH("R138",G239))*138,0)+IFERROR(--ISNUMBER(SEARCH("R139",G239))*139,0)+IFERROR(--ISNUMBER(SEARCH("R140",G239))*140,0)+IFERROR(--ISNUMBER(SEARCH("R141",G239))*141,0))</f>
        <v/>
      </c>
      <c r="V239" s="59">
        <f>IF(A239="","",IF(K239&lt;&gt;"",K239,J239))</f>
        <v/>
      </c>
      <c r="W239" s="59">
        <f>IF(A239="","",IF(AND(V239=29,O239&lt;&gt;"",COUNTIFS($V$6:$V$505,29,$F$6:$F$505,F239,$C$6:$C$505,C239,$O$6:$O$505,"&lt;&gt;")&gt;1),IF(COUNTIFS($V$6:V239,29,$F$6:F239,F239,$C$6:C239,C239,$O$6:O239,"&lt;&gt;")=1,"Esta es la fila que se debe CONSERVAR (aparición 1 de "&amp;COUNTIFS($V$6:$V$505,29,$F$6:$F$505,F239,$C$6:$C$505,C239,$O$6:$O$505,"&lt;&gt;")&amp;" con el mismo tercero y valor, casilla 29). Si hay más filas iguales, bórreles el valor a ELLAS, no a esta.","DUPLICADO — ya existe otra fila con el mismo tercero y valor para casilla 29 (aparición "&amp;COUNTIFS($V$6:V239,29,$F$6:F239,F239,$C$6:C239,C239,$O$6:O239,"&lt;&gt;")&amp;" de "&amp;COUNTIFS($V$6:$V$505,29,$F$6:$F$505,F239,$C$6:$C$505,C239,$O$6:$O$505,"&lt;&gt;")&amp;"). Para resolverlo: seleccione la celda O"&amp;ROW()&amp;" (columna Valor a declarar de ESTA fila) y presione Supr."),""))</f>
        <v/>
      </c>
      <c r="X239" s="463">
        <f>IF(A239="","",F239)</f>
        <v/>
      </c>
      <c r="Y239" s="463">
        <f>IF(A239="","",SUMIF(Entrada_Manual!$I$88:$I$187,A239,Entrada_Manual!$F$88:$F$187))</f>
        <v/>
      </c>
      <c r="Z239" s="463">
        <f>IF(A239="","",X239-Y239)</f>
        <v/>
      </c>
      <c r="AA239">
        <f>IF(A239="","",SUMPRODUCT((Entrada_Manual!$I$88:$I$187=A239)*1))</f>
        <v/>
      </c>
      <c r="AB239">
        <f>IF(A239="","",IF(S239&lt;=1,"",IF(AA239=0,"PENDIENTE — SIN ASIGNAR",IF(Z239=0,"RESUELTO","PARCIAL — DIFERENCIA "&amp;TEXT(Z239,"#,##0")))))</f>
        <v/>
      </c>
    </row>
    <row r="240" ht="14.25" customHeight="1" s="235">
      <c r="A240" s="47">
        <f>IF(Exogena_RAW!E249&lt;&gt;"",ROW()-5,"")</f>
        <v/>
      </c>
      <c r="B240" s="48">
        <f>IF(A240="","",249)</f>
        <v/>
      </c>
      <c r="C240" s="48">
        <f>IF(A240="","",IFERROR(Exogena_RAW!A249,""))</f>
        <v/>
      </c>
      <c r="D240" s="48">
        <f>IF(A240="","",IFERROR(Exogena_RAW!B249,""))</f>
        <v/>
      </c>
      <c r="E240" s="48">
        <f>IF(A240="","",Exogena_RAW!E249)</f>
        <v/>
      </c>
      <c r="F240" s="461">
        <f>IF(A240="","",Exogena_RAW!F249)</f>
        <v/>
      </c>
      <c r="G240" s="48">
        <f>IF(A240="","",IFERROR(Exogena_RAW!G249,""))</f>
        <v/>
      </c>
      <c r="H240" s="48">
        <f>IF(A240="","",IFERROR(Exogena_RAW!H249,""))</f>
        <v/>
      </c>
      <c r="I240" s="48">
        <f>IF(A240="","",IFERROR(IF(S240&gt;1,"VARIAS CASILLAS",IF(S240=1,IF(T240=1,"PROPUESTA DE CASILLA","REVISIÓN: CASILLA NO DIRECTA"),IF(OR(ISNUMBER(SEARCH("TOPE",UPPER(E240))),ISNUMBER(SEARCH("TOPE",UPPER(G240)))),"SOLO CONTROL",IF(ISNUMBER(SEARCH("RETEN",UPPER(E240))),"RETENCIÓN","REVISAR")))),"REVISAR"))</f>
        <v/>
      </c>
      <c r="J240" s="48">
        <f>IF(A240="","",IF(ISNUMBER(SEARCH("ingreso laboral promedio de los últimos seis meses",E240)),"",IFERROR(IF(AND(S240=1,T240=1),U240,""),"")))</f>
        <v/>
      </c>
      <c r="K240" s="216" t="n"/>
      <c r="L240" s="48">
        <f>IF(A240="","",IFERROR(IF(K240&lt;&gt;"","Casilla elegida por usuario",IF(S240&gt;1,"Varias casillas — elegir en K",IF(J240&lt;&gt;"","Sugerencia directa",IF(S240=1,"No trasladar directo — revisar",IF(OR(ISNUMBER(SEARCH("TOPE",UPPER(E240))),ISNUMBER(SEARCH("TOPE",UPPER(G240)))),"Solo control","Revisar manualmente"))))),"Revisar manualmente"))</f>
        <v/>
      </c>
      <c r="M240" s="461">
        <f>IF(A240="","",IF(IF(K240&lt;&gt;"",K240,J240)="",0,IF(COUNTIFS(Reglas!$I$5:$I$118,IF(K240&lt;&gt;"",K240,J240),Reglas!$J$5:$J$118,"Sí")=1,F240,0)))</f>
        <v/>
      </c>
      <c r="N240" s="56" t="n"/>
      <c r="O240" s="462">
        <f>IF(A240="","",IF(M240=0,"",M240))</f>
        <v/>
      </c>
      <c r="P240" s="461">
        <f>IF(A240="","",IF(O240="",0,IF(ISNUMBER(O240),O240,0)))</f>
        <v/>
      </c>
      <c r="Q240" s="48">
        <f>IF(A240="","",IF(Exogena_RAW!$C$4="","BLOQUEADO: FALTA AÑO",IF(Exogena_RAW!$K$10&lt;&gt;Reglas!$B$5,"BLOQUEADO: AÑO",IF(IF(K240&lt;&gt;"",K240,J240)="",IF(S240&gt;1,"REQUIERE ASIGNACIÓN MANUAL (VARIAS CASILLAS)","INFORMATIVO (sin casilla — no se declara)"),IF(COUNTIFS(Reglas!$I$5:$I$118,IF(K240&lt;&gt;"",K240,J240),Reglas!$J$5:$J$118,"Sí")=0,"BLOQUEADO: CASILLA NO DIRECTA",IF(O240="","EXCLUIDO (valor borrado por el usuario)",IF(_xlfn.ISFORMULA(O240),IF(W240&lt;&gt;"","BORRADOR — VALOR SUGERIDO DIAN ⚠ VER ALERTA","BORRADOR — VALOR SUGERIDO DIAN"),IF(W240&lt;&gt;"","ACEPTADO ⚠ VER ALERTA","ACEPTADO"))))))))</f>
        <v/>
      </c>
      <c r="R240" s="218" t="n"/>
      <c r="S240" s="58">
        <f>IF(A240="","",IFERROR(--ISNUMBER(SEARCH("R28",G240)),0)+IFERROR(--ISNUMBER(SEARCH("R29",G240)),0)+IFERROR(--ISNUMBER(SEARCH("R30",G240)),0)+IFERROR(--ISNUMBER(SEARCH("R31",G240)),0)+IFERROR(--ISNUMBER(SEARCH("R32",G240)),0)+IFERROR(--ISNUMBER(SEARCH("R33",G240)),0)+IFERROR(--ISNUMBER(SEARCH("R34",G240)),0)+IFERROR(--ISNUMBER(SEARCH("R35",G240)),0)+IFERROR(--ISNUMBER(SEARCH("R36",G240)),0)+IFERROR(--ISNUMBER(SEARCH("R37",G240)),0)+IFERROR(--ISNUMBER(SEARCH("R38",G240)),0)+IFERROR(--ISNUMBER(SEARCH("R39",G240)),0)+IFERROR(--ISNUMBER(SEARCH("R40",G240)),0)+IFERROR(--ISNUMBER(SEARCH("R41",G240)),0)+IFERROR(--ISNUMBER(SEARCH("R42",G240)),0)+IFERROR(--ISNUMBER(SEARCH("R43",G240)),0)+IFERROR(--ISNUMBER(SEARCH("R44",G240)),0)+IFERROR(--ISNUMBER(SEARCH("R45",G240)),0)+IFERROR(--ISNUMBER(SEARCH("R46",G240)),0)+IFERROR(--ISNUMBER(SEARCH("R47",G240)),0)+IFERROR(--ISNUMBER(SEARCH("R48",G240)),0)+IFERROR(--ISNUMBER(SEARCH("R49",G240)),0)+IFERROR(--ISNUMBER(SEARCH("R50",G240)),0)+IFERROR(--ISNUMBER(SEARCH("R51",G240)),0)+IFERROR(--ISNUMBER(SEARCH("R52",G240)),0)+IFERROR(--ISNUMBER(SEARCH("R53",G240)),0)+IFERROR(--ISNUMBER(SEARCH("R54",G240)),0)+IFERROR(--ISNUMBER(SEARCH("R55",G240)),0)+IFERROR(--ISNUMBER(SEARCH("R56",G240)),0)+IFERROR(--ISNUMBER(SEARCH("R57",G240)),0)+IFERROR(--ISNUMBER(SEARCH("R58",G240)),0)+IFERROR(--ISNUMBER(SEARCH("R59",G240)),0)+IFERROR(--ISNUMBER(SEARCH("R60",G240)),0)+IFERROR(--ISNUMBER(SEARCH("R61",G240)),0)+IFERROR(--ISNUMBER(SEARCH("R62",G240)),0)+IFERROR(--ISNUMBER(SEARCH("R63",G240)),0)+IFERROR(--ISNUMBER(SEARCH("R64",G240)),0)+IFERROR(--ISNUMBER(SEARCH("R65",G240)),0)+IFERROR(--ISNUMBER(SEARCH("R66",G240)),0)+IFERROR(--ISNUMBER(SEARCH("R67",G240)),0)+IFERROR(--ISNUMBER(SEARCH("R68",G240)),0)+IFERROR(--ISNUMBER(SEARCH("R69",G240)),0)+IFERROR(--ISNUMBER(SEARCH("R70",G240)),0)+IFERROR(--ISNUMBER(SEARCH("R71",G240)),0)+IFERROR(--ISNUMBER(SEARCH("R72",G240)),0)+IFERROR(--ISNUMBER(SEARCH("R73",G240)),0)+IFERROR(--ISNUMBER(SEARCH("R74",G240)),0)+IFERROR(--ISNUMBER(SEARCH("R75",G240)),0)+IFERROR(--ISNUMBER(SEARCH("R76",G240)),0)+IFERROR(--ISNUMBER(SEARCH("R77",G240)),0)+IFERROR(--ISNUMBER(SEARCH("R78",G240)),0)+IFERROR(--ISNUMBER(SEARCH("R79",G240)),0)+IFERROR(--ISNUMBER(SEARCH("R80",G240)),0)+IFERROR(--ISNUMBER(SEARCH("R81",G240)),0)+IFERROR(--ISNUMBER(SEARCH("R82",G240)),0)+IFERROR(--ISNUMBER(SEARCH("R83",G240)),0)+IFERROR(--ISNUMBER(SEARCH("R84",G240)),0)+IFERROR(--ISNUMBER(SEARCH("R85",G240)),0)+IFERROR(--ISNUMBER(SEARCH("R86",G240)),0)+IFERROR(--ISNUMBER(SEARCH("R87",G240)),0)+IFERROR(--ISNUMBER(SEARCH("R88",G240)),0)+IFERROR(--ISNUMBER(SEARCH("R89",G240)),0)+IFERROR(--ISNUMBER(SEARCH("R90",G240)),0)+IFERROR(--ISNUMBER(SEARCH("R91",G240)),0)+IFERROR(--ISNUMBER(SEARCH("R92",G240)),0)+IFERROR(--ISNUMBER(SEARCH("R93",G240)),0)+IFERROR(--ISNUMBER(SEARCH("R94",G240)),0)+IFERROR(--ISNUMBER(SEARCH("R95",G240)),0)+IFERROR(--ISNUMBER(SEARCH("R96",G240)),0)+IFERROR(--ISNUMBER(SEARCH("R97",G240)),0)+IFERROR(--ISNUMBER(SEARCH("R98",G240)),0)+IFERROR(--ISNUMBER(SEARCH("R99",G240)),0)+IFERROR(--ISNUMBER(SEARCH("R100",G240)),0)+IFERROR(--ISNUMBER(SEARCH("R101",G240)),0)+IFERROR(--ISNUMBER(SEARCH("R102",G240)),0)+IFERROR(--ISNUMBER(SEARCH("R103",G240)),0)+IFERROR(--ISNUMBER(SEARCH("R104",G240)),0)+IFERROR(--ISNUMBER(SEARCH("R105",G240)),0)+IFERROR(--ISNUMBER(SEARCH("R106",G240)),0)+IFERROR(--ISNUMBER(SEARCH("R107",G240)),0)+IFERROR(--ISNUMBER(SEARCH("R108",G240)),0)+IFERROR(--ISNUMBER(SEARCH("R109",G240)),0)+IFERROR(--ISNUMBER(SEARCH("R110",G240)),0)+IFERROR(--ISNUMBER(SEARCH("R111",G240)),0)+IFERROR(--ISNUMBER(SEARCH("R112",G240)),0)+IFERROR(--ISNUMBER(SEARCH("R113",G240)),0)+IFERROR(--ISNUMBER(SEARCH("R114",G240)),0)+IFERROR(--ISNUMBER(SEARCH("R115",G240)),0)+IFERROR(--ISNUMBER(SEARCH("R116",G240)),0)+IFERROR(--ISNUMBER(SEARCH("R117",G240)),0)+IFERROR(--ISNUMBER(SEARCH("R118",G240)),0)+IFERROR(--ISNUMBER(SEARCH("R119",G240)),0)+IFERROR(--ISNUMBER(SEARCH("R120",G240)),0)+IFERROR(--ISNUMBER(SEARCH("R121",G240)),0)+IFERROR(--ISNUMBER(SEARCH("R122",G240)),0)+IFERROR(--ISNUMBER(SEARCH("R123",G240)),0)+IFERROR(--ISNUMBER(SEARCH("R124",G240)),0)+IFERROR(--ISNUMBER(SEARCH("R125",G240)),0)+IFERROR(--ISNUMBER(SEARCH("R126",G240)),0)+IFERROR(--ISNUMBER(SEARCH("R127",G240)),0)+IFERROR(--ISNUMBER(SEARCH("R128",G240)),0)+IFERROR(--ISNUMBER(SEARCH("R129",G240)),0)+IFERROR(--ISNUMBER(SEARCH("R130",G240)),0)+IFERROR(--ISNUMBER(SEARCH("R131",G240)),0)+IFERROR(--ISNUMBER(SEARCH("R132",G240)),0)+IFERROR(--ISNUMBER(SEARCH("R133",G240)),0)+IFERROR(--ISNUMBER(SEARCH("R134",G240)),0)+IFERROR(--ISNUMBER(SEARCH("R135",G240)),0)+IFERROR(--ISNUMBER(SEARCH("R136",G240)),0)+IFERROR(--ISNUMBER(SEARCH("R137",G240)),0)+IFERROR(--ISNUMBER(SEARCH("R138",G240)),0)+IFERROR(--ISNUMBER(SEARCH("R139",G240)),0)+IFERROR(--ISNUMBER(SEARCH("R140",G240)),0)+IFERROR(--ISNUMBER(SEARCH("R141",G240)),0))</f>
        <v/>
      </c>
      <c r="T240" s="58">
        <f>IF(A240="","",IFERROR(--ISNUMBER(SEARCH("R28",G240)),0)+IFERROR(--ISNUMBER(SEARCH("R29",G240)),0)+IFERROR(--ISNUMBER(SEARCH("R30",G240)),0)+IFERROR(--ISNUMBER(SEARCH("R32",G240)),0)+IFERROR(--ISNUMBER(SEARCH("R33",G240)),0)+IFERROR(--ISNUMBER(SEARCH("R35",G240)),0)+IFERROR(--ISNUMBER(SEARCH("R36",G240)),0)+IFERROR(--ISNUMBER(SEARCH("R38",G240)),0)+IFERROR(--ISNUMBER(SEARCH("R39",G240)),0)+IFERROR(--ISNUMBER(SEARCH("R43",G240)),0)+IFERROR(--ISNUMBER(SEARCH("R44",G240)),0)+IFERROR(--ISNUMBER(SEARCH("R45",G240)),0)+IFERROR(--ISNUMBER(SEARCH("R47",G240)),0)+IFERROR(--ISNUMBER(SEARCH("R48",G240)),0)+IFERROR(--ISNUMBER(SEARCH("R50",G240)),0)+IFERROR(--ISNUMBER(SEARCH("R51",G240)),0)+IFERROR(--ISNUMBER(SEARCH("R56",G240)),0)+IFERROR(--ISNUMBER(SEARCH("R58",G240)),0)+IFERROR(--ISNUMBER(SEARCH("R59",G240)),0)+IFERROR(--ISNUMBER(SEARCH("R60",G240)),0)+IFERROR(--ISNUMBER(SEARCH("R62",G240)),0)+IFERROR(--ISNUMBER(SEARCH("R63",G240)),0)+IFERROR(--ISNUMBER(SEARCH("R64",G240)),0)+IFERROR(--ISNUMBER(SEARCH("R66",G240)),0)+IFERROR(--ISNUMBER(SEARCH("R67",G240)),0)+IFERROR(--ISNUMBER(SEARCH("R72",G240)),0)+IFERROR(--ISNUMBER(SEARCH("R74",G240)),0)+IFERROR(--ISNUMBER(SEARCH("R75",G240)),0)+IFERROR(--ISNUMBER(SEARCH("R76",G240)),0)+IFERROR(--ISNUMBER(SEARCH("R77",G240)),0)+IFERROR(--ISNUMBER(SEARCH("R79",G240)),0)+IFERROR(--ISNUMBER(SEARCH("R80",G240)),0)+IFERROR(--ISNUMBER(SEARCH("R81",G240)),0)+IFERROR(--ISNUMBER(SEARCH("R83",G240)),0)+IFERROR(--ISNUMBER(SEARCH("R84",G240)),0)+IFERROR(--ISNUMBER(SEARCH("R89",G240)),0)+IFERROR(--ISNUMBER(SEARCH("R94",G240)),0)+IFERROR(--ISNUMBER(SEARCH("R95",G240)),0)+IFERROR(--ISNUMBER(SEARCH("R96",G240)),0)+IFERROR(--ISNUMBER(SEARCH("R98",G240)),0)+IFERROR(--ISNUMBER(SEARCH("R99",G240)),0)+IFERROR(--ISNUMBER(SEARCH("R100",G240)),0)+IFERROR(--ISNUMBER(SEARCH("R104",G240)),0)+IFERROR(--ISNUMBER(SEARCH("R105",G240)),0)+IFERROR(--ISNUMBER(SEARCH("R107",G240)),0)+IFERROR(--ISNUMBER(SEARCH("R108",G240)),0)+IFERROR(--ISNUMBER(SEARCH("R109",G240)),0)+IFERROR(--ISNUMBER(SEARCH("R110",G240)),0)+IFERROR(--ISNUMBER(SEARCH("R112",G240)),0)+IFERROR(--ISNUMBER(SEARCH("R113",G240)),0)+IFERROR(--ISNUMBER(SEARCH("R114",G240)),0)+IFERROR(--ISNUMBER(SEARCH("R118",G240)),0)+IFERROR(--ISNUMBER(SEARCH("R119",G240)),0)+IFERROR(--ISNUMBER(SEARCH("R120",G240)),0)+IFERROR(--ISNUMBER(SEARCH("R122",G240)),0)+IFERROR(--ISNUMBER(SEARCH("R123",G240)),0)+IFERROR(--ISNUMBER(SEARCH("R124",G240)),0)+IFERROR(--ISNUMBER(SEARCH("R128",G240)),0)+IFERROR(--ISNUMBER(SEARCH("R130",G240)),0)+IFERROR(--ISNUMBER(SEARCH("R131",G240)),0)+IFERROR(--ISNUMBER(SEARCH("R132",G240)),0)+IFERROR(--ISNUMBER(SEARCH("R135",G240)),0)+IFERROR(--ISNUMBER(SEARCH("R138",G240)),0)+IFERROR(--ISNUMBER(SEARCH("R141",G240)),0))</f>
        <v/>
      </c>
      <c r="U240" s="58">
        <f>IF(A240="","",IFERROR(--ISNUMBER(SEARCH("R28",G240))*28,0)+IFERROR(--ISNUMBER(SEARCH("R29",G240))*29,0)+IFERROR(--ISNUMBER(SEARCH("R30",G240))*30,0)+IFERROR(--ISNUMBER(SEARCH("R31",G240))*31,0)+IFERROR(--ISNUMBER(SEARCH("R32",G240))*32,0)+IFERROR(--ISNUMBER(SEARCH("R33",G240))*33,0)+IFERROR(--ISNUMBER(SEARCH("R34",G240))*34,0)+IFERROR(--ISNUMBER(SEARCH("R35",G240))*35,0)+IFERROR(--ISNUMBER(SEARCH("R36",G240))*36,0)+IFERROR(--ISNUMBER(SEARCH("R37",G240))*37,0)+IFERROR(--ISNUMBER(SEARCH("R38",G240))*38,0)+IFERROR(--ISNUMBER(SEARCH("R39",G240))*39,0)+IFERROR(--ISNUMBER(SEARCH("R40",G240))*40,0)+IFERROR(--ISNUMBER(SEARCH("R41",G240))*41,0)+IFERROR(--ISNUMBER(SEARCH("R42",G240))*42,0)+IFERROR(--ISNUMBER(SEARCH("R43",G240))*43,0)+IFERROR(--ISNUMBER(SEARCH("R44",G240))*44,0)+IFERROR(--ISNUMBER(SEARCH("R45",G240))*45,0)+IFERROR(--ISNUMBER(SEARCH("R46",G240))*46,0)+IFERROR(--ISNUMBER(SEARCH("R47",G240))*47,0)+IFERROR(--ISNUMBER(SEARCH("R48",G240))*48,0)+IFERROR(--ISNUMBER(SEARCH("R49",G240))*49,0)+IFERROR(--ISNUMBER(SEARCH("R50",G240))*50,0)+IFERROR(--ISNUMBER(SEARCH("R51",G240))*51,0)+IFERROR(--ISNUMBER(SEARCH("R52",G240))*52,0)+IFERROR(--ISNUMBER(SEARCH("R53",G240))*53,0)+IFERROR(--ISNUMBER(SEARCH("R54",G240))*54,0)+IFERROR(--ISNUMBER(SEARCH("R55",G240))*55,0)+IFERROR(--ISNUMBER(SEARCH("R56",G240))*56,0)+IFERROR(--ISNUMBER(SEARCH("R57",G240))*57,0)+IFERROR(--ISNUMBER(SEARCH("R58",G240))*58,0)+IFERROR(--ISNUMBER(SEARCH("R59",G240))*59,0)+IFERROR(--ISNUMBER(SEARCH("R60",G240))*60,0)+IFERROR(--ISNUMBER(SEARCH("R61",G240))*61,0)+IFERROR(--ISNUMBER(SEARCH("R62",G240))*62,0)+IFERROR(--ISNUMBER(SEARCH("R63",G240))*63,0)+IFERROR(--ISNUMBER(SEARCH("R64",G240))*64,0)+IFERROR(--ISNUMBER(SEARCH("R65",G240))*65,0)+IFERROR(--ISNUMBER(SEARCH("R66",G240))*66,0)+IFERROR(--ISNUMBER(SEARCH("R67",G240))*67,0)+IFERROR(--ISNUMBER(SEARCH("R68",G240))*68,0)+IFERROR(--ISNUMBER(SEARCH("R69",G240))*69,0)+IFERROR(--ISNUMBER(SEARCH("R70",G240))*70,0)+IFERROR(--ISNUMBER(SEARCH("R71",G240))*71,0)+IFERROR(--ISNUMBER(SEARCH("R72",G240))*72,0)+IFERROR(--ISNUMBER(SEARCH("R73",G240))*73,0)+IFERROR(--ISNUMBER(SEARCH("R74",G240))*74,0)+IFERROR(--ISNUMBER(SEARCH("R75",G240))*75,0)+IFERROR(--ISNUMBER(SEARCH("R76",G240))*76,0)+IFERROR(--ISNUMBER(SEARCH("R77",G240))*77,0)+IFERROR(--ISNUMBER(SEARCH("R78",G240))*78,0)+IFERROR(--ISNUMBER(SEARCH("R79",G240))*79,0)+IFERROR(--ISNUMBER(SEARCH("R80",G240))*80,0)+IFERROR(--ISNUMBER(SEARCH("R81",G240))*81,0)+IFERROR(--ISNUMBER(SEARCH("R82",G240))*82,0)+IFERROR(--ISNUMBER(SEARCH("R83",G240))*83,0)+IFERROR(--ISNUMBER(SEARCH("R84",G240))*84,0)+IFERROR(--ISNUMBER(SEARCH("R85",G240))*85,0)+IFERROR(--ISNUMBER(SEARCH("R86",G240))*86,0)+IFERROR(--ISNUMBER(SEARCH("R87",G240))*87,0)+IFERROR(--ISNUMBER(SEARCH("R88",G240))*88,0)+IFERROR(--ISNUMBER(SEARCH("R89",G240))*89,0)+IFERROR(--ISNUMBER(SEARCH("R90",G240))*90,0)+IFERROR(--ISNUMBER(SEARCH("R91",G240))*91,0)+IFERROR(--ISNUMBER(SEARCH("R92",G240))*92,0)+IFERROR(--ISNUMBER(SEARCH("R93",G240))*93,0)+IFERROR(--ISNUMBER(SEARCH("R94",G240))*94,0)+IFERROR(--ISNUMBER(SEARCH("R95",G240))*95,0)+IFERROR(--ISNUMBER(SEARCH("R96",G240))*96,0)+IFERROR(--ISNUMBER(SEARCH("R97",G240))*97,0)+IFERROR(--ISNUMBER(SEARCH("R98",G240))*98,0)+IFERROR(--ISNUMBER(SEARCH("R99",G240))*99,0)+IFERROR(--ISNUMBER(SEARCH("R100",G240))*100,0)+IFERROR(--ISNUMBER(SEARCH("R101",G240))*101,0)+IFERROR(--ISNUMBER(SEARCH("R102",G240))*102,0)+IFERROR(--ISNUMBER(SEARCH("R103",G240))*103,0)+IFERROR(--ISNUMBER(SEARCH("R104",G240))*104,0)+IFERROR(--ISNUMBER(SEARCH("R105",G240))*105,0)+IFERROR(--ISNUMBER(SEARCH("R106",G240))*106,0)+IFERROR(--ISNUMBER(SEARCH("R107",G240))*107,0)+IFERROR(--ISNUMBER(SEARCH("R108",G240))*108,0)+IFERROR(--ISNUMBER(SEARCH("R109",G240))*109,0)+IFERROR(--ISNUMBER(SEARCH("R110",G240))*110,0)+IFERROR(--ISNUMBER(SEARCH("R111",G240))*111,0)+IFERROR(--ISNUMBER(SEARCH("R112",G240))*112,0)+IFERROR(--ISNUMBER(SEARCH("R113",G240))*113,0)+IFERROR(--ISNUMBER(SEARCH("R114",G240))*114,0)+IFERROR(--ISNUMBER(SEARCH("R115",G240))*115,0)+IFERROR(--ISNUMBER(SEARCH("R116",G240))*116,0)+IFERROR(--ISNUMBER(SEARCH("R117",G240))*117,0)+IFERROR(--ISNUMBER(SEARCH("R118",G240))*118,0)+IFERROR(--ISNUMBER(SEARCH("R119",G240))*119,0)+IFERROR(--ISNUMBER(SEARCH("R120",G240))*120,0)+IFERROR(--ISNUMBER(SEARCH("R121",G240))*121,0)+IFERROR(--ISNUMBER(SEARCH("R122",G240))*122,0)+IFERROR(--ISNUMBER(SEARCH("R123",G240))*123,0)+IFERROR(--ISNUMBER(SEARCH("R124",G240))*124,0)+IFERROR(--ISNUMBER(SEARCH("R125",G240))*125,0)+IFERROR(--ISNUMBER(SEARCH("R126",G240))*126,0)+IFERROR(--ISNUMBER(SEARCH("R127",G240))*127,0)+IFERROR(--ISNUMBER(SEARCH("R128",G240))*128,0)+IFERROR(--ISNUMBER(SEARCH("R129",G240))*129,0)+IFERROR(--ISNUMBER(SEARCH("R130",G240))*130,0)+IFERROR(--ISNUMBER(SEARCH("R131",G240))*131,0)+IFERROR(--ISNUMBER(SEARCH("R132",G240))*132,0)+IFERROR(--ISNUMBER(SEARCH("R133",G240))*133,0)+IFERROR(--ISNUMBER(SEARCH("R134",G240))*134,0)+IFERROR(--ISNUMBER(SEARCH("R135",G240))*135,0)+IFERROR(--ISNUMBER(SEARCH("R136",G240))*136,0)+IFERROR(--ISNUMBER(SEARCH("R137",G240))*137,0)+IFERROR(--ISNUMBER(SEARCH("R138",G240))*138,0)+IFERROR(--ISNUMBER(SEARCH("R139",G240))*139,0)+IFERROR(--ISNUMBER(SEARCH("R140",G240))*140,0)+IFERROR(--ISNUMBER(SEARCH("R141",G240))*141,0))</f>
        <v/>
      </c>
      <c r="V240" s="59">
        <f>IF(A240="","",IF(K240&lt;&gt;"",K240,J240))</f>
        <v/>
      </c>
      <c r="W240" s="59">
        <f>IF(A240="","",IF(AND(V240=29,O240&lt;&gt;"",COUNTIFS($V$6:$V$505,29,$F$6:$F$505,F240,$C$6:$C$505,C240,$O$6:$O$505,"&lt;&gt;")&gt;1),IF(COUNTIFS($V$6:V240,29,$F$6:F240,F240,$C$6:C240,C240,$O$6:O240,"&lt;&gt;")=1,"Esta es la fila que se debe CONSERVAR (aparición 1 de "&amp;COUNTIFS($V$6:$V$505,29,$F$6:$F$505,F240,$C$6:$C$505,C240,$O$6:$O$505,"&lt;&gt;")&amp;" con el mismo tercero y valor, casilla 29). Si hay más filas iguales, bórreles el valor a ELLAS, no a esta.","DUPLICADO — ya existe otra fila con el mismo tercero y valor para casilla 29 (aparición "&amp;COUNTIFS($V$6:V240,29,$F$6:F240,F240,$C$6:C240,C240,$O$6:O240,"&lt;&gt;")&amp;" de "&amp;COUNTIFS($V$6:$V$505,29,$F$6:$F$505,F240,$C$6:$C$505,C240,$O$6:$O$505,"&lt;&gt;")&amp;"). Para resolverlo: seleccione la celda O"&amp;ROW()&amp;" (columna Valor a declarar de ESTA fila) y presione Supr."),""))</f>
        <v/>
      </c>
      <c r="X240" s="463">
        <f>IF(A240="","",F240)</f>
        <v/>
      </c>
      <c r="Y240" s="463">
        <f>IF(A240="","",SUMIF(Entrada_Manual!$I$88:$I$187,A240,Entrada_Manual!$F$88:$F$187))</f>
        <v/>
      </c>
      <c r="Z240" s="463">
        <f>IF(A240="","",X240-Y240)</f>
        <v/>
      </c>
      <c r="AA240">
        <f>IF(A240="","",SUMPRODUCT((Entrada_Manual!$I$88:$I$187=A240)*1))</f>
        <v/>
      </c>
      <c r="AB240">
        <f>IF(A240="","",IF(S240&lt;=1,"",IF(AA240=0,"PENDIENTE — SIN ASIGNAR",IF(Z240=0,"RESUELTO","PARCIAL — DIFERENCIA "&amp;TEXT(Z240,"#,##0")))))</f>
        <v/>
      </c>
    </row>
    <row r="241" ht="14.25" customHeight="1" s="235">
      <c r="A241" s="47">
        <f>IF(Exogena_RAW!E250&lt;&gt;"",ROW()-5,"")</f>
        <v/>
      </c>
      <c r="B241" s="48">
        <f>IF(A241="","",250)</f>
        <v/>
      </c>
      <c r="C241" s="48">
        <f>IF(A241="","",IFERROR(Exogena_RAW!A250,""))</f>
        <v/>
      </c>
      <c r="D241" s="48">
        <f>IF(A241="","",IFERROR(Exogena_RAW!B250,""))</f>
        <v/>
      </c>
      <c r="E241" s="48">
        <f>IF(A241="","",Exogena_RAW!E250)</f>
        <v/>
      </c>
      <c r="F241" s="461">
        <f>IF(A241="","",Exogena_RAW!F250)</f>
        <v/>
      </c>
      <c r="G241" s="48">
        <f>IF(A241="","",IFERROR(Exogena_RAW!G250,""))</f>
        <v/>
      </c>
      <c r="H241" s="48">
        <f>IF(A241="","",IFERROR(Exogena_RAW!H250,""))</f>
        <v/>
      </c>
      <c r="I241" s="48">
        <f>IF(A241="","",IFERROR(IF(S241&gt;1,"VARIAS CASILLAS",IF(S241=1,IF(T241=1,"PROPUESTA DE CASILLA","REVISIÓN: CASILLA NO DIRECTA"),IF(OR(ISNUMBER(SEARCH("TOPE",UPPER(E241))),ISNUMBER(SEARCH("TOPE",UPPER(G241)))),"SOLO CONTROL",IF(ISNUMBER(SEARCH("RETEN",UPPER(E241))),"RETENCIÓN","REVISAR")))),"REVISAR"))</f>
        <v/>
      </c>
      <c r="J241" s="48">
        <f>IF(A241="","",IF(ISNUMBER(SEARCH("ingreso laboral promedio de los últimos seis meses",E241)),"",IFERROR(IF(AND(S241=1,T241=1),U241,""),"")))</f>
        <v/>
      </c>
      <c r="K241" s="216" t="n"/>
      <c r="L241" s="48">
        <f>IF(A241="","",IFERROR(IF(K241&lt;&gt;"","Casilla elegida por usuario",IF(S241&gt;1,"Varias casillas — elegir en K",IF(J241&lt;&gt;"","Sugerencia directa",IF(S241=1,"No trasladar directo — revisar",IF(OR(ISNUMBER(SEARCH("TOPE",UPPER(E241))),ISNUMBER(SEARCH("TOPE",UPPER(G241)))),"Solo control","Revisar manualmente"))))),"Revisar manualmente"))</f>
        <v/>
      </c>
      <c r="M241" s="461">
        <f>IF(A241="","",IF(IF(K241&lt;&gt;"",K241,J241)="",0,IF(COUNTIFS(Reglas!$I$5:$I$118,IF(K241&lt;&gt;"",K241,J241),Reglas!$J$5:$J$118,"Sí")=1,F241,0)))</f>
        <v/>
      </c>
      <c r="N241" s="56" t="n"/>
      <c r="O241" s="462">
        <f>IF(A241="","",IF(M241=0,"",M241))</f>
        <v/>
      </c>
      <c r="P241" s="461">
        <f>IF(A241="","",IF(O241="",0,IF(ISNUMBER(O241),O241,0)))</f>
        <v/>
      </c>
      <c r="Q241" s="48">
        <f>IF(A241="","",IF(Exogena_RAW!$C$4="","BLOQUEADO: FALTA AÑO",IF(Exogena_RAW!$K$10&lt;&gt;Reglas!$B$5,"BLOQUEADO: AÑO",IF(IF(K241&lt;&gt;"",K241,J241)="",IF(S241&gt;1,"REQUIERE ASIGNACIÓN MANUAL (VARIAS CASILLAS)","INFORMATIVO (sin casilla — no se declara)"),IF(COUNTIFS(Reglas!$I$5:$I$118,IF(K241&lt;&gt;"",K241,J241),Reglas!$J$5:$J$118,"Sí")=0,"BLOQUEADO: CASILLA NO DIRECTA",IF(O241="","EXCLUIDO (valor borrado por el usuario)",IF(_xlfn.ISFORMULA(O241),IF(W241&lt;&gt;"","BORRADOR — VALOR SUGERIDO DIAN ⚠ VER ALERTA","BORRADOR — VALOR SUGERIDO DIAN"),IF(W241&lt;&gt;"","ACEPTADO ⚠ VER ALERTA","ACEPTADO"))))))))</f>
        <v/>
      </c>
      <c r="R241" s="218" t="n"/>
      <c r="S241" s="58">
        <f>IF(A241="","",IFERROR(--ISNUMBER(SEARCH("R28",G241)),0)+IFERROR(--ISNUMBER(SEARCH("R29",G241)),0)+IFERROR(--ISNUMBER(SEARCH("R30",G241)),0)+IFERROR(--ISNUMBER(SEARCH("R31",G241)),0)+IFERROR(--ISNUMBER(SEARCH("R32",G241)),0)+IFERROR(--ISNUMBER(SEARCH("R33",G241)),0)+IFERROR(--ISNUMBER(SEARCH("R34",G241)),0)+IFERROR(--ISNUMBER(SEARCH("R35",G241)),0)+IFERROR(--ISNUMBER(SEARCH("R36",G241)),0)+IFERROR(--ISNUMBER(SEARCH("R37",G241)),0)+IFERROR(--ISNUMBER(SEARCH("R38",G241)),0)+IFERROR(--ISNUMBER(SEARCH("R39",G241)),0)+IFERROR(--ISNUMBER(SEARCH("R40",G241)),0)+IFERROR(--ISNUMBER(SEARCH("R41",G241)),0)+IFERROR(--ISNUMBER(SEARCH("R42",G241)),0)+IFERROR(--ISNUMBER(SEARCH("R43",G241)),0)+IFERROR(--ISNUMBER(SEARCH("R44",G241)),0)+IFERROR(--ISNUMBER(SEARCH("R45",G241)),0)+IFERROR(--ISNUMBER(SEARCH("R46",G241)),0)+IFERROR(--ISNUMBER(SEARCH("R47",G241)),0)+IFERROR(--ISNUMBER(SEARCH("R48",G241)),0)+IFERROR(--ISNUMBER(SEARCH("R49",G241)),0)+IFERROR(--ISNUMBER(SEARCH("R50",G241)),0)+IFERROR(--ISNUMBER(SEARCH("R51",G241)),0)+IFERROR(--ISNUMBER(SEARCH("R52",G241)),0)+IFERROR(--ISNUMBER(SEARCH("R53",G241)),0)+IFERROR(--ISNUMBER(SEARCH("R54",G241)),0)+IFERROR(--ISNUMBER(SEARCH("R55",G241)),0)+IFERROR(--ISNUMBER(SEARCH("R56",G241)),0)+IFERROR(--ISNUMBER(SEARCH("R57",G241)),0)+IFERROR(--ISNUMBER(SEARCH("R58",G241)),0)+IFERROR(--ISNUMBER(SEARCH("R59",G241)),0)+IFERROR(--ISNUMBER(SEARCH("R60",G241)),0)+IFERROR(--ISNUMBER(SEARCH("R61",G241)),0)+IFERROR(--ISNUMBER(SEARCH("R62",G241)),0)+IFERROR(--ISNUMBER(SEARCH("R63",G241)),0)+IFERROR(--ISNUMBER(SEARCH("R64",G241)),0)+IFERROR(--ISNUMBER(SEARCH("R65",G241)),0)+IFERROR(--ISNUMBER(SEARCH("R66",G241)),0)+IFERROR(--ISNUMBER(SEARCH("R67",G241)),0)+IFERROR(--ISNUMBER(SEARCH("R68",G241)),0)+IFERROR(--ISNUMBER(SEARCH("R69",G241)),0)+IFERROR(--ISNUMBER(SEARCH("R70",G241)),0)+IFERROR(--ISNUMBER(SEARCH("R71",G241)),0)+IFERROR(--ISNUMBER(SEARCH("R72",G241)),0)+IFERROR(--ISNUMBER(SEARCH("R73",G241)),0)+IFERROR(--ISNUMBER(SEARCH("R74",G241)),0)+IFERROR(--ISNUMBER(SEARCH("R75",G241)),0)+IFERROR(--ISNUMBER(SEARCH("R76",G241)),0)+IFERROR(--ISNUMBER(SEARCH("R77",G241)),0)+IFERROR(--ISNUMBER(SEARCH("R78",G241)),0)+IFERROR(--ISNUMBER(SEARCH("R79",G241)),0)+IFERROR(--ISNUMBER(SEARCH("R80",G241)),0)+IFERROR(--ISNUMBER(SEARCH("R81",G241)),0)+IFERROR(--ISNUMBER(SEARCH("R82",G241)),0)+IFERROR(--ISNUMBER(SEARCH("R83",G241)),0)+IFERROR(--ISNUMBER(SEARCH("R84",G241)),0)+IFERROR(--ISNUMBER(SEARCH("R85",G241)),0)+IFERROR(--ISNUMBER(SEARCH("R86",G241)),0)+IFERROR(--ISNUMBER(SEARCH("R87",G241)),0)+IFERROR(--ISNUMBER(SEARCH("R88",G241)),0)+IFERROR(--ISNUMBER(SEARCH("R89",G241)),0)+IFERROR(--ISNUMBER(SEARCH("R90",G241)),0)+IFERROR(--ISNUMBER(SEARCH("R91",G241)),0)+IFERROR(--ISNUMBER(SEARCH("R92",G241)),0)+IFERROR(--ISNUMBER(SEARCH("R93",G241)),0)+IFERROR(--ISNUMBER(SEARCH("R94",G241)),0)+IFERROR(--ISNUMBER(SEARCH("R95",G241)),0)+IFERROR(--ISNUMBER(SEARCH("R96",G241)),0)+IFERROR(--ISNUMBER(SEARCH("R97",G241)),0)+IFERROR(--ISNUMBER(SEARCH("R98",G241)),0)+IFERROR(--ISNUMBER(SEARCH("R99",G241)),0)+IFERROR(--ISNUMBER(SEARCH("R100",G241)),0)+IFERROR(--ISNUMBER(SEARCH("R101",G241)),0)+IFERROR(--ISNUMBER(SEARCH("R102",G241)),0)+IFERROR(--ISNUMBER(SEARCH("R103",G241)),0)+IFERROR(--ISNUMBER(SEARCH("R104",G241)),0)+IFERROR(--ISNUMBER(SEARCH("R105",G241)),0)+IFERROR(--ISNUMBER(SEARCH("R106",G241)),0)+IFERROR(--ISNUMBER(SEARCH("R107",G241)),0)+IFERROR(--ISNUMBER(SEARCH("R108",G241)),0)+IFERROR(--ISNUMBER(SEARCH("R109",G241)),0)+IFERROR(--ISNUMBER(SEARCH("R110",G241)),0)+IFERROR(--ISNUMBER(SEARCH("R111",G241)),0)+IFERROR(--ISNUMBER(SEARCH("R112",G241)),0)+IFERROR(--ISNUMBER(SEARCH("R113",G241)),0)+IFERROR(--ISNUMBER(SEARCH("R114",G241)),0)+IFERROR(--ISNUMBER(SEARCH("R115",G241)),0)+IFERROR(--ISNUMBER(SEARCH("R116",G241)),0)+IFERROR(--ISNUMBER(SEARCH("R117",G241)),0)+IFERROR(--ISNUMBER(SEARCH("R118",G241)),0)+IFERROR(--ISNUMBER(SEARCH("R119",G241)),0)+IFERROR(--ISNUMBER(SEARCH("R120",G241)),0)+IFERROR(--ISNUMBER(SEARCH("R121",G241)),0)+IFERROR(--ISNUMBER(SEARCH("R122",G241)),0)+IFERROR(--ISNUMBER(SEARCH("R123",G241)),0)+IFERROR(--ISNUMBER(SEARCH("R124",G241)),0)+IFERROR(--ISNUMBER(SEARCH("R125",G241)),0)+IFERROR(--ISNUMBER(SEARCH("R126",G241)),0)+IFERROR(--ISNUMBER(SEARCH("R127",G241)),0)+IFERROR(--ISNUMBER(SEARCH("R128",G241)),0)+IFERROR(--ISNUMBER(SEARCH("R129",G241)),0)+IFERROR(--ISNUMBER(SEARCH("R130",G241)),0)+IFERROR(--ISNUMBER(SEARCH("R131",G241)),0)+IFERROR(--ISNUMBER(SEARCH("R132",G241)),0)+IFERROR(--ISNUMBER(SEARCH("R133",G241)),0)+IFERROR(--ISNUMBER(SEARCH("R134",G241)),0)+IFERROR(--ISNUMBER(SEARCH("R135",G241)),0)+IFERROR(--ISNUMBER(SEARCH("R136",G241)),0)+IFERROR(--ISNUMBER(SEARCH("R137",G241)),0)+IFERROR(--ISNUMBER(SEARCH("R138",G241)),0)+IFERROR(--ISNUMBER(SEARCH("R139",G241)),0)+IFERROR(--ISNUMBER(SEARCH("R140",G241)),0)+IFERROR(--ISNUMBER(SEARCH("R141",G241)),0))</f>
        <v/>
      </c>
      <c r="T241" s="58">
        <f>IF(A241="","",IFERROR(--ISNUMBER(SEARCH("R28",G241)),0)+IFERROR(--ISNUMBER(SEARCH("R29",G241)),0)+IFERROR(--ISNUMBER(SEARCH("R30",G241)),0)+IFERROR(--ISNUMBER(SEARCH("R32",G241)),0)+IFERROR(--ISNUMBER(SEARCH("R33",G241)),0)+IFERROR(--ISNUMBER(SEARCH("R35",G241)),0)+IFERROR(--ISNUMBER(SEARCH("R36",G241)),0)+IFERROR(--ISNUMBER(SEARCH("R38",G241)),0)+IFERROR(--ISNUMBER(SEARCH("R39",G241)),0)+IFERROR(--ISNUMBER(SEARCH("R43",G241)),0)+IFERROR(--ISNUMBER(SEARCH("R44",G241)),0)+IFERROR(--ISNUMBER(SEARCH("R45",G241)),0)+IFERROR(--ISNUMBER(SEARCH("R47",G241)),0)+IFERROR(--ISNUMBER(SEARCH("R48",G241)),0)+IFERROR(--ISNUMBER(SEARCH("R50",G241)),0)+IFERROR(--ISNUMBER(SEARCH("R51",G241)),0)+IFERROR(--ISNUMBER(SEARCH("R56",G241)),0)+IFERROR(--ISNUMBER(SEARCH("R58",G241)),0)+IFERROR(--ISNUMBER(SEARCH("R59",G241)),0)+IFERROR(--ISNUMBER(SEARCH("R60",G241)),0)+IFERROR(--ISNUMBER(SEARCH("R62",G241)),0)+IFERROR(--ISNUMBER(SEARCH("R63",G241)),0)+IFERROR(--ISNUMBER(SEARCH("R64",G241)),0)+IFERROR(--ISNUMBER(SEARCH("R66",G241)),0)+IFERROR(--ISNUMBER(SEARCH("R67",G241)),0)+IFERROR(--ISNUMBER(SEARCH("R72",G241)),0)+IFERROR(--ISNUMBER(SEARCH("R74",G241)),0)+IFERROR(--ISNUMBER(SEARCH("R75",G241)),0)+IFERROR(--ISNUMBER(SEARCH("R76",G241)),0)+IFERROR(--ISNUMBER(SEARCH("R77",G241)),0)+IFERROR(--ISNUMBER(SEARCH("R79",G241)),0)+IFERROR(--ISNUMBER(SEARCH("R80",G241)),0)+IFERROR(--ISNUMBER(SEARCH("R81",G241)),0)+IFERROR(--ISNUMBER(SEARCH("R83",G241)),0)+IFERROR(--ISNUMBER(SEARCH("R84",G241)),0)+IFERROR(--ISNUMBER(SEARCH("R89",G241)),0)+IFERROR(--ISNUMBER(SEARCH("R94",G241)),0)+IFERROR(--ISNUMBER(SEARCH("R95",G241)),0)+IFERROR(--ISNUMBER(SEARCH("R96",G241)),0)+IFERROR(--ISNUMBER(SEARCH("R98",G241)),0)+IFERROR(--ISNUMBER(SEARCH("R99",G241)),0)+IFERROR(--ISNUMBER(SEARCH("R100",G241)),0)+IFERROR(--ISNUMBER(SEARCH("R104",G241)),0)+IFERROR(--ISNUMBER(SEARCH("R105",G241)),0)+IFERROR(--ISNUMBER(SEARCH("R107",G241)),0)+IFERROR(--ISNUMBER(SEARCH("R108",G241)),0)+IFERROR(--ISNUMBER(SEARCH("R109",G241)),0)+IFERROR(--ISNUMBER(SEARCH("R110",G241)),0)+IFERROR(--ISNUMBER(SEARCH("R112",G241)),0)+IFERROR(--ISNUMBER(SEARCH("R113",G241)),0)+IFERROR(--ISNUMBER(SEARCH("R114",G241)),0)+IFERROR(--ISNUMBER(SEARCH("R118",G241)),0)+IFERROR(--ISNUMBER(SEARCH("R119",G241)),0)+IFERROR(--ISNUMBER(SEARCH("R120",G241)),0)+IFERROR(--ISNUMBER(SEARCH("R122",G241)),0)+IFERROR(--ISNUMBER(SEARCH("R123",G241)),0)+IFERROR(--ISNUMBER(SEARCH("R124",G241)),0)+IFERROR(--ISNUMBER(SEARCH("R128",G241)),0)+IFERROR(--ISNUMBER(SEARCH("R130",G241)),0)+IFERROR(--ISNUMBER(SEARCH("R131",G241)),0)+IFERROR(--ISNUMBER(SEARCH("R132",G241)),0)+IFERROR(--ISNUMBER(SEARCH("R135",G241)),0)+IFERROR(--ISNUMBER(SEARCH("R138",G241)),0)+IFERROR(--ISNUMBER(SEARCH("R141",G241)),0))</f>
        <v/>
      </c>
      <c r="U241" s="58">
        <f>IF(A241="","",IFERROR(--ISNUMBER(SEARCH("R28",G241))*28,0)+IFERROR(--ISNUMBER(SEARCH("R29",G241))*29,0)+IFERROR(--ISNUMBER(SEARCH("R30",G241))*30,0)+IFERROR(--ISNUMBER(SEARCH("R31",G241))*31,0)+IFERROR(--ISNUMBER(SEARCH("R32",G241))*32,0)+IFERROR(--ISNUMBER(SEARCH("R33",G241))*33,0)+IFERROR(--ISNUMBER(SEARCH("R34",G241))*34,0)+IFERROR(--ISNUMBER(SEARCH("R35",G241))*35,0)+IFERROR(--ISNUMBER(SEARCH("R36",G241))*36,0)+IFERROR(--ISNUMBER(SEARCH("R37",G241))*37,0)+IFERROR(--ISNUMBER(SEARCH("R38",G241))*38,0)+IFERROR(--ISNUMBER(SEARCH("R39",G241))*39,0)+IFERROR(--ISNUMBER(SEARCH("R40",G241))*40,0)+IFERROR(--ISNUMBER(SEARCH("R41",G241))*41,0)+IFERROR(--ISNUMBER(SEARCH("R42",G241))*42,0)+IFERROR(--ISNUMBER(SEARCH("R43",G241))*43,0)+IFERROR(--ISNUMBER(SEARCH("R44",G241))*44,0)+IFERROR(--ISNUMBER(SEARCH("R45",G241))*45,0)+IFERROR(--ISNUMBER(SEARCH("R46",G241))*46,0)+IFERROR(--ISNUMBER(SEARCH("R47",G241))*47,0)+IFERROR(--ISNUMBER(SEARCH("R48",G241))*48,0)+IFERROR(--ISNUMBER(SEARCH("R49",G241))*49,0)+IFERROR(--ISNUMBER(SEARCH("R50",G241))*50,0)+IFERROR(--ISNUMBER(SEARCH("R51",G241))*51,0)+IFERROR(--ISNUMBER(SEARCH("R52",G241))*52,0)+IFERROR(--ISNUMBER(SEARCH("R53",G241))*53,0)+IFERROR(--ISNUMBER(SEARCH("R54",G241))*54,0)+IFERROR(--ISNUMBER(SEARCH("R55",G241))*55,0)+IFERROR(--ISNUMBER(SEARCH("R56",G241))*56,0)+IFERROR(--ISNUMBER(SEARCH("R57",G241))*57,0)+IFERROR(--ISNUMBER(SEARCH("R58",G241))*58,0)+IFERROR(--ISNUMBER(SEARCH("R59",G241))*59,0)+IFERROR(--ISNUMBER(SEARCH("R60",G241))*60,0)+IFERROR(--ISNUMBER(SEARCH("R61",G241))*61,0)+IFERROR(--ISNUMBER(SEARCH("R62",G241))*62,0)+IFERROR(--ISNUMBER(SEARCH("R63",G241))*63,0)+IFERROR(--ISNUMBER(SEARCH("R64",G241))*64,0)+IFERROR(--ISNUMBER(SEARCH("R65",G241))*65,0)+IFERROR(--ISNUMBER(SEARCH("R66",G241))*66,0)+IFERROR(--ISNUMBER(SEARCH("R67",G241))*67,0)+IFERROR(--ISNUMBER(SEARCH("R68",G241))*68,0)+IFERROR(--ISNUMBER(SEARCH("R69",G241))*69,0)+IFERROR(--ISNUMBER(SEARCH("R70",G241))*70,0)+IFERROR(--ISNUMBER(SEARCH("R71",G241))*71,0)+IFERROR(--ISNUMBER(SEARCH("R72",G241))*72,0)+IFERROR(--ISNUMBER(SEARCH("R73",G241))*73,0)+IFERROR(--ISNUMBER(SEARCH("R74",G241))*74,0)+IFERROR(--ISNUMBER(SEARCH("R75",G241))*75,0)+IFERROR(--ISNUMBER(SEARCH("R76",G241))*76,0)+IFERROR(--ISNUMBER(SEARCH("R77",G241))*77,0)+IFERROR(--ISNUMBER(SEARCH("R78",G241))*78,0)+IFERROR(--ISNUMBER(SEARCH("R79",G241))*79,0)+IFERROR(--ISNUMBER(SEARCH("R80",G241))*80,0)+IFERROR(--ISNUMBER(SEARCH("R81",G241))*81,0)+IFERROR(--ISNUMBER(SEARCH("R82",G241))*82,0)+IFERROR(--ISNUMBER(SEARCH("R83",G241))*83,0)+IFERROR(--ISNUMBER(SEARCH("R84",G241))*84,0)+IFERROR(--ISNUMBER(SEARCH("R85",G241))*85,0)+IFERROR(--ISNUMBER(SEARCH("R86",G241))*86,0)+IFERROR(--ISNUMBER(SEARCH("R87",G241))*87,0)+IFERROR(--ISNUMBER(SEARCH("R88",G241))*88,0)+IFERROR(--ISNUMBER(SEARCH("R89",G241))*89,0)+IFERROR(--ISNUMBER(SEARCH("R90",G241))*90,0)+IFERROR(--ISNUMBER(SEARCH("R91",G241))*91,0)+IFERROR(--ISNUMBER(SEARCH("R92",G241))*92,0)+IFERROR(--ISNUMBER(SEARCH("R93",G241))*93,0)+IFERROR(--ISNUMBER(SEARCH("R94",G241))*94,0)+IFERROR(--ISNUMBER(SEARCH("R95",G241))*95,0)+IFERROR(--ISNUMBER(SEARCH("R96",G241))*96,0)+IFERROR(--ISNUMBER(SEARCH("R97",G241))*97,0)+IFERROR(--ISNUMBER(SEARCH("R98",G241))*98,0)+IFERROR(--ISNUMBER(SEARCH("R99",G241))*99,0)+IFERROR(--ISNUMBER(SEARCH("R100",G241))*100,0)+IFERROR(--ISNUMBER(SEARCH("R101",G241))*101,0)+IFERROR(--ISNUMBER(SEARCH("R102",G241))*102,0)+IFERROR(--ISNUMBER(SEARCH("R103",G241))*103,0)+IFERROR(--ISNUMBER(SEARCH("R104",G241))*104,0)+IFERROR(--ISNUMBER(SEARCH("R105",G241))*105,0)+IFERROR(--ISNUMBER(SEARCH("R106",G241))*106,0)+IFERROR(--ISNUMBER(SEARCH("R107",G241))*107,0)+IFERROR(--ISNUMBER(SEARCH("R108",G241))*108,0)+IFERROR(--ISNUMBER(SEARCH("R109",G241))*109,0)+IFERROR(--ISNUMBER(SEARCH("R110",G241))*110,0)+IFERROR(--ISNUMBER(SEARCH("R111",G241))*111,0)+IFERROR(--ISNUMBER(SEARCH("R112",G241))*112,0)+IFERROR(--ISNUMBER(SEARCH("R113",G241))*113,0)+IFERROR(--ISNUMBER(SEARCH("R114",G241))*114,0)+IFERROR(--ISNUMBER(SEARCH("R115",G241))*115,0)+IFERROR(--ISNUMBER(SEARCH("R116",G241))*116,0)+IFERROR(--ISNUMBER(SEARCH("R117",G241))*117,0)+IFERROR(--ISNUMBER(SEARCH("R118",G241))*118,0)+IFERROR(--ISNUMBER(SEARCH("R119",G241))*119,0)+IFERROR(--ISNUMBER(SEARCH("R120",G241))*120,0)+IFERROR(--ISNUMBER(SEARCH("R121",G241))*121,0)+IFERROR(--ISNUMBER(SEARCH("R122",G241))*122,0)+IFERROR(--ISNUMBER(SEARCH("R123",G241))*123,0)+IFERROR(--ISNUMBER(SEARCH("R124",G241))*124,0)+IFERROR(--ISNUMBER(SEARCH("R125",G241))*125,0)+IFERROR(--ISNUMBER(SEARCH("R126",G241))*126,0)+IFERROR(--ISNUMBER(SEARCH("R127",G241))*127,0)+IFERROR(--ISNUMBER(SEARCH("R128",G241))*128,0)+IFERROR(--ISNUMBER(SEARCH("R129",G241))*129,0)+IFERROR(--ISNUMBER(SEARCH("R130",G241))*130,0)+IFERROR(--ISNUMBER(SEARCH("R131",G241))*131,0)+IFERROR(--ISNUMBER(SEARCH("R132",G241))*132,0)+IFERROR(--ISNUMBER(SEARCH("R133",G241))*133,0)+IFERROR(--ISNUMBER(SEARCH("R134",G241))*134,0)+IFERROR(--ISNUMBER(SEARCH("R135",G241))*135,0)+IFERROR(--ISNUMBER(SEARCH("R136",G241))*136,0)+IFERROR(--ISNUMBER(SEARCH("R137",G241))*137,0)+IFERROR(--ISNUMBER(SEARCH("R138",G241))*138,0)+IFERROR(--ISNUMBER(SEARCH("R139",G241))*139,0)+IFERROR(--ISNUMBER(SEARCH("R140",G241))*140,0)+IFERROR(--ISNUMBER(SEARCH("R141",G241))*141,0))</f>
        <v/>
      </c>
      <c r="V241" s="59">
        <f>IF(A241="","",IF(K241&lt;&gt;"",K241,J241))</f>
        <v/>
      </c>
      <c r="W241" s="59">
        <f>IF(A241="","",IF(AND(V241=29,O241&lt;&gt;"",COUNTIFS($V$6:$V$505,29,$F$6:$F$505,F241,$C$6:$C$505,C241,$O$6:$O$505,"&lt;&gt;")&gt;1),IF(COUNTIFS($V$6:V241,29,$F$6:F241,F241,$C$6:C241,C241,$O$6:O241,"&lt;&gt;")=1,"Esta es la fila que se debe CONSERVAR (aparición 1 de "&amp;COUNTIFS($V$6:$V$505,29,$F$6:$F$505,F241,$C$6:$C$505,C241,$O$6:$O$505,"&lt;&gt;")&amp;" con el mismo tercero y valor, casilla 29). Si hay más filas iguales, bórreles el valor a ELLAS, no a esta.","DUPLICADO — ya existe otra fila con el mismo tercero y valor para casilla 29 (aparición "&amp;COUNTIFS($V$6:V241,29,$F$6:F241,F241,$C$6:C241,C241,$O$6:O241,"&lt;&gt;")&amp;" de "&amp;COUNTIFS($V$6:$V$505,29,$F$6:$F$505,F241,$C$6:$C$505,C241,$O$6:$O$505,"&lt;&gt;")&amp;"). Para resolverlo: seleccione la celda O"&amp;ROW()&amp;" (columna Valor a declarar de ESTA fila) y presione Supr."),""))</f>
        <v/>
      </c>
      <c r="X241" s="463">
        <f>IF(A241="","",F241)</f>
        <v/>
      </c>
      <c r="Y241" s="463">
        <f>IF(A241="","",SUMIF(Entrada_Manual!$I$88:$I$187,A241,Entrada_Manual!$F$88:$F$187))</f>
        <v/>
      </c>
      <c r="Z241" s="463">
        <f>IF(A241="","",X241-Y241)</f>
        <v/>
      </c>
      <c r="AA241">
        <f>IF(A241="","",SUMPRODUCT((Entrada_Manual!$I$88:$I$187=A241)*1))</f>
        <v/>
      </c>
      <c r="AB241">
        <f>IF(A241="","",IF(S241&lt;=1,"",IF(AA241=0,"PENDIENTE — SIN ASIGNAR",IF(Z241=0,"RESUELTO","PARCIAL — DIFERENCIA "&amp;TEXT(Z241,"#,##0")))))</f>
        <v/>
      </c>
    </row>
    <row r="242" ht="14.25" customHeight="1" s="235">
      <c r="A242" s="47">
        <f>IF(Exogena_RAW!E251&lt;&gt;"",ROW()-5,"")</f>
        <v/>
      </c>
      <c r="B242" s="48">
        <f>IF(A242="","",251)</f>
        <v/>
      </c>
      <c r="C242" s="48">
        <f>IF(A242="","",IFERROR(Exogena_RAW!A251,""))</f>
        <v/>
      </c>
      <c r="D242" s="48">
        <f>IF(A242="","",IFERROR(Exogena_RAW!B251,""))</f>
        <v/>
      </c>
      <c r="E242" s="48">
        <f>IF(A242="","",Exogena_RAW!E251)</f>
        <v/>
      </c>
      <c r="F242" s="461">
        <f>IF(A242="","",Exogena_RAW!F251)</f>
        <v/>
      </c>
      <c r="G242" s="48">
        <f>IF(A242="","",IFERROR(Exogena_RAW!G251,""))</f>
        <v/>
      </c>
      <c r="H242" s="48">
        <f>IF(A242="","",IFERROR(Exogena_RAW!H251,""))</f>
        <v/>
      </c>
      <c r="I242" s="48">
        <f>IF(A242="","",IFERROR(IF(S242&gt;1,"VARIAS CASILLAS",IF(S242=1,IF(T242=1,"PROPUESTA DE CASILLA","REVISIÓN: CASILLA NO DIRECTA"),IF(OR(ISNUMBER(SEARCH("TOPE",UPPER(E242))),ISNUMBER(SEARCH("TOPE",UPPER(G242)))),"SOLO CONTROL",IF(ISNUMBER(SEARCH("RETEN",UPPER(E242))),"RETENCIÓN","REVISAR")))),"REVISAR"))</f>
        <v/>
      </c>
      <c r="J242" s="48">
        <f>IF(A242="","",IF(ISNUMBER(SEARCH("ingreso laboral promedio de los últimos seis meses",E242)),"",IFERROR(IF(AND(S242=1,T242=1),U242,""),"")))</f>
        <v/>
      </c>
      <c r="K242" s="216" t="n"/>
      <c r="L242" s="48">
        <f>IF(A242="","",IFERROR(IF(K242&lt;&gt;"","Casilla elegida por usuario",IF(S242&gt;1,"Varias casillas — elegir en K",IF(J242&lt;&gt;"","Sugerencia directa",IF(S242=1,"No trasladar directo — revisar",IF(OR(ISNUMBER(SEARCH("TOPE",UPPER(E242))),ISNUMBER(SEARCH("TOPE",UPPER(G242)))),"Solo control","Revisar manualmente"))))),"Revisar manualmente"))</f>
        <v/>
      </c>
      <c r="M242" s="461">
        <f>IF(A242="","",IF(IF(K242&lt;&gt;"",K242,J242)="",0,IF(COUNTIFS(Reglas!$I$5:$I$118,IF(K242&lt;&gt;"",K242,J242),Reglas!$J$5:$J$118,"Sí")=1,F242,0)))</f>
        <v/>
      </c>
      <c r="N242" s="56" t="n"/>
      <c r="O242" s="462">
        <f>IF(A242="","",IF(M242=0,"",M242))</f>
        <v/>
      </c>
      <c r="P242" s="461">
        <f>IF(A242="","",IF(O242="",0,IF(ISNUMBER(O242),O242,0)))</f>
        <v/>
      </c>
      <c r="Q242" s="48">
        <f>IF(A242="","",IF(Exogena_RAW!$C$4="","BLOQUEADO: FALTA AÑO",IF(Exogena_RAW!$K$10&lt;&gt;Reglas!$B$5,"BLOQUEADO: AÑO",IF(IF(K242&lt;&gt;"",K242,J242)="",IF(S242&gt;1,"REQUIERE ASIGNACIÓN MANUAL (VARIAS CASILLAS)","INFORMATIVO (sin casilla — no se declara)"),IF(COUNTIFS(Reglas!$I$5:$I$118,IF(K242&lt;&gt;"",K242,J242),Reglas!$J$5:$J$118,"Sí")=0,"BLOQUEADO: CASILLA NO DIRECTA",IF(O242="","EXCLUIDO (valor borrado por el usuario)",IF(_xlfn.ISFORMULA(O242),IF(W242&lt;&gt;"","BORRADOR — VALOR SUGERIDO DIAN ⚠ VER ALERTA","BORRADOR — VALOR SUGERIDO DIAN"),IF(W242&lt;&gt;"","ACEPTADO ⚠ VER ALERTA","ACEPTADO"))))))))</f>
        <v/>
      </c>
      <c r="R242" s="218" t="n"/>
      <c r="S242" s="58">
        <f>IF(A242="","",IFERROR(--ISNUMBER(SEARCH("R28",G242)),0)+IFERROR(--ISNUMBER(SEARCH("R29",G242)),0)+IFERROR(--ISNUMBER(SEARCH("R30",G242)),0)+IFERROR(--ISNUMBER(SEARCH("R31",G242)),0)+IFERROR(--ISNUMBER(SEARCH("R32",G242)),0)+IFERROR(--ISNUMBER(SEARCH("R33",G242)),0)+IFERROR(--ISNUMBER(SEARCH("R34",G242)),0)+IFERROR(--ISNUMBER(SEARCH("R35",G242)),0)+IFERROR(--ISNUMBER(SEARCH("R36",G242)),0)+IFERROR(--ISNUMBER(SEARCH("R37",G242)),0)+IFERROR(--ISNUMBER(SEARCH("R38",G242)),0)+IFERROR(--ISNUMBER(SEARCH("R39",G242)),0)+IFERROR(--ISNUMBER(SEARCH("R40",G242)),0)+IFERROR(--ISNUMBER(SEARCH("R41",G242)),0)+IFERROR(--ISNUMBER(SEARCH("R42",G242)),0)+IFERROR(--ISNUMBER(SEARCH("R43",G242)),0)+IFERROR(--ISNUMBER(SEARCH("R44",G242)),0)+IFERROR(--ISNUMBER(SEARCH("R45",G242)),0)+IFERROR(--ISNUMBER(SEARCH("R46",G242)),0)+IFERROR(--ISNUMBER(SEARCH("R47",G242)),0)+IFERROR(--ISNUMBER(SEARCH("R48",G242)),0)+IFERROR(--ISNUMBER(SEARCH("R49",G242)),0)+IFERROR(--ISNUMBER(SEARCH("R50",G242)),0)+IFERROR(--ISNUMBER(SEARCH("R51",G242)),0)+IFERROR(--ISNUMBER(SEARCH("R52",G242)),0)+IFERROR(--ISNUMBER(SEARCH("R53",G242)),0)+IFERROR(--ISNUMBER(SEARCH("R54",G242)),0)+IFERROR(--ISNUMBER(SEARCH("R55",G242)),0)+IFERROR(--ISNUMBER(SEARCH("R56",G242)),0)+IFERROR(--ISNUMBER(SEARCH("R57",G242)),0)+IFERROR(--ISNUMBER(SEARCH("R58",G242)),0)+IFERROR(--ISNUMBER(SEARCH("R59",G242)),0)+IFERROR(--ISNUMBER(SEARCH("R60",G242)),0)+IFERROR(--ISNUMBER(SEARCH("R61",G242)),0)+IFERROR(--ISNUMBER(SEARCH("R62",G242)),0)+IFERROR(--ISNUMBER(SEARCH("R63",G242)),0)+IFERROR(--ISNUMBER(SEARCH("R64",G242)),0)+IFERROR(--ISNUMBER(SEARCH("R65",G242)),0)+IFERROR(--ISNUMBER(SEARCH("R66",G242)),0)+IFERROR(--ISNUMBER(SEARCH("R67",G242)),0)+IFERROR(--ISNUMBER(SEARCH("R68",G242)),0)+IFERROR(--ISNUMBER(SEARCH("R69",G242)),0)+IFERROR(--ISNUMBER(SEARCH("R70",G242)),0)+IFERROR(--ISNUMBER(SEARCH("R71",G242)),0)+IFERROR(--ISNUMBER(SEARCH("R72",G242)),0)+IFERROR(--ISNUMBER(SEARCH("R73",G242)),0)+IFERROR(--ISNUMBER(SEARCH("R74",G242)),0)+IFERROR(--ISNUMBER(SEARCH("R75",G242)),0)+IFERROR(--ISNUMBER(SEARCH("R76",G242)),0)+IFERROR(--ISNUMBER(SEARCH("R77",G242)),0)+IFERROR(--ISNUMBER(SEARCH("R78",G242)),0)+IFERROR(--ISNUMBER(SEARCH("R79",G242)),0)+IFERROR(--ISNUMBER(SEARCH("R80",G242)),0)+IFERROR(--ISNUMBER(SEARCH("R81",G242)),0)+IFERROR(--ISNUMBER(SEARCH("R82",G242)),0)+IFERROR(--ISNUMBER(SEARCH("R83",G242)),0)+IFERROR(--ISNUMBER(SEARCH("R84",G242)),0)+IFERROR(--ISNUMBER(SEARCH("R85",G242)),0)+IFERROR(--ISNUMBER(SEARCH("R86",G242)),0)+IFERROR(--ISNUMBER(SEARCH("R87",G242)),0)+IFERROR(--ISNUMBER(SEARCH("R88",G242)),0)+IFERROR(--ISNUMBER(SEARCH("R89",G242)),0)+IFERROR(--ISNUMBER(SEARCH("R90",G242)),0)+IFERROR(--ISNUMBER(SEARCH("R91",G242)),0)+IFERROR(--ISNUMBER(SEARCH("R92",G242)),0)+IFERROR(--ISNUMBER(SEARCH("R93",G242)),0)+IFERROR(--ISNUMBER(SEARCH("R94",G242)),0)+IFERROR(--ISNUMBER(SEARCH("R95",G242)),0)+IFERROR(--ISNUMBER(SEARCH("R96",G242)),0)+IFERROR(--ISNUMBER(SEARCH("R97",G242)),0)+IFERROR(--ISNUMBER(SEARCH("R98",G242)),0)+IFERROR(--ISNUMBER(SEARCH("R99",G242)),0)+IFERROR(--ISNUMBER(SEARCH("R100",G242)),0)+IFERROR(--ISNUMBER(SEARCH("R101",G242)),0)+IFERROR(--ISNUMBER(SEARCH("R102",G242)),0)+IFERROR(--ISNUMBER(SEARCH("R103",G242)),0)+IFERROR(--ISNUMBER(SEARCH("R104",G242)),0)+IFERROR(--ISNUMBER(SEARCH("R105",G242)),0)+IFERROR(--ISNUMBER(SEARCH("R106",G242)),0)+IFERROR(--ISNUMBER(SEARCH("R107",G242)),0)+IFERROR(--ISNUMBER(SEARCH("R108",G242)),0)+IFERROR(--ISNUMBER(SEARCH("R109",G242)),0)+IFERROR(--ISNUMBER(SEARCH("R110",G242)),0)+IFERROR(--ISNUMBER(SEARCH("R111",G242)),0)+IFERROR(--ISNUMBER(SEARCH("R112",G242)),0)+IFERROR(--ISNUMBER(SEARCH("R113",G242)),0)+IFERROR(--ISNUMBER(SEARCH("R114",G242)),0)+IFERROR(--ISNUMBER(SEARCH("R115",G242)),0)+IFERROR(--ISNUMBER(SEARCH("R116",G242)),0)+IFERROR(--ISNUMBER(SEARCH("R117",G242)),0)+IFERROR(--ISNUMBER(SEARCH("R118",G242)),0)+IFERROR(--ISNUMBER(SEARCH("R119",G242)),0)+IFERROR(--ISNUMBER(SEARCH("R120",G242)),0)+IFERROR(--ISNUMBER(SEARCH("R121",G242)),0)+IFERROR(--ISNUMBER(SEARCH("R122",G242)),0)+IFERROR(--ISNUMBER(SEARCH("R123",G242)),0)+IFERROR(--ISNUMBER(SEARCH("R124",G242)),0)+IFERROR(--ISNUMBER(SEARCH("R125",G242)),0)+IFERROR(--ISNUMBER(SEARCH("R126",G242)),0)+IFERROR(--ISNUMBER(SEARCH("R127",G242)),0)+IFERROR(--ISNUMBER(SEARCH("R128",G242)),0)+IFERROR(--ISNUMBER(SEARCH("R129",G242)),0)+IFERROR(--ISNUMBER(SEARCH("R130",G242)),0)+IFERROR(--ISNUMBER(SEARCH("R131",G242)),0)+IFERROR(--ISNUMBER(SEARCH("R132",G242)),0)+IFERROR(--ISNUMBER(SEARCH("R133",G242)),0)+IFERROR(--ISNUMBER(SEARCH("R134",G242)),0)+IFERROR(--ISNUMBER(SEARCH("R135",G242)),0)+IFERROR(--ISNUMBER(SEARCH("R136",G242)),0)+IFERROR(--ISNUMBER(SEARCH("R137",G242)),0)+IFERROR(--ISNUMBER(SEARCH("R138",G242)),0)+IFERROR(--ISNUMBER(SEARCH("R139",G242)),0)+IFERROR(--ISNUMBER(SEARCH("R140",G242)),0)+IFERROR(--ISNUMBER(SEARCH("R141",G242)),0))</f>
        <v/>
      </c>
      <c r="T242" s="58">
        <f>IF(A242="","",IFERROR(--ISNUMBER(SEARCH("R28",G242)),0)+IFERROR(--ISNUMBER(SEARCH("R29",G242)),0)+IFERROR(--ISNUMBER(SEARCH("R30",G242)),0)+IFERROR(--ISNUMBER(SEARCH("R32",G242)),0)+IFERROR(--ISNUMBER(SEARCH("R33",G242)),0)+IFERROR(--ISNUMBER(SEARCH("R35",G242)),0)+IFERROR(--ISNUMBER(SEARCH("R36",G242)),0)+IFERROR(--ISNUMBER(SEARCH("R38",G242)),0)+IFERROR(--ISNUMBER(SEARCH("R39",G242)),0)+IFERROR(--ISNUMBER(SEARCH("R43",G242)),0)+IFERROR(--ISNUMBER(SEARCH("R44",G242)),0)+IFERROR(--ISNUMBER(SEARCH("R45",G242)),0)+IFERROR(--ISNUMBER(SEARCH("R47",G242)),0)+IFERROR(--ISNUMBER(SEARCH("R48",G242)),0)+IFERROR(--ISNUMBER(SEARCH("R50",G242)),0)+IFERROR(--ISNUMBER(SEARCH("R51",G242)),0)+IFERROR(--ISNUMBER(SEARCH("R56",G242)),0)+IFERROR(--ISNUMBER(SEARCH("R58",G242)),0)+IFERROR(--ISNUMBER(SEARCH("R59",G242)),0)+IFERROR(--ISNUMBER(SEARCH("R60",G242)),0)+IFERROR(--ISNUMBER(SEARCH("R62",G242)),0)+IFERROR(--ISNUMBER(SEARCH("R63",G242)),0)+IFERROR(--ISNUMBER(SEARCH("R64",G242)),0)+IFERROR(--ISNUMBER(SEARCH("R66",G242)),0)+IFERROR(--ISNUMBER(SEARCH("R67",G242)),0)+IFERROR(--ISNUMBER(SEARCH("R72",G242)),0)+IFERROR(--ISNUMBER(SEARCH("R74",G242)),0)+IFERROR(--ISNUMBER(SEARCH("R75",G242)),0)+IFERROR(--ISNUMBER(SEARCH("R76",G242)),0)+IFERROR(--ISNUMBER(SEARCH("R77",G242)),0)+IFERROR(--ISNUMBER(SEARCH("R79",G242)),0)+IFERROR(--ISNUMBER(SEARCH("R80",G242)),0)+IFERROR(--ISNUMBER(SEARCH("R81",G242)),0)+IFERROR(--ISNUMBER(SEARCH("R83",G242)),0)+IFERROR(--ISNUMBER(SEARCH("R84",G242)),0)+IFERROR(--ISNUMBER(SEARCH("R89",G242)),0)+IFERROR(--ISNUMBER(SEARCH("R94",G242)),0)+IFERROR(--ISNUMBER(SEARCH("R95",G242)),0)+IFERROR(--ISNUMBER(SEARCH("R96",G242)),0)+IFERROR(--ISNUMBER(SEARCH("R98",G242)),0)+IFERROR(--ISNUMBER(SEARCH("R99",G242)),0)+IFERROR(--ISNUMBER(SEARCH("R100",G242)),0)+IFERROR(--ISNUMBER(SEARCH("R104",G242)),0)+IFERROR(--ISNUMBER(SEARCH("R105",G242)),0)+IFERROR(--ISNUMBER(SEARCH("R107",G242)),0)+IFERROR(--ISNUMBER(SEARCH("R108",G242)),0)+IFERROR(--ISNUMBER(SEARCH("R109",G242)),0)+IFERROR(--ISNUMBER(SEARCH("R110",G242)),0)+IFERROR(--ISNUMBER(SEARCH("R112",G242)),0)+IFERROR(--ISNUMBER(SEARCH("R113",G242)),0)+IFERROR(--ISNUMBER(SEARCH("R114",G242)),0)+IFERROR(--ISNUMBER(SEARCH("R118",G242)),0)+IFERROR(--ISNUMBER(SEARCH("R119",G242)),0)+IFERROR(--ISNUMBER(SEARCH("R120",G242)),0)+IFERROR(--ISNUMBER(SEARCH("R122",G242)),0)+IFERROR(--ISNUMBER(SEARCH("R123",G242)),0)+IFERROR(--ISNUMBER(SEARCH("R124",G242)),0)+IFERROR(--ISNUMBER(SEARCH("R128",G242)),0)+IFERROR(--ISNUMBER(SEARCH("R130",G242)),0)+IFERROR(--ISNUMBER(SEARCH("R131",G242)),0)+IFERROR(--ISNUMBER(SEARCH("R132",G242)),0)+IFERROR(--ISNUMBER(SEARCH("R135",G242)),0)+IFERROR(--ISNUMBER(SEARCH("R138",G242)),0)+IFERROR(--ISNUMBER(SEARCH("R141",G242)),0))</f>
        <v/>
      </c>
      <c r="U242" s="58">
        <f>IF(A242="","",IFERROR(--ISNUMBER(SEARCH("R28",G242))*28,0)+IFERROR(--ISNUMBER(SEARCH("R29",G242))*29,0)+IFERROR(--ISNUMBER(SEARCH("R30",G242))*30,0)+IFERROR(--ISNUMBER(SEARCH("R31",G242))*31,0)+IFERROR(--ISNUMBER(SEARCH("R32",G242))*32,0)+IFERROR(--ISNUMBER(SEARCH("R33",G242))*33,0)+IFERROR(--ISNUMBER(SEARCH("R34",G242))*34,0)+IFERROR(--ISNUMBER(SEARCH("R35",G242))*35,0)+IFERROR(--ISNUMBER(SEARCH("R36",G242))*36,0)+IFERROR(--ISNUMBER(SEARCH("R37",G242))*37,0)+IFERROR(--ISNUMBER(SEARCH("R38",G242))*38,0)+IFERROR(--ISNUMBER(SEARCH("R39",G242))*39,0)+IFERROR(--ISNUMBER(SEARCH("R40",G242))*40,0)+IFERROR(--ISNUMBER(SEARCH("R41",G242))*41,0)+IFERROR(--ISNUMBER(SEARCH("R42",G242))*42,0)+IFERROR(--ISNUMBER(SEARCH("R43",G242))*43,0)+IFERROR(--ISNUMBER(SEARCH("R44",G242))*44,0)+IFERROR(--ISNUMBER(SEARCH("R45",G242))*45,0)+IFERROR(--ISNUMBER(SEARCH("R46",G242))*46,0)+IFERROR(--ISNUMBER(SEARCH("R47",G242))*47,0)+IFERROR(--ISNUMBER(SEARCH("R48",G242))*48,0)+IFERROR(--ISNUMBER(SEARCH("R49",G242))*49,0)+IFERROR(--ISNUMBER(SEARCH("R50",G242))*50,0)+IFERROR(--ISNUMBER(SEARCH("R51",G242))*51,0)+IFERROR(--ISNUMBER(SEARCH("R52",G242))*52,0)+IFERROR(--ISNUMBER(SEARCH("R53",G242))*53,0)+IFERROR(--ISNUMBER(SEARCH("R54",G242))*54,0)+IFERROR(--ISNUMBER(SEARCH("R55",G242))*55,0)+IFERROR(--ISNUMBER(SEARCH("R56",G242))*56,0)+IFERROR(--ISNUMBER(SEARCH("R57",G242))*57,0)+IFERROR(--ISNUMBER(SEARCH("R58",G242))*58,0)+IFERROR(--ISNUMBER(SEARCH("R59",G242))*59,0)+IFERROR(--ISNUMBER(SEARCH("R60",G242))*60,0)+IFERROR(--ISNUMBER(SEARCH("R61",G242))*61,0)+IFERROR(--ISNUMBER(SEARCH("R62",G242))*62,0)+IFERROR(--ISNUMBER(SEARCH("R63",G242))*63,0)+IFERROR(--ISNUMBER(SEARCH("R64",G242))*64,0)+IFERROR(--ISNUMBER(SEARCH("R65",G242))*65,0)+IFERROR(--ISNUMBER(SEARCH("R66",G242))*66,0)+IFERROR(--ISNUMBER(SEARCH("R67",G242))*67,0)+IFERROR(--ISNUMBER(SEARCH("R68",G242))*68,0)+IFERROR(--ISNUMBER(SEARCH("R69",G242))*69,0)+IFERROR(--ISNUMBER(SEARCH("R70",G242))*70,0)+IFERROR(--ISNUMBER(SEARCH("R71",G242))*71,0)+IFERROR(--ISNUMBER(SEARCH("R72",G242))*72,0)+IFERROR(--ISNUMBER(SEARCH("R73",G242))*73,0)+IFERROR(--ISNUMBER(SEARCH("R74",G242))*74,0)+IFERROR(--ISNUMBER(SEARCH("R75",G242))*75,0)+IFERROR(--ISNUMBER(SEARCH("R76",G242))*76,0)+IFERROR(--ISNUMBER(SEARCH("R77",G242))*77,0)+IFERROR(--ISNUMBER(SEARCH("R78",G242))*78,0)+IFERROR(--ISNUMBER(SEARCH("R79",G242))*79,0)+IFERROR(--ISNUMBER(SEARCH("R80",G242))*80,0)+IFERROR(--ISNUMBER(SEARCH("R81",G242))*81,0)+IFERROR(--ISNUMBER(SEARCH("R82",G242))*82,0)+IFERROR(--ISNUMBER(SEARCH("R83",G242))*83,0)+IFERROR(--ISNUMBER(SEARCH("R84",G242))*84,0)+IFERROR(--ISNUMBER(SEARCH("R85",G242))*85,0)+IFERROR(--ISNUMBER(SEARCH("R86",G242))*86,0)+IFERROR(--ISNUMBER(SEARCH("R87",G242))*87,0)+IFERROR(--ISNUMBER(SEARCH("R88",G242))*88,0)+IFERROR(--ISNUMBER(SEARCH("R89",G242))*89,0)+IFERROR(--ISNUMBER(SEARCH("R90",G242))*90,0)+IFERROR(--ISNUMBER(SEARCH("R91",G242))*91,0)+IFERROR(--ISNUMBER(SEARCH("R92",G242))*92,0)+IFERROR(--ISNUMBER(SEARCH("R93",G242))*93,0)+IFERROR(--ISNUMBER(SEARCH("R94",G242))*94,0)+IFERROR(--ISNUMBER(SEARCH("R95",G242))*95,0)+IFERROR(--ISNUMBER(SEARCH("R96",G242))*96,0)+IFERROR(--ISNUMBER(SEARCH("R97",G242))*97,0)+IFERROR(--ISNUMBER(SEARCH("R98",G242))*98,0)+IFERROR(--ISNUMBER(SEARCH("R99",G242))*99,0)+IFERROR(--ISNUMBER(SEARCH("R100",G242))*100,0)+IFERROR(--ISNUMBER(SEARCH("R101",G242))*101,0)+IFERROR(--ISNUMBER(SEARCH("R102",G242))*102,0)+IFERROR(--ISNUMBER(SEARCH("R103",G242))*103,0)+IFERROR(--ISNUMBER(SEARCH("R104",G242))*104,0)+IFERROR(--ISNUMBER(SEARCH("R105",G242))*105,0)+IFERROR(--ISNUMBER(SEARCH("R106",G242))*106,0)+IFERROR(--ISNUMBER(SEARCH("R107",G242))*107,0)+IFERROR(--ISNUMBER(SEARCH("R108",G242))*108,0)+IFERROR(--ISNUMBER(SEARCH("R109",G242))*109,0)+IFERROR(--ISNUMBER(SEARCH("R110",G242))*110,0)+IFERROR(--ISNUMBER(SEARCH("R111",G242))*111,0)+IFERROR(--ISNUMBER(SEARCH("R112",G242))*112,0)+IFERROR(--ISNUMBER(SEARCH("R113",G242))*113,0)+IFERROR(--ISNUMBER(SEARCH("R114",G242))*114,0)+IFERROR(--ISNUMBER(SEARCH("R115",G242))*115,0)+IFERROR(--ISNUMBER(SEARCH("R116",G242))*116,0)+IFERROR(--ISNUMBER(SEARCH("R117",G242))*117,0)+IFERROR(--ISNUMBER(SEARCH("R118",G242))*118,0)+IFERROR(--ISNUMBER(SEARCH("R119",G242))*119,0)+IFERROR(--ISNUMBER(SEARCH("R120",G242))*120,0)+IFERROR(--ISNUMBER(SEARCH("R121",G242))*121,0)+IFERROR(--ISNUMBER(SEARCH("R122",G242))*122,0)+IFERROR(--ISNUMBER(SEARCH("R123",G242))*123,0)+IFERROR(--ISNUMBER(SEARCH("R124",G242))*124,0)+IFERROR(--ISNUMBER(SEARCH("R125",G242))*125,0)+IFERROR(--ISNUMBER(SEARCH("R126",G242))*126,0)+IFERROR(--ISNUMBER(SEARCH("R127",G242))*127,0)+IFERROR(--ISNUMBER(SEARCH("R128",G242))*128,0)+IFERROR(--ISNUMBER(SEARCH("R129",G242))*129,0)+IFERROR(--ISNUMBER(SEARCH("R130",G242))*130,0)+IFERROR(--ISNUMBER(SEARCH("R131",G242))*131,0)+IFERROR(--ISNUMBER(SEARCH("R132",G242))*132,0)+IFERROR(--ISNUMBER(SEARCH("R133",G242))*133,0)+IFERROR(--ISNUMBER(SEARCH("R134",G242))*134,0)+IFERROR(--ISNUMBER(SEARCH("R135",G242))*135,0)+IFERROR(--ISNUMBER(SEARCH("R136",G242))*136,0)+IFERROR(--ISNUMBER(SEARCH("R137",G242))*137,0)+IFERROR(--ISNUMBER(SEARCH("R138",G242))*138,0)+IFERROR(--ISNUMBER(SEARCH("R139",G242))*139,0)+IFERROR(--ISNUMBER(SEARCH("R140",G242))*140,0)+IFERROR(--ISNUMBER(SEARCH("R141",G242))*141,0))</f>
        <v/>
      </c>
      <c r="V242" s="59">
        <f>IF(A242="","",IF(K242&lt;&gt;"",K242,J242))</f>
        <v/>
      </c>
      <c r="W242" s="59">
        <f>IF(A242="","",IF(AND(V242=29,O242&lt;&gt;"",COUNTIFS($V$6:$V$505,29,$F$6:$F$505,F242,$C$6:$C$505,C242,$O$6:$O$505,"&lt;&gt;")&gt;1),IF(COUNTIFS($V$6:V242,29,$F$6:F242,F242,$C$6:C242,C242,$O$6:O242,"&lt;&gt;")=1,"Esta es la fila que se debe CONSERVAR (aparición 1 de "&amp;COUNTIFS($V$6:$V$505,29,$F$6:$F$505,F242,$C$6:$C$505,C242,$O$6:$O$505,"&lt;&gt;")&amp;" con el mismo tercero y valor, casilla 29). Si hay más filas iguales, bórreles el valor a ELLAS, no a esta.","DUPLICADO — ya existe otra fila con el mismo tercero y valor para casilla 29 (aparición "&amp;COUNTIFS($V$6:V242,29,$F$6:F242,F242,$C$6:C242,C242,$O$6:O242,"&lt;&gt;")&amp;" de "&amp;COUNTIFS($V$6:$V$505,29,$F$6:$F$505,F242,$C$6:$C$505,C242,$O$6:$O$505,"&lt;&gt;")&amp;"). Para resolverlo: seleccione la celda O"&amp;ROW()&amp;" (columna Valor a declarar de ESTA fila) y presione Supr."),""))</f>
        <v/>
      </c>
      <c r="X242" s="463">
        <f>IF(A242="","",F242)</f>
        <v/>
      </c>
      <c r="Y242" s="463">
        <f>IF(A242="","",SUMIF(Entrada_Manual!$I$88:$I$187,A242,Entrada_Manual!$F$88:$F$187))</f>
        <v/>
      </c>
      <c r="Z242" s="463">
        <f>IF(A242="","",X242-Y242)</f>
        <v/>
      </c>
      <c r="AA242">
        <f>IF(A242="","",SUMPRODUCT((Entrada_Manual!$I$88:$I$187=A242)*1))</f>
        <v/>
      </c>
      <c r="AB242">
        <f>IF(A242="","",IF(S242&lt;=1,"",IF(AA242=0,"PENDIENTE — SIN ASIGNAR",IF(Z242=0,"RESUELTO","PARCIAL — DIFERENCIA "&amp;TEXT(Z242,"#,##0")))))</f>
        <v/>
      </c>
    </row>
    <row r="243" ht="14.25" customHeight="1" s="235">
      <c r="A243" s="47">
        <f>IF(Exogena_RAW!E252&lt;&gt;"",ROW()-5,"")</f>
        <v/>
      </c>
      <c r="B243" s="48">
        <f>IF(A243="","",252)</f>
        <v/>
      </c>
      <c r="C243" s="48">
        <f>IF(A243="","",IFERROR(Exogena_RAW!A252,""))</f>
        <v/>
      </c>
      <c r="D243" s="48">
        <f>IF(A243="","",IFERROR(Exogena_RAW!B252,""))</f>
        <v/>
      </c>
      <c r="E243" s="48">
        <f>IF(A243="","",Exogena_RAW!E252)</f>
        <v/>
      </c>
      <c r="F243" s="461">
        <f>IF(A243="","",Exogena_RAW!F252)</f>
        <v/>
      </c>
      <c r="G243" s="48">
        <f>IF(A243="","",IFERROR(Exogena_RAW!G252,""))</f>
        <v/>
      </c>
      <c r="H243" s="48">
        <f>IF(A243="","",IFERROR(Exogena_RAW!H252,""))</f>
        <v/>
      </c>
      <c r="I243" s="48">
        <f>IF(A243="","",IFERROR(IF(S243&gt;1,"VARIAS CASILLAS",IF(S243=1,IF(T243=1,"PROPUESTA DE CASILLA","REVISIÓN: CASILLA NO DIRECTA"),IF(OR(ISNUMBER(SEARCH("TOPE",UPPER(E243))),ISNUMBER(SEARCH("TOPE",UPPER(G243)))),"SOLO CONTROL",IF(ISNUMBER(SEARCH("RETEN",UPPER(E243))),"RETENCIÓN","REVISAR")))),"REVISAR"))</f>
        <v/>
      </c>
      <c r="J243" s="48">
        <f>IF(A243="","",IF(ISNUMBER(SEARCH("ingreso laboral promedio de los últimos seis meses",E243)),"",IFERROR(IF(AND(S243=1,T243=1),U243,""),"")))</f>
        <v/>
      </c>
      <c r="K243" s="216" t="n"/>
      <c r="L243" s="48">
        <f>IF(A243="","",IFERROR(IF(K243&lt;&gt;"","Casilla elegida por usuario",IF(S243&gt;1,"Varias casillas — elegir en K",IF(J243&lt;&gt;"","Sugerencia directa",IF(S243=1,"No trasladar directo — revisar",IF(OR(ISNUMBER(SEARCH("TOPE",UPPER(E243))),ISNUMBER(SEARCH("TOPE",UPPER(G243)))),"Solo control","Revisar manualmente"))))),"Revisar manualmente"))</f>
        <v/>
      </c>
      <c r="M243" s="461">
        <f>IF(A243="","",IF(IF(K243&lt;&gt;"",K243,J243)="",0,IF(COUNTIFS(Reglas!$I$5:$I$118,IF(K243&lt;&gt;"",K243,J243),Reglas!$J$5:$J$118,"Sí")=1,F243,0)))</f>
        <v/>
      </c>
      <c r="N243" s="56" t="n"/>
      <c r="O243" s="462">
        <f>IF(A243="","",IF(M243=0,"",M243))</f>
        <v/>
      </c>
      <c r="P243" s="461">
        <f>IF(A243="","",IF(O243="",0,IF(ISNUMBER(O243),O243,0)))</f>
        <v/>
      </c>
      <c r="Q243" s="48">
        <f>IF(A243="","",IF(Exogena_RAW!$C$4="","BLOQUEADO: FALTA AÑO",IF(Exogena_RAW!$K$10&lt;&gt;Reglas!$B$5,"BLOQUEADO: AÑO",IF(IF(K243&lt;&gt;"",K243,J243)="",IF(S243&gt;1,"REQUIERE ASIGNACIÓN MANUAL (VARIAS CASILLAS)","INFORMATIVO (sin casilla — no se declara)"),IF(COUNTIFS(Reglas!$I$5:$I$118,IF(K243&lt;&gt;"",K243,J243),Reglas!$J$5:$J$118,"Sí")=0,"BLOQUEADO: CASILLA NO DIRECTA",IF(O243="","EXCLUIDO (valor borrado por el usuario)",IF(_xlfn.ISFORMULA(O243),IF(W243&lt;&gt;"","BORRADOR — VALOR SUGERIDO DIAN ⚠ VER ALERTA","BORRADOR — VALOR SUGERIDO DIAN"),IF(W243&lt;&gt;"","ACEPTADO ⚠ VER ALERTA","ACEPTADO"))))))))</f>
        <v/>
      </c>
      <c r="R243" s="218" t="n"/>
      <c r="S243" s="58">
        <f>IF(A243="","",IFERROR(--ISNUMBER(SEARCH("R28",G243)),0)+IFERROR(--ISNUMBER(SEARCH("R29",G243)),0)+IFERROR(--ISNUMBER(SEARCH("R30",G243)),0)+IFERROR(--ISNUMBER(SEARCH("R31",G243)),0)+IFERROR(--ISNUMBER(SEARCH("R32",G243)),0)+IFERROR(--ISNUMBER(SEARCH("R33",G243)),0)+IFERROR(--ISNUMBER(SEARCH("R34",G243)),0)+IFERROR(--ISNUMBER(SEARCH("R35",G243)),0)+IFERROR(--ISNUMBER(SEARCH("R36",G243)),0)+IFERROR(--ISNUMBER(SEARCH("R37",G243)),0)+IFERROR(--ISNUMBER(SEARCH("R38",G243)),0)+IFERROR(--ISNUMBER(SEARCH("R39",G243)),0)+IFERROR(--ISNUMBER(SEARCH("R40",G243)),0)+IFERROR(--ISNUMBER(SEARCH("R41",G243)),0)+IFERROR(--ISNUMBER(SEARCH("R42",G243)),0)+IFERROR(--ISNUMBER(SEARCH("R43",G243)),0)+IFERROR(--ISNUMBER(SEARCH("R44",G243)),0)+IFERROR(--ISNUMBER(SEARCH("R45",G243)),0)+IFERROR(--ISNUMBER(SEARCH("R46",G243)),0)+IFERROR(--ISNUMBER(SEARCH("R47",G243)),0)+IFERROR(--ISNUMBER(SEARCH("R48",G243)),0)+IFERROR(--ISNUMBER(SEARCH("R49",G243)),0)+IFERROR(--ISNUMBER(SEARCH("R50",G243)),0)+IFERROR(--ISNUMBER(SEARCH("R51",G243)),0)+IFERROR(--ISNUMBER(SEARCH("R52",G243)),0)+IFERROR(--ISNUMBER(SEARCH("R53",G243)),0)+IFERROR(--ISNUMBER(SEARCH("R54",G243)),0)+IFERROR(--ISNUMBER(SEARCH("R55",G243)),0)+IFERROR(--ISNUMBER(SEARCH("R56",G243)),0)+IFERROR(--ISNUMBER(SEARCH("R57",G243)),0)+IFERROR(--ISNUMBER(SEARCH("R58",G243)),0)+IFERROR(--ISNUMBER(SEARCH("R59",G243)),0)+IFERROR(--ISNUMBER(SEARCH("R60",G243)),0)+IFERROR(--ISNUMBER(SEARCH("R61",G243)),0)+IFERROR(--ISNUMBER(SEARCH("R62",G243)),0)+IFERROR(--ISNUMBER(SEARCH("R63",G243)),0)+IFERROR(--ISNUMBER(SEARCH("R64",G243)),0)+IFERROR(--ISNUMBER(SEARCH("R65",G243)),0)+IFERROR(--ISNUMBER(SEARCH("R66",G243)),0)+IFERROR(--ISNUMBER(SEARCH("R67",G243)),0)+IFERROR(--ISNUMBER(SEARCH("R68",G243)),0)+IFERROR(--ISNUMBER(SEARCH("R69",G243)),0)+IFERROR(--ISNUMBER(SEARCH("R70",G243)),0)+IFERROR(--ISNUMBER(SEARCH("R71",G243)),0)+IFERROR(--ISNUMBER(SEARCH("R72",G243)),0)+IFERROR(--ISNUMBER(SEARCH("R73",G243)),0)+IFERROR(--ISNUMBER(SEARCH("R74",G243)),0)+IFERROR(--ISNUMBER(SEARCH("R75",G243)),0)+IFERROR(--ISNUMBER(SEARCH("R76",G243)),0)+IFERROR(--ISNUMBER(SEARCH("R77",G243)),0)+IFERROR(--ISNUMBER(SEARCH("R78",G243)),0)+IFERROR(--ISNUMBER(SEARCH("R79",G243)),0)+IFERROR(--ISNUMBER(SEARCH("R80",G243)),0)+IFERROR(--ISNUMBER(SEARCH("R81",G243)),0)+IFERROR(--ISNUMBER(SEARCH("R82",G243)),0)+IFERROR(--ISNUMBER(SEARCH("R83",G243)),0)+IFERROR(--ISNUMBER(SEARCH("R84",G243)),0)+IFERROR(--ISNUMBER(SEARCH("R85",G243)),0)+IFERROR(--ISNUMBER(SEARCH("R86",G243)),0)+IFERROR(--ISNUMBER(SEARCH("R87",G243)),0)+IFERROR(--ISNUMBER(SEARCH("R88",G243)),0)+IFERROR(--ISNUMBER(SEARCH("R89",G243)),0)+IFERROR(--ISNUMBER(SEARCH("R90",G243)),0)+IFERROR(--ISNUMBER(SEARCH("R91",G243)),0)+IFERROR(--ISNUMBER(SEARCH("R92",G243)),0)+IFERROR(--ISNUMBER(SEARCH("R93",G243)),0)+IFERROR(--ISNUMBER(SEARCH("R94",G243)),0)+IFERROR(--ISNUMBER(SEARCH("R95",G243)),0)+IFERROR(--ISNUMBER(SEARCH("R96",G243)),0)+IFERROR(--ISNUMBER(SEARCH("R97",G243)),0)+IFERROR(--ISNUMBER(SEARCH("R98",G243)),0)+IFERROR(--ISNUMBER(SEARCH("R99",G243)),0)+IFERROR(--ISNUMBER(SEARCH("R100",G243)),0)+IFERROR(--ISNUMBER(SEARCH("R101",G243)),0)+IFERROR(--ISNUMBER(SEARCH("R102",G243)),0)+IFERROR(--ISNUMBER(SEARCH("R103",G243)),0)+IFERROR(--ISNUMBER(SEARCH("R104",G243)),0)+IFERROR(--ISNUMBER(SEARCH("R105",G243)),0)+IFERROR(--ISNUMBER(SEARCH("R106",G243)),0)+IFERROR(--ISNUMBER(SEARCH("R107",G243)),0)+IFERROR(--ISNUMBER(SEARCH("R108",G243)),0)+IFERROR(--ISNUMBER(SEARCH("R109",G243)),0)+IFERROR(--ISNUMBER(SEARCH("R110",G243)),0)+IFERROR(--ISNUMBER(SEARCH("R111",G243)),0)+IFERROR(--ISNUMBER(SEARCH("R112",G243)),0)+IFERROR(--ISNUMBER(SEARCH("R113",G243)),0)+IFERROR(--ISNUMBER(SEARCH("R114",G243)),0)+IFERROR(--ISNUMBER(SEARCH("R115",G243)),0)+IFERROR(--ISNUMBER(SEARCH("R116",G243)),0)+IFERROR(--ISNUMBER(SEARCH("R117",G243)),0)+IFERROR(--ISNUMBER(SEARCH("R118",G243)),0)+IFERROR(--ISNUMBER(SEARCH("R119",G243)),0)+IFERROR(--ISNUMBER(SEARCH("R120",G243)),0)+IFERROR(--ISNUMBER(SEARCH("R121",G243)),0)+IFERROR(--ISNUMBER(SEARCH("R122",G243)),0)+IFERROR(--ISNUMBER(SEARCH("R123",G243)),0)+IFERROR(--ISNUMBER(SEARCH("R124",G243)),0)+IFERROR(--ISNUMBER(SEARCH("R125",G243)),0)+IFERROR(--ISNUMBER(SEARCH("R126",G243)),0)+IFERROR(--ISNUMBER(SEARCH("R127",G243)),0)+IFERROR(--ISNUMBER(SEARCH("R128",G243)),0)+IFERROR(--ISNUMBER(SEARCH("R129",G243)),0)+IFERROR(--ISNUMBER(SEARCH("R130",G243)),0)+IFERROR(--ISNUMBER(SEARCH("R131",G243)),0)+IFERROR(--ISNUMBER(SEARCH("R132",G243)),0)+IFERROR(--ISNUMBER(SEARCH("R133",G243)),0)+IFERROR(--ISNUMBER(SEARCH("R134",G243)),0)+IFERROR(--ISNUMBER(SEARCH("R135",G243)),0)+IFERROR(--ISNUMBER(SEARCH("R136",G243)),0)+IFERROR(--ISNUMBER(SEARCH("R137",G243)),0)+IFERROR(--ISNUMBER(SEARCH("R138",G243)),0)+IFERROR(--ISNUMBER(SEARCH("R139",G243)),0)+IFERROR(--ISNUMBER(SEARCH("R140",G243)),0)+IFERROR(--ISNUMBER(SEARCH("R141",G243)),0))</f>
        <v/>
      </c>
      <c r="T243" s="58">
        <f>IF(A243="","",IFERROR(--ISNUMBER(SEARCH("R28",G243)),0)+IFERROR(--ISNUMBER(SEARCH("R29",G243)),0)+IFERROR(--ISNUMBER(SEARCH("R30",G243)),0)+IFERROR(--ISNUMBER(SEARCH("R32",G243)),0)+IFERROR(--ISNUMBER(SEARCH("R33",G243)),0)+IFERROR(--ISNUMBER(SEARCH("R35",G243)),0)+IFERROR(--ISNUMBER(SEARCH("R36",G243)),0)+IFERROR(--ISNUMBER(SEARCH("R38",G243)),0)+IFERROR(--ISNUMBER(SEARCH("R39",G243)),0)+IFERROR(--ISNUMBER(SEARCH("R43",G243)),0)+IFERROR(--ISNUMBER(SEARCH("R44",G243)),0)+IFERROR(--ISNUMBER(SEARCH("R45",G243)),0)+IFERROR(--ISNUMBER(SEARCH("R47",G243)),0)+IFERROR(--ISNUMBER(SEARCH("R48",G243)),0)+IFERROR(--ISNUMBER(SEARCH("R50",G243)),0)+IFERROR(--ISNUMBER(SEARCH("R51",G243)),0)+IFERROR(--ISNUMBER(SEARCH("R56",G243)),0)+IFERROR(--ISNUMBER(SEARCH("R58",G243)),0)+IFERROR(--ISNUMBER(SEARCH("R59",G243)),0)+IFERROR(--ISNUMBER(SEARCH("R60",G243)),0)+IFERROR(--ISNUMBER(SEARCH("R62",G243)),0)+IFERROR(--ISNUMBER(SEARCH("R63",G243)),0)+IFERROR(--ISNUMBER(SEARCH("R64",G243)),0)+IFERROR(--ISNUMBER(SEARCH("R66",G243)),0)+IFERROR(--ISNUMBER(SEARCH("R67",G243)),0)+IFERROR(--ISNUMBER(SEARCH("R72",G243)),0)+IFERROR(--ISNUMBER(SEARCH("R74",G243)),0)+IFERROR(--ISNUMBER(SEARCH("R75",G243)),0)+IFERROR(--ISNUMBER(SEARCH("R76",G243)),0)+IFERROR(--ISNUMBER(SEARCH("R77",G243)),0)+IFERROR(--ISNUMBER(SEARCH("R79",G243)),0)+IFERROR(--ISNUMBER(SEARCH("R80",G243)),0)+IFERROR(--ISNUMBER(SEARCH("R81",G243)),0)+IFERROR(--ISNUMBER(SEARCH("R83",G243)),0)+IFERROR(--ISNUMBER(SEARCH("R84",G243)),0)+IFERROR(--ISNUMBER(SEARCH("R89",G243)),0)+IFERROR(--ISNUMBER(SEARCH("R94",G243)),0)+IFERROR(--ISNUMBER(SEARCH("R95",G243)),0)+IFERROR(--ISNUMBER(SEARCH("R96",G243)),0)+IFERROR(--ISNUMBER(SEARCH("R98",G243)),0)+IFERROR(--ISNUMBER(SEARCH("R99",G243)),0)+IFERROR(--ISNUMBER(SEARCH("R100",G243)),0)+IFERROR(--ISNUMBER(SEARCH("R104",G243)),0)+IFERROR(--ISNUMBER(SEARCH("R105",G243)),0)+IFERROR(--ISNUMBER(SEARCH("R107",G243)),0)+IFERROR(--ISNUMBER(SEARCH("R108",G243)),0)+IFERROR(--ISNUMBER(SEARCH("R109",G243)),0)+IFERROR(--ISNUMBER(SEARCH("R110",G243)),0)+IFERROR(--ISNUMBER(SEARCH("R112",G243)),0)+IFERROR(--ISNUMBER(SEARCH("R113",G243)),0)+IFERROR(--ISNUMBER(SEARCH("R114",G243)),0)+IFERROR(--ISNUMBER(SEARCH("R118",G243)),0)+IFERROR(--ISNUMBER(SEARCH("R119",G243)),0)+IFERROR(--ISNUMBER(SEARCH("R120",G243)),0)+IFERROR(--ISNUMBER(SEARCH("R122",G243)),0)+IFERROR(--ISNUMBER(SEARCH("R123",G243)),0)+IFERROR(--ISNUMBER(SEARCH("R124",G243)),0)+IFERROR(--ISNUMBER(SEARCH("R128",G243)),0)+IFERROR(--ISNUMBER(SEARCH("R130",G243)),0)+IFERROR(--ISNUMBER(SEARCH("R131",G243)),0)+IFERROR(--ISNUMBER(SEARCH("R132",G243)),0)+IFERROR(--ISNUMBER(SEARCH("R135",G243)),0)+IFERROR(--ISNUMBER(SEARCH("R138",G243)),0)+IFERROR(--ISNUMBER(SEARCH("R141",G243)),0))</f>
        <v/>
      </c>
      <c r="U243" s="58">
        <f>IF(A243="","",IFERROR(--ISNUMBER(SEARCH("R28",G243))*28,0)+IFERROR(--ISNUMBER(SEARCH("R29",G243))*29,0)+IFERROR(--ISNUMBER(SEARCH("R30",G243))*30,0)+IFERROR(--ISNUMBER(SEARCH("R31",G243))*31,0)+IFERROR(--ISNUMBER(SEARCH("R32",G243))*32,0)+IFERROR(--ISNUMBER(SEARCH("R33",G243))*33,0)+IFERROR(--ISNUMBER(SEARCH("R34",G243))*34,0)+IFERROR(--ISNUMBER(SEARCH("R35",G243))*35,0)+IFERROR(--ISNUMBER(SEARCH("R36",G243))*36,0)+IFERROR(--ISNUMBER(SEARCH("R37",G243))*37,0)+IFERROR(--ISNUMBER(SEARCH("R38",G243))*38,0)+IFERROR(--ISNUMBER(SEARCH("R39",G243))*39,0)+IFERROR(--ISNUMBER(SEARCH("R40",G243))*40,0)+IFERROR(--ISNUMBER(SEARCH("R41",G243))*41,0)+IFERROR(--ISNUMBER(SEARCH("R42",G243))*42,0)+IFERROR(--ISNUMBER(SEARCH("R43",G243))*43,0)+IFERROR(--ISNUMBER(SEARCH("R44",G243))*44,0)+IFERROR(--ISNUMBER(SEARCH("R45",G243))*45,0)+IFERROR(--ISNUMBER(SEARCH("R46",G243))*46,0)+IFERROR(--ISNUMBER(SEARCH("R47",G243))*47,0)+IFERROR(--ISNUMBER(SEARCH("R48",G243))*48,0)+IFERROR(--ISNUMBER(SEARCH("R49",G243))*49,0)+IFERROR(--ISNUMBER(SEARCH("R50",G243))*50,0)+IFERROR(--ISNUMBER(SEARCH("R51",G243))*51,0)+IFERROR(--ISNUMBER(SEARCH("R52",G243))*52,0)+IFERROR(--ISNUMBER(SEARCH("R53",G243))*53,0)+IFERROR(--ISNUMBER(SEARCH("R54",G243))*54,0)+IFERROR(--ISNUMBER(SEARCH("R55",G243))*55,0)+IFERROR(--ISNUMBER(SEARCH("R56",G243))*56,0)+IFERROR(--ISNUMBER(SEARCH("R57",G243))*57,0)+IFERROR(--ISNUMBER(SEARCH("R58",G243))*58,0)+IFERROR(--ISNUMBER(SEARCH("R59",G243))*59,0)+IFERROR(--ISNUMBER(SEARCH("R60",G243))*60,0)+IFERROR(--ISNUMBER(SEARCH("R61",G243))*61,0)+IFERROR(--ISNUMBER(SEARCH("R62",G243))*62,0)+IFERROR(--ISNUMBER(SEARCH("R63",G243))*63,0)+IFERROR(--ISNUMBER(SEARCH("R64",G243))*64,0)+IFERROR(--ISNUMBER(SEARCH("R65",G243))*65,0)+IFERROR(--ISNUMBER(SEARCH("R66",G243))*66,0)+IFERROR(--ISNUMBER(SEARCH("R67",G243))*67,0)+IFERROR(--ISNUMBER(SEARCH("R68",G243))*68,0)+IFERROR(--ISNUMBER(SEARCH("R69",G243))*69,0)+IFERROR(--ISNUMBER(SEARCH("R70",G243))*70,0)+IFERROR(--ISNUMBER(SEARCH("R71",G243))*71,0)+IFERROR(--ISNUMBER(SEARCH("R72",G243))*72,0)+IFERROR(--ISNUMBER(SEARCH("R73",G243))*73,0)+IFERROR(--ISNUMBER(SEARCH("R74",G243))*74,0)+IFERROR(--ISNUMBER(SEARCH("R75",G243))*75,0)+IFERROR(--ISNUMBER(SEARCH("R76",G243))*76,0)+IFERROR(--ISNUMBER(SEARCH("R77",G243))*77,0)+IFERROR(--ISNUMBER(SEARCH("R78",G243))*78,0)+IFERROR(--ISNUMBER(SEARCH("R79",G243))*79,0)+IFERROR(--ISNUMBER(SEARCH("R80",G243))*80,0)+IFERROR(--ISNUMBER(SEARCH("R81",G243))*81,0)+IFERROR(--ISNUMBER(SEARCH("R82",G243))*82,0)+IFERROR(--ISNUMBER(SEARCH("R83",G243))*83,0)+IFERROR(--ISNUMBER(SEARCH("R84",G243))*84,0)+IFERROR(--ISNUMBER(SEARCH("R85",G243))*85,0)+IFERROR(--ISNUMBER(SEARCH("R86",G243))*86,0)+IFERROR(--ISNUMBER(SEARCH("R87",G243))*87,0)+IFERROR(--ISNUMBER(SEARCH("R88",G243))*88,0)+IFERROR(--ISNUMBER(SEARCH("R89",G243))*89,0)+IFERROR(--ISNUMBER(SEARCH("R90",G243))*90,0)+IFERROR(--ISNUMBER(SEARCH("R91",G243))*91,0)+IFERROR(--ISNUMBER(SEARCH("R92",G243))*92,0)+IFERROR(--ISNUMBER(SEARCH("R93",G243))*93,0)+IFERROR(--ISNUMBER(SEARCH("R94",G243))*94,0)+IFERROR(--ISNUMBER(SEARCH("R95",G243))*95,0)+IFERROR(--ISNUMBER(SEARCH("R96",G243))*96,0)+IFERROR(--ISNUMBER(SEARCH("R97",G243))*97,0)+IFERROR(--ISNUMBER(SEARCH("R98",G243))*98,0)+IFERROR(--ISNUMBER(SEARCH("R99",G243))*99,0)+IFERROR(--ISNUMBER(SEARCH("R100",G243))*100,0)+IFERROR(--ISNUMBER(SEARCH("R101",G243))*101,0)+IFERROR(--ISNUMBER(SEARCH("R102",G243))*102,0)+IFERROR(--ISNUMBER(SEARCH("R103",G243))*103,0)+IFERROR(--ISNUMBER(SEARCH("R104",G243))*104,0)+IFERROR(--ISNUMBER(SEARCH("R105",G243))*105,0)+IFERROR(--ISNUMBER(SEARCH("R106",G243))*106,0)+IFERROR(--ISNUMBER(SEARCH("R107",G243))*107,0)+IFERROR(--ISNUMBER(SEARCH("R108",G243))*108,0)+IFERROR(--ISNUMBER(SEARCH("R109",G243))*109,0)+IFERROR(--ISNUMBER(SEARCH("R110",G243))*110,0)+IFERROR(--ISNUMBER(SEARCH("R111",G243))*111,0)+IFERROR(--ISNUMBER(SEARCH("R112",G243))*112,0)+IFERROR(--ISNUMBER(SEARCH("R113",G243))*113,0)+IFERROR(--ISNUMBER(SEARCH("R114",G243))*114,0)+IFERROR(--ISNUMBER(SEARCH("R115",G243))*115,0)+IFERROR(--ISNUMBER(SEARCH("R116",G243))*116,0)+IFERROR(--ISNUMBER(SEARCH("R117",G243))*117,0)+IFERROR(--ISNUMBER(SEARCH("R118",G243))*118,0)+IFERROR(--ISNUMBER(SEARCH("R119",G243))*119,0)+IFERROR(--ISNUMBER(SEARCH("R120",G243))*120,0)+IFERROR(--ISNUMBER(SEARCH("R121",G243))*121,0)+IFERROR(--ISNUMBER(SEARCH("R122",G243))*122,0)+IFERROR(--ISNUMBER(SEARCH("R123",G243))*123,0)+IFERROR(--ISNUMBER(SEARCH("R124",G243))*124,0)+IFERROR(--ISNUMBER(SEARCH("R125",G243))*125,0)+IFERROR(--ISNUMBER(SEARCH("R126",G243))*126,0)+IFERROR(--ISNUMBER(SEARCH("R127",G243))*127,0)+IFERROR(--ISNUMBER(SEARCH("R128",G243))*128,0)+IFERROR(--ISNUMBER(SEARCH("R129",G243))*129,0)+IFERROR(--ISNUMBER(SEARCH("R130",G243))*130,0)+IFERROR(--ISNUMBER(SEARCH("R131",G243))*131,0)+IFERROR(--ISNUMBER(SEARCH("R132",G243))*132,0)+IFERROR(--ISNUMBER(SEARCH("R133",G243))*133,0)+IFERROR(--ISNUMBER(SEARCH("R134",G243))*134,0)+IFERROR(--ISNUMBER(SEARCH("R135",G243))*135,0)+IFERROR(--ISNUMBER(SEARCH("R136",G243))*136,0)+IFERROR(--ISNUMBER(SEARCH("R137",G243))*137,0)+IFERROR(--ISNUMBER(SEARCH("R138",G243))*138,0)+IFERROR(--ISNUMBER(SEARCH("R139",G243))*139,0)+IFERROR(--ISNUMBER(SEARCH("R140",G243))*140,0)+IFERROR(--ISNUMBER(SEARCH("R141",G243))*141,0))</f>
        <v/>
      </c>
      <c r="V243" s="59">
        <f>IF(A243="","",IF(K243&lt;&gt;"",K243,J243))</f>
        <v/>
      </c>
      <c r="W243" s="59">
        <f>IF(A243="","",IF(AND(V243=29,O243&lt;&gt;"",COUNTIFS($V$6:$V$505,29,$F$6:$F$505,F243,$C$6:$C$505,C243,$O$6:$O$505,"&lt;&gt;")&gt;1),IF(COUNTIFS($V$6:V243,29,$F$6:F243,F243,$C$6:C243,C243,$O$6:O243,"&lt;&gt;")=1,"Esta es la fila que se debe CONSERVAR (aparición 1 de "&amp;COUNTIFS($V$6:$V$505,29,$F$6:$F$505,F243,$C$6:$C$505,C243,$O$6:$O$505,"&lt;&gt;")&amp;" con el mismo tercero y valor, casilla 29). Si hay más filas iguales, bórreles el valor a ELLAS, no a esta.","DUPLICADO — ya existe otra fila con el mismo tercero y valor para casilla 29 (aparición "&amp;COUNTIFS($V$6:V243,29,$F$6:F243,F243,$C$6:C243,C243,$O$6:O243,"&lt;&gt;")&amp;" de "&amp;COUNTIFS($V$6:$V$505,29,$F$6:$F$505,F243,$C$6:$C$505,C243,$O$6:$O$505,"&lt;&gt;")&amp;"). Para resolverlo: seleccione la celda O"&amp;ROW()&amp;" (columna Valor a declarar de ESTA fila) y presione Supr."),""))</f>
        <v/>
      </c>
      <c r="X243" s="463">
        <f>IF(A243="","",F243)</f>
        <v/>
      </c>
      <c r="Y243" s="463">
        <f>IF(A243="","",SUMIF(Entrada_Manual!$I$88:$I$187,A243,Entrada_Manual!$F$88:$F$187))</f>
        <v/>
      </c>
      <c r="Z243" s="463">
        <f>IF(A243="","",X243-Y243)</f>
        <v/>
      </c>
      <c r="AA243">
        <f>IF(A243="","",SUMPRODUCT((Entrada_Manual!$I$88:$I$187=A243)*1))</f>
        <v/>
      </c>
      <c r="AB243">
        <f>IF(A243="","",IF(S243&lt;=1,"",IF(AA243=0,"PENDIENTE — SIN ASIGNAR",IF(Z243=0,"RESUELTO","PARCIAL — DIFERENCIA "&amp;TEXT(Z243,"#,##0")))))</f>
        <v/>
      </c>
    </row>
    <row r="244" ht="14.25" customHeight="1" s="235">
      <c r="A244" s="47">
        <f>IF(Exogena_RAW!E253&lt;&gt;"",ROW()-5,"")</f>
        <v/>
      </c>
      <c r="B244" s="48">
        <f>IF(A244="","",253)</f>
        <v/>
      </c>
      <c r="C244" s="48">
        <f>IF(A244="","",IFERROR(Exogena_RAW!A253,""))</f>
        <v/>
      </c>
      <c r="D244" s="48">
        <f>IF(A244="","",IFERROR(Exogena_RAW!B253,""))</f>
        <v/>
      </c>
      <c r="E244" s="48">
        <f>IF(A244="","",Exogena_RAW!E253)</f>
        <v/>
      </c>
      <c r="F244" s="461">
        <f>IF(A244="","",Exogena_RAW!F253)</f>
        <v/>
      </c>
      <c r="G244" s="48">
        <f>IF(A244="","",IFERROR(Exogena_RAW!G253,""))</f>
        <v/>
      </c>
      <c r="H244" s="48">
        <f>IF(A244="","",IFERROR(Exogena_RAW!H253,""))</f>
        <v/>
      </c>
      <c r="I244" s="48">
        <f>IF(A244="","",IFERROR(IF(S244&gt;1,"VARIAS CASILLAS",IF(S244=1,IF(T244=1,"PROPUESTA DE CASILLA","REVISIÓN: CASILLA NO DIRECTA"),IF(OR(ISNUMBER(SEARCH("TOPE",UPPER(E244))),ISNUMBER(SEARCH("TOPE",UPPER(G244)))),"SOLO CONTROL",IF(ISNUMBER(SEARCH("RETEN",UPPER(E244))),"RETENCIÓN","REVISAR")))),"REVISAR"))</f>
        <v/>
      </c>
      <c r="J244" s="48">
        <f>IF(A244="","",IF(ISNUMBER(SEARCH("ingreso laboral promedio de los últimos seis meses",E244)),"",IFERROR(IF(AND(S244=1,T244=1),U244,""),"")))</f>
        <v/>
      </c>
      <c r="K244" s="216" t="n"/>
      <c r="L244" s="48">
        <f>IF(A244="","",IFERROR(IF(K244&lt;&gt;"","Casilla elegida por usuario",IF(S244&gt;1,"Varias casillas — elegir en K",IF(J244&lt;&gt;"","Sugerencia directa",IF(S244=1,"No trasladar directo — revisar",IF(OR(ISNUMBER(SEARCH("TOPE",UPPER(E244))),ISNUMBER(SEARCH("TOPE",UPPER(G244)))),"Solo control","Revisar manualmente"))))),"Revisar manualmente"))</f>
        <v/>
      </c>
      <c r="M244" s="461">
        <f>IF(A244="","",IF(IF(K244&lt;&gt;"",K244,J244)="",0,IF(COUNTIFS(Reglas!$I$5:$I$118,IF(K244&lt;&gt;"",K244,J244),Reglas!$J$5:$J$118,"Sí")=1,F244,0)))</f>
        <v/>
      </c>
      <c r="N244" s="56" t="n"/>
      <c r="O244" s="462">
        <f>IF(A244="","",IF(M244=0,"",M244))</f>
        <v/>
      </c>
      <c r="P244" s="461">
        <f>IF(A244="","",IF(O244="",0,IF(ISNUMBER(O244),O244,0)))</f>
        <v/>
      </c>
      <c r="Q244" s="48">
        <f>IF(A244="","",IF(Exogena_RAW!$C$4="","BLOQUEADO: FALTA AÑO",IF(Exogena_RAW!$K$10&lt;&gt;Reglas!$B$5,"BLOQUEADO: AÑO",IF(IF(K244&lt;&gt;"",K244,J244)="",IF(S244&gt;1,"REQUIERE ASIGNACIÓN MANUAL (VARIAS CASILLAS)","INFORMATIVO (sin casilla — no se declara)"),IF(COUNTIFS(Reglas!$I$5:$I$118,IF(K244&lt;&gt;"",K244,J244),Reglas!$J$5:$J$118,"Sí")=0,"BLOQUEADO: CASILLA NO DIRECTA",IF(O244="","EXCLUIDO (valor borrado por el usuario)",IF(_xlfn.ISFORMULA(O244),IF(W244&lt;&gt;"","BORRADOR — VALOR SUGERIDO DIAN ⚠ VER ALERTA","BORRADOR — VALOR SUGERIDO DIAN"),IF(W244&lt;&gt;"","ACEPTADO ⚠ VER ALERTA","ACEPTADO"))))))))</f>
        <v/>
      </c>
      <c r="R244" s="218" t="n"/>
      <c r="S244" s="58">
        <f>IF(A244="","",IFERROR(--ISNUMBER(SEARCH("R28",G244)),0)+IFERROR(--ISNUMBER(SEARCH("R29",G244)),0)+IFERROR(--ISNUMBER(SEARCH("R30",G244)),0)+IFERROR(--ISNUMBER(SEARCH("R31",G244)),0)+IFERROR(--ISNUMBER(SEARCH("R32",G244)),0)+IFERROR(--ISNUMBER(SEARCH("R33",G244)),0)+IFERROR(--ISNUMBER(SEARCH("R34",G244)),0)+IFERROR(--ISNUMBER(SEARCH("R35",G244)),0)+IFERROR(--ISNUMBER(SEARCH("R36",G244)),0)+IFERROR(--ISNUMBER(SEARCH("R37",G244)),0)+IFERROR(--ISNUMBER(SEARCH("R38",G244)),0)+IFERROR(--ISNUMBER(SEARCH("R39",G244)),0)+IFERROR(--ISNUMBER(SEARCH("R40",G244)),0)+IFERROR(--ISNUMBER(SEARCH("R41",G244)),0)+IFERROR(--ISNUMBER(SEARCH("R42",G244)),0)+IFERROR(--ISNUMBER(SEARCH("R43",G244)),0)+IFERROR(--ISNUMBER(SEARCH("R44",G244)),0)+IFERROR(--ISNUMBER(SEARCH("R45",G244)),0)+IFERROR(--ISNUMBER(SEARCH("R46",G244)),0)+IFERROR(--ISNUMBER(SEARCH("R47",G244)),0)+IFERROR(--ISNUMBER(SEARCH("R48",G244)),0)+IFERROR(--ISNUMBER(SEARCH("R49",G244)),0)+IFERROR(--ISNUMBER(SEARCH("R50",G244)),0)+IFERROR(--ISNUMBER(SEARCH("R51",G244)),0)+IFERROR(--ISNUMBER(SEARCH("R52",G244)),0)+IFERROR(--ISNUMBER(SEARCH("R53",G244)),0)+IFERROR(--ISNUMBER(SEARCH("R54",G244)),0)+IFERROR(--ISNUMBER(SEARCH("R55",G244)),0)+IFERROR(--ISNUMBER(SEARCH("R56",G244)),0)+IFERROR(--ISNUMBER(SEARCH("R57",G244)),0)+IFERROR(--ISNUMBER(SEARCH("R58",G244)),0)+IFERROR(--ISNUMBER(SEARCH("R59",G244)),0)+IFERROR(--ISNUMBER(SEARCH("R60",G244)),0)+IFERROR(--ISNUMBER(SEARCH("R61",G244)),0)+IFERROR(--ISNUMBER(SEARCH("R62",G244)),0)+IFERROR(--ISNUMBER(SEARCH("R63",G244)),0)+IFERROR(--ISNUMBER(SEARCH("R64",G244)),0)+IFERROR(--ISNUMBER(SEARCH("R65",G244)),0)+IFERROR(--ISNUMBER(SEARCH("R66",G244)),0)+IFERROR(--ISNUMBER(SEARCH("R67",G244)),0)+IFERROR(--ISNUMBER(SEARCH("R68",G244)),0)+IFERROR(--ISNUMBER(SEARCH("R69",G244)),0)+IFERROR(--ISNUMBER(SEARCH("R70",G244)),0)+IFERROR(--ISNUMBER(SEARCH("R71",G244)),0)+IFERROR(--ISNUMBER(SEARCH("R72",G244)),0)+IFERROR(--ISNUMBER(SEARCH("R73",G244)),0)+IFERROR(--ISNUMBER(SEARCH("R74",G244)),0)+IFERROR(--ISNUMBER(SEARCH("R75",G244)),0)+IFERROR(--ISNUMBER(SEARCH("R76",G244)),0)+IFERROR(--ISNUMBER(SEARCH("R77",G244)),0)+IFERROR(--ISNUMBER(SEARCH("R78",G244)),0)+IFERROR(--ISNUMBER(SEARCH("R79",G244)),0)+IFERROR(--ISNUMBER(SEARCH("R80",G244)),0)+IFERROR(--ISNUMBER(SEARCH("R81",G244)),0)+IFERROR(--ISNUMBER(SEARCH("R82",G244)),0)+IFERROR(--ISNUMBER(SEARCH("R83",G244)),0)+IFERROR(--ISNUMBER(SEARCH("R84",G244)),0)+IFERROR(--ISNUMBER(SEARCH("R85",G244)),0)+IFERROR(--ISNUMBER(SEARCH("R86",G244)),0)+IFERROR(--ISNUMBER(SEARCH("R87",G244)),0)+IFERROR(--ISNUMBER(SEARCH("R88",G244)),0)+IFERROR(--ISNUMBER(SEARCH("R89",G244)),0)+IFERROR(--ISNUMBER(SEARCH("R90",G244)),0)+IFERROR(--ISNUMBER(SEARCH("R91",G244)),0)+IFERROR(--ISNUMBER(SEARCH("R92",G244)),0)+IFERROR(--ISNUMBER(SEARCH("R93",G244)),0)+IFERROR(--ISNUMBER(SEARCH("R94",G244)),0)+IFERROR(--ISNUMBER(SEARCH("R95",G244)),0)+IFERROR(--ISNUMBER(SEARCH("R96",G244)),0)+IFERROR(--ISNUMBER(SEARCH("R97",G244)),0)+IFERROR(--ISNUMBER(SEARCH("R98",G244)),0)+IFERROR(--ISNUMBER(SEARCH("R99",G244)),0)+IFERROR(--ISNUMBER(SEARCH("R100",G244)),0)+IFERROR(--ISNUMBER(SEARCH("R101",G244)),0)+IFERROR(--ISNUMBER(SEARCH("R102",G244)),0)+IFERROR(--ISNUMBER(SEARCH("R103",G244)),0)+IFERROR(--ISNUMBER(SEARCH("R104",G244)),0)+IFERROR(--ISNUMBER(SEARCH("R105",G244)),0)+IFERROR(--ISNUMBER(SEARCH("R106",G244)),0)+IFERROR(--ISNUMBER(SEARCH("R107",G244)),0)+IFERROR(--ISNUMBER(SEARCH("R108",G244)),0)+IFERROR(--ISNUMBER(SEARCH("R109",G244)),0)+IFERROR(--ISNUMBER(SEARCH("R110",G244)),0)+IFERROR(--ISNUMBER(SEARCH("R111",G244)),0)+IFERROR(--ISNUMBER(SEARCH("R112",G244)),0)+IFERROR(--ISNUMBER(SEARCH("R113",G244)),0)+IFERROR(--ISNUMBER(SEARCH("R114",G244)),0)+IFERROR(--ISNUMBER(SEARCH("R115",G244)),0)+IFERROR(--ISNUMBER(SEARCH("R116",G244)),0)+IFERROR(--ISNUMBER(SEARCH("R117",G244)),0)+IFERROR(--ISNUMBER(SEARCH("R118",G244)),0)+IFERROR(--ISNUMBER(SEARCH("R119",G244)),0)+IFERROR(--ISNUMBER(SEARCH("R120",G244)),0)+IFERROR(--ISNUMBER(SEARCH("R121",G244)),0)+IFERROR(--ISNUMBER(SEARCH("R122",G244)),0)+IFERROR(--ISNUMBER(SEARCH("R123",G244)),0)+IFERROR(--ISNUMBER(SEARCH("R124",G244)),0)+IFERROR(--ISNUMBER(SEARCH("R125",G244)),0)+IFERROR(--ISNUMBER(SEARCH("R126",G244)),0)+IFERROR(--ISNUMBER(SEARCH("R127",G244)),0)+IFERROR(--ISNUMBER(SEARCH("R128",G244)),0)+IFERROR(--ISNUMBER(SEARCH("R129",G244)),0)+IFERROR(--ISNUMBER(SEARCH("R130",G244)),0)+IFERROR(--ISNUMBER(SEARCH("R131",G244)),0)+IFERROR(--ISNUMBER(SEARCH("R132",G244)),0)+IFERROR(--ISNUMBER(SEARCH("R133",G244)),0)+IFERROR(--ISNUMBER(SEARCH("R134",G244)),0)+IFERROR(--ISNUMBER(SEARCH("R135",G244)),0)+IFERROR(--ISNUMBER(SEARCH("R136",G244)),0)+IFERROR(--ISNUMBER(SEARCH("R137",G244)),0)+IFERROR(--ISNUMBER(SEARCH("R138",G244)),0)+IFERROR(--ISNUMBER(SEARCH("R139",G244)),0)+IFERROR(--ISNUMBER(SEARCH("R140",G244)),0)+IFERROR(--ISNUMBER(SEARCH("R141",G244)),0))</f>
        <v/>
      </c>
      <c r="T244" s="58">
        <f>IF(A244="","",IFERROR(--ISNUMBER(SEARCH("R28",G244)),0)+IFERROR(--ISNUMBER(SEARCH("R29",G244)),0)+IFERROR(--ISNUMBER(SEARCH("R30",G244)),0)+IFERROR(--ISNUMBER(SEARCH("R32",G244)),0)+IFERROR(--ISNUMBER(SEARCH("R33",G244)),0)+IFERROR(--ISNUMBER(SEARCH("R35",G244)),0)+IFERROR(--ISNUMBER(SEARCH("R36",G244)),0)+IFERROR(--ISNUMBER(SEARCH("R38",G244)),0)+IFERROR(--ISNUMBER(SEARCH("R39",G244)),0)+IFERROR(--ISNUMBER(SEARCH("R43",G244)),0)+IFERROR(--ISNUMBER(SEARCH("R44",G244)),0)+IFERROR(--ISNUMBER(SEARCH("R45",G244)),0)+IFERROR(--ISNUMBER(SEARCH("R47",G244)),0)+IFERROR(--ISNUMBER(SEARCH("R48",G244)),0)+IFERROR(--ISNUMBER(SEARCH("R50",G244)),0)+IFERROR(--ISNUMBER(SEARCH("R51",G244)),0)+IFERROR(--ISNUMBER(SEARCH("R56",G244)),0)+IFERROR(--ISNUMBER(SEARCH("R58",G244)),0)+IFERROR(--ISNUMBER(SEARCH("R59",G244)),0)+IFERROR(--ISNUMBER(SEARCH("R60",G244)),0)+IFERROR(--ISNUMBER(SEARCH("R62",G244)),0)+IFERROR(--ISNUMBER(SEARCH("R63",G244)),0)+IFERROR(--ISNUMBER(SEARCH("R64",G244)),0)+IFERROR(--ISNUMBER(SEARCH("R66",G244)),0)+IFERROR(--ISNUMBER(SEARCH("R67",G244)),0)+IFERROR(--ISNUMBER(SEARCH("R72",G244)),0)+IFERROR(--ISNUMBER(SEARCH("R74",G244)),0)+IFERROR(--ISNUMBER(SEARCH("R75",G244)),0)+IFERROR(--ISNUMBER(SEARCH("R76",G244)),0)+IFERROR(--ISNUMBER(SEARCH("R77",G244)),0)+IFERROR(--ISNUMBER(SEARCH("R79",G244)),0)+IFERROR(--ISNUMBER(SEARCH("R80",G244)),0)+IFERROR(--ISNUMBER(SEARCH("R81",G244)),0)+IFERROR(--ISNUMBER(SEARCH("R83",G244)),0)+IFERROR(--ISNUMBER(SEARCH("R84",G244)),0)+IFERROR(--ISNUMBER(SEARCH("R89",G244)),0)+IFERROR(--ISNUMBER(SEARCH("R94",G244)),0)+IFERROR(--ISNUMBER(SEARCH("R95",G244)),0)+IFERROR(--ISNUMBER(SEARCH("R96",G244)),0)+IFERROR(--ISNUMBER(SEARCH("R98",G244)),0)+IFERROR(--ISNUMBER(SEARCH("R99",G244)),0)+IFERROR(--ISNUMBER(SEARCH("R100",G244)),0)+IFERROR(--ISNUMBER(SEARCH("R104",G244)),0)+IFERROR(--ISNUMBER(SEARCH("R105",G244)),0)+IFERROR(--ISNUMBER(SEARCH("R107",G244)),0)+IFERROR(--ISNUMBER(SEARCH("R108",G244)),0)+IFERROR(--ISNUMBER(SEARCH("R109",G244)),0)+IFERROR(--ISNUMBER(SEARCH("R110",G244)),0)+IFERROR(--ISNUMBER(SEARCH("R112",G244)),0)+IFERROR(--ISNUMBER(SEARCH("R113",G244)),0)+IFERROR(--ISNUMBER(SEARCH("R114",G244)),0)+IFERROR(--ISNUMBER(SEARCH("R118",G244)),0)+IFERROR(--ISNUMBER(SEARCH("R119",G244)),0)+IFERROR(--ISNUMBER(SEARCH("R120",G244)),0)+IFERROR(--ISNUMBER(SEARCH("R122",G244)),0)+IFERROR(--ISNUMBER(SEARCH("R123",G244)),0)+IFERROR(--ISNUMBER(SEARCH("R124",G244)),0)+IFERROR(--ISNUMBER(SEARCH("R128",G244)),0)+IFERROR(--ISNUMBER(SEARCH("R130",G244)),0)+IFERROR(--ISNUMBER(SEARCH("R131",G244)),0)+IFERROR(--ISNUMBER(SEARCH("R132",G244)),0)+IFERROR(--ISNUMBER(SEARCH("R135",G244)),0)+IFERROR(--ISNUMBER(SEARCH("R138",G244)),0)+IFERROR(--ISNUMBER(SEARCH("R141",G244)),0))</f>
        <v/>
      </c>
      <c r="U244" s="58">
        <f>IF(A244="","",IFERROR(--ISNUMBER(SEARCH("R28",G244))*28,0)+IFERROR(--ISNUMBER(SEARCH("R29",G244))*29,0)+IFERROR(--ISNUMBER(SEARCH("R30",G244))*30,0)+IFERROR(--ISNUMBER(SEARCH("R31",G244))*31,0)+IFERROR(--ISNUMBER(SEARCH("R32",G244))*32,0)+IFERROR(--ISNUMBER(SEARCH("R33",G244))*33,0)+IFERROR(--ISNUMBER(SEARCH("R34",G244))*34,0)+IFERROR(--ISNUMBER(SEARCH("R35",G244))*35,0)+IFERROR(--ISNUMBER(SEARCH("R36",G244))*36,0)+IFERROR(--ISNUMBER(SEARCH("R37",G244))*37,0)+IFERROR(--ISNUMBER(SEARCH("R38",G244))*38,0)+IFERROR(--ISNUMBER(SEARCH("R39",G244))*39,0)+IFERROR(--ISNUMBER(SEARCH("R40",G244))*40,0)+IFERROR(--ISNUMBER(SEARCH("R41",G244))*41,0)+IFERROR(--ISNUMBER(SEARCH("R42",G244))*42,0)+IFERROR(--ISNUMBER(SEARCH("R43",G244))*43,0)+IFERROR(--ISNUMBER(SEARCH("R44",G244))*44,0)+IFERROR(--ISNUMBER(SEARCH("R45",G244))*45,0)+IFERROR(--ISNUMBER(SEARCH("R46",G244))*46,0)+IFERROR(--ISNUMBER(SEARCH("R47",G244))*47,0)+IFERROR(--ISNUMBER(SEARCH("R48",G244))*48,0)+IFERROR(--ISNUMBER(SEARCH("R49",G244))*49,0)+IFERROR(--ISNUMBER(SEARCH("R50",G244))*50,0)+IFERROR(--ISNUMBER(SEARCH("R51",G244))*51,0)+IFERROR(--ISNUMBER(SEARCH("R52",G244))*52,0)+IFERROR(--ISNUMBER(SEARCH("R53",G244))*53,0)+IFERROR(--ISNUMBER(SEARCH("R54",G244))*54,0)+IFERROR(--ISNUMBER(SEARCH("R55",G244))*55,0)+IFERROR(--ISNUMBER(SEARCH("R56",G244))*56,0)+IFERROR(--ISNUMBER(SEARCH("R57",G244))*57,0)+IFERROR(--ISNUMBER(SEARCH("R58",G244))*58,0)+IFERROR(--ISNUMBER(SEARCH("R59",G244))*59,0)+IFERROR(--ISNUMBER(SEARCH("R60",G244))*60,0)+IFERROR(--ISNUMBER(SEARCH("R61",G244))*61,0)+IFERROR(--ISNUMBER(SEARCH("R62",G244))*62,0)+IFERROR(--ISNUMBER(SEARCH("R63",G244))*63,0)+IFERROR(--ISNUMBER(SEARCH("R64",G244))*64,0)+IFERROR(--ISNUMBER(SEARCH("R65",G244))*65,0)+IFERROR(--ISNUMBER(SEARCH("R66",G244))*66,0)+IFERROR(--ISNUMBER(SEARCH("R67",G244))*67,0)+IFERROR(--ISNUMBER(SEARCH("R68",G244))*68,0)+IFERROR(--ISNUMBER(SEARCH("R69",G244))*69,0)+IFERROR(--ISNUMBER(SEARCH("R70",G244))*70,0)+IFERROR(--ISNUMBER(SEARCH("R71",G244))*71,0)+IFERROR(--ISNUMBER(SEARCH("R72",G244))*72,0)+IFERROR(--ISNUMBER(SEARCH("R73",G244))*73,0)+IFERROR(--ISNUMBER(SEARCH("R74",G244))*74,0)+IFERROR(--ISNUMBER(SEARCH("R75",G244))*75,0)+IFERROR(--ISNUMBER(SEARCH("R76",G244))*76,0)+IFERROR(--ISNUMBER(SEARCH("R77",G244))*77,0)+IFERROR(--ISNUMBER(SEARCH("R78",G244))*78,0)+IFERROR(--ISNUMBER(SEARCH("R79",G244))*79,0)+IFERROR(--ISNUMBER(SEARCH("R80",G244))*80,0)+IFERROR(--ISNUMBER(SEARCH("R81",G244))*81,0)+IFERROR(--ISNUMBER(SEARCH("R82",G244))*82,0)+IFERROR(--ISNUMBER(SEARCH("R83",G244))*83,0)+IFERROR(--ISNUMBER(SEARCH("R84",G244))*84,0)+IFERROR(--ISNUMBER(SEARCH("R85",G244))*85,0)+IFERROR(--ISNUMBER(SEARCH("R86",G244))*86,0)+IFERROR(--ISNUMBER(SEARCH("R87",G244))*87,0)+IFERROR(--ISNUMBER(SEARCH("R88",G244))*88,0)+IFERROR(--ISNUMBER(SEARCH("R89",G244))*89,0)+IFERROR(--ISNUMBER(SEARCH("R90",G244))*90,0)+IFERROR(--ISNUMBER(SEARCH("R91",G244))*91,0)+IFERROR(--ISNUMBER(SEARCH("R92",G244))*92,0)+IFERROR(--ISNUMBER(SEARCH("R93",G244))*93,0)+IFERROR(--ISNUMBER(SEARCH("R94",G244))*94,0)+IFERROR(--ISNUMBER(SEARCH("R95",G244))*95,0)+IFERROR(--ISNUMBER(SEARCH("R96",G244))*96,0)+IFERROR(--ISNUMBER(SEARCH("R97",G244))*97,0)+IFERROR(--ISNUMBER(SEARCH("R98",G244))*98,0)+IFERROR(--ISNUMBER(SEARCH("R99",G244))*99,0)+IFERROR(--ISNUMBER(SEARCH("R100",G244))*100,0)+IFERROR(--ISNUMBER(SEARCH("R101",G244))*101,0)+IFERROR(--ISNUMBER(SEARCH("R102",G244))*102,0)+IFERROR(--ISNUMBER(SEARCH("R103",G244))*103,0)+IFERROR(--ISNUMBER(SEARCH("R104",G244))*104,0)+IFERROR(--ISNUMBER(SEARCH("R105",G244))*105,0)+IFERROR(--ISNUMBER(SEARCH("R106",G244))*106,0)+IFERROR(--ISNUMBER(SEARCH("R107",G244))*107,0)+IFERROR(--ISNUMBER(SEARCH("R108",G244))*108,0)+IFERROR(--ISNUMBER(SEARCH("R109",G244))*109,0)+IFERROR(--ISNUMBER(SEARCH("R110",G244))*110,0)+IFERROR(--ISNUMBER(SEARCH("R111",G244))*111,0)+IFERROR(--ISNUMBER(SEARCH("R112",G244))*112,0)+IFERROR(--ISNUMBER(SEARCH("R113",G244))*113,0)+IFERROR(--ISNUMBER(SEARCH("R114",G244))*114,0)+IFERROR(--ISNUMBER(SEARCH("R115",G244))*115,0)+IFERROR(--ISNUMBER(SEARCH("R116",G244))*116,0)+IFERROR(--ISNUMBER(SEARCH("R117",G244))*117,0)+IFERROR(--ISNUMBER(SEARCH("R118",G244))*118,0)+IFERROR(--ISNUMBER(SEARCH("R119",G244))*119,0)+IFERROR(--ISNUMBER(SEARCH("R120",G244))*120,0)+IFERROR(--ISNUMBER(SEARCH("R121",G244))*121,0)+IFERROR(--ISNUMBER(SEARCH("R122",G244))*122,0)+IFERROR(--ISNUMBER(SEARCH("R123",G244))*123,0)+IFERROR(--ISNUMBER(SEARCH("R124",G244))*124,0)+IFERROR(--ISNUMBER(SEARCH("R125",G244))*125,0)+IFERROR(--ISNUMBER(SEARCH("R126",G244))*126,0)+IFERROR(--ISNUMBER(SEARCH("R127",G244))*127,0)+IFERROR(--ISNUMBER(SEARCH("R128",G244))*128,0)+IFERROR(--ISNUMBER(SEARCH("R129",G244))*129,0)+IFERROR(--ISNUMBER(SEARCH("R130",G244))*130,0)+IFERROR(--ISNUMBER(SEARCH("R131",G244))*131,0)+IFERROR(--ISNUMBER(SEARCH("R132",G244))*132,0)+IFERROR(--ISNUMBER(SEARCH("R133",G244))*133,0)+IFERROR(--ISNUMBER(SEARCH("R134",G244))*134,0)+IFERROR(--ISNUMBER(SEARCH("R135",G244))*135,0)+IFERROR(--ISNUMBER(SEARCH("R136",G244))*136,0)+IFERROR(--ISNUMBER(SEARCH("R137",G244))*137,0)+IFERROR(--ISNUMBER(SEARCH("R138",G244))*138,0)+IFERROR(--ISNUMBER(SEARCH("R139",G244))*139,0)+IFERROR(--ISNUMBER(SEARCH("R140",G244))*140,0)+IFERROR(--ISNUMBER(SEARCH("R141",G244))*141,0))</f>
        <v/>
      </c>
      <c r="V244" s="59">
        <f>IF(A244="","",IF(K244&lt;&gt;"",K244,J244))</f>
        <v/>
      </c>
      <c r="W244" s="59">
        <f>IF(A244="","",IF(AND(V244=29,O244&lt;&gt;"",COUNTIFS($V$6:$V$505,29,$F$6:$F$505,F244,$C$6:$C$505,C244,$O$6:$O$505,"&lt;&gt;")&gt;1),IF(COUNTIFS($V$6:V244,29,$F$6:F244,F244,$C$6:C244,C244,$O$6:O244,"&lt;&gt;")=1,"Esta es la fila que se debe CONSERVAR (aparición 1 de "&amp;COUNTIFS($V$6:$V$505,29,$F$6:$F$505,F244,$C$6:$C$505,C244,$O$6:$O$505,"&lt;&gt;")&amp;" con el mismo tercero y valor, casilla 29). Si hay más filas iguales, bórreles el valor a ELLAS, no a esta.","DUPLICADO — ya existe otra fila con el mismo tercero y valor para casilla 29 (aparición "&amp;COUNTIFS($V$6:V244,29,$F$6:F244,F244,$C$6:C244,C244,$O$6:O244,"&lt;&gt;")&amp;" de "&amp;COUNTIFS($V$6:$V$505,29,$F$6:$F$505,F244,$C$6:$C$505,C244,$O$6:$O$505,"&lt;&gt;")&amp;"). Para resolverlo: seleccione la celda O"&amp;ROW()&amp;" (columna Valor a declarar de ESTA fila) y presione Supr."),""))</f>
        <v/>
      </c>
      <c r="X244" s="463">
        <f>IF(A244="","",F244)</f>
        <v/>
      </c>
      <c r="Y244" s="463">
        <f>IF(A244="","",SUMIF(Entrada_Manual!$I$88:$I$187,A244,Entrada_Manual!$F$88:$F$187))</f>
        <v/>
      </c>
      <c r="Z244" s="463">
        <f>IF(A244="","",X244-Y244)</f>
        <v/>
      </c>
      <c r="AA244">
        <f>IF(A244="","",SUMPRODUCT((Entrada_Manual!$I$88:$I$187=A244)*1))</f>
        <v/>
      </c>
      <c r="AB244">
        <f>IF(A244="","",IF(S244&lt;=1,"",IF(AA244=0,"PENDIENTE — SIN ASIGNAR",IF(Z244=0,"RESUELTO","PARCIAL — DIFERENCIA "&amp;TEXT(Z244,"#,##0")))))</f>
        <v/>
      </c>
    </row>
    <row r="245" ht="14.25" customHeight="1" s="235">
      <c r="A245" s="47">
        <f>IF(Exogena_RAW!E254&lt;&gt;"",ROW()-5,"")</f>
        <v/>
      </c>
      <c r="B245" s="48">
        <f>IF(A245="","",254)</f>
        <v/>
      </c>
      <c r="C245" s="48">
        <f>IF(A245="","",IFERROR(Exogena_RAW!A254,""))</f>
        <v/>
      </c>
      <c r="D245" s="48">
        <f>IF(A245="","",IFERROR(Exogena_RAW!B254,""))</f>
        <v/>
      </c>
      <c r="E245" s="48">
        <f>IF(A245="","",Exogena_RAW!E254)</f>
        <v/>
      </c>
      <c r="F245" s="461">
        <f>IF(A245="","",Exogena_RAW!F254)</f>
        <v/>
      </c>
      <c r="G245" s="48">
        <f>IF(A245="","",IFERROR(Exogena_RAW!G254,""))</f>
        <v/>
      </c>
      <c r="H245" s="48">
        <f>IF(A245="","",IFERROR(Exogena_RAW!H254,""))</f>
        <v/>
      </c>
      <c r="I245" s="48">
        <f>IF(A245="","",IFERROR(IF(S245&gt;1,"VARIAS CASILLAS",IF(S245=1,IF(T245=1,"PROPUESTA DE CASILLA","REVISIÓN: CASILLA NO DIRECTA"),IF(OR(ISNUMBER(SEARCH("TOPE",UPPER(E245))),ISNUMBER(SEARCH("TOPE",UPPER(G245)))),"SOLO CONTROL",IF(ISNUMBER(SEARCH("RETEN",UPPER(E245))),"RETENCIÓN","REVISAR")))),"REVISAR"))</f>
        <v/>
      </c>
      <c r="J245" s="48">
        <f>IF(A245="","",IF(ISNUMBER(SEARCH("ingreso laboral promedio de los últimos seis meses",E245)),"",IFERROR(IF(AND(S245=1,T245=1),U245,""),"")))</f>
        <v/>
      </c>
      <c r="K245" s="216" t="n"/>
      <c r="L245" s="48">
        <f>IF(A245="","",IFERROR(IF(K245&lt;&gt;"","Casilla elegida por usuario",IF(S245&gt;1,"Varias casillas — elegir en K",IF(J245&lt;&gt;"","Sugerencia directa",IF(S245=1,"No trasladar directo — revisar",IF(OR(ISNUMBER(SEARCH("TOPE",UPPER(E245))),ISNUMBER(SEARCH("TOPE",UPPER(G245)))),"Solo control","Revisar manualmente"))))),"Revisar manualmente"))</f>
        <v/>
      </c>
      <c r="M245" s="461">
        <f>IF(A245="","",IF(IF(K245&lt;&gt;"",K245,J245)="",0,IF(COUNTIFS(Reglas!$I$5:$I$118,IF(K245&lt;&gt;"",K245,J245),Reglas!$J$5:$J$118,"Sí")=1,F245,0)))</f>
        <v/>
      </c>
      <c r="N245" s="56" t="n"/>
      <c r="O245" s="462">
        <f>IF(A245="","",IF(M245=0,"",M245))</f>
        <v/>
      </c>
      <c r="P245" s="461">
        <f>IF(A245="","",IF(O245="",0,IF(ISNUMBER(O245),O245,0)))</f>
        <v/>
      </c>
      <c r="Q245" s="48">
        <f>IF(A245="","",IF(Exogena_RAW!$C$4="","BLOQUEADO: FALTA AÑO",IF(Exogena_RAW!$K$10&lt;&gt;Reglas!$B$5,"BLOQUEADO: AÑO",IF(IF(K245&lt;&gt;"",K245,J245)="",IF(S245&gt;1,"REQUIERE ASIGNACIÓN MANUAL (VARIAS CASILLAS)","INFORMATIVO (sin casilla — no se declara)"),IF(COUNTIFS(Reglas!$I$5:$I$118,IF(K245&lt;&gt;"",K245,J245),Reglas!$J$5:$J$118,"Sí")=0,"BLOQUEADO: CASILLA NO DIRECTA",IF(O245="","EXCLUIDO (valor borrado por el usuario)",IF(_xlfn.ISFORMULA(O245),IF(W245&lt;&gt;"","BORRADOR — VALOR SUGERIDO DIAN ⚠ VER ALERTA","BORRADOR — VALOR SUGERIDO DIAN"),IF(W245&lt;&gt;"","ACEPTADO ⚠ VER ALERTA","ACEPTADO"))))))))</f>
        <v/>
      </c>
      <c r="R245" s="218" t="n"/>
      <c r="S245" s="58">
        <f>IF(A245="","",IFERROR(--ISNUMBER(SEARCH("R28",G245)),0)+IFERROR(--ISNUMBER(SEARCH("R29",G245)),0)+IFERROR(--ISNUMBER(SEARCH("R30",G245)),0)+IFERROR(--ISNUMBER(SEARCH("R31",G245)),0)+IFERROR(--ISNUMBER(SEARCH("R32",G245)),0)+IFERROR(--ISNUMBER(SEARCH("R33",G245)),0)+IFERROR(--ISNUMBER(SEARCH("R34",G245)),0)+IFERROR(--ISNUMBER(SEARCH("R35",G245)),0)+IFERROR(--ISNUMBER(SEARCH("R36",G245)),0)+IFERROR(--ISNUMBER(SEARCH("R37",G245)),0)+IFERROR(--ISNUMBER(SEARCH("R38",G245)),0)+IFERROR(--ISNUMBER(SEARCH("R39",G245)),0)+IFERROR(--ISNUMBER(SEARCH("R40",G245)),0)+IFERROR(--ISNUMBER(SEARCH("R41",G245)),0)+IFERROR(--ISNUMBER(SEARCH("R42",G245)),0)+IFERROR(--ISNUMBER(SEARCH("R43",G245)),0)+IFERROR(--ISNUMBER(SEARCH("R44",G245)),0)+IFERROR(--ISNUMBER(SEARCH("R45",G245)),0)+IFERROR(--ISNUMBER(SEARCH("R46",G245)),0)+IFERROR(--ISNUMBER(SEARCH("R47",G245)),0)+IFERROR(--ISNUMBER(SEARCH("R48",G245)),0)+IFERROR(--ISNUMBER(SEARCH("R49",G245)),0)+IFERROR(--ISNUMBER(SEARCH("R50",G245)),0)+IFERROR(--ISNUMBER(SEARCH("R51",G245)),0)+IFERROR(--ISNUMBER(SEARCH("R52",G245)),0)+IFERROR(--ISNUMBER(SEARCH("R53",G245)),0)+IFERROR(--ISNUMBER(SEARCH("R54",G245)),0)+IFERROR(--ISNUMBER(SEARCH("R55",G245)),0)+IFERROR(--ISNUMBER(SEARCH("R56",G245)),0)+IFERROR(--ISNUMBER(SEARCH("R57",G245)),0)+IFERROR(--ISNUMBER(SEARCH("R58",G245)),0)+IFERROR(--ISNUMBER(SEARCH("R59",G245)),0)+IFERROR(--ISNUMBER(SEARCH("R60",G245)),0)+IFERROR(--ISNUMBER(SEARCH("R61",G245)),0)+IFERROR(--ISNUMBER(SEARCH("R62",G245)),0)+IFERROR(--ISNUMBER(SEARCH("R63",G245)),0)+IFERROR(--ISNUMBER(SEARCH("R64",G245)),0)+IFERROR(--ISNUMBER(SEARCH("R65",G245)),0)+IFERROR(--ISNUMBER(SEARCH("R66",G245)),0)+IFERROR(--ISNUMBER(SEARCH("R67",G245)),0)+IFERROR(--ISNUMBER(SEARCH("R68",G245)),0)+IFERROR(--ISNUMBER(SEARCH("R69",G245)),0)+IFERROR(--ISNUMBER(SEARCH("R70",G245)),0)+IFERROR(--ISNUMBER(SEARCH("R71",G245)),0)+IFERROR(--ISNUMBER(SEARCH("R72",G245)),0)+IFERROR(--ISNUMBER(SEARCH("R73",G245)),0)+IFERROR(--ISNUMBER(SEARCH("R74",G245)),0)+IFERROR(--ISNUMBER(SEARCH("R75",G245)),0)+IFERROR(--ISNUMBER(SEARCH("R76",G245)),0)+IFERROR(--ISNUMBER(SEARCH("R77",G245)),0)+IFERROR(--ISNUMBER(SEARCH("R78",G245)),0)+IFERROR(--ISNUMBER(SEARCH("R79",G245)),0)+IFERROR(--ISNUMBER(SEARCH("R80",G245)),0)+IFERROR(--ISNUMBER(SEARCH("R81",G245)),0)+IFERROR(--ISNUMBER(SEARCH("R82",G245)),0)+IFERROR(--ISNUMBER(SEARCH("R83",G245)),0)+IFERROR(--ISNUMBER(SEARCH("R84",G245)),0)+IFERROR(--ISNUMBER(SEARCH("R85",G245)),0)+IFERROR(--ISNUMBER(SEARCH("R86",G245)),0)+IFERROR(--ISNUMBER(SEARCH("R87",G245)),0)+IFERROR(--ISNUMBER(SEARCH("R88",G245)),0)+IFERROR(--ISNUMBER(SEARCH("R89",G245)),0)+IFERROR(--ISNUMBER(SEARCH("R90",G245)),0)+IFERROR(--ISNUMBER(SEARCH("R91",G245)),0)+IFERROR(--ISNUMBER(SEARCH("R92",G245)),0)+IFERROR(--ISNUMBER(SEARCH("R93",G245)),0)+IFERROR(--ISNUMBER(SEARCH("R94",G245)),0)+IFERROR(--ISNUMBER(SEARCH("R95",G245)),0)+IFERROR(--ISNUMBER(SEARCH("R96",G245)),0)+IFERROR(--ISNUMBER(SEARCH("R97",G245)),0)+IFERROR(--ISNUMBER(SEARCH("R98",G245)),0)+IFERROR(--ISNUMBER(SEARCH("R99",G245)),0)+IFERROR(--ISNUMBER(SEARCH("R100",G245)),0)+IFERROR(--ISNUMBER(SEARCH("R101",G245)),0)+IFERROR(--ISNUMBER(SEARCH("R102",G245)),0)+IFERROR(--ISNUMBER(SEARCH("R103",G245)),0)+IFERROR(--ISNUMBER(SEARCH("R104",G245)),0)+IFERROR(--ISNUMBER(SEARCH("R105",G245)),0)+IFERROR(--ISNUMBER(SEARCH("R106",G245)),0)+IFERROR(--ISNUMBER(SEARCH("R107",G245)),0)+IFERROR(--ISNUMBER(SEARCH("R108",G245)),0)+IFERROR(--ISNUMBER(SEARCH("R109",G245)),0)+IFERROR(--ISNUMBER(SEARCH("R110",G245)),0)+IFERROR(--ISNUMBER(SEARCH("R111",G245)),0)+IFERROR(--ISNUMBER(SEARCH("R112",G245)),0)+IFERROR(--ISNUMBER(SEARCH("R113",G245)),0)+IFERROR(--ISNUMBER(SEARCH("R114",G245)),0)+IFERROR(--ISNUMBER(SEARCH("R115",G245)),0)+IFERROR(--ISNUMBER(SEARCH("R116",G245)),0)+IFERROR(--ISNUMBER(SEARCH("R117",G245)),0)+IFERROR(--ISNUMBER(SEARCH("R118",G245)),0)+IFERROR(--ISNUMBER(SEARCH("R119",G245)),0)+IFERROR(--ISNUMBER(SEARCH("R120",G245)),0)+IFERROR(--ISNUMBER(SEARCH("R121",G245)),0)+IFERROR(--ISNUMBER(SEARCH("R122",G245)),0)+IFERROR(--ISNUMBER(SEARCH("R123",G245)),0)+IFERROR(--ISNUMBER(SEARCH("R124",G245)),0)+IFERROR(--ISNUMBER(SEARCH("R125",G245)),0)+IFERROR(--ISNUMBER(SEARCH("R126",G245)),0)+IFERROR(--ISNUMBER(SEARCH("R127",G245)),0)+IFERROR(--ISNUMBER(SEARCH("R128",G245)),0)+IFERROR(--ISNUMBER(SEARCH("R129",G245)),0)+IFERROR(--ISNUMBER(SEARCH("R130",G245)),0)+IFERROR(--ISNUMBER(SEARCH("R131",G245)),0)+IFERROR(--ISNUMBER(SEARCH("R132",G245)),0)+IFERROR(--ISNUMBER(SEARCH("R133",G245)),0)+IFERROR(--ISNUMBER(SEARCH("R134",G245)),0)+IFERROR(--ISNUMBER(SEARCH("R135",G245)),0)+IFERROR(--ISNUMBER(SEARCH("R136",G245)),0)+IFERROR(--ISNUMBER(SEARCH("R137",G245)),0)+IFERROR(--ISNUMBER(SEARCH("R138",G245)),0)+IFERROR(--ISNUMBER(SEARCH("R139",G245)),0)+IFERROR(--ISNUMBER(SEARCH("R140",G245)),0)+IFERROR(--ISNUMBER(SEARCH("R141",G245)),0))</f>
        <v/>
      </c>
      <c r="T245" s="58">
        <f>IF(A245="","",IFERROR(--ISNUMBER(SEARCH("R28",G245)),0)+IFERROR(--ISNUMBER(SEARCH("R29",G245)),0)+IFERROR(--ISNUMBER(SEARCH("R30",G245)),0)+IFERROR(--ISNUMBER(SEARCH("R32",G245)),0)+IFERROR(--ISNUMBER(SEARCH("R33",G245)),0)+IFERROR(--ISNUMBER(SEARCH("R35",G245)),0)+IFERROR(--ISNUMBER(SEARCH("R36",G245)),0)+IFERROR(--ISNUMBER(SEARCH("R38",G245)),0)+IFERROR(--ISNUMBER(SEARCH("R39",G245)),0)+IFERROR(--ISNUMBER(SEARCH("R43",G245)),0)+IFERROR(--ISNUMBER(SEARCH("R44",G245)),0)+IFERROR(--ISNUMBER(SEARCH("R45",G245)),0)+IFERROR(--ISNUMBER(SEARCH("R47",G245)),0)+IFERROR(--ISNUMBER(SEARCH("R48",G245)),0)+IFERROR(--ISNUMBER(SEARCH("R50",G245)),0)+IFERROR(--ISNUMBER(SEARCH("R51",G245)),0)+IFERROR(--ISNUMBER(SEARCH("R56",G245)),0)+IFERROR(--ISNUMBER(SEARCH("R58",G245)),0)+IFERROR(--ISNUMBER(SEARCH("R59",G245)),0)+IFERROR(--ISNUMBER(SEARCH("R60",G245)),0)+IFERROR(--ISNUMBER(SEARCH("R62",G245)),0)+IFERROR(--ISNUMBER(SEARCH("R63",G245)),0)+IFERROR(--ISNUMBER(SEARCH("R64",G245)),0)+IFERROR(--ISNUMBER(SEARCH("R66",G245)),0)+IFERROR(--ISNUMBER(SEARCH("R67",G245)),0)+IFERROR(--ISNUMBER(SEARCH("R72",G245)),0)+IFERROR(--ISNUMBER(SEARCH("R74",G245)),0)+IFERROR(--ISNUMBER(SEARCH("R75",G245)),0)+IFERROR(--ISNUMBER(SEARCH("R76",G245)),0)+IFERROR(--ISNUMBER(SEARCH("R77",G245)),0)+IFERROR(--ISNUMBER(SEARCH("R79",G245)),0)+IFERROR(--ISNUMBER(SEARCH("R80",G245)),0)+IFERROR(--ISNUMBER(SEARCH("R81",G245)),0)+IFERROR(--ISNUMBER(SEARCH("R83",G245)),0)+IFERROR(--ISNUMBER(SEARCH("R84",G245)),0)+IFERROR(--ISNUMBER(SEARCH("R89",G245)),0)+IFERROR(--ISNUMBER(SEARCH("R94",G245)),0)+IFERROR(--ISNUMBER(SEARCH("R95",G245)),0)+IFERROR(--ISNUMBER(SEARCH("R96",G245)),0)+IFERROR(--ISNUMBER(SEARCH("R98",G245)),0)+IFERROR(--ISNUMBER(SEARCH("R99",G245)),0)+IFERROR(--ISNUMBER(SEARCH("R100",G245)),0)+IFERROR(--ISNUMBER(SEARCH("R104",G245)),0)+IFERROR(--ISNUMBER(SEARCH("R105",G245)),0)+IFERROR(--ISNUMBER(SEARCH("R107",G245)),0)+IFERROR(--ISNUMBER(SEARCH("R108",G245)),0)+IFERROR(--ISNUMBER(SEARCH("R109",G245)),0)+IFERROR(--ISNUMBER(SEARCH("R110",G245)),0)+IFERROR(--ISNUMBER(SEARCH("R112",G245)),0)+IFERROR(--ISNUMBER(SEARCH("R113",G245)),0)+IFERROR(--ISNUMBER(SEARCH("R114",G245)),0)+IFERROR(--ISNUMBER(SEARCH("R118",G245)),0)+IFERROR(--ISNUMBER(SEARCH("R119",G245)),0)+IFERROR(--ISNUMBER(SEARCH("R120",G245)),0)+IFERROR(--ISNUMBER(SEARCH("R122",G245)),0)+IFERROR(--ISNUMBER(SEARCH("R123",G245)),0)+IFERROR(--ISNUMBER(SEARCH("R124",G245)),0)+IFERROR(--ISNUMBER(SEARCH("R128",G245)),0)+IFERROR(--ISNUMBER(SEARCH("R130",G245)),0)+IFERROR(--ISNUMBER(SEARCH("R131",G245)),0)+IFERROR(--ISNUMBER(SEARCH("R132",G245)),0)+IFERROR(--ISNUMBER(SEARCH("R135",G245)),0)+IFERROR(--ISNUMBER(SEARCH("R138",G245)),0)+IFERROR(--ISNUMBER(SEARCH("R141",G245)),0))</f>
        <v/>
      </c>
      <c r="U245" s="58">
        <f>IF(A245="","",IFERROR(--ISNUMBER(SEARCH("R28",G245))*28,0)+IFERROR(--ISNUMBER(SEARCH("R29",G245))*29,0)+IFERROR(--ISNUMBER(SEARCH("R30",G245))*30,0)+IFERROR(--ISNUMBER(SEARCH("R31",G245))*31,0)+IFERROR(--ISNUMBER(SEARCH("R32",G245))*32,0)+IFERROR(--ISNUMBER(SEARCH("R33",G245))*33,0)+IFERROR(--ISNUMBER(SEARCH("R34",G245))*34,0)+IFERROR(--ISNUMBER(SEARCH("R35",G245))*35,0)+IFERROR(--ISNUMBER(SEARCH("R36",G245))*36,0)+IFERROR(--ISNUMBER(SEARCH("R37",G245))*37,0)+IFERROR(--ISNUMBER(SEARCH("R38",G245))*38,0)+IFERROR(--ISNUMBER(SEARCH("R39",G245))*39,0)+IFERROR(--ISNUMBER(SEARCH("R40",G245))*40,0)+IFERROR(--ISNUMBER(SEARCH("R41",G245))*41,0)+IFERROR(--ISNUMBER(SEARCH("R42",G245))*42,0)+IFERROR(--ISNUMBER(SEARCH("R43",G245))*43,0)+IFERROR(--ISNUMBER(SEARCH("R44",G245))*44,0)+IFERROR(--ISNUMBER(SEARCH("R45",G245))*45,0)+IFERROR(--ISNUMBER(SEARCH("R46",G245))*46,0)+IFERROR(--ISNUMBER(SEARCH("R47",G245))*47,0)+IFERROR(--ISNUMBER(SEARCH("R48",G245))*48,0)+IFERROR(--ISNUMBER(SEARCH("R49",G245))*49,0)+IFERROR(--ISNUMBER(SEARCH("R50",G245))*50,0)+IFERROR(--ISNUMBER(SEARCH("R51",G245))*51,0)+IFERROR(--ISNUMBER(SEARCH("R52",G245))*52,0)+IFERROR(--ISNUMBER(SEARCH("R53",G245))*53,0)+IFERROR(--ISNUMBER(SEARCH("R54",G245))*54,0)+IFERROR(--ISNUMBER(SEARCH("R55",G245))*55,0)+IFERROR(--ISNUMBER(SEARCH("R56",G245))*56,0)+IFERROR(--ISNUMBER(SEARCH("R57",G245))*57,0)+IFERROR(--ISNUMBER(SEARCH("R58",G245))*58,0)+IFERROR(--ISNUMBER(SEARCH("R59",G245))*59,0)+IFERROR(--ISNUMBER(SEARCH("R60",G245))*60,0)+IFERROR(--ISNUMBER(SEARCH("R61",G245))*61,0)+IFERROR(--ISNUMBER(SEARCH("R62",G245))*62,0)+IFERROR(--ISNUMBER(SEARCH("R63",G245))*63,0)+IFERROR(--ISNUMBER(SEARCH("R64",G245))*64,0)+IFERROR(--ISNUMBER(SEARCH("R65",G245))*65,0)+IFERROR(--ISNUMBER(SEARCH("R66",G245))*66,0)+IFERROR(--ISNUMBER(SEARCH("R67",G245))*67,0)+IFERROR(--ISNUMBER(SEARCH("R68",G245))*68,0)+IFERROR(--ISNUMBER(SEARCH("R69",G245))*69,0)+IFERROR(--ISNUMBER(SEARCH("R70",G245))*70,0)+IFERROR(--ISNUMBER(SEARCH("R71",G245))*71,0)+IFERROR(--ISNUMBER(SEARCH("R72",G245))*72,0)+IFERROR(--ISNUMBER(SEARCH("R73",G245))*73,0)+IFERROR(--ISNUMBER(SEARCH("R74",G245))*74,0)+IFERROR(--ISNUMBER(SEARCH("R75",G245))*75,0)+IFERROR(--ISNUMBER(SEARCH("R76",G245))*76,0)+IFERROR(--ISNUMBER(SEARCH("R77",G245))*77,0)+IFERROR(--ISNUMBER(SEARCH("R78",G245))*78,0)+IFERROR(--ISNUMBER(SEARCH("R79",G245))*79,0)+IFERROR(--ISNUMBER(SEARCH("R80",G245))*80,0)+IFERROR(--ISNUMBER(SEARCH("R81",G245))*81,0)+IFERROR(--ISNUMBER(SEARCH("R82",G245))*82,0)+IFERROR(--ISNUMBER(SEARCH("R83",G245))*83,0)+IFERROR(--ISNUMBER(SEARCH("R84",G245))*84,0)+IFERROR(--ISNUMBER(SEARCH("R85",G245))*85,0)+IFERROR(--ISNUMBER(SEARCH("R86",G245))*86,0)+IFERROR(--ISNUMBER(SEARCH("R87",G245))*87,0)+IFERROR(--ISNUMBER(SEARCH("R88",G245))*88,0)+IFERROR(--ISNUMBER(SEARCH("R89",G245))*89,0)+IFERROR(--ISNUMBER(SEARCH("R90",G245))*90,0)+IFERROR(--ISNUMBER(SEARCH("R91",G245))*91,0)+IFERROR(--ISNUMBER(SEARCH("R92",G245))*92,0)+IFERROR(--ISNUMBER(SEARCH("R93",G245))*93,0)+IFERROR(--ISNUMBER(SEARCH("R94",G245))*94,0)+IFERROR(--ISNUMBER(SEARCH("R95",G245))*95,0)+IFERROR(--ISNUMBER(SEARCH("R96",G245))*96,0)+IFERROR(--ISNUMBER(SEARCH("R97",G245))*97,0)+IFERROR(--ISNUMBER(SEARCH("R98",G245))*98,0)+IFERROR(--ISNUMBER(SEARCH("R99",G245))*99,0)+IFERROR(--ISNUMBER(SEARCH("R100",G245))*100,0)+IFERROR(--ISNUMBER(SEARCH("R101",G245))*101,0)+IFERROR(--ISNUMBER(SEARCH("R102",G245))*102,0)+IFERROR(--ISNUMBER(SEARCH("R103",G245))*103,0)+IFERROR(--ISNUMBER(SEARCH("R104",G245))*104,0)+IFERROR(--ISNUMBER(SEARCH("R105",G245))*105,0)+IFERROR(--ISNUMBER(SEARCH("R106",G245))*106,0)+IFERROR(--ISNUMBER(SEARCH("R107",G245))*107,0)+IFERROR(--ISNUMBER(SEARCH("R108",G245))*108,0)+IFERROR(--ISNUMBER(SEARCH("R109",G245))*109,0)+IFERROR(--ISNUMBER(SEARCH("R110",G245))*110,0)+IFERROR(--ISNUMBER(SEARCH("R111",G245))*111,0)+IFERROR(--ISNUMBER(SEARCH("R112",G245))*112,0)+IFERROR(--ISNUMBER(SEARCH("R113",G245))*113,0)+IFERROR(--ISNUMBER(SEARCH("R114",G245))*114,0)+IFERROR(--ISNUMBER(SEARCH("R115",G245))*115,0)+IFERROR(--ISNUMBER(SEARCH("R116",G245))*116,0)+IFERROR(--ISNUMBER(SEARCH("R117",G245))*117,0)+IFERROR(--ISNUMBER(SEARCH("R118",G245))*118,0)+IFERROR(--ISNUMBER(SEARCH("R119",G245))*119,0)+IFERROR(--ISNUMBER(SEARCH("R120",G245))*120,0)+IFERROR(--ISNUMBER(SEARCH("R121",G245))*121,0)+IFERROR(--ISNUMBER(SEARCH("R122",G245))*122,0)+IFERROR(--ISNUMBER(SEARCH("R123",G245))*123,0)+IFERROR(--ISNUMBER(SEARCH("R124",G245))*124,0)+IFERROR(--ISNUMBER(SEARCH("R125",G245))*125,0)+IFERROR(--ISNUMBER(SEARCH("R126",G245))*126,0)+IFERROR(--ISNUMBER(SEARCH("R127",G245))*127,0)+IFERROR(--ISNUMBER(SEARCH("R128",G245))*128,0)+IFERROR(--ISNUMBER(SEARCH("R129",G245))*129,0)+IFERROR(--ISNUMBER(SEARCH("R130",G245))*130,0)+IFERROR(--ISNUMBER(SEARCH("R131",G245))*131,0)+IFERROR(--ISNUMBER(SEARCH("R132",G245))*132,0)+IFERROR(--ISNUMBER(SEARCH("R133",G245))*133,0)+IFERROR(--ISNUMBER(SEARCH("R134",G245))*134,0)+IFERROR(--ISNUMBER(SEARCH("R135",G245))*135,0)+IFERROR(--ISNUMBER(SEARCH("R136",G245))*136,0)+IFERROR(--ISNUMBER(SEARCH("R137",G245))*137,0)+IFERROR(--ISNUMBER(SEARCH("R138",G245))*138,0)+IFERROR(--ISNUMBER(SEARCH("R139",G245))*139,0)+IFERROR(--ISNUMBER(SEARCH("R140",G245))*140,0)+IFERROR(--ISNUMBER(SEARCH("R141",G245))*141,0))</f>
        <v/>
      </c>
      <c r="V245" s="59">
        <f>IF(A245="","",IF(K245&lt;&gt;"",K245,J245))</f>
        <v/>
      </c>
      <c r="W245" s="59">
        <f>IF(A245="","",IF(AND(V245=29,O245&lt;&gt;"",COUNTIFS($V$6:$V$505,29,$F$6:$F$505,F245,$C$6:$C$505,C245,$O$6:$O$505,"&lt;&gt;")&gt;1),IF(COUNTIFS($V$6:V245,29,$F$6:F245,F245,$C$6:C245,C245,$O$6:O245,"&lt;&gt;")=1,"Esta es la fila que se debe CONSERVAR (aparición 1 de "&amp;COUNTIFS($V$6:$V$505,29,$F$6:$F$505,F245,$C$6:$C$505,C245,$O$6:$O$505,"&lt;&gt;")&amp;" con el mismo tercero y valor, casilla 29). Si hay más filas iguales, bórreles el valor a ELLAS, no a esta.","DUPLICADO — ya existe otra fila con el mismo tercero y valor para casilla 29 (aparición "&amp;COUNTIFS($V$6:V245,29,$F$6:F245,F245,$C$6:C245,C245,$O$6:O245,"&lt;&gt;")&amp;" de "&amp;COUNTIFS($V$6:$V$505,29,$F$6:$F$505,F245,$C$6:$C$505,C245,$O$6:$O$505,"&lt;&gt;")&amp;"). Para resolverlo: seleccione la celda O"&amp;ROW()&amp;" (columna Valor a declarar de ESTA fila) y presione Supr."),""))</f>
        <v/>
      </c>
      <c r="X245" s="463">
        <f>IF(A245="","",F245)</f>
        <v/>
      </c>
      <c r="Y245" s="463">
        <f>IF(A245="","",SUMIF(Entrada_Manual!$I$88:$I$187,A245,Entrada_Manual!$F$88:$F$187))</f>
        <v/>
      </c>
      <c r="Z245" s="463">
        <f>IF(A245="","",X245-Y245)</f>
        <v/>
      </c>
      <c r="AA245">
        <f>IF(A245="","",SUMPRODUCT((Entrada_Manual!$I$88:$I$187=A245)*1))</f>
        <v/>
      </c>
      <c r="AB245">
        <f>IF(A245="","",IF(S245&lt;=1,"",IF(AA245=0,"PENDIENTE — SIN ASIGNAR",IF(Z245=0,"RESUELTO","PARCIAL — DIFERENCIA "&amp;TEXT(Z245,"#,##0")))))</f>
        <v/>
      </c>
    </row>
    <row r="246" ht="14.25" customHeight="1" s="235">
      <c r="A246" s="47">
        <f>IF(Exogena_RAW!E255&lt;&gt;"",ROW()-5,"")</f>
        <v/>
      </c>
      <c r="B246" s="48">
        <f>IF(A246="","",255)</f>
        <v/>
      </c>
      <c r="C246" s="48">
        <f>IF(A246="","",IFERROR(Exogena_RAW!A255,""))</f>
        <v/>
      </c>
      <c r="D246" s="48">
        <f>IF(A246="","",IFERROR(Exogena_RAW!B255,""))</f>
        <v/>
      </c>
      <c r="E246" s="48">
        <f>IF(A246="","",Exogena_RAW!E255)</f>
        <v/>
      </c>
      <c r="F246" s="461">
        <f>IF(A246="","",Exogena_RAW!F255)</f>
        <v/>
      </c>
      <c r="G246" s="48">
        <f>IF(A246="","",IFERROR(Exogena_RAW!G255,""))</f>
        <v/>
      </c>
      <c r="H246" s="48">
        <f>IF(A246="","",IFERROR(Exogena_RAW!H255,""))</f>
        <v/>
      </c>
      <c r="I246" s="48">
        <f>IF(A246="","",IFERROR(IF(S246&gt;1,"VARIAS CASILLAS",IF(S246=1,IF(T246=1,"PROPUESTA DE CASILLA","REVISIÓN: CASILLA NO DIRECTA"),IF(OR(ISNUMBER(SEARCH("TOPE",UPPER(E246))),ISNUMBER(SEARCH("TOPE",UPPER(G246)))),"SOLO CONTROL",IF(ISNUMBER(SEARCH("RETEN",UPPER(E246))),"RETENCIÓN","REVISAR")))),"REVISAR"))</f>
        <v/>
      </c>
      <c r="J246" s="48">
        <f>IF(A246="","",IF(ISNUMBER(SEARCH("ingreso laboral promedio de los últimos seis meses",E246)),"",IFERROR(IF(AND(S246=1,T246=1),U246,""),"")))</f>
        <v/>
      </c>
      <c r="K246" s="216" t="n"/>
      <c r="L246" s="48">
        <f>IF(A246="","",IFERROR(IF(K246&lt;&gt;"","Casilla elegida por usuario",IF(S246&gt;1,"Varias casillas — elegir en K",IF(J246&lt;&gt;"","Sugerencia directa",IF(S246=1,"No trasladar directo — revisar",IF(OR(ISNUMBER(SEARCH("TOPE",UPPER(E246))),ISNUMBER(SEARCH("TOPE",UPPER(G246)))),"Solo control","Revisar manualmente"))))),"Revisar manualmente"))</f>
        <v/>
      </c>
      <c r="M246" s="461">
        <f>IF(A246="","",IF(IF(K246&lt;&gt;"",K246,J246)="",0,IF(COUNTIFS(Reglas!$I$5:$I$118,IF(K246&lt;&gt;"",K246,J246),Reglas!$J$5:$J$118,"Sí")=1,F246,0)))</f>
        <v/>
      </c>
      <c r="N246" s="56" t="n"/>
      <c r="O246" s="462">
        <f>IF(A246="","",IF(M246=0,"",M246))</f>
        <v/>
      </c>
      <c r="P246" s="461">
        <f>IF(A246="","",IF(O246="",0,IF(ISNUMBER(O246),O246,0)))</f>
        <v/>
      </c>
      <c r="Q246" s="48">
        <f>IF(A246="","",IF(Exogena_RAW!$C$4="","BLOQUEADO: FALTA AÑO",IF(Exogena_RAW!$K$10&lt;&gt;Reglas!$B$5,"BLOQUEADO: AÑO",IF(IF(K246&lt;&gt;"",K246,J246)="",IF(S246&gt;1,"REQUIERE ASIGNACIÓN MANUAL (VARIAS CASILLAS)","INFORMATIVO (sin casilla — no se declara)"),IF(COUNTIFS(Reglas!$I$5:$I$118,IF(K246&lt;&gt;"",K246,J246),Reglas!$J$5:$J$118,"Sí")=0,"BLOQUEADO: CASILLA NO DIRECTA",IF(O246="","EXCLUIDO (valor borrado por el usuario)",IF(_xlfn.ISFORMULA(O246),IF(W246&lt;&gt;"","BORRADOR — VALOR SUGERIDO DIAN ⚠ VER ALERTA","BORRADOR — VALOR SUGERIDO DIAN"),IF(W246&lt;&gt;"","ACEPTADO ⚠ VER ALERTA","ACEPTADO"))))))))</f>
        <v/>
      </c>
      <c r="R246" s="218" t="n"/>
      <c r="S246" s="58">
        <f>IF(A246="","",IFERROR(--ISNUMBER(SEARCH("R28",G246)),0)+IFERROR(--ISNUMBER(SEARCH("R29",G246)),0)+IFERROR(--ISNUMBER(SEARCH("R30",G246)),0)+IFERROR(--ISNUMBER(SEARCH("R31",G246)),0)+IFERROR(--ISNUMBER(SEARCH("R32",G246)),0)+IFERROR(--ISNUMBER(SEARCH("R33",G246)),0)+IFERROR(--ISNUMBER(SEARCH("R34",G246)),0)+IFERROR(--ISNUMBER(SEARCH("R35",G246)),0)+IFERROR(--ISNUMBER(SEARCH("R36",G246)),0)+IFERROR(--ISNUMBER(SEARCH("R37",G246)),0)+IFERROR(--ISNUMBER(SEARCH("R38",G246)),0)+IFERROR(--ISNUMBER(SEARCH("R39",G246)),0)+IFERROR(--ISNUMBER(SEARCH("R40",G246)),0)+IFERROR(--ISNUMBER(SEARCH("R41",G246)),0)+IFERROR(--ISNUMBER(SEARCH("R42",G246)),0)+IFERROR(--ISNUMBER(SEARCH("R43",G246)),0)+IFERROR(--ISNUMBER(SEARCH("R44",G246)),0)+IFERROR(--ISNUMBER(SEARCH("R45",G246)),0)+IFERROR(--ISNUMBER(SEARCH("R46",G246)),0)+IFERROR(--ISNUMBER(SEARCH("R47",G246)),0)+IFERROR(--ISNUMBER(SEARCH("R48",G246)),0)+IFERROR(--ISNUMBER(SEARCH("R49",G246)),0)+IFERROR(--ISNUMBER(SEARCH("R50",G246)),0)+IFERROR(--ISNUMBER(SEARCH("R51",G246)),0)+IFERROR(--ISNUMBER(SEARCH("R52",G246)),0)+IFERROR(--ISNUMBER(SEARCH("R53",G246)),0)+IFERROR(--ISNUMBER(SEARCH("R54",G246)),0)+IFERROR(--ISNUMBER(SEARCH("R55",G246)),0)+IFERROR(--ISNUMBER(SEARCH("R56",G246)),0)+IFERROR(--ISNUMBER(SEARCH("R57",G246)),0)+IFERROR(--ISNUMBER(SEARCH("R58",G246)),0)+IFERROR(--ISNUMBER(SEARCH("R59",G246)),0)+IFERROR(--ISNUMBER(SEARCH("R60",G246)),0)+IFERROR(--ISNUMBER(SEARCH("R61",G246)),0)+IFERROR(--ISNUMBER(SEARCH("R62",G246)),0)+IFERROR(--ISNUMBER(SEARCH("R63",G246)),0)+IFERROR(--ISNUMBER(SEARCH("R64",G246)),0)+IFERROR(--ISNUMBER(SEARCH("R65",G246)),0)+IFERROR(--ISNUMBER(SEARCH("R66",G246)),0)+IFERROR(--ISNUMBER(SEARCH("R67",G246)),0)+IFERROR(--ISNUMBER(SEARCH("R68",G246)),0)+IFERROR(--ISNUMBER(SEARCH("R69",G246)),0)+IFERROR(--ISNUMBER(SEARCH("R70",G246)),0)+IFERROR(--ISNUMBER(SEARCH("R71",G246)),0)+IFERROR(--ISNUMBER(SEARCH("R72",G246)),0)+IFERROR(--ISNUMBER(SEARCH("R73",G246)),0)+IFERROR(--ISNUMBER(SEARCH("R74",G246)),0)+IFERROR(--ISNUMBER(SEARCH("R75",G246)),0)+IFERROR(--ISNUMBER(SEARCH("R76",G246)),0)+IFERROR(--ISNUMBER(SEARCH("R77",G246)),0)+IFERROR(--ISNUMBER(SEARCH("R78",G246)),0)+IFERROR(--ISNUMBER(SEARCH("R79",G246)),0)+IFERROR(--ISNUMBER(SEARCH("R80",G246)),0)+IFERROR(--ISNUMBER(SEARCH("R81",G246)),0)+IFERROR(--ISNUMBER(SEARCH("R82",G246)),0)+IFERROR(--ISNUMBER(SEARCH("R83",G246)),0)+IFERROR(--ISNUMBER(SEARCH("R84",G246)),0)+IFERROR(--ISNUMBER(SEARCH("R85",G246)),0)+IFERROR(--ISNUMBER(SEARCH("R86",G246)),0)+IFERROR(--ISNUMBER(SEARCH("R87",G246)),0)+IFERROR(--ISNUMBER(SEARCH("R88",G246)),0)+IFERROR(--ISNUMBER(SEARCH("R89",G246)),0)+IFERROR(--ISNUMBER(SEARCH("R90",G246)),0)+IFERROR(--ISNUMBER(SEARCH("R91",G246)),0)+IFERROR(--ISNUMBER(SEARCH("R92",G246)),0)+IFERROR(--ISNUMBER(SEARCH("R93",G246)),0)+IFERROR(--ISNUMBER(SEARCH("R94",G246)),0)+IFERROR(--ISNUMBER(SEARCH("R95",G246)),0)+IFERROR(--ISNUMBER(SEARCH("R96",G246)),0)+IFERROR(--ISNUMBER(SEARCH("R97",G246)),0)+IFERROR(--ISNUMBER(SEARCH("R98",G246)),0)+IFERROR(--ISNUMBER(SEARCH("R99",G246)),0)+IFERROR(--ISNUMBER(SEARCH("R100",G246)),0)+IFERROR(--ISNUMBER(SEARCH("R101",G246)),0)+IFERROR(--ISNUMBER(SEARCH("R102",G246)),0)+IFERROR(--ISNUMBER(SEARCH("R103",G246)),0)+IFERROR(--ISNUMBER(SEARCH("R104",G246)),0)+IFERROR(--ISNUMBER(SEARCH("R105",G246)),0)+IFERROR(--ISNUMBER(SEARCH("R106",G246)),0)+IFERROR(--ISNUMBER(SEARCH("R107",G246)),0)+IFERROR(--ISNUMBER(SEARCH("R108",G246)),0)+IFERROR(--ISNUMBER(SEARCH("R109",G246)),0)+IFERROR(--ISNUMBER(SEARCH("R110",G246)),0)+IFERROR(--ISNUMBER(SEARCH("R111",G246)),0)+IFERROR(--ISNUMBER(SEARCH("R112",G246)),0)+IFERROR(--ISNUMBER(SEARCH("R113",G246)),0)+IFERROR(--ISNUMBER(SEARCH("R114",G246)),0)+IFERROR(--ISNUMBER(SEARCH("R115",G246)),0)+IFERROR(--ISNUMBER(SEARCH("R116",G246)),0)+IFERROR(--ISNUMBER(SEARCH("R117",G246)),0)+IFERROR(--ISNUMBER(SEARCH("R118",G246)),0)+IFERROR(--ISNUMBER(SEARCH("R119",G246)),0)+IFERROR(--ISNUMBER(SEARCH("R120",G246)),0)+IFERROR(--ISNUMBER(SEARCH("R121",G246)),0)+IFERROR(--ISNUMBER(SEARCH("R122",G246)),0)+IFERROR(--ISNUMBER(SEARCH("R123",G246)),0)+IFERROR(--ISNUMBER(SEARCH("R124",G246)),0)+IFERROR(--ISNUMBER(SEARCH("R125",G246)),0)+IFERROR(--ISNUMBER(SEARCH("R126",G246)),0)+IFERROR(--ISNUMBER(SEARCH("R127",G246)),0)+IFERROR(--ISNUMBER(SEARCH("R128",G246)),0)+IFERROR(--ISNUMBER(SEARCH("R129",G246)),0)+IFERROR(--ISNUMBER(SEARCH("R130",G246)),0)+IFERROR(--ISNUMBER(SEARCH("R131",G246)),0)+IFERROR(--ISNUMBER(SEARCH("R132",G246)),0)+IFERROR(--ISNUMBER(SEARCH("R133",G246)),0)+IFERROR(--ISNUMBER(SEARCH("R134",G246)),0)+IFERROR(--ISNUMBER(SEARCH("R135",G246)),0)+IFERROR(--ISNUMBER(SEARCH("R136",G246)),0)+IFERROR(--ISNUMBER(SEARCH("R137",G246)),0)+IFERROR(--ISNUMBER(SEARCH("R138",G246)),0)+IFERROR(--ISNUMBER(SEARCH("R139",G246)),0)+IFERROR(--ISNUMBER(SEARCH("R140",G246)),0)+IFERROR(--ISNUMBER(SEARCH("R141",G246)),0))</f>
        <v/>
      </c>
      <c r="T246" s="58">
        <f>IF(A246="","",IFERROR(--ISNUMBER(SEARCH("R28",G246)),0)+IFERROR(--ISNUMBER(SEARCH("R29",G246)),0)+IFERROR(--ISNUMBER(SEARCH("R30",G246)),0)+IFERROR(--ISNUMBER(SEARCH("R32",G246)),0)+IFERROR(--ISNUMBER(SEARCH("R33",G246)),0)+IFERROR(--ISNUMBER(SEARCH("R35",G246)),0)+IFERROR(--ISNUMBER(SEARCH("R36",G246)),0)+IFERROR(--ISNUMBER(SEARCH("R38",G246)),0)+IFERROR(--ISNUMBER(SEARCH("R39",G246)),0)+IFERROR(--ISNUMBER(SEARCH("R43",G246)),0)+IFERROR(--ISNUMBER(SEARCH("R44",G246)),0)+IFERROR(--ISNUMBER(SEARCH("R45",G246)),0)+IFERROR(--ISNUMBER(SEARCH("R47",G246)),0)+IFERROR(--ISNUMBER(SEARCH("R48",G246)),0)+IFERROR(--ISNUMBER(SEARCH("R50",G246)),0)+IFERROR(--ISNUMBER(SEARCH("R51",G246)),0)+IFERROR(--ISNUMBER(SEARCH("R56",G246)),0)+IFERROR(--ISNUMBER(SEARCH("R58",G246)),0)+IFERROR(--ISNUMBER(SEARCH("R59",G246)),0)+IFERROR(--ISNUMBER(SEARCH("R60",G246)),0)+IFERROR(--ISNUMBER(SEARCH("R62",G246)),0)+IFERROR(--ISNUMBER(SEARCH("R63",G246)),0)+IFERROR(--ISNUMBER(SEARCH("R64",G246)),0)+IFERROR(--ISNUMBER(SEARCH("R66",G246)),0)+IFERROR(--ISNUMBER(SEARCH("R67",G246)),0)+IFERROR(--ISNUMBER(SEARCH("R72",G246)),0)+IFERROR(--ISNUMBER(SEARCH("R74",G246)),0)+IFERROR(--ISNUMBER(SEARCH("R75",G246)),0)+IFERROR(--ISNUMBER(SEARCH("R76",G246)),0)+IFERROR(--ISNUMBER(SEARCH("R77",G246)),0)+IFERROR(--ISNUMBER(SEARCH("R79",G246)),0)+IFERROR(--ISNUMBER(SEARCH("R80",G246)),0)+IFERROR(--ISNUMBER(SEARCH("R81",G246)),0)+IFERROR(--ISNUMBER(SEARCH("R83",G246)),0)+IFERROR(--ISNUMBER(SEARCH("R84",G246)),0)+IFERROR(--ISNUMBER(SEARCH("R89",G246)),0)+IFERROR(--ISNUMBER(SEARCH("R94",G246)),0)+IFERROR(--ISNUMBER(SEARCH("R95",G246)),0)+IFERROR(--ISNUMBER(SEARCH("R96",G246)),0)+IFERROR(--ISNUMBER(SEARCH("R98",G246)),0)+IFERROR(--ISNUMBER(SEARCH("R99",G246)),0)+IFERROR(--ISNUMBER(SEARCH("R100",G246)),0)+IFERROR(--ISNUMBER(SEARCH("R104",G246)),0)+IFERROR(--ISNUMBER(SEARCH("R105",G246)),0)+IFERROR(--ISNUMBER(SEARCH("R107",G246)),0)+IFERROR(--ISNUMBER(SEARCH("R108",G246)),0)+IFERROR(--ISNUMBER(SEARCH("R109",G246)),0)+IFERROR(--ISNUMBER(SEARCH("R110",G246)),0)+IFERROR(--ISNUMBER(SEARCH("R112",G246)),0)+IFERROR(--ISNUMBER(SEARCH("R113",G246)),0)+IFERROR(--ISNUMBER(SEARCH("R114",G246)),0)+IFERROR(--ISNUMBER(SEARCH("R118",G246)),0)+IFERROR(--ISNUMBER(SEARCH("R119",G246)),0)+IFERROR(--ISNUMBER(SEARCH("R120",G246)),0)+IFERROR(--ISNUMBER(SEARCH("R122",G246)),0)+IFERROR(--ISNUMBER(SEARCH("R123",G246)),0)+IFERROR(--ISNUMBER(SEARCH("R124",G246)),0)+IFERROR(--ISNUMBER(SEARCH("R128",G246)),0)+IFERROR(--ISNUMBER(SEARCH("R130",G246)),0)+IFERROR(--ISNUMBER(SEARCH("R131",G246)),0)+IFERROR(--ISNUMBER(SEARCH("R132",G246)),0)+IFERROR(--ISNUMBER(SEARCH("R135",G246)),0)+IFERROR(--ISNUMBER(SEARCH("R138",G246)),0)+IFERROR(--ISNUMBER(SEARCH("R141",G246)),0))</f>
        <v/>
      </c>
      <c r="U246" s="58">
        <f>IF(A246="","",IFERROR(--ISNUMBER(SEARCH("R28",G246))*28,0)+IFERROR(--ISNUMBER(SEARCH("R29",G246))*29,0)+IFERROR(--ISNUMBER(SEARCH("R30",G246))*30,0)+IFERROR(--ISNUMBER(SEARCH("R31",G246))*31,0)+IFERROR(--ISNUMBER(SEARCH("R32",G246))*32,0)+IFERROR(--ISNUMBER(SEARCH("R33",G246))*33,0)+IFERROR(--ISNUMBER(SEARCH("R34",G246))*34,0)+IFERROR(--ISNUMBER(SEARCH("R35",G246))*35,0)+IFERROR(--ISNUMBER(SEARCH("R36",G246))*36,0)+IFERROR(--ISNUMBER(SEARCH("R37",G246))*37,0)+IFERROR(--ISNUMBER(SEARCH("R38",G246))*38,0)+IFERROR(--ISNUMBER(SEARCH("R39",G246))*39,0)+IFERROR(--ISNUMBER(SEARCH("R40",G246))*40,0)+IFERROR(--ISNUMBER(SEARCH("R41",G246))*41,0)+IFERROR(--ISNUMBER(SEARCH("R42",G246))*42,0)+IFERROR(--ISNUMBER(SEARCH("R43",G246))*43,0)+IFERROR(--ISNUMBER(SEARCH("R44",G246))*44,0)+IFERROR(--ISNUMBER(SEARCH("R45",G246))*45,0)+IFERROR(--ISNUMBER(SEARCH("R46",G246))*46,0)+IFERROR(--ISNUMBER(SEARCH("R47",G246))*47,0)+IFERROR(--ISNUMBER(SEARCH("R48",G246))*48,0)+IFERROR(--ISNUMBER(SEARCH("R49",G246))*49,0)+IFERROR(--ISNUMBER(SEARCH("R50",G246))*50,0)+IFERROR(--ISNUMBER(SEARCH("R51",G246))*51,0)+IFERROR(--ISNUMBER(SEARCH("R52",G246))*52,0)+IFERROR(--ISNUMBER(SEARCH("R53",G246))*53,0)+IFERROR(--ISNUMBER(SEARCH("R54",G246))*54,0)+IFERROR(--ISNUMBER(SEARCH("R55",G246))*55,0)+IFERROR(--ISNUMBER(SEARCH("R56",G246))*56,0)+IFERROR(--ISNUMBER(SEARCH("R57",G246))*57,0)+IFERROR(--ISNUMBER(SEARCH("R58",G246))*58,0)+IFERROR(--ISNUMBER(SEARCH("R59",G246))*59,0)+IFERROR(--ISNUMBER(SEARCH("R60",G246))*60,0)+IFERROR(--ISNUMBER(SEARCH("R61",G246))*61,0)+IFERROR(--ISNUMBER(SEARCH("R62",G246))*62,0)+IFERROR(--ISNUMBER(SEARCH("R63",G246))*63,0)+IFERROR(--ISNUMBER(SEARCH("R64",G246))*64,0)+IFERROR(--ISNUMBER(SEARCH("R65",G246))*65,0)+IFERROR(--ISNUMBER(SEARCH("R66",G246))*66,0)+IFERROR(--ISNUMBER(SEARCH("R67",G246))*67,0)+IFERROR(--ISNUMBER(SEARCH("R68",G246))*68,0)+IFERROR(--ISNUMBER(SEARCH("R69",G246))*69,0)+IFERROR(--ISNUMBER(SEARCH("R70",G246))*70,0)+IFERROR(--ISNUMBER(SEARCH("R71",G246))*71,0)+IFERROR(--ISNUMBER(SEARCH("R72",G246))*72,0)+IFERROR(--ISNUMBER(SEARCH("R73",G246))*73,0)+IFERROR(--ISNUMBER(SEARCH("R74",G246))*74,0)+IFERROR(--ISNUMBER(SEARCH("R75",G246))*75,0)+IFERROR(--ISNUMBER(SEARCH("R76",G246))*76,0)+IFERROR(--ISNUMBER(SEARCH("R77",G246))*77,0)+IFERROR(--ISNUMBER(SEARCH("R78",G246))*78,0)+IFERROR(--ISNUMBER(SEARCH("R79",G246))*79,0)+IFERROR(--ISNUMBER(SEARCH("R80",G246))*80,0)+IFERROR(--ISNUMBER(SEARCH("R81",G246))*81,0)+IFERROR(--ISNUMBER(SEARCH("R82",G246))*82,0)+IFERROR(--ISNUMBER(SEARCH("R83",G246))*83,0)+IFERROR(--ISNUMBER(SEARCH("R84",G246))*84,0)+IFERROR(--ISNUMBER(SEARCH("R85",G246))*85,0)+IFERROR(--ISNUMBER(SEARCH("R86",G246))*86,0)+IFERROR(--ISNUMBER(SEARCH("R87",G246))*87,0)+IFERROR(--ISNUMBER(SEARCH("R88",G246))*88,0)+IFERROR(--ISNUMBER(SEARCH("R89",G246))*89,0)+IFERROR(--ISNUMBER(SEARCH("R90",G246))*90,0)+IFERROR(--ISNUMBER(SEARCH("R91",G246))*91,0)+IFERROR(--ISNUMBER(SEARCH("R92",G246))*92,0)+IFERROR(--ISNUMBER(SEARCH("R93",G246))*93,0)+IFERROR(--ISNUMBER(SEARCH("R94",G246))*94,0)+IFERROR(--ISNUMBER(SEARCH("R95",G246))*95,0)+IFERROR(--ISNUMBER(SEARCH("R96",G246))*96,0)+IFERROR(--ISNUMBER(SEARCH("R97",G246))*97,0)+IFERROR(--ISNUMBER(SEARCH("R98",G246))*98,0)+IFERROR(--ISNUMBER(SEARCH("R99",G246))*99,0)+IFERROR(--ISNUMBER(SEARCH("R100",G246))*100,0)+IFERROR(--ISNUMBER(SEARCH("R101",G246))*101,0)+IFERROR(--ISNUMBER(SEARCH("R102",G246))*102,0)+IFERROR(--ISNUMBER(SEARCH("R103",G246))*103,0)+IFERROR(--ISNUMBER(SEARCH("R104",G246))*104,0)+IFERROR(--ISNUMBER(SEARCH("R105",G246))*105,0)+IFERROR(--ISNUMBER(SEARCH("R106",G246))*106,0)+IFERROR(--ISNUMBER(SEARCH("R107",G246))*107,0)+IFERROR(--ISNUMBER(SEARCH("R108",G246))*108,0)+IFERROR(--ISNUMBER(SEARCH("R109",G246))*109,0)+IFERROR(--ISNUMBER(SEARCH("R110",G246))*110,0)+IFERROR(--ISNUMBER(SEARCH("R111",G246))*111,0)+IFERROR(--ISNUMBER(SEARCH("R112",G246))*112,0)+IFERROR(--ISNUMBER(SEARCH("R113",G246))*113,0)+IFERROR(--ISNUMBER(SEARCH("R114",G246))*114,0)+IFERROR(--ISNUMBER(SEARCH("R115",G246))*115,0)+IFERROR(--ISNUMBER(SEARCH("R116",G246))*116,0)+IFERROR(--ISNUMBER(SEARCH("R117",G246))*117,0)+IFERROR(--ISNUMBER(SEARCH("R118",G246))*118,0)+IFERROR(--ISNUMBER(SEARCH("R119",G246))*119,0)+IFERROR(--ISNUMBER(SEARCH("R120",G246))*120,0)+IFERROR(--ISNUMBER(SEARCH("R121",G246))*121,0)+IFERROR(--ISNUMBER(SEARCH("R122",G246))*122,0)+IFERROR(--ISNUMBER(SEARCH("R123",G246))*123,0)+IFERROR(--ISNUMBER(SEARCH("R124",G246))*124,0)+IFERROR(--ISNUMBER(SEARCH("R125",G246))*125,0)+IFERROR(--ISNUMBER(SEARCH("R126",G246))*126,0)+IFERROR(--ISNUMBER(SEARCH("R127",G246))*127,0)+IFERROR(--ISNUMBER(SEARCH("R128",G246))*128,0)+IFERROR(--ISNUMBER(SEARCH("R129",G246))*129,0)+IFERROR(--ISNUMBER(SEARCH("R130",G246))*130,0)+IFERROR(--ISNUMBER(SEARCH("R131",G246))*131,0)+IFERROR(--ISNUMBER(SEARCH("R132",G246))*132,0)+IFERROR(--ISNUMBER(SEARCH("R133",G246))*133,0)+IFERROR(--ISNUMBER(SEARCH("R134",G246))*134,0)+IFERROR(--ISNUMBER(SEARCH("R135",G246))*135,0)+IFERROR(--ISNUMBER(SEARCH("R136",G246))*136,0)+IFERROR(--ISNUMBER(SEARCH("R137",G246))*137,0)+IFERROR(--ISNUMBER(SEARCH("R138",G246))*138,0)+IFERROR(--ISNUMBER(SEARCH("R139",G246))*139,0)+IFERROR(--ISNUMBER(SEARCH("R140",G246))*140,0)+IFERROR(--ISNUMBER(SEARCH("R141",G246))*141,0))</f>
        <v/>
      </c>
      <c r="V246" s="59">
        <f>IF(A246="","",IF(K246&lt;&gt;"",K246,J246))</f>
        <v/>
      </c>
      <c r="W246" s="59">
        <f>IF(A246="","",IF(AND(V246=29,O246&lt;&gt;"",COUNTIFS($V$6:$V$505,29,$F$6:$F$505,F246,$C$6:$C$505,C246,$O$6:$O$505,"&lt;&gt;")&gt;1),IF(COUNTIFS($V$6:V246,29,$F$6:F246,F246,$C$6:C246,C246,$O$6:O246,"&lt;&gt;")=1,"Esta es la fila que se debe CONSERVAR (aparición 1 de "&amp;COUNTIFS($V$6:$V$505,29,$F$6:$F$505,F246,$C$6:$C$505,C246,$O$6:$O$505,"&lt;&gt;")&amp;" con el mismo tercero y valor, casilla 29). Si hay más filas iguales, bórreles el valor a ELLAS, no a esta.","DUPLICADO — ya existe otra fila con el mismo tercero y valor para casilla 29 (aparición "&amp;COUNTIFS($V$6:V246,29,$F$6:F246,F246,$C$6:C246,C246,$O$6:O246,"&lt;&gt;")&amp;" de "&amp;COUNTIFS($V$6:$V$505,29,$F$6:$F$505,F246,$C$6:$C$505,C246,$O$6:$O$505,"&lt;&gt;")&amp;"). Para resolverlo: seleccione la celda O"&amp;ROW()&amp;" (columna Valor a declarar de ESTA fila) y presione Supr."),""))</f>
        <v/>
      </c>
      <c r="X246" s="463">
        <f>IF(A246="","",F246)</f>
        <v/>
      </c>
      <c r="Y246" s="463">
        <f>IF(A246="","",SUMIF(Entrada_Manual!$I$88:$I$187,A246,Entrada_Manual!$F$88:$F$187))</f>
        <v/>
      </c>
      <c r="Z246" s="463">
        <f>IF(A246="","",X246-Y246)</f>
        <v/>
      </c>
      <c r="AA246">
        <f>IF(A246="","",SUMPRODUCT((Entrada_Manual!$I$88:$I$187=A246)*1))</f>
        <v/>
      </c>
      <c r="AB246">
        <f>IF(A246="","",IF(S246&lt;=1,"",IF(AA246=0,"PENDIENTE — SIN ASIGNAR",IF(Z246=0,"RESUELTO","PARCIAL — DIFERENCIA "&amp;TEXT(Z246,"#,##0")))))</f>
        <v/>
      </c>
    </row>
    <row r="247" ht="14.25" customHeight="1" s="235">
      <c r="A247" s="47">
        <f>IF(Exogena_RAW!E256&lt;&gt;"",ROW()-5,"")</f>
        <v/>
      </c>
      <c r="B247" s="48">
        <f>IF(A247="","",256)</f>
        <v/>
      </c>
      <c r="C247" s="48">
        <f>IF(A247="","",IFERROR(Exogena_RAW!A256,""))</f>
        <v/>
      </c>
      <c r="D247" s="48">
        <f>IF(A247="","",IFERROR(Exogena_RAW!B256,""))</f>
        <v/>
      </c>
      <c r="E247" s="48">
        <f>IF(A247="","",Exogena_RAW!E256)</f>
        <v/>
      </c>
      <c r="F247" s="461">
        <f>IF(A247="","",Exogena_RAW!F256)</f>
        <v/>
      </c>
      <c r="G247" s="48">
        <f>IF(A247="","",IFERROR(Exogena_RAW!G256,""))</f>
        <v/>
      </c>
      <c r="H247" s="48">
        <f>IF(A247="","",IFERROR(Exogena_RAW!H256,""))</f>
        <v/>
      </c>
      <c r="I247" s="48">
        <f>IF(A247="","",IFERROR(IF(S247&gt;1,"VARIAS CASILLAS",IF(S247=1,IF(T247=1,"PROPUESTA DE CASILLA","REVISIÓN: CASILLA NO DIRECTA"),IF(OR(ISNUMBER(SEARCH("TOPE",UPPER(E247))),ISNUMBER(SEARCH("TOPE",UPPER(G247)))),"SOLO CONTROL",IF(ISNUMBER(SEARCH("RETEN",UPPER(E247))),"RETENCIÓN","REVISAR")))),"REVISAR"))</f>
        <v/>
      </c>
      <c r="J247" s="48">
        <f>IF(A247="","",IF(ISNUMBER(SEARCH("ingreso laboral promedio de los últimos seis meses",E247)),"",IFERROR(IF(AND(S247=1,T247=1),U247,""),"")))</f>
        <v/>
      </c>
      <c r="K247" s="216" t="n"/>
      <c r="L247" s="48">
        <f>IF(A247="","",IFERROR(IF(K247&lt;&gt;"","Casilla elegida por usuario",IF(S247&gt;1,"Varias casillas — elegir en K",IF(J247&lt;&gt;"","Sugerencia directa",IF(S247=1,"No trasladar directo — revisar",IF(OR(ISNUMBER(SEARCH("TOPE",UPPER(E247))),ISNUMBER(SEARCH("TOPE",UPPER(G247)))),"Solo control","Revisar manualmente"))))),"Revisar manualmente"))</f>
        <v/>
      </c>
      <c r="M247" s="461">
        <f>IF(A247="","",IF(IF(K247&lt;&gt;"",K247,J247)="",0,IF(COUNTIFS(Reglas!$I$5:$I$118,IF(K247&lt;&gt;"",K247,J247),Reglas!$J$5:$J$118,"Sí")=1,F247,0)))</f>
        <v/>
      </c>
      <c r="N247" s="56" t="n"/>
      <c r="O247" s="462">
        <f>IF(A247="","",IF(M247=0,"",M247))</f>
        <v/>
      </c>
      <c r="P247" s="461">
        <f>IF(A247="","",IF(O247="",0,IF(ISNUMBER(O247),O247,0)))</f>
        <v/>
      </c>
      <c r="Q247" s="48">
        <f>IF(A247="","",IF(Exogena_RAW!$C$4="","BLOQUEADO: FALTA AÑO",IF(Exogena_RAW!$K$10&lt;&gt;Reglas!$B$5,"BLOQUEADO: AÑO",IF(IF(K247&lt;&gt;"",K247,J247)="",IF(S247&gt;1,"REQUIERE ASIGNACIÓN MANUAL (VARIAS CASILLAS)","INFORMATIVO (sin casilla — no se declara)"),IF(COUNTIFS(Reglas!$I$5:$I$118,IF(K247&lt;&gt;"",K247,J247),Reglas!$J$5:$J$118,"Sí")=0,"BLOQUEADO: CASILLA NO DIRECTA",IF(O247="","EXCLUIDO (valor borrado por el usuario)",IF(_xlfn.ISFORMULA(O247),IF(W247&lt;&gt;"","BORRADOR — VALOR SUGERIDO DIAN ⚠ VER ALERTA","BORRADOR — VALOR SUGERIDO DIAN"),IF(W247&lt;&gt;"","ACEPTADO ⚠ VER ALERTA","ACEPTADO"))))))))</f>
        <v/>
      </c>
      <c r="R247" s="218" t="n"/>
      <c r="S247" s="58">
        <f>IF(A247="","",IFERROR(--ISNUMBER(SEARCH("R28",G247)),0)+IFERROR(--ISNUMBER(SEARCH("R29",G247)),0)+IFERROR(--ISNUMBER(SEARCH("R30",G247)),0)+IFERROR(--ISNUMBER(SEARCH("R31",G247)),0)+IFERROR(--ISNUMBER(SEARCH("R32",G247)),0)+IFERROR(--ISNUMBER(SEARCH("R33",G247)),0)+IFERROR(--ISNUMBER(SEARCH("R34",G247)),0)+IFERROR(--ISNUMBER(SEARCH("R35",G247)),0)+IFERROR(--ISNUMBER(SEARCH("R36",G247)),0)+IFERROR(--ISNUMBER(SEARCH("R37",G247)),0)+IFERROR(--ISNUMBER(SEARCH("R38",G247)),0)+IFERROR(--ISNUMBER(SEARCH("R39",G247)),0)+IFERROR(--ISNUMBER(SEARCH("R40",G247)),0)+IFERROR(--ISNUMBER(SEARCH("R41",G247)),0)+IFERROR(--ISNUMBER(SEARCH("R42",G247)),0)+IFERROR(--ISNUMBER(SEARCH("R43",G247)),0)+IFERROR(--ISNUMBER(SEARCH("R44",G247)),0)+IFERROR(--ISNUMBER(SEARCH("R45",G247)),0)+IFERROR(--ISNUMBER(SEARCH("R46",G247)),0)+IFERROR(--ISNUMBER(SEARCH("R47",G247)),0)+IFERROR(--ISNUMBER(SEARCH("R48",G247)),0)+IFERROR(--ISNUMBER(SEARCH("R49",G247)),0)+IFERROR(--ISNUMBER(SEARCH("R50",G247)),0)+IFERROR(--ISNUMBER(SEARCH("R51",G247)),0)+IFERROR(--ISNUMBER(SEARCH("R52",G247)),0)+IFERROR(--ISNUMBER(SEARCH("R53",G247)),0)+IFERROR(--ISNUMBER(SEARCH("R54",G247)),0)+IFERROR(--ISNUMBER(SEARCH("R55",G247)),0)+IFERROR(--ISNUMBER(SEARCH("R56",G247)),0)+IFERROR(--ISNUMBER(SEARCH("R57",G247)),0)+IFERROR(--ISNUMBER(SEARCH("R58",G247)),0)+IFERROR(--ISNUMBER(SEARCH("R59",G247)),0)+IFERROR(--ISNUMBER(SEARCH("R60",G247)),0)+IFERROR(--ISNUMBER(SEARCH("R61",G247)),0)+IFERROR(--ISNUMBER(SEARCH("R62",G247)),0)+IFERROR(--ISNUMBER(SEARCH("R63",G247)),0)+IFERROR(--ISNUMBER(SEARCH("R64",G247)),0)+IFERROR(--ISNUMBER(SEARCH("R65",G247)),0)+IFERROR(--ISNUMBER(SEARCH("R66",G247)),0)+IFERROR(--ISNUMBER(SEARCH("R67",G247)),0)+IFERROR(--ISNUMBER(SEARCH("R68",G247)),0)+IFERROR(--ISNUMBER(SEARCH("R69",G247)),0)+IFERROR(--ISNUMBER(SEARCH("R70",G247)),0)+IFERROR(--ISNUMBER(SEARCH("R71",G247)),0)+IFERROR(--ISNUMBER(SEARCH("R72",G247)),0)+IFERROR(--ISNUMBER(SEARCH("R73",G247)),0)+IFERROR(--ISNUMBER(SEARCH("R74",G247)),0)+IFERROR(--ISNUMBER(SEARCH("R75",G247)),0)+IFERROR(--ISNUMBER(SEARCH("R76",G247)),0)+IFERROR(--ISNUMBER(SEARCH("R77",G247)),0)+IFERROR(--ISNUMBER(SEARCH("R78",G247)),0)+IFERROR(--ISNUMBER(SEARCH("R79",G247)),0)+IFERROR(--ISNUMBER(SEARCH("R80",G247)),0)+IFERROR(--ISNUMBER(SEARCH("R81",G247)),0)+IFERROR(--ISNUMBER(SEARCH("R82",G247)),0)+IFERROR(--ISNUMBER(SEARCH("R83",G247)),0)+IFERROR(--ISNUMBER(SEARCH("R84",G247)),0)+IFERROR(--ISNUMBER(SEARCH("R85",G247)),0)+IFERROR(--ISNUMBER(SEARCH("R86",G247)),0)+IFERROR(--ISNUMBER(SEARCH("R87",G247)),0)+IFERROR(--ISNUMBER(SEARCH("R88",G247)),0)+IFERROR(--ISNUMBER(SEARCH("R89",G247)),0)+IFERROR(--ISNUMBER(SEARCH("R90",G247)),0)+IFERROR(--ISNUMBER(SEARCH("R91",G247)),0)+IFERROR(--ISNUMBER(SEARCH("R92",G247)),0)+IFERROR(--ISNUMBER(SEARCH("R93",G247)),0)+IFERROR(--ISNUMBER(SEARCH("R94",G247)),0)+IFERROR(--ISNUMBER(SEARCH("R95",G247)),0)+IFERROR(--ISNUMBER(SEARCH("R96",G247)),0)+IFERROR(--ISNUMBER(SEARCH("R97",G247)),0)+IFERROR(--ISNUMBER(SEARCH("R98",G247)),0)+IFERROR(--ISNUMBER(SEARCH("R99",G247)),0)+IFERROR(--ISNUMBER(SEARCH("R100",G247)),0)+IFERROR(--ISNUMBER(SEARCH("R101",G247)),0)+IFERROR(--ISNUMBER(SEARCH("R102",G247)),0)+IFERROR(--ISNUMBER(SEARCH("R103",G247)),0)+IFERROR(--ISNUMBER(SEARCH("R104",G247)),0)+IFERROR(--ISNUMBER(SEARCH("R105",G247)),0)+IFERROR(--ISNUMBER(SEARCH("R106",G247)),0)+IFERROR(--ISNUMBER(SEARCH("R107",G247)),0)+IFERROR(--ISNUMBER(SEARCH("R108",G247)),0)+IFERROR(--ISNUMBER(SEARCH("R109",G247)),0)+IFERROR(--ISNUMBER(SEARCH("R110",G247)),0)+IFERROR(--ISNUMBER(SEARCH("R111",G247)),0)+IFERROR(--ISNUMBER(SEARCH("R112",G247)),0)+IFERROR(--ISNUMBER(SEARCH("R113",G247)),0)+IFERROR(--ISNUMBER(SEARCH("R114",G247)),0)+IFERROR(--ISNUMBER(SEARCH("R115",G247)),0)+IFERROR(--ISNUMBER(SEARCH("R116",G247)),0)+IFERROR(--ISNUMBER(SEARCH("R117",G247)),0)+IFERROR(--ISNUMBER(SEARCH("R118",G247)),0)+IFERROR(--ISNUMBER(SEARCH("R119",G247)),0)+IFERROR(--ISNUMBER(SEARCH("R120",G247)),0)+IFERROR(--ISNUMBER(SEARCH("R121",G247)),0)+IFERROR(--ISNUMBER(SEARCH("R122",G247)),0)+IFERROR(--ISNUMBER(SEARCH("R123",G247)),0)+IFERROR(--ISNUMBER(SEARCH("R124",G247)),0)+IFERROR(--ISNUMBER(SEARCH("R125",G247)),0)+IFERROR(--ISNUMBER(SEARCH("R126",G247)),0)+IFERROR(--ISNUMBER(SEARCH("R127",G247)),0)+IFERROR(--ISNUMBER(SEARCH("R128",G247)),0)+IFERROR(--ISNUMBER(SEARCH("R129",G247)),0)+IFERROR(--ISNUMBER(SEARCH("R130",G247)),0)+IFERROR(--ISNUMBER(SEARCH("R131",G247)),0)+IFERROR(--ISNUMBER(SEARCH("R132",G247)),0)+IFERROR(--ISNUMBER(SEARCH("R133",G247)),0)+IFERROR(--ISNUMBER(SEARCH("R134",G247)),0)+IFERROR(--ISNUMBER(SEARCH("R135",G247)),0)+IFERROR(--ISNUMBER(SEARCH("R136",G247)),0)+IFERROR(--ISNUMBER(SEARCH("R137",G247)),0)+IFERROR(--ISNUMBER(SEARCH("R138",G247)),0)+IFERROR(--ISNUMBER(SEARCH("R139",G247)),0)+IFERROR(--ISNUMBER(SEARCH("R140",G247)),0)+IFERROR(--ISNUMBER(SEARCH("R141",G247)),0))</f>
        <v/>
      </c>
      <c r="T247" s="58">
        <f>IF(A247="","",IFERROR(--ISNUMBER(SEARCH("R28",G247)),0)+IFERROR(--ISNUMBER(SEARCH("R29",G247)),0)+IFERROR(--ISNUMBER(SEARCH("R30",G247)),0)+IFERROR(--ISNUMBER(SEARCH("R32",G247)),0)+IFERROR(--ISNUMBER(SEARCH("R33",G247)),0)+IFERROR(--ISNUMBER(SEARCH("R35",G247)),0)+IFERROR(--ISNUMBER(SEARCH("R36",G247)),0)+IFERROR(--ISNUMBER(SEARCH("R38",G247)),0)+IFERROR(--ISNUMBER(SEARCH("R39",G247)),0)+IFERROR(--ISNUMBER(SEARCH("R43",G247)),0)+IFERROR(--ISNUMBER(SEARCH("R44",G247)),0)+IFERROR(--ISNUMBER(SEARCH("R45",G247)),0)+IFERROR(--ISNUMBER(SEARCH("R47",G247)),0)+IFERROR(--ISNUMBER(SEARCH("R48",G247)),0)+IFERROR(--ISNUMBER(SEARCH("R50",G247)),0)+IFERROR(--ISNUMBER(SEARCH("R51",G247)),0)+IFERROR(--ISNUMBER(SEARCH("R56",G247)),0)+IFERROR(--ISNUMBER(SEARCH("R58",G247)),0)+IFERROR(--ISNUMBER(SEARCH("R59",G247)),0)+IFERROR(--ISNUMBER(SEARCH("R60",G247)),0)+IFERROR(--ISNUMBER(SEARCH("R62",G247)),0)+IFERROR(--ISNUMBER(SEARCH("R63",G247)),0)+IFERROR(--ISNUMBER(SEARCH("R64",G247)),0)+IFERROR(--ISNUMBER(SEARCH("R66",G247)),0)+IFERROR(--ISNUMBER(SEARCH("R67",G247)),0)+IFERROR(--ISNUMBER(SEARCH("R72",G247)),0)+IFERROR(--ISNUMBER(SEARCH("R74",G247)),0)+IFERROR(--ISNUMBER(SEARCH("R75",G247)),0)+IFERROR(--ISNUMBER(SEARCH("R76",G247)),0)+IFERROR(--ISNUMBER(SEARCH("R77",G247)),0)+IFERROR(--ISNUMBER(SEARCH("R79",G247)),0)+IFERROR(--ISNUMBER(SEARCH("R80",G247)),0)+IFERROR(--ISNUMBER(SEARCH("R81",G247)),0)+IFERROR(--ISNUMBER(SEARCH("R83",G247)),0)+IFERROR(--ISNUMBER(SEARCH("R84",G247)),0)+IFERROR(--ISNUMBER(SEARCH("R89",G247)),0)+IFERROR(--ISNUMBER(SEARCH("R94",G247)),0)+IFERROR(--ISNUMBER(SEARCH("R95",G247)),0)+IFERROR(--ISNUMBER(SEARCH("R96",G247)),0)+IFERROR(--ISNUMBER(SEARCH("R98",G247)),0)+IFERROR(--ISNUMBER(SEARCH("R99",G247)),0)+IFERROR(--ISNUMBER(SEARCH("R100",G247)),0)+IFERROR(--ISNUMBER(SEARCH("R104",G247)),0)+IFERROR(--ISNUMBER(SEARCH("R105",G247)),0)+IFERROR(--ISNUMBER(SEARCH("R107",G247)),0)+IFERROR(--ISNUMBER(SEARCH("R108",G247)),0)+IFERROR(--ISNUMBER(SEARCH("R109",G247)),0)+IFERROR(--ISNUMBER(SEARCH("R110",G247)),0)+IFERROR(--ISNUMBER(SEARCH("R112",G247)),0)+IFERROR(--ISNUMBER(SEARCH("R113",G247)),0)+IFERROR(--ISNUMBER(SEARCH("R114",G247)),0)+IFERROR(--ISNUMBER(SEARCH("R118",G247)),0)+IFERROR(--ISNUMBER(SEARCH("R119",G247)),0)+IFERROR(--ISNUMBER(SEARCH("R120",G247)),0)+IFERROR(--ISNUMBER(SEARCH("R122",G247)),0)+IFERROR(--ISNUMBER(SEARCH("R123",G247)),0)+IFERROR(--ISNUMBER(SEARCH("R124",G247)),0)+IFERROR(--ISNUMBER(SEARCH("R128",G247)),0)+IFERROR(--ISNUMBER(SEARCH("R130",G247)),0)+IFERROR(--ISNUMBER(SEARCH("R131",G247)),0)+IFERROR(--ISNUMBER(SEARCH("R132",G247)),0)+IFERROR(--ISNUMBER(SEARCH("R135",G247)),0)+IFERROR(--ISNUMBER(SEARCH("R138",G247)),0)+IFERROR(--ISNUMBER(SEARCH("R141",G247)),0))</f>
        <v/>
      </c>
      <c r="U247" s="58">
        <f>IF(A247="","",IFERROR(--ISNUMBER(SEARCH("R28",G247))*28,0)+IFERROR(--ISNUMBER(SEARCH("R29",G247))*29,0)+IFERROR(--ISNUMBER(SEARCH("R30",G247))*30,0)+IFERROR(--ISNUMBER(SEARCH("R31",G247))*31,0)+IFERROR(--ISNUMBER(SEARCH("R32",G247))*32,0)+IFERROR(--ISNUMBER(SEARCH("R33",G247))*33,0)+IFERROR(--ISNUMBER(SEARCH("R34",G247))*34,0)+IFERROR(--ISNUMBER(SEARCH("R35",G247))*35,0)+IFERROR(--ISNUMBER(SEARCH("R36",G247))*36,0)+IFERROR(--ISNUMBER(SEARCH("R37",G247))*37,0)+IFERROR(--ISNUMBER(SEARCH("R38",G247))*38,0)+IFERROR(--ISNUMBER(SEARCH("R39",G247))*39,0)+IFERROR(--ISNUMBER(SEARCH("R40",G247))*40,0)+IFERROR(--ISNUMBER(SEARCH("R41",G247))*41,0)+IFERROR(--ISNUMBER(SEARCH("R42",G247))*42,0)+IFERROR(--ISNUMBER(SEARCH("R43",G247))*43,0)+IFERROR(--ISNUMBER(SEARCH("R44",G247))*44,0)+IFERROR(--ISNUMBER(SEARCH("R45",G247))*45,0)+IFERROR(--ISNUMBER(SEARCH("R46",G247))*46,0)+IFERROR(--ISNUMBER(SEARCH("R47",G247))*47,0)+IFERROR(--ISNUMBER(SEARCH("R48",G247))*48,0)+IFERROR(--ISNUMBER(SEARCH("R49",G247))*49,0)+IFERROR(--ISNUMBER(SEARCH("R50",G247))*50,0)+IFERROR(--ISNUMBER(SEARCH("R51",G247))*51,0)+IFERROR(--ISNUMBER(SEARCH("R52",G247))*52,0)+IFERROR(--ISNUMBER(SEARCH("R53",G247))*53,0)+IFERROR(--ISNUMBER(SEARCH("R54",G247))*54,0)+IFERROR(--ISNUMBER(SEARCH("R55",G247))*55,0)+IFERROR(--ISNUMBER(SEARCH("R56",G247))*56,0)+IFERROR(--ISNUMBER(SEARCH("R57",G247))*57,0)+IFERROR(--ISNUMBER(SEARCH("R58",G247))*58,0)+IFERROR(--ISNUMBER(SEARCH("R59",G247))*59,0)+IFERROR(--ISNUMBER(SEARCH("R60",G247))*60,0)+IFERROR(--ISNUMBER(SEARCH("R61",G247))*61,0)+IFERROR(--ISNUMBER(SEARCH("R62",G247))*62,0)+IFERROR(--ISNUMBER(SEARCH("R63",G247))*63,0)+IFERROR(--ISNUMBER(SEARCH("R64",G247))*64,0)+IFERROR(--ISNUMBER(SEARCH("R65",G247))*65,0)+IFERROR(--ISNUMBER(SEARCH("R66",G247))*66,0)+IFERROR(--ISNUMBER(SEARCH("R67",G247))*67,0)+IFERROR(--ISNUMBER(SEARCH("R68",G247))*68,0)+IFERROR(--ISNUMBER(SEARCH("R69",G247))*69,0)+IFERROR(--ISNUMBER(SEARCH("R70",G247))*70,0)+IFERROR(--ISNUMBER(SEARCH("R71",G247))*71,0)+IFERROR(--ISNUMBER(SEARCH("R72",G247))*72,0)+IFERROR(--ISNUMBER(SEARCH("R73",G247))*73,0)+IFERROR(--ISNUMBER(SEARCH("R74",G247))*74,0)+IFERROR(--ISNUMBER(SEARCH("R75",G247))*75,0)+IFERROR(--ISNUMBER(SEARCH("R76",G247))*76,0)+IFERROR(--ISNUMBER(SEARCH("R77",G247))*77,0)+IFERROR(--ISNUMBER(SEARCH("R78",G247))*78,0)+IFERROR(--ISNUMBER(SEARCH("R79",G247))*79,0)+IFERROR(--ISNUMBER(SEARCH("R80",G247))*80,0)+IFERROR(--ISNUMBER(SEARCH("R81",G247))*81,0)+IFERROR(--ISNUMBER(SEARCH("R82",G247))*82,0)+IFERROR(--ISNUMBER(SEARCH("R83",G247))*83,0)+IFERROR(--ISNUMBER(SEARCH("R84",G247))*84,0)+IFERROR(--ISNUMBER(SEARCH("R85",G247))*85,0)+IFERROR(--ISNUMBER(SEARCH("R86",G247))*86,0)+IFERROR(--ISNUMBER(SEARCH("R87",G247))*87,0)+IFERROR(--ISNUMBER(SEARCH("R88",G247))*88,0)+IFERROR(--ISNUMBER(SEARCH("R89",G247))*89,0)+IFERROR(--ISNUMBER(SEARCH("R90",G247))*90,0)+IFERROR(--ISNUMBER(SEARCH("R91",G247))*91,0)+IFERROR(--ISNUMBER(SEARCH("R92",G247))*92,0)+IFERROR(--ISNUMBER(SEARCH("R93",G247))*93,0)+IFERROR(--ISNUMBER(SEARCH("R94",G247))*94,0)+IFERROR(--ISNUMBER(SEARCH("R95",G247))*95,0)+IFERROR(--ISNUMBER(SEARCH("R96",G247))*96,0)+IFERROR(--ISNUMBER(SEARCH("R97",G247))*97,0)+IFERROR(--ISNUMBER(SEARCH("R98",G247))*98,0)+IFERROR(--ISNUMBER(SEARCH("R99",G247))*99,0)+IFERROR(--ISNUMBER(SEARCH("R100",G247))*100,0)+IFERROR(--ISNUMBER(SEARCH("R101",G247))*101,0)+IFERROR(--ISNUMBER(SEARCH("R102",G247))*102,0)+IFERROR(--ISNUMBER(SEARCH("R103",G247))*103,0)+IFERROR(--ISNUMBER(SEARCH("R104",G247))*104,0)+IFERROR(--ISNUMBER(SEARCH("R105",G247))*105,0)+IFERROR(--ISNUMBER(SEARCH("R106",G247))*106,0)+IFERROR(--ISNUMBER(SEARCH("R107",G247))*107,0)+IFERROR(--ISNUMBER(SEARCH("R108",G247))*108,0)+IFERROR(--ISNUMBER(SEARCH("R109",G247))*109,0)+IFERROR(--ISNUMBER(SEARCH("R110",G247))*110,0)+IFERROR(--ISNUMBER(SEARCH("R111",G247))*111,0)+IFERROR(--ISNUMBER(SEARCH("R112",G247))*112,0)+IFERROR(--ISNUMBER(SEARCH("R113",G247))*113,0)+IFERROR(--ISNUMBER(SEARCH("R114",G247))*114,0)+IFERROR(--ISNUMBER(SEARCH("R115",G247))*115,0)+IFERROR(--ISNUMBER(SEARCH("R116",G247))*116,0)+IFERROR(--ISNUMBER(SEARCH("R117",G247))*117,0)+IFERROR(--ISNUMBER(SEARCH("R118",G247))*118,0)+IFERROR(--ISNUMBER(SEARCH("R119",G247))*119,0)+IFERROR(--ISNUMBER(SEARCH("R120",G247))*120,0)+IFERROR(--ISNUMBER(SEARCH("R121",G247))*121,0)+IFERROR(--ISNUMBER(SEARCH("R122",G247))*122,0)+IFERROR(--ISNUMBER(SEARCH("R123",G247))*123,0)+IFERROR(--ISNUMBER(SEARCH("R124",G247))*124,0)+IFERROR(--ISNUMBER(SEARCH("R125",G247))*125,0)+IFERROR(--ISNUMBER(SEARCH("R126",G247))*126,0)+IFERROR(--ISNUMBER(SEARCH("R127",G247))*127,0)+IFERROR(--ISNUMBER(SEARCH("R128",G247))*128,0)+IFERROR(--ISNUMBER(SEARCH("R129",G247))*129,0)+IFERROR(--ISNUMBER(SEARCH("R130",G247))*130,0)+IFERROR(--ISNUMBER(SEARCH("R131",G247))*131,0)+IFERROR(--ISNUMBER(SEARCH("R132",G247))*132,0)+IFERROR(--ISNUMBER(SEARCH("R133",G247))*133,0)+IFERROR(--ISNUMBER(SEARCH("R134",G247))*134,0)+IFERROR(--ISNUMBER(SEARCH("R135",G247))*135,0)+IFERROR(--ISNUMBER(SEARCH("R136",G247))*136,0)+IFERROR(--ISNUMBER(SEARCH("R137",G247))*137,0)+IFERROR(--ISNUMBER(SEARCH("R138",G247))*138,0)+IFERROR(--ISNUMBER(SEARCH("R139",G247))*139,0)+IFERROR(--ISNUMBER(SEARCH("R140",G247))*140,0)+IFERROR(--ISNUMBER(SEARCH("R141",G247))*141,0))</f>
        <v/>
      </c>
      <c r="V247" s="59">
        <f>IF(A247="","",IF(K247&lt;&gt;"",K247,J247))</f>
        <v/>
      </c>
      <c r="W247" s="59">
        <f>IF(A247="","",IF(AND(V247=29,O247&lt;&gt;"",COUNTIFS($V$6:$V$505,29,$F$6:$F$505,F247,$C$6:$C$505,C247,$O$6:$O$505,"&lt;&gt;")&gt;1),IF(COUNTIFS($V$6:V247,29,$F$6:F247,F247,$C$6:C247,C247,$O$6:O247,"&lt;&gt;")=1,"Esta es la fila que se debe CONSERVAR (aparición 1 de "&amp;COUNTIFS($V$6:$V$505,29,$F$6:$F$505,F247,$C$6:$C$505,C247,$O$6:$O$505,"&lt;&gt;")&amp;" con el mismo tercero y valor, casilla 29). Si hay más filas iguales, bórreles el valor a ELLAS, no a esta.","DUPLICADO — ya existe otra fila con el mismo tercero y valor para casilla 29 (aparición "&amp;COUNTIFS($V$6:V247,29,$F$6:F247,F247,$C$6:C247,C247,$O$6:O247,"&lt;&gt;")&amp;" de "&amp;COUNTIFS($V$6:$V$505,29,$F$6:$F$505,F247,$C$6:$C$505,C247,$O$6:$O$505,"&lt;&gt;")&amp;"). Para resolverlo: seleccione la celda O"&amp;ROW()&amp;" (columna Valor a declarar de ESTA fila) y presione Supr."),""))</f>
        <v/>
      </c>
      <c r="X247" s="463">
        <f>IF(A247="","",F247)</f>
        <v/>
      </c>
      <c r="Y247" s="463">
        <f>IF(A247="","",SUMIF(Entrada_Manual!$I$88:$I$187,A247,Entrada_Manual!$F$88:$F$187))</f>
        <v/>
      </c>
      <c r="Z247" s="463">
        <f>IF(A247="","",X247-Y247)</f>
        <v/>
      </c>
      <c r="AA247">
        <f>IF(A247="","",SUMPRODUCT((Entrada_Manual!$I$88:$I$187=A247)*1))</f>
        <v/>
      </c>
      <c r="AB247">
        <f>IF(A247="","",IF(S247&lt;=1,"",IF(AA247=0,"PENDIENTE — SIN ASIGNAR",IF(Z247=0,"RESUELTO","PARCIAL — DIFERENCIA "&amp;TEXT(Z247,"#,##0")))))</f>
        <v/>
      </c>
    </row>
    <row r="248" ht="14.25" customHeight="1" s="235">
      <c r="A248" s="47">
        <f>IF(Exogena_RAW!E257&lt;&gt;"",ROW()-5,"")</f>
        <v/>
      </c>
      <c r="B248" s="48">
        <f>IF(A248="","",257)</f>
        <v/>
      </c>
      <c r="C248" s="48">
        <f>IF(A248="","",IFERROR(Exogena_RAW!A257,""))</f>
        <v/>
      </c>
      <c r="D248" s="48">
        <f>IF(A248="","",IFERROR(Exogena_RAW!B257,""))</f>
        <v/>
      </c>
      <c r="E248" s="48">
        <f>IF(A248="","",Exogena_RAW!E257)</f>
        <v/>
      </c>
      <c r="F248" s="461">
        <f>IF(A248="","",Exogena_RAW!F257)</f>
        <v/>
      </c>
      <c r="G248" s="48">
        <f>IF(A248="","",IFERROR(Exogena_RAW!G257,""))</f>
        <v/>
      </c>
      <c r="H248" s="48">
        <f>IF(A248="","",IFERROR(Exogena_RAW!H257,""))</f>
        <v/>
      </c>
      <c r="I248" s="48">
        <f>IF(A248="","",IFERROR(IF(S248&gt;1,"VARIAS CASILLAS",IF(S248=1,IF(T248=1,"PROPUESTA DE CASILLA","REVISIÓN: CASILLA NO DIRECTA"),IF(OR(ISNUMBER(SEARCH("TOPE",UPPER(E248))),ISNUMBER(SEARCH("TOPE",UPPER(G248)))),"SOLO CONTROL",IF(ISNUMBER(SEARCH("RETEN",UPPER(E248))),"RETENCIÓN","REVISAR")))),"REVISAR"))</f>
        <v/>
      </c>
      <c r="J248" s="48">
        <f>IF(A248="","",IF(ISNUMBER(SEARCH("ingreso laboral promedio de los últimos seis meses",E248)),"",IFERROR(IF(AND(S248=1,T248=1),U248,""),"")))</f>
        <v/>
      </c>
      <c r="K248" s="216" t="n"/>
      <c r="L248" s="48">
        <f>IF(A248="","",IFERROR(IF(K248&lt;&gt;"","Casilla elegida por usuario",IF(S248&gt;1,"Varias casillas — elegir en K",IF(J248&lt;&gt;"","Sugerencia directa",IF(S248=1,"No trasladar directo — revisar",IF(OR(ISNUMBER(SEARCH("TOPE",UPPER(E248))),ISNUMBER(SEARCH("TOPE",UPPER(G248)))),"Solo control","Revisar manualmente"))))),"Revisar manualmente"))</f>
        <v/>
      </c>
      <c r="M248" s="461">
        <f>IF(A248="","",IF(IF(K248&lt;&gt;"",K248,J248)="",0,IF(COUNTIFS(Reglas!$I$5:$I$118,IF(K248&lt;&gt;"",K248,J248),Reglas!$J$5:$J$118,"Sí")=1,F248,0)))</f>
        <v/>
      </c>
      <c r="N248" s="56" t="n"/>
      <c r="O248" s="462">
        <f>IF(A248="","",IF(M248=0,"",M248))</f>
        <v/>
      </c>
      <c r="P248" s="461">
        <f>IF(A248="","",IF(O248="",0,IF(ISNUMBER(O248),O248,0)))</f>
        <v/>
      </c>
      <c r="Q248" s="48">
        <f>IF(A248="","",IF(Exogena_RAW!$C$4="","BLOQUEADO: FALTA AÑO",IF(Exogena_RAW!$K$10&lt;&gt;Reglas!$B$5,"BLOQUEADO: AÑO",IF(IF(K248&lt;&gt;"",K248,J248)="",IF(S248&gt;1,"REQUIERE ASIGNACIÓN MANUAL (VARIAS CASILLAS)","INFORMATIVO (sin casilla — no se declara)"),IF(COUNTIFS(Reglas!$I$5:$I$118,IF(K248&lt;&gt;"",K248,J248),Reglas!$J$5:$J$118,"Sí")=0,"BLOQUEADO: CASILLA NO DIRECTA",IF(O248="","EXCLUIDO (valor borrado por el usuario)",IF(_xlfn.ISFORMULA(O248),IF(W248&lt;&gt;"","BORRADOR — VALOR SUGERIDO DIAN ⚠ VER ALERTA","BORRADOR — VALOR SUGERIDO DIAN"),IF(W248&lt;&gt;"","ACEPTADO ⚠ VER ALERTA","ACEPTADO"))))))))</f>
        <v/>
      </c>
      <c r="R248" s="218" t="n"/>
      <c r="S248" s="58">
        <f>IF(A248="","",IFERROR(--ISNUMBER(SEARCH("R28",G248)),0)+IFERROR(--ISNUMBER(SEARCH("R29",G248)),0)+IFERROR(--ISNUMBER(SEARCH("R30",G248)),0)+IFERROR(--ISNUMBER(SEARCH("R31",G248)),0)+IFERROR(--ISNUMBER(SEARCH("R32",G248)),0)+IFERROR(--ISNUMBER(SEARCH("R33",G248)),0)+IFERROR(--ISNUMBER(SEARCH("R34",G248)),0)+IFERROR(--ISNUMBER(SEARCH("R35",G248)),0)+IFERROR(--ISNUMBER(SEARCH("R36",G248)),0)+IFERROR(--ISNUMBER(SEARCH("R37",G248)),0)+IFERROR(--ISNUMBER(SEARCH("R38",G248)),0)+IFERROR(--ISNUMBER(SEARCH("R39",G248)),0)+IFERROR(--ISNUMBER(SEARCH("R40",G248)),0)+IFERROR(--ISNUMBER(SEARCH("R41",G248)),0)+IFERROR(--ISNUMBER(SEARCH("R42",G248)),0)+IFERROR(--ISNUMBER(SEARCH("R43",G248)),0)+IFERROR(--ISNUMBER(SEARCH("R44",G248)),0)+IFERROR(--ISNUMBER(SEARCH("R45",G248)),0)+IFERROR(--ISNUMBER(SEARCH("R46",G248)),0)+IFERROR(--ISNUMBER(SEARCH("R47",G248)),0)+IFERROR(--ISNUMBER(SEARCH("R48",G248)),0)+IFERROR(--ISNUMBER(SEARCH("R49",G248)),0)+IFERROR(--ISNUMBER(SEARCH("R50",G248)),0)+IFERROR(--ISNUMBER(SEARCH("R51",G248)),0)+IFERROR(--ISNUMBER(SEARCH("R52",G248)),0)+IFERROR(--ISNUMBER(SEARCH("R53",G248)),0)+IFERROR(--ISNUMBER(SEARCH("R54",G248)),0)+IFERROR(--ISNUMBER(SEARCH("R55",G248)),0)+IFERROR(--ISNUMBER(SEARCH("R56",G248)),0)+IFERROR(--ISNUMBER(SEARCH("R57",G248)),0)+IFERROR(--ISNUMBER(SEARCH("R58",G248)),0)+IFERROR(--ISNUMBER(SEARCH("R59",G248)),0)+IFERROR(--ISNUMBER(SEARCH("R60",G248)),0)+IFERROR(--ISNUMBER(SEARCH("R61",G248)),0)+IFERROR(--ISNUMBER(SEARCH("R62",G248)),0)+IFERROR(--ISNUMBER(SEARCH("R63",G248)),0)+IFERROR(--ISNUMBER(SEARCH("R64",G248)),0)+IFERROR(--ISNUMBER(SEARCH("R65",G248)),0)+IFERROR(--ISNUMBER(SEARCH("R66",G248)),0)+IFERROR(--ISNUMBER(SEARCH("R67",G248)),0)+IFERROR(--ISNUMBER(SEARCH("R68",G248)),0)+IFERROR(--ISNUMBER(SEARCH("R69",G248)),0)+IFERROR(--ISNUMBER(SEARCH("R70",G248)),0)+IFERROR(--ISNUMBER(SEARCH("R71",G248)),0)+IFERROR(--ISNUMBER(SEARCH("R72",G248)),0)+IFERROR(--ISNUMBER(SEARCH("R73",G248)),0)+IFERROR(--ISNUMBER(SEARCH("R74",G248)),0)+IFERROR(--ISNUMBER(SEARCH("R75",G248)),0)+IFERROR(--ISNUMBER(SEARCH("R76",G248)),0)+IFERROR(--ISNUMBER(SEARCH("R77",G248)),0)+IFERROR(--ISNUMBER(SEARCH("R78",G248)),0)+IFERROR(--ISNUMBER(SEARCH("R79",G248)),0)+IFERROR(--ISNUMBER(SEARCH("R80",G248)),0)+IFERROR(--ISNUMBER(SEARCH("R81",G248)),0)+IFERROR(--ISNUMBER(SEARCH("R82",G248)),0)+IFERROR(--ISNUMBER(SEARCH("R83",G248)),0)+IFERROR(--ISNUMBER(SEARCH("R84",G248)),0)+IFERROR(--ISNUMBER(SEARCH("R85",G248)),0)+IFERROR(--ISNUMBER(SEARCH("R86",G248)),0)+IFERROR(--ISNUMBER(SEARCH("R87",G248)),0)+IFERROR(--ISNUMBER(SEARCH("R88",G248)),0)+IFERROR(--ISNUMBER(SEARCH("R89",G248)),0)+IFERROR(--ISNUMBER(SEARCH("R90",G248)),0)+IFERROR(--ISNUMBER(SEARCH("R91",G248)),0)+IFERROR(--ISNUMBER(SEARCH("R92",G248)),0)+IFERROR(--ISNUMBER(SEARCH("R93",G248)),0)+IFERROR(--ISNUMBER(SEARCH("R94",G248)),0)+IFERROR(--ISNUMBER(SEARCH("R95",G248)),0)+IFERROR(--ISNUMBER(SEARCH("R96",G248)),0)+IFERROR(--ISNUMBER(SEARCH("R97",G248)),0)+IFERROR(--ISNUMBER(SEARCH("R98",G248)),0)+IFERROR(--ISNUMBER(SEARCH("R99",G248)),0)+IFERROR(--ISNUMBER(SEARCH("R100",G248)),0)+IFERROR(--ISNUMBER(SEARCH("R101",G248)),0)+IFERROR(--ISNUMBER(SEARCH("R102",G248)),0)+IFERROR(--ISNUMBER(SEARCH("R103",G248)),0)+IFERROR(--ISNUMBER(SEARCH("R104",G248)),0)+IFERROR(--ISNUMBER(SEARCH("R105",G248)),0)+IFERROR(--ISNUMBER(SEARCH("R106",G248)),0)+IFERROR(--ISNUMBER(SEARCH("R107",G248)),0)+IFERROR(--ISNUMBER(SEARCH("R108",G248)),0)+IFERROR(--ISNUMBER(SEARCH("R109",G248)),0)+IFERROR(--ISNUMBER(SEARCH("R110",G248)),0)+IFERROR(--ISNUMBER(SEARCH("R111",G248)),0)+IFERROR(--ISNUMBER(SEARCH("R112",G248)),0)+IFERROR(--ISNUMBER(SEARCH("R113",G248)),0)+IFERROR(--ISNUMBER(SEARCH("R114",G248)),0)+IFERROR(--ISNUMBER(SEARCH("R115",G248)),0)+IFERROR(--ISNUMBER(SEARCH("R116",G248)),0)+IFERROR(--ISNUMBER(SEARCH("R117",G248)),0)+IFERROR(--ISNUMBER(SEARCH("R118",G248)),0)+IFERROR(--ISNUMBER(SEARCH("R119",G248)),0)+IFERROR(--ISNUMBER(SEARCH("R120",G248)),0)+IFERROR(--ISNUMBER(SEARCH("R121",G248)),0)+IFERROR(--ISNUMBER(SEARCH("R122",G248)),0)+IFERROR(--ISNUMBER(SEARCH("R123",G248)),0)+IFERROR(--ISNUMBER(SEARCH("R124",G248)),0)+IFERROR(--ISNUMBER(SEARCH("R125",G248)),0)+IFERROR(--ISNUMBER(SEARCH("R126",G248)),0)+IFERROR(--ISNUMBER(SEARCH("R127",G248)),0)+IFERROR(--ISNUMBER(SEARCH("R128",G248)),0)+IFERROR(--ISNUMBER(SEARCH("R129",G248)),0)+IFERROR(--ISNUMBER(SEARCH("R130",G248)),0)+IFERROR(--ISNUMBER(SEARCH("R131",G248)),0)+IFERROR(--ISNUMBER(SEARCH("R132",G248)),0)+IFERROR(--ISNUMBER(SEARCH("R133",G248)),0)+IFERROR(--ISNUMBER(SEARCH("R134",G248)),0)+IFERROR(--ISNUMBER(SEARCH("R135",G248)),0)+IFERROR(--ISNUMBER(SEARCH("R136",G248)),0)+IFERROR(--ISNUMBER(SEARCH("R137",G248)),0)+IFERROR(--ISNUMBER(SEARCH("R138",G248)),0)+IFERROR(--ISNUMBER(SEARCH("R139",G248)),0)+IFERROR(--ISNUMBER(SEARCH("R140",G248)),0)+IFERROR(--ISNUMBER(SEARCH("R141",G248)),0))</f>
        <v/>
      </c>
      <c r="T248" s="58">
        <f>IF(A248="","",IFERROR(--ISNUMBER(SEARCH("R28",G248)),0)+IFERROR(--ISNUMBER(SEARCH("R29",G248)),0)+IFERROR(--ISNUMBER(SEARCH("R30",G248)),0)+IFERROR(--ISNUMBER(SEARCH("R32",G248)),0)+IFERROR(--ISNUMBER(SEARCH("R33",G248)),0)+IFERROR(--ISNUMBER(SEARCH("R35",G248)),0)+IFERROR(--ISNUMBER(SEARCH("R36",G248)),0)+IFERROR(--ISNUMBER(SEARCH("R38",G248)),0)+IFERROR(--ISNUMBER(SEARCH("R39",G248)),0)+IFERROR(--ISNUMBER(SEARCH("R43",G248)),0)+IFERROR(--ISNUMBER(SEARCH("R44",G248)),0)+IFERROR(--ISNUMBER(SEARCH("R45",G248)),0)+IFERROR(--ISNUMBER(SEARCH("R47",G248)),0)+IFERROR(--ISNUMBER(SEARCH("R48",G248)),0)+IFERROR(--ISNUMBER(SEARCH("R50",G248)),0)+IFERROR(--ISNUMBER(SEARCH("R51",G248)),0)+IFERROR(--ISNUMBER(SEARCH("R56",G248)),0)+IFERROR(--ISNUMBER(SEARCH("R58",G248)),0)+IFERROR(--ISNUMBER(SEARCH("R59",G248)),0)+IFERROR(--ISNUMBER(SEARCH("R60",G248)),0)+IFERROR(--ISNUMBER(SEARCH("R62",G248)),0)+IFERROR(--ISNUMBER(SEARCH("R63",G248)),0)+IFERROR(--ISNUMBER(SEARCH("R64",G248)),0)+IFERROR(--ISNUMBER(SEARCH("R66",G248)),0)+IFERROR(--ISNUMBER(SEARCH("R67",G248)),0)+IFERROR(--ISNUMBER(SEARCH("R72",G248)),0)+IFERROR(--ISNUMBER(SEARCH("R74",G248)),0)+IFERROR(--ISNUMBER(SEARCH("R75",G248)),0)+IFERROR(--ISNUMBER(SEARCH("R76",G248)),0)+IFERROR(--ISNUMBER(SEARCH("R77",G248)),0)+IFERROR(--ISNUMBER(SEARCH("R79",G248)),0)+IFERROR(--ISNUMBER(SEARCH("R80",G248)),0)+IFERROR(--ISNUMBER(SEARCH("R81",G248)),0)+IFERROR(--ISNUMBER(SEARCH("R83",G248)),0)+IFERROR(--ISNUMBER(SEARCH("R84",G248)),0)+IFERROR(--ISNUMBER(SEARCH("R89",G248)),0)+IFERROR(--ISNUMBER(SEARCH("R94",G248)),0)+IFERROR(--ISNUMBER(SEARCH("R95",G248)),0)+IFERROR(--ISNUMBER(SEARCH("R96",G248)),0)+IFERROR(--ISNUMBER(SEARCH("R98",G248)),0)+IFERROR(--ISNUMBER(SEARCH("R99",G248)),0)+IFERROR(--ISNUMBER(SEARCH("R100",G248)),0)+IFERROR(--ISNUMBER(SEARCH("R104",G248)),0)+IFERROR(--ISNUMBER(SEARCH("R105",G248)),0)+IFERROR(--ISNUMBER(SEARCH("R107",G248)),0)+IFERROR(--ISNUMBER(SEARCH("R108",G248)),0)+IFERROR(--ISNUMBER(SEARCH("R109",G248)),0)+IFERROR(--ISNUMBER(SEARCH("R110",G248)),0)+IFERROR(--ISNUMBER(SEARCH("R112",G248)),0)+IFERROR(--ISNUMBER(SEARCH("R113",G248)),0)+IFERROR(--ISNUMBER(SEARCH("R114",G248)),0)+IFERROR(--ISNUMBER(SEARCH("R118",G248)),0)+IFERROR(--ISNUMBER(SEARCH("R119",G248)),0)+IFERROR(--ISNUMBER(SEARCH("R120",G248)),0)+IFERROR(--ISNUMBER(SEARCH("R122",G248)),0)+IFERROR(--ISNUMBER(SEARCH("R123",G248)),0)+IFERROR(--ISNUMBER(SEARCH("R124",G248)),0)+IFERROR(--ISNUMBER(SEARCH("R128",G248)),0)+IFERROR(--ISNUMBER(SEARCH("R130",G248)),0)+IFERROR(--ISNUMBER(SEARCH("R131",G248)),0)+IFERROR(--ISNUMBER(SEARCH("R132",G248)),0)+IFERROR(--ISNUMBER(SEARCH("R135",G248)),0)+IFERROR(--ISNUMBER(SEARCH("R138",G248)),0)+IFERROR(--ISNUMBER(SEARCH("R141",G248)),0))</f>
        <v/>
      </c>
      <c r="U248" s="58">
        <f>IF(A248="","",IFERROR(--ISNUMBER(SEARCH("R28",G248))*28,0)+IFERROR(--ISNUMBER(SEARCH("R29",G248))*29,0)+IFERROR(--ISNUMBER(SEARCH("R30",G248))*30,0)+IFERROR(--ISNUMBER(SEARCH("R31",G248))*31,0)+IFERROR(--ISNUMBER(SEARCH("R32",G248))*32,0)+IFERROR(--ISNUMBER(SEARCH("R33",G248))*33,0)+IFERROR(--ISNUMBER(SEARCH("R34",G248))*34,0)+IFERROR(--ISNUMBER(SEARCH("R35",G248))*35,0)+IFERROR(--ISNUMBER(SEARCH("R36",G248))*36,0)+IFERROR(--ISNUMBER(SEARCH("R37",G248))*37,0)+IFERROR(--ISNUMBER(SEARCH("R38",G248))*38,0)+IFERROR(--ISNUMBER(SEARCH("R39",G248))*39,0)+IFERROR(--ISNUMBER(SEARCH("R40",G248))*40,0)+IFERROR(--ISNUMBER(SEARCH("R41",G248))*41,0)+IFERROR(--ISNUMBER(SEARCH("R42",G248))*42,0)+IFERROR(--ISNUMBER(SEARCH("R43",G248))*43,0)+IFERROR(--ISNUMBER(SEARCH("R44",G248))*44,0)+IFERROR(--ISNUMBER(SEARCH("R45",G248))*45,0)+IFERROR(--ISNUMBER(SEARCH("R46",G248))*46,0)+IFERROR(--ISNUMBER(SEARCH("R47",G248))*47,0)+IFERROR(--ISNUMBER(SEARCH("R48",G248))*48,0)+IFERROR(--ISNUMBER(SEARCH("R49",G248))*49,0)+IFERROR(--ISNUMBER(SEARCH("R50",G248))*50,0)+IFERROR(--ISNUMBER(SEARCH("R51",G248))*51,0)+IFERROR(--ISNUMBER(SEARCH("R52",G248))*52,0)+IFERROR(--ISNUMBER(SEARCH("R53",G248))*53,0)+IFERROR(--ISNUMBER(SEARCH("R54",G248))*54,0)+IFERROR(--ISNUMBER(SEARCH("R55",G248))*55,0)+IFERROR(--ISNUMBER(SEARCH("R56",G248))*56,0)+IFERROR(--ISNUMBER(SEARCH("R57",G248))*57,0)+IFERROR(--ISNUMBER(SEARCH("R58",G248))*58,0)+IFERROR(--ISNUMBER(SEARCH("R59",G248))*59,0)+IFERROR(--ISNUMBER(SEARCH("R60",G248))*60,0)+IFERROR(--ISNUMBER(SEARCH("R61",G248))*61,0)+IFERROR(--ISNUMBER(SEARCH("R62",G248))*62,0)+IFERROR(--ISNUMBER(SEARCH("R63",G248))*63,0)+IFERROR(--ISNUMBER(SEARCH("R64",G248))*64,0)+IFERROR(--ISNUMBER(SEARCH("R65",G248))*65,0)+IFERROR(--ISNUMBER(SEARCH("R66",G248))*66,0)+IFERROR(--ISNUMBER(SEARCH("R67",G248))*67,0)+IFERROR(--ISNUMBER(SEARCH("R68",G248))*68,0)+IFERROR(--ISNUMBER(SEARCH("R69",G248))*69,0)+IFERROR(--ISNUMBER(SEARCH("R70",G248))*70,0)+IFERROR(--ISNUMBER(SEARCH("R71",G248))*71,0)+IFERROR(--ISNUMBER(SEARCH("R72",G248))*72,0)+IFERROR(--ISNUMBER(SEARCH("R73",G248))*73,0)+IFERROR(--ISNUMBER(SEARCH("R74",G248))*74,0)+IFERROR(--ISNUMBER(SEARCH("R75",G248))*75,0)+IFERROR(--ISNUMBER(SEARCH("R76",G248))*76,0)+IFERROR(--ISNUMBER(SEARCH("R77",G248))*77,0)+IFERROR(--ISNUMBER(SEARCH("R78",G248))*78,0)+IFERROR(--ISNUMBER(SEARCH("R79",G248))*79,0)+IFERROR(--ISNUMBER(SEARCH("R80",G248))*80,0)+IFERROR(--ISNUMBER(SEARCH("R81",G248))*81,0)+IFERROR(--ISNUMBER(SEARCH("R82",G248))*82,0)+IFERROR(--ISNUMBER(SEARCH("R83",G248))*83,0)+IFERROR(--ISNUMBER(SEARCH("R84",G248))*84,0)+IFERROR(--ISNUMBER(SEARCH("R85",G248))*85,0)+IFERROR(--ISNUMBER(SEARCH("R86",G248))*86,0)+IFERROR(--ISNUMBER(SEARCH("R87",G248))*87,0)+IFERROR(--ISNUMBER(SEARCH("R88",G248))*88,0)+IFERROR(--ISNUMBER(SEARCH("R89",G248))*89,0)+IFERROR(--ISNUMBER(SEARCH("R90",G248))*90,0)+IFERROR(--ISNUMBER(SEARCH("R91",G248))*91,0)+IFERROR(--ISNUMBER(SEARCH("R92",G248))*92,0)+IFERROR(--ISNUMBER(SEARCH("R93",G248))*93,0)+IFERROR(--ISNUMBER(SEARCH("R94",G248))*94,0)+IFERROR(--ISNUMBER(SEARCH("R95",G248))*95,0)+IFERROR(--ISNUMBER(SEARCH("R96",G248))*96,0)+IFERROR(--ISNUMBER(SEARCH("R97",G248))*97,0)+IFERROR(--ISNUMBER(SEARCH("R98",G248))*98,0)+IFERROR(--ISNUMBER(SEARCH("R99",G248))*99,0)+IFERROR(--ISNUMBER(SEARCH("R100",G248))*100,0)+IFERROR(--ISNUMBER(SEARCH("R101",G248))*101,0)+IFERROR(--ISNUMBER(SEARCH("R102",G248))*102,0)+IFERROR(--ISNUMBER(SEARCH("R103",G248))*103,0)+IFERROR(--ISNUMBER(SEARCH("R104",G248))*104,0)+IFERROR(--ISNUMBER(SEARCH("R105",G248))*105,0)+IFERROR(--ISNUMBER(SEARCH("R106",G248))*106,0)+IFERROR(--ISNUMBER(SEARCH("R107",G248))*107,0)+IFERROR(--ISNUMBER(SEARCH("R108",G248))*108,0)+IFERROR(--ISNUMBER(SEARCH("R109",G248))*109,0)+IFERROR(--ISNUMBER(SEARCH("R110",G248))*110,0)+IFERROR(--ISNUMBER(SEARCH("R111",G248))*111,0)+IFERROR(--ISNUMBER(SEARCH("R112",G248))*112,0)+IFERROR(--ISNUMBER(SEARCH("R113",G248))*113,0)+IFERROR(--ISNUMBER(SEARCH("R114",G248))*114,0)+IFERROR(--ISNUMBER(SEARCH("R115",G248))*115,0)+IFERROR(--ISNUMBER(SEARCH("R116",G248))*116,0)+IFERROR(--ISNUMBER(SEARCH("R117",G248))*117,0)+IFERROR(--ISNUMBER(SEARCH("R118",G248))*118,0)+IFERROR(--ISNUMBER(SEARCH("R119",G248))*119,0)+IFERROR(--ISNUMBER(SEARCH("R120",G248))*120,0)+IFERROR(--ISNUMBER(SEARCH("R121",G248))*121,0)+IFERROR(--ISNUMBER(SEARCH("R122",G248))*122,0)+IFERROR(--ISNUMBER(SEARCH("R123",G248))*123,0)+IFERROR(--ISNUMBER(SEARCH("R124",G248))*124,0)+IFERROR(--ISNUMBER(SEARCH("R125",G248))*125,0)+IFERROR(--ISNUMBER(SEARCH("R126",G248))*126,0)+IFERROR(--ISNUMBER(SEARCH("R127",G248))*127,0)+IFERROR(--ISNUMBER(SEARCH("R128",G248))*128,0)+IFERROR(--ISNUMBER(SEARCH("R129",G248))*129,0)+IFERROR(--ISNUMBER(SEARCH("R130",G248))*130,0)+IFERROR(--ISNUMBER(SEARCH("R131",G248))*131,0)+IFERROR(--ISNUMBER(SEARCH("R132",G248))*132,0)+IFERROR(--ISNUMBER(SEARCH("R133",G248))*133,0)+IFERROR(--ISNUMBER(SEARCH("R134",G248))*134,0)+IFERROR(--ISNUMBER(SEARCH("R135",G248))*135,0)+IFERROR(--ISNUMBER(SEARCH("R136",G248))*136,0)+IFERROR(--ISNUMBER(SEARCH("R137",G248))*137,0)+IFERROR(--ISNUMBER(SEARCH("R138",G248))*138,0)+IFERROR(--ISNUMBER(SEARCH("R139",G248))*139,0)+IFERROR(--ISNUMBER(SEARCH("R140",G248))*140,0)+IFERROR(--ISNUMBER(SEARCH("R141",G248))*141,0))</f>
        <v/>
      </c>
      <c r="V248" s="59">
        <f>IF(A248="","",IF(K248&lt;&gt;"",K248,J248))</f>
        <v/>
      </c>
      <c r="W248" s="59">
        <f>IF(A248="","",IF(AND(V248=29,O248&lt;&gt;"",COUNTIFS($V$6:$V$505,29,$F$6:$F$505,F248,$C$6:$C$505,C248,$O$6:$O$505,"&lt;&gt;")&gt;1),IF(COUNTIFS($V$6:V248,29,$F$6:F248,F248,$C$6:C248,C248,$O$6:O248,"&lt;&gt;")=1,"Esta es la fila que se debe CONSERVAR (aparición 1 de "&amp;COUNTIFS($V$6:$V$505,29,$F$6:$F$505,F248,$C$6:$C$505,C248,$O$6:$O$505,"&lt;&gt;")&amp;" con el mismo tercero y valor, casilla 29). Si hay más filas iguales, bórreles el valor a ELLAS, no a esta.","DUPLICADO — ya existe otra fila con el mismo tercero y valor para casilla 29 (aparición "&amp;COUNTIFS($V$6:V248,29,$F$6:F248,F248,$C$6:C248,C248,$O$6:O248,"&lt;&gt;")&amp;" de "&amp;COUNTIFS($V$6:$V$505,29,$F$6:$F$505,F248,$C$6:$C$505,C248,$O$6:$O$505,"&lt;&gt;")&amp;"). Para resolverlo: seleccione la celda O"&amp;ROW()&amp;" (columna Valor a declarar de ESTA fila) y presione Supr."),""))</f>
        <v/>
      </c>
      <c r="X248" s="463">
        <f>IF(A248="","",F248)</f>
        <v/>
      </c>
      <c r="Y248" s="463">
        <f>IF(A248="","",SUMIF(Entrada_Manual!$I$88:$I$187,A248,Entrada_Manual!$F$88:$F$187))</f>
        <v/>
      </c>
      <c r="Z248" s="463">
        <f>IF(A248="","",X248-Y248)</f>
        <v/>
      </c>
      <c r="AA248">
        <f>IF(A248="","",SUMPRODUCT((Entrada_Manual!$I$88:$I$187=A248)*1))</f>
        <v/>
      </c>
      <c r="AB248">
        <f>IF(A248="","",IF(S248&lt;=1,"",IF(AA248=0,"PENDIENTE — SIN ASIGNAR",IF(Z248=0,"RESUELTO","PARCIAL — DIFERENCIA "&amp;TEXT(Z248,"#,##0")))))</f>
        <v/>
      </c>
    </row>
    <row r="249" ht="14.25" customHeight="1" s="235">
      <c r="A249" s="47">
        <f>IF(Exogena_RAW!E258&lt;&gt;"",ROW()-5,"")</f>
        <v/>
      </c>
      <c r="B249" s="48">
        <f>IF(A249="","",258)</f>
        <v/>
      </c>
      <c r="C249" s="48">
        <f>IF(A249="","",IFERROR(Exogena_RAW!A258,""))</f>
        <v/>
      </c>
      <c r="D249" s="48">
        <f>IF(A249="","",IFERROR(Exogena_RAW!B258,""))</f>
        <v/>
      </c>
      <c r="E249" s="48">
        <f>IF(A249="","",Exogena_RAW!E258)</f>
        <v/>
      </c>
      <c r="F249" s="461">
        <f>IF(A249="","",Exogena_RAW!F258)</f>
        <v/>
      </c>
      <c r="G249" s="48">
        <f>IF(A249="","",IFERROR(Exogena_RAW!G258,""))</f>
        <v/>
      </c>
      <c r="H249" s="48">
        <f>IF(A249="","",IFERROR(Exogena_RAW!H258,""))</f>
        <v/>
      </c>
      <c r="I249" s="48">
        <f>IF(A249="","",IFERROR(IF(S249&gt;1,"VARIAS CASILLAS",IF(S249=1,IF(T249=1,"PROPUESTA DE CASILLA","REVISIÓN: CASILLA NO DIRECTA"),IF(OR(ISNUMBER(SEARCH("TOPE",UPPER(E249))),ISNUMBER(SEARCH("TOPE",UPPER(G249)))),"SOLO CONTROL",IF(ISNUMBER(SEARCH("RETEN",UPPER(E249))),"RETENCIÓN","REVISAR")))),"REVISAR"))</f>
        <v/>
      </c>
      <c r="J249" s="48">
        <f>IF(A249="","",IF(ISNUMBER(SEARCH("ingreso laboral promedio de los últimos seis meses",E249)),"",IFERROR(IF(AND(S249=1,T249=1),U249,""),"")))</f>
        <v/>
      </c>
      <c r="K249" s="216" t="n"/>
      <c r="L249" s="48">
        <f>IF(A249="","",IFERROR(IF(K249&lt;&gt;"","Casilla elegida por usuario",IF(S249&gt;1,"Varias casillas — elegir en K",IF(J249&lt;&gt;"","Sugerencia directa",IF(S249=1,"No trasladar directo — revisar",IF(OR(ISNUMBER(SEARCH("TOPE",UPPER(E249))),ISNUMBER(SEARCH("TOPE",UPPER(G249)))),"Solo control","Revisar manualmente"))))),"Revisar manualmente"))</f>
        <v/>
      </c>
      <c r="M249" s="461">
        <f>IF(A249="","",IF(IF(K249&lt;&gt;"",K249,J249)="",0,IF(COUNTIFS(Reglas!$I$5:$I$118,IF(K249&lt;&gt;"",K249,J249),Reglas!$J$5:$J$118,"Sí")=1,F249,0)))</f>
        <v/>
      </c>
      <c r="N249" s="56" t="n"/>
      <c r="O249" s="462">
        <f>IF(A249="","",IF(M249=0,"",M249))</f>
        <v/>
      </c>
      <c r="P249" s="461">
        <f>IF(A249="","",IF(O249="",0,IF(ISNUMBER(O249),O249,0)))</f>
        <v/>
      </c>
      <c r="Q249" s="48">
        <f>IF(A249="","",IF(Exogena_RAW!$C$4="","BLOQUEADO: FALTA AÑO",IF(Exogena_RAW!$K$10&lt;&gt;Reglas!$B$5,"BLOQUEADO: AÑO",IF(IF(K249&lt;&gt;"",K249,J249)="",IF(S249&gt;1,"REQUIERE ASIGNACIÓN MANUAL (VARIAS CASILLAS)","INFORMATIVO (sin casilla — no se declara)"),IF(COUNTIFS(Reglas!$I$5:$I$118,IF(K249&lt;&gt;"",K249,J249),Reglas!$J$5:$J$118,"Sí")=0,"BLOQUEADO: CASILLA NO DIRECTA",IF(O249="","EXCLUIDO (valor borrado por el usuario)",IF(_xlfn.ISFORMULA(O249),IF(W249&lt;&gt;"","BORRADOR — VALOR SUGERIDO DIAN ⚠ VER ALERTA","BORRADOR — VALOR SUGERIDO DIAN"),IF(W249&lt;&gt;"","ACEPTADO ⚠ VER ALERTA","ACEPTADO"))))))))</f>
        <v/>
      </c>
      <c r="R249" s="218" t="n"/>
      <c r="S249" s="58">
        <f>IF(A249="","",IFERROR(--ISNUMBER(SEARCH("R28",G249)),0)+IFERROR(--ISNUMBER(SEARCH("R29",G249)),0)+IFERROR(--ISNUMBER(SEARCH("R30",G249)),0)+IFERROR(--ISNUMBER(SEARCH("R31",G249)),0)+IFERROR(--ISNUMBER(SEARCH("R32",G249)),0)+IFERROR(--ISNUMBER(SEARCH("R33",G249)),0)+IFERROR(--ISNUMBER(SEARCH("R34",G249)),0)+IFERROR(--ISNUMBER(SEARCH("R35",G249)),0)+IFERROR(--ISNUMBER(SEARCH("R36",G249)),0)+IFERROR(--ISNUMBER(SEARCH("R37",G249)),0)+IFERROR(--ISNUMBER(SEARCH("R38",G249)),0)+IFERROR(--ISNUMBER(SEARCH("R39",G249)),0)+IFERROR(--ISNUMBER(SEARCH("R40",G249)),0)+IFERROR(--ISNUMBER(SEARCH("R41",G249)),0)+IFERROR(--ISNUMBER(SEARCH("R42",G249)),0)+IFERROR(--ISNUMBER(SEARCH("R43",G249)),0)+IFERROR(--ISNUMBER(SEARCH("R44",G249)),0)+IFERROR(--ISNUMBER(SEARCH("R45",G249)),0)+IFERROR(--ISNUMBER(SEARCH("R46",G249)),0)+IFERROR(--ISNUMBER(SEARCH("R47",G249)),0)+IFERROR(--ISNUMBER(SEARCH("R48",G249)),0)+IFERROR(--ISNUMBER(SEARCH("R49",G249)),0)+IFERROR(--ISNUMBER(SEARCH("R50",G249)),0)+IFERROR(--ISNUMBER(SEARCH("R51",G249)),0)+IFERROR(--ISNUMBER(SEARCH("R52",G249)),0)+IFERROR(--ISNUMBER(SEARCH("R53",G249)),0)+IFERROR(--ISNUMBER(SEARCH("R54",G249)),0)+IFERROR(--ISNUMBER(SEARCH("R55",G249)),0)+IFERROR(--ISNUMBER(SEARCH("R56",G249)),0)+IFERROR(--ISNUMBER(SEARCH("R57",G249)),0)+IFERROR(--ISNUMBER(SEARCH("R58",G249)),0)+IFERROR(--ISNUMBER(SEARCH("R59",G249)),0)+IFERROR(--ISNUMBER(SEARCH("R60",G249)),0)+IFERROR(--ISNUMBER(SEARCH("R61",G249)),0)+IFERROR(--ISNUMBER(SEARCH("R62",G249)),0)+IFERROR(--ISNUMBER(SEARCH("R63",G249)),0)+IFERROR(--ISNUMBER(SEARCH("R64",G249)),0)+IFERROR(--ISNUMBER(SEARCH("R65",G249)),0)+IFERROR(--ISNUMBER(SEARCH("R66",G249)),0)+IFERROR(--ISNUMBER(SEARCH("R67",G249)),0)+IFERROR(--ISNUMBER(SEARCH("R68",G249)),0)+IFERROR(--ISNUMBER(SEARCH("R69",G249)),0)+IFERROR(--ISNUMBER(SEARCH("R70",G249)),0)+IFERROR(--ISNUMBER(SEARCH("R71",G249)),0)+IFERROR(--ISNUMBER(SEARCH("R72",G249)),0)+IFERROR(--ISNUMBER(SEARCH("R73",G249)),0)+IFERROR(--ISNUMBER(SEARCH("R74",G249)),0)+IFERROR(--ISNUMBER(SEARCH("R75",G249)),0)+IFERROR(--ISNUMBER(SEARCH("R76",G249)),0)+IFERROR(--ISNUMBER(SEARCH("R77",G249)),0)+IFERROR(--ISNUMBER(SEARCH("R78",G249)),0)+IFERROR(--ISNUMBER(SEARCH("R79",G249)),0)+IFERROR(--ISNUMBER(SEARCH("R80",G249)),0)+IFERROR(--ISNUMBER(SEARCH("R81",G249)),0)+IFERROR(--ISNUMBER(SEARCH("R82",G249)),0)+IFERROR(--ISNUMBER(SEARCH("R83",G249)),0)+IFERROR(--ISNUMBER(SEARCH("R84",G249)),0)+IFERROR(--ISNUMBER(SEARCH("R85",G249)),0)+IFERROR(--ISNUMBER(SEARCH("R86",G249)),0)+IFERROR(--ISNUMBER(SEARCH("R87",G249)),0)+IFERROR(--ISNUMBER(SEARCH("R88",G249)),0)+IFERROR(--ISNUMBER(SEARCH("R89",G249)),0)+IFERROR(--ISNUMBER(SEARCH("R90",G249)),0)+IFERROR(--ISNUMBER(SEARCH("R91",G249)),0)+IFERROR(--ISNUMBER(SEARCH("R92",G249)),0)+IFERROR(--ISNUMBER(SEARCH("R93",G249)),0)+IFERROR(--ISNUMBER(SEARCH("R94",G249)),0)+IFERROR(--ISNUMBER(SEARCH("R95",G249)),0)+IFERROR(--ISNUMBER(SEARCH("R96",G249)),0)+IFERROR(--ISNUMBER(SEARCH("R97",G249)),0)+IFERROR(--ISNUMBER(SEARCH("R98",G249)),0)+IFERROR(--ISNUMBER(SEARCH("R99",G249)),0)+IFERROR(--ISNUMBER(SEARCH("R100",G249)),0)+IFERROR(--ISNUMBER(SEARCH("R101",G249)),0)+IFERROR(--ISNUMBER(SEARCH("R102",G249)),0)+IFERROR(--ISNUMBER(SEARCH("R103",G249)),0)+IFERROR(--ISNUMBER(SEARCH("R104",G249)),0)+IFERROR(--ISNUMBER(SEARCH("R105",G249)),0)+IFERROR(--ISNUMBER(SEARCH("R106",G249)),0)+IFERROR(--ISNUMBER(SEARCH("R107",G249)),0)+IFERROR(--ISNUMBER(SEARCH("R108",G249)),0)+IFERROR(--ISNUMBER(SEARCH("R109",G249)),0)+IFERROR(--ISNUMBER(SEARCH("R110",G249)),0)+IFERROR(--ISNUMBER(SEARCH("R111",G249)),0)+IFERROR(--ISNUMBER(SEARCH("R112",G249)),0)+IFERROR(--ISNUMBER(SEARCH("R113",G249)),0)+IFERROR(--ISNUMBER(SEARCH("R114",G249)),0)+IFERROR(--ISNUMBER(SEARCH("R115",G249)),0)+IFERROR(--ISNUMBER(SEARCH("R116",G249)),0)+IFERROR(--ISNUMBER(SEARCH("R117",G249)),0)+IFERROR(--ISNUMBER(SEARCH("R118",G249)),0)+IFERROR(--ISNUMBER(SEARCH("R119",G249)),0)+IFERROR(--ISNUMBER(SEARCH("R120",G249)),0)+IFERROR(--ISNUMBER(SEARCH("R121",G249)),0)+IFERROR(--ISNUMBER(SEARCH("R122",G249)),0)+IFERROR(--ISNUMBER(SEARCH("R123",G249)),0)+IFERROR(--ISNUMBER(SEARCH("R124",G249)),0)+IFERROR(--ISNUMBER(SEARCH("R125",G249)),0)+IFERROR(--ISNUMBER(SEARCH("R126",G249)),0)+IFERROR(--ISNUMBER(SEARCH("R127",G249)),0)+IFERROR(--ISNUMBER(SEARCH("R128",G249)),0)+IFERROR(--ISNUMBER(SEARCH("R129",G249)),0)+IFERROR(--ISNUMBER(SEARCH("R130",G249)),0)+IFERROR(--ISNUMBER(SEARCH("R131",G249)),0)+IFERROR(--ISNUMBER(SEARCH("R132",G249)),0)+IFERROR(--ISNUMBER(SEARCH("R133",G249)),0)+IFERROR(--ISNUMBER(SEARCH("R134",G249)),0)+IFERROR(--ISNUMBER(SEARCH("R135",G249)),0)+IFERROR(--ISNUMBER(SEARCH("R136",G249)),0)+IFERROR(--ISNUMBER(SEARCH("R137",G249)),0)+IFERROR(--ISNUMBER(SEARCH("R138",G249)),0)+IFERROR(--ISNUMBER(SEARCH("R139",G249)),0)+IFERROR(--ISNUMBER(SEARCH("R140",G249)),0)+IFERROR(--ISNUMBER(SEARCH("R141",G249)),0))</f>
        <v/>
      </c>
      <c r="T249" s="58">
        <f>IF(A249="","",IFERROR(--ISNUMBER(SEARCH("R28",G249)),0)+IFERROR(--ISNUMBER(SEARCH("R29",G249)),0)+IFERROR(--ISNUMBER(SEARCH("R30",G249)),0)+IFERROR(--ISNUMBER(SEARCH("R32",G249)),0)+IFERROR(--ISNUMBER(SEARCH("R33",G249)),0)+IFERROR(--ISNUMBER(SEARCH("R35",G249)),0)+IFERROR(--ISNUMBER(SEARCH("R36",G249)),0)+IFERROR(--ISNUMBER(SEARCH("R38",G249)),0)+IFERROR(--ISNUMBER(SEARCH("R39",G249)),0)+IFERROR(--ISNUMBER(SEARCH("R43",G249)),0)+IFERROR(--ISNUMBER(SEARCH("R44",G249)),0)+IFERROR(--ISNUMBER(SEARCH("R45",G249)),0)+IFERROR(--ISNUMBER(SEARCH("R47",G249)),0)+IFERROR(--ISNUMBER(SEARCH("R48",G249)),0)+IFERROR(--ISNUMBER(SEARCH("R50",G249)),0)+IFERROR(--ISNUMBER(SEARCH("R51",G249)),0)+IFERROR(--ISNUMBER(SEARCH("R56",G249)),0)+IFERROR(--ISNUMBER(SEARCH("R58",G249)),0)+IFERROR(--ISNUMBER(SEARCH("R59",G249)),0)+IFERROR(--ISNUMBER(SEARCH("R60",G249)),0)+IFERROR(--ISNUMBER(SEARCH("R62",G249)),0)+IFERROR(--ISNUMBER(SEARCH("R63",G249)),0)+IFERROR(--ISNUMBER(SEARCH("R64",G249)),0)+IFERROR(--ISNUMBER(SEARCH("R66",G249)),0)+IFERROR(--ISNUMBER(SEARCH("R67",G249)),0)+IFERROR(--ISNUMBER(SEARCH("R72",G249)),0)+IFERROR(--ISNUMBER(SEARCH("R74",G249)),0)+IFERROR(--ISNUMBER(SEARCH("R75",G249)),0)+IFERROR(--ISNUMBER(SEARCH("R76",G249)),0)+IFERROR(--ISNUMBER(SEARCH("R77",G249)),0)+IFERROR(--ISNUMBER(SEARCH("R79",G249)),0)+IFERROR(--ISNUMBER(SEARCH("R80",G249)),0)+IFERROR(--ISNUMBER(SEARCH("R81",G249)),0)+IFERROR(--ISNUMBER(SEARCH("R83",G249)),0)+IFERROR(--ISNUMBER(SEARCH("R84",G249)),0)+IFERROR(--ISNUMBER(SEARCH("R89",G249)),0)+IFERROR(--ISNUMBER(SEARCH("R94",G249)),0)+IFERROR(--ISNUMBER(SEARCH("R95",G249)),0)+IFERROR(--ISNUMBER(SEARCH("R96",G249)),0)+IFERROR(--ISNUMBER(SEARCH("R98",G249)),0)+IFERROR(--ISNUMBER(SEARCH("R99",G249)),0)+IFERROR(--ISNUMBER(SEARCH("R100",G249)),0)+IFERROR(--ISNUMBER(SEARCH("R104",G249)),0)+IFERROR(--ISNUMBER(SEARCH("R105",G249)),0)+IFERROR(--ISNUMBER(SEARCH("R107",G249)),0)+IFERROR(--ISNUMBER(SEARCH("R108",G249)),0)+IFERROR(--ISNUMBER(SEARCH("R109",G249)),0)+IFERROR(--ISNUMBER(SEARCH("R110",G249)),0)+IFERROR(--ISNUMBER(SEARCH("R112",G249)),0)+IFERROR(--ISNUMBER(SEARCH("R113",G249)),0)+IFERROR(--ISNUMBER(SEARCH("R114",G249)),0)+IFERROR(--ISNUMBER(SEARCH("R118",G249)),0)+IFERROR(--ISNUMBER(SEARCH("R119",G249)),0)+IFERROR(--ISNUMBER(SEARCH("R120",G249)),0)+IFERROR(--ISNUMBER(SEARCH("R122",G249)),0)+IFERROR(--ISNUMBER(SEARCH("R123",G249)),0)+IFERROR(--ISNUMBER(SEARCH("R124",G249)),0)+IFERROR(--ISNUMBER(SEARCH("R128",G249)),0)+IFERROR(--ISNUMBER(SEARCH("R130",G249)),0)+IFERROR(--ISNUMBER(SEARCH("R131",G249)),0)+IFERROR(--ISNUMBER(SEARCH("R132",G249)),0)+IFERROR(--ISNUMBER(SEARCH("R135",G249)),0)+IFERROR(--ISNUMBER(SEARCH("R138",G249)),0)+IFERROR(--ISNUMBER(SEARCH("R141",G249)),0))</f>
        <v/>
      </c>
      <c r="U249" s="58">
        <f>IF(A249="","",IFERROR(--ISNUMBER(SEARCH("R28",G249))*28,0)+IFERROR(--ISNUMBER(SEARCH("R29",G249))*29,0)+IFERROR(--ISNUMBER(SEARCH("R30",G249))*30,0)+IFERROR(--ISNUMBER(SEARCH("R31",G249))*31,0)+IFERROR(--ISNUMBER(SEARCH("R32",G249))*32,0)+IFERROR(--ISNUMBER(SEARCH("R33",G249))*33,0)+IFERROR(--ISNUMBER(SEARCH("R34",G249))*34,0)+IFERROR(--ISNUMBER(SEARCH("R35",G249))*35,0)+IFERROR(--ISNUMBER(SEARCH("R36",G249))*36,0)+IFERROR(--ISNUMBER(SEARCH("R37",G249))*37,0)+IFERROR(--ISNUMBER(SEARCH("R38",G249))*38,0)+IFERROR(--ISNUMBER(SEARCH("R39",G249))*39,0)+IFERROR(--ISNUMBER(SEARCH("R40",G249))*40,0)+IFERROR(--ISNUMBER(SEARCH("R41",G249))*41,0)+IFERROR(--ISNUMBER(SEARCH("R42",G249))*42,0)+IFERROR(--ISNUMBER(SEARCH("R43",G249))*43,0)+IFERROR(--ISNUMBER(SEARCH("R44",G249))*44,0)+IFERROR(--ISNUMBER(SEARCH("R45",G249))*45,0)+IFERROR(--ISNUMBER(SEARCH("R46",G249))*46,0)+IFERROR(--ISNUMBER(SEARCH("R47",G249))*47,0)+IFERROR(--ISNUMBER(SEARCH("R48",G249))*48,0)+IFERROR(--ISNUMBER(SEARCH("R49",G249))*49,0)+IFERROR(--ISNUMBER(SEARCH("R50",G249))*50,0)+IFERROR(--ISNUMBER(SEARCH("R51",G249))*51,0)+IFERROR(--ISNUMBER(SEARCH("R52",G249))*52,0)+IFERROR(--ISNUMBER(SEARCH("R53",G249))*53,0)+IFERROR(--ISNUMBER(SEARCH("R54",G249))*54,0)+IFERROR(--ISNUMBER(SEARCH("R55",G249))*55,0)+IFERROR(--ISNUMBER(SEARCH("R56",G249))*56,0)+IFERROR(--ISNUMBER(SEARCH("R57",G249))*57,0)+IFERROR(--ISNUMBER(SEARCH("R58",G249))*58,0)+IFERROR(--ISNUMBER(SEARCH("R59",G249))*59,0)+IFERROR(--ISNUMBER(SEARCH("R60",G249))*60,0)+IFERROR(--ISNUMBER(SEARCH("R61",G249))*61,0)+IFERROR(--ISNUMBER(SEARCH("R62",G249))*62,0)+IFERROR(--ISNUMBER(SEARCH("R63",G249))*63,0)+IFERROR(--ISNUMBER(SEARCH("R64",G249))*64,0)+IFERROR(--ISNUMBER(SEARCH("R65",G249))*65,0)+IFERROR(--ISNUMBER(SEARCH("R66",G249))*66,0)+IFERROR(--ISNUMBER(SEARCH("R67",G249))*67,0)+IFERROR(--ISNUMBER(SEARCH("R68",G249))*68,0)+IFERROR(--ISNUMBER(SEARCH("R69",G249))*69,0)+IFERROR(--ISNUMBER(SEARCH("R70",G249))*70,0)+IFERROR(--ISNUMBER(SEARCH("R71",G249))*71,0)+IFERROR(--ISNUMBER(SEARCH("R72",G249))*72,0)+IFERROR(--ISNUMBER(SEARCH("R73",G249))*73,0)+IFERROR(--ISNUMBER(SEARCH("R74",G249))*74,0)+IFERROR(--ISNUMBER(SEARCH("R75",G249))*75,0)+IFERROR(--ISNUMBER(SEARCH("R76",G249))*76,0)+IFERROR(--ISNUMBER(SEARCH("R77",G249))*77,0)+IFERROR(--ISNUMBER(SEARCH("R78",G249))*78,0)+IFERROR(--ISNUMBER(SEARCH("R79",G249))*79,0)+IFERROR(--ISNUMBER(SEARCH("R80",G249))*80,0)+IFERROR(--ISNUMBER(SEARCH("R81",G249))*81,0)+IFERROR(--ISNUMBER(SEARCH("R82",G249))*82,0)+IFERROR(--ISNUMBER(SEARCH("R83",G249))*83,0)+IFERROR(--ISNUMBER(SEARCH("R84",G249))*84,0)+IFERROR(--ISNUMBER(SEARCH("R85",G249))*85,0)+IFERROR(--ISNUMBER(SEARCH("R86",G249))*86,0)+IFERROR(--ISNUMBER(SEARCH("R87",G249))*87,0)+IFERROR(--ISNUMBER(SEARCH("R88",G249))*88,0)+IFERROR(--ISNUMBER(SEARCH("R89",G249))*89,0)+IFERROR(--ISNUMBER(SEARCH("R90",G249))*90,0)+IFERROR(--ISNUMBER(SEARCH("R91",G249))*91,0)+IFERROR(--ISNUMBER(SEARCH("R92",G249))*92,0)+IFERROR(--ISNUMBER(SEARCH("R93",G249))*93,0)+IFERROR(--ISNUMBER(SEARCH("R94",G249))*94,0)+IFERROR(--ISNUMBER(SEARCH("R95",G249))*95,0)+IFERROR(--ISNUMBER(SEARCH("R96",G249))*96,0)+IFERROR(--ISNUMBER(SEARCH("R97",G249))*97,0)+IFERROR(--ISNUMBER(SEARCH("R98",G249))*98,0)+IFERROR(--ISNUMBER(SEARCH("R99",G249))*99,0)+IFERROR(--ISNUMBER(SEARCH("R100",G249))*100,0)+IFERROR(--ISNUMBER(SEARCH("R101",G249))*101,0)+IFERROR(--ISNUMBER(SEARCH("R102",G249))*102,0)+IFERROR(--ISNUMBER(SEARCH("R103",G249))*103,0)+IFERROR(--ISNUMBER(SEARCH("R104",G249))*104,0)+IFERROR(--ISNUMBER(SEARCH("R105",G249))*105,0)+IFERROR(--ISNUMBER(SEARCH("R106",G249))*106,0)+IFERROR(--ISNUMBER(SEARCH("R107",G249))*107,0)+IFERROR(--ISNUMBER(SEARCH("R108",G249))*108,0)+IFERROR(--ISNUMBER(SEARCH("R109",G249))*109,0)+IFERROR(--ISNUMBER(SEARCH("R110",G249))*110,0)+IFERROR(--ISNUMBER(SEARCH("R111",G249))*111,0)+IFERROR(--ISNUMBER(SEARCH("R112",G249))*112,0)+IFERROR(--ISNUMBER(SEARCH("R113",G249))*113,0)+IFERROR(--ISNUMBER(SEARCH("R114",G249))*114,0)+IFERROR(--ISNUMBER(SEARCH("R115",G249))*115,0)+IFERROR(--ISNUMBER(SEARCH("R116",G249))*116,0)+IFERROR(--ISNUMBER(SEARCH("R117",G249))*117,0)+IFERROR(--ISNUMBER(SEARCH("R118",G249))*118,0)+IFERROR(--ISNUMBER(SEARCH("R119",G249))*119,0)+IFERROR(--ISNUMBER(SEARCH("R120",G249))*120,0)+IFERROR(--ISNUMBER(SEARCH("R121",G249))*121,0)+IFERROR(--ISNUMBER(SEARCH("R122",G249))*122,0)+IFERROR(--ISNUMBER(SEARCH("R123",G249))*123,0)+IFERROR(--ISNUMBER(SEARCH("R124",G249))*124,0)+IFERROR(--ISNUMBER(SEARCH("R125",G249))*125,0)+IFERROR(--ISNUMBER(SEARCH("R126",G249))*126,0)+IFERROR(--ISNUMBER(SEARCH("R127",G249))*127,0)+IFERROR(--ISNUMBER(SEARCH("R128",G249))*128,0)+IFERROR(--ISNUMBER(SEARCH("R129",G249))*129,0)+IFERROR(--ISNUMBER(SEARCH("R130",G249))*130,0)+IFERROR(--ISNUMBER(SEARCH("R131",G249))*131,0)+IFERROR(--ISNUMBER(SEARCH("R132",G249))*132,0)+IFERROR(--ISNUMBER(SEARCH("R133",G249))*133,0)+IFERROR(--ISNUMBER(SEARCH("R134",G249))*134,0)+IFERROR(--ISNUMBER(SEARCH("R135",G249))*135,0)+IFERROR(--ISNUMBER(SEARCH("R136",G249))*136,0)+IFERROR(--ISNUMBER(SEARCH("R137",G249))*137,0)+IFERROR(--ISNUMBER(SEARCH("R138",G249))*138,0)+IFERROR(--ISNUMBER(SEARCH("R139",G249))*139,0)+IFERROR(--ISNUMBER(SEARCH("R140",G249))*140,0)+IFERROR(--ISNUMBER(SEARCH("R141",G249))*141,0))</f>
        <v/>
      </c>
      <c r="V249" s="59">
        <f>IF(A249="","",IF(K249&lt;&gt;"",K249,J249))</f>
        <v/>
      </c>
      <c r="W249" s="59">
        <f>IF(A249="","",IF(AND(V249=29,O249&lt;&gt;"",COUNTIFS($V$6:$V$505,29,$F$6:$F$505,F249,$C$6:$C$505,C249,$O$6:$O$505,"&lt;&gt;")&gt;1),IF(COUNTIFS($V$6:V249,29,$F$6:F249,F249,$C$6:C249,C249,$O$6:O249,"&lt;&gt;")=1,"Esta es la fila que se debe CONSERVAR (aparición 1 de "&amp;COUNTIFS($V$6:$V$505,29,$F$6:$F$505,F249,$C$6:$C$505,C249,$O$6:$O$505,"&lt;&gt;")&amp;" con el mismo tercero y valor, casilla 29). Si hay más filas iguales, bórreles el valor a ELLAS, no a esta.","DUPLICADO — ya existe otra fila con el mismo tercero y valor para casilla 29 (aparición "&amp;COUNTIFS($V$6:V249,29,$F$6:F249,F249,$C$6:C249,C249,$O$6:O249,"&lt;&gt;")&amp;" de "&amp;COUNTIFS($V$6:$V$505,29,$F$6:$F$505,F249,$C$6:$C$505,C249,$O$6:$O$505,"&lt;&gt;")&amp;"). Para resolverlo: seleccione la celda O"&amp;ROW()&amp;" (columna Valor a declarar de ESTA fila) y presione Supr."),""))</f>
        <v/>
      </c>
      <c r="X249" s="463">
        <f>IF(A249="","",F249)</f>
        <v/>
      </c>
      <c r="Y249" s="463">
        <f>IF(A249="","",SUMIF(Entrada_Manual!$I$88:$I$187,A249,Entrada_Manual!$F$88:$F$187))</f>
        <v/>
      </c>
      <c r="Z249" s="463">
        <f>IF(A249="","",X249-Y249)</f>
        <v/>
      </c>
      <c r="AA249">
        <f>IF(A249="","",SUMPRODUCT((Entrada_Manual!$I$88:$I$187=A249)*1))</f>
        <v/>
      </c>
      <c r="AB249">
        <f>IF(A249="","",IF(S249&lt;=1,"",IF(AA249=0,"PENDIENTE — SIN ASIGNAR",IF(Z249=0,"RESUELTO","PARCIAL — DIFERENCIA "&amp;TEXT(Z249,"#,##0")))))</f>
        <v/>
      </c>
    </row>
    <row r="250" ht="14.25" customHeight="1" s="235">
      <c r="A250" s="47">
        <f>IF(Exogena_RAW!E259&lt;&gt;"",ROW()-5,"")</f>
        <v/>
      </c>
      <c r="B250" s="48">
        <f>IF(A250="","",259)</f>
        <v/>
      </c>
      <c r="C250" s="48">
        <f>IF(A250="","",IFERROR(Exogena_RAW!A259,""))</f>
        <v/>
      </c>
      <c r="D250" s="48">
        <f>IF(A250="","",IFERROR(Exogena_RAW!B259,""))</f>
        <v/>
      </c>
      <c r="E250" s="48">
        <f>IF(A250="","",Exogena_RAW!E259)</f>
        <v/>
      </c>
      <c r="F250" s="461">
        <f>IF(A250="","",Exogena_RAW!F259)</f>
        <v/>
      </c>
      <c r="G250" s="48">
        <f>IF(A250="","",IFERROR(Exogena_RAW!G259,""))</f>
        <v/>
      </c>
      <c r="H250" s="48">
        <f>IF(A250="","",IFERROR(Exogena_RAW!H259,""))</f>
        <v/>
      </c>
      <c r="I250" s="48">
        <f>IF(A250="","",IFERROR(IF(S250&gt;1,"VARIAS CASILLAS",IF(S250=1,IF(T250=1,"PROPUESTA DE CASILLA","REVISIÓN: CASILLA NO DIRECTA"),IF(OR(ISNUMBER(SEARCH("TOPE",UPPER(E250))),ISNUMBER(SEARCH("TOPE",UPPER(G250)))),"SOLO CONTROL",IF(ISNUMBER(SEARCH("RETEN",UPPER(E250))),"RETENCIÓN","REVISAR")))),"REVISAR"))</f>
        <v/>
      </c>
      <c r="J250" s="48">
        <f>IF(A250="","",IF(ISNUMBER(SEARCH("ingreso laboral promedio de los últimos seis meses",E250)),"",IFERROR(IF(AND(S250=1,T250=1),U250,""),"")))</f>
        <v/>
      </c>
      <c r="K250" s="216" t="n"/>
      <c r="L250" s="48">
        <f>IF(A250="","",IFERROR(IF(K250&lt;&gt;"","Casilla elegida por usuario",IF(S250&gt;1,"Varias casillas — elegir en K",IF(J250&lt;&gt;"","Sugerencia directa",IF(S250=1,"No trasladar directo — revisar",IF(OR(ISNUMBER(SEARCH("TOPE",UPPER(E250))),ISNUMBER(SEARCH("TOPE",UPPER(G250)))),"Solo control","Revisar manualmente"))))),"Revisar manualmente"))</f>
        <v/>
      </c>
      <c r="M250" s="461">
        <f>IF(A250="","",IF(IF(K250&lt;&gt;"",K250,J250)="",0,IF(COUNTIFS(Reglas!$I$5:$I$118,IF(K250&lt;&gt;"",K250,J250),Reglas!$J$5:$J$118,"Sí")=1,F250,0)))</f>
        <v/>
      </c>
      <c r="N250" s="56" t="n"/>
      <c r="O250" s="462">
        <f>IF(A250="","",IF(M250=0,"",M250))</f>
        <v/>
      </c>
      <c r="P250" s="461">
        <f>IF(A250="","",IF(O250="",0,IF(ISNUMBER(O250),O250,0)))</f>
        <v/>
      </c>
      <c r="Q250" s="48">
        <f>IF(A250="","",IF(Exogena_RAW!$C$4="","BLOQUEADO: FALTA AÑO",IF(Exogena_RAW!$K$10&lt;&gt;Reglas!$B$5,"BLOQUEADO: AÑO",IF(IF(K250&lt;&gt;"",K250,J250)="",IF(S250&gt;1,"REQUIERE ASIGNACIÓN MANUAL (VARIAS CASILLAS)","INFORMATIVO (sin casilla — no se declara)"),IF(COUNTIFS(Reglas!$I$5:$I$118,IF(K250&lt;&gt;"",K250,J250),Reglas!$J$5:$J$118,"Sí")=0,"BLOQUEADO: CASILLA NO DIRECTA",IF(O250="","EXCLUIDO (valor borrado por el usuario)",IF(_xlfn.ISFORMULA(O250),IF(W250&lt;&gt;"","BORRADOR — VALOR SUGERIDO DIAN ⚠ VER ALERTA","BORRADOR — VALOR SUGERIDO DIAN"),IF(W250&lt;&gt;"","ACEPTADO ⚠ VER ALERTA","ACEPTADO"))))))))</f>
        <v/>
      </c>
      <c r="R250" s="218" t="n"/>
      <c r="S250" s="58">
        <f>IF(A250="","",IFERROR(--ISNUMBER(SEARCH("R28",G250)),0)+IFERROR(--ISNUMBER(SEARCH("R29",G250)),0)+IFERROR(--ISNUMBER(SEARCH("R30",G250)),0)+IFERROR(--ISNUMBER(SEARCH("R31",G250)),0)+IFERROR(--ISNUMBER(SEARCH("R32",G250)),0)+IFERROR(--ISNUMBER(SEARCH("R33",G250)),0)+IFERROR(--ISNUMBER(SEARCH("R34",G250)),0)+IFERROR(--ISNUMBER(SEARCH("R35",G250)),0)+IFERROR(--ISNUMBER(SEARCH("R36",G250)),0)+IFERROR(--ISNUMBER(SEARCH("R37",G250)),0)+IFERROR(--ISNUMBER(SEARCH("R38",G250)),0)+IFERROR(--ISNUMBER(SEARCH("R39",G250)),0)+IFERROR(--ISNUMBER(SEARCH("R40",G250)),0)+IFERROR(--ISNUMBER(SEARCH("R41",G250)),0)+IFERROR(--ISNUMBER(SEARCH("R42",G250)),0)+IFERROR(--ISNUMBER(SEARCH("R43",G250)),0)+IFERROR(--ISNUMBER(SEARCH("R44",G250)),0)+IFERROR(--ISNUMBER(SEARCH("R45",G250)),0)+IFERROR(--ISNUMBER(SEARCH("R46",G250)),0)+IFERROR(--ISNUMBER(SEARCH("R47",G250)),0)+IFERROR(--ISNUMBER(SEARCH("R48",G250)),0)+IFERROR(--ISNUMBER(SEARCH("R49",G250)),0)+IFERROR(--ISNUMBER(SEARCH("R50",G250)),0)+IFERROR(--ISNUMBER(SEARCH("R51",G250)),0)+IFERROR(--ISNUMBER(SEARCH("R52",G250)),0)+IFERROR(--ISNUMBER(SEARCH("R53",G250)),0)+IFERROR(--ISNUMBER(SEARCH("R54",G250)),0)+IFERROR(--ISNUMBER(SEARCH("R55",G250)),0)+IFERROR(--ISNUMBER(SEARCH("R56",G250)),0)+IFERROR(--ISNUMBER(SEARCH("R57",G250)),0)+IFERROR(--ISNUMBER(SEARCH("R58",G250)),0)+IFERROR(--ISNUMBER(SEARCH("R59",G250)),0)+IFERROR(--ISNUMBER(SEARCH("R60",G250)),0)+IFERROR(--ISNUMBER(SEARCH("R61",G250)),0)+IFERROR(--ISNUMBER(SEARCH("R62",G250)),0)+IFERROR(--ISNUMBER(SEARCH("R63",G250)),0)+IFERROR(--ISNUMBER(SEARCH("R64",G250)),0)+IFERROR(--ISNUMBER(SEARCH("R65",G250)),0)+IFERROR(--ISNUMBER(SEARCH("R66",G250)),0)+IFERROR(--ISNUMBER(SEARCH("R67",G250)),0)+IFERROR(--ISNUMBER(SEARCH("R68",G250)),0)+IFERROR(--ISNUMBER(SEARCH("R69",G250)),0)+IFERROR(--ISNUMBER(SEARCH("R70",G250)),0)+IFERROR(--ISNUMBER(SEARCH("R71",G250)),0)+IFERROR(--ISNUMBER(SEARCH("R72",G250)),0)+IFERROR(--ISNUMBER(SEARCH("R73",G250)),0)+IFERROR(--ISNUMBER(SEARCH("R74",G250)),0)+IFERROR(--ISNUMBER(SEARCH("R75",G250)),0)+IFERROR(--ISNUMBER(SEARCH("R76",G250)),0)+IFERROR(--ISNUMBER(SEARCH("R77",G250)),0)+IFERROR(--ISNUMBER(SEARCH("R78",G250)),0)+IFERROR(--ISNUMBER(SEARCH("R79",G250)),0)+IFERROR(--ISNUMBER(SEARCH("R80",G250)),0)+IFERROR(--ISNUMBER(SEARCH("R81",G250)),0)+IFERROR(--ISNUMBER(SEARCH("R82",G250)),0)+IFERROR(--ISNUMBER(SEARCH("R83",G250)),0)+IFERROR(--ISNUMBER(SEARCH("R84",G250)),0)+IFERROR(--ISNUMBER(SEARCH("R85",G250)),0)+IFERROR(--ISNUMBER(SEARCH("R86",G250)),0)+IFERROR(--ISNUMBER(SEARCH("R87",G250)),0)+IFERROR(--ISNUMBER(SEARCH("R88",G250)),0)+IFERROR(--ISNUMBER(SEARCH("R89",G250)),0)+IFERROR(--ISNUMBER(SEARCH("R90",G250)),0)+IFERROR(--ISNUMBER(SEARCH("R91",G250)),0)+IFERROR(--ISNUMBER(SEARCH("R92",G250)),0)+IFERROR(--ISNUMBER(SEARCH("R93",G250)),0)+IFERROR(--ISNUMBER(SEARCH("R94",G250)),0)+IFERROR(--ISNUMBER(SEARCH("R95",G250)),0)+IFERROR(--ISNUMBER(SEARCH("R96",G250)),0)+IFERROR(--ISNUMBER(SEARCH("R97",G250)),0)+IFERROR(--ISNUMBER(SEARCH("R98",G250)),0)+IFERROR(--ISNUMBER(SEARCH("R99",G250)),0)+IFERROR(--ISNUMBER(SEARCH("R100",G250)),0)+IFERROR(--ISNUMBER(SEARCH("R101",G250)),0)+IFERROR(--ISNUMBER(SEARCH("R102",G250)),0)+IFERROR(--ISNUMBER(SEARCH("R103",G250)),0)+IFERROR(--ISNUMBER(SEARCH("R104",G250)),0)+IFERROR(--ISNUMBER(SEARCH("R105",G250)),0)+IFERROR(--ISNUMBER(SEARCH("R106",G250)),0)+IFERROR(--ISNUMBER(SEARCH("R107",G250)),0)+IFERROR(--ISNUMBER(SEARCH("R108",G250)),0)+IFERROR(--ISNUMBER(SEARCH("R109",G250)),0)+IFERROR(--ISNUMBER(SEARCH("R110",G250)),0)+IFERROR(--ISNUMBER(SEARCH("R111",G250)),0)+IFERROR(--ISNUMBER(SEARCH("R112",G250)),0)+IFERROR(--ISNUMBER(SEARCH("R113",G250)),0)+IFERROR(--ISNUMBER(SEARCH("R114",G250)),0)+IFERROR(--ISNUMBER(SEARCH("R115",G250)),0)+IFERROR(--ISNUMBER(SEARCH("R116",G250)),0)+IFERROR(--ISNUMBER(SEARCH("R117",G250)),0)+IFERROR(--ISNUMBER(SEARCH("R118",G250)),0)+IFERROR(--ISNUMBER(SEARCH("R119",G250)),0)+IFERROR(--ISNUMBER(SEARCH("R120",G250)),0)+IFERROR(--ISNUMBER(SEARCH("R121",G250)),0)+IFERROR(--ISNUMBER(SEARCH("R122",G250)),0)+IFERROR(--ISNUMBER(SEARCH("R123",G250)),0)+IFERROR(--ISNUMBER(SEARCH("R124",G250)),0)+IFERROR(--ISNUMBER(SEARCH("R125",G250)),0)+IFERROR(--ISNUMBER(SEARCH("R126",G250)),0)+IFERROR(--ISNUMBER(SEARCH("R127",G250)),0)+IFERROR(--ISNUMBER(SEARCH("R128",G250)),0)+IFERROR(--ISNUMBER(SEARCH("R129",G250)),0)+IFERROR(--ISNUMBER(SEARCH("R130",G250)),0)+IFERROR(--ISNUMBER(SEARCH("R131",G250)),0)+IFERROR(--ISNUMBER(SEARCH("R132",G250)),0)+IFERROR(--ISNUMBER(SEARCH("R133",G250)),0)+IFERROR(--ISNUMBER(SEARCH("R134",G250)),0)+IFERROR(--ISNUMBER(SEARCH("R135",G250)),0)+IFERROR(--ISNUMBER(SEARCH("R136",G250)),0)+IFERROR(--ISNUMBER(SEARCH("R137",G250)),0)+IFERROR(--ISNUMBER(SEARCH("R138",G250)),0)+IFERROR(--ISNUMBER(SEARCH("R139",G250)),0)+IFERROR(--ISNUMBER(SEARCH("R140",G250)),0)+IFERROR(--ISNUMBER(SEARCH("R141",G250)),0))</f>
        <v/>
      </c>
      <c r="T250" s="58">
        <f>IF(A250="","",IFERROR(--ISNUMBER(SEARCH("R28",G250)),0)+IFERROR(--ISNUMBER(SEARCH("R29",G250)),0)+IFERROR(--ISNUMBER(SEARCH("R30",G250)),0)+IFERROR(--ISNUMBER(SEARCH("R32",G250)),0)+IFERROR(--ISNUMBER(SEARCH("R33",G250)),0)+IFERROR(--ISNUMBER(SEARCH("R35",G250)),0)+IFERROR(--ISNUMBER(SEARCH("R36",G250)),0)+IFERROR(--ISNUMBER(SEARCH("R38",G250)),0)+IFERROR(--ISNUMBER(SEARCH("R39",G250)),0)+IFERROR(--ISNUMBER(SEARCH("R43",G250)),0)+IFERROR(--ISNUMBER(SEARCH("R44",G250)),0)+IFERROR(--ISNUMBER(SEARCH("R45",G250)),0)+IFERROR(--ISNUMBER(SEARCH("R47",G250)),0)+IFERROR(--ISNUMBER(SEARCH("R48",G250)),0)+IFERROR(--ISNUMBER(SEARCH("R50",G250)),0)+IFERROR(--ISNUMBER(SEARCH("R51",G250)),0)+IFERROR(--ISNUMBER(SEARCH("R56",G250)),0)+IFERROR(--ISNUMBER(SEARCH("R58",G250)),0)+IFERROR(--ISNUMBER(SEARCH("R59",G250)),0)+IFERROR(--ISNUMBER(SEARCH("R60",G250)),0)+IFERROR(--ISNUMBER(SEARCH("R62",G250)),0)+IFERROR(--ISNUMBER(SEARCH("R63",G250)),0)+IFERROR(--ISNUMBER(SEARCH("R64",G250)),0)+IFERROR(--ISNUMBER(SEARCH("R66",G250)),0)+IFERROR(--ISNUMBER(SEARCH("R67",G250)),0)+IFERROR(--ISNUMBER(SEARCH("R72",G250)),0)+IFERROR(--ISNUMBER(SEARCH("R74",G250)),0)+IFERROR(--ISNUMBER(SEARCH("R75",G250)),0)+IFERROR(--ISNUMBER(SEARCH("R76",G250)),0)+IFERROR(--ISNUMBER(SEARCH("R77",G250)),0)+IFERROR(--ISNUMBER(SEARCH("R79",G250)),0)+IFERROR(--ISNUMBER(SEARCH("R80",G250)),0)+IFERROR(--ISNUMBER(SEARCH("R81",G250)),0)+IFERROR(--ISNUMBER(SEARCH("R83",G250)),0)+IFERROR(--ISNUMBER(SEARCH("R84",G250)),0)+IFERROR(--ISNUMBER(SEARCH("R89",G250)),0)+IFERROR(--ISNUMBER(SEARCH("R94",G250)),0)+IFERROR(--ISNUMBER(SEARCH("R95",G250)),0)+IFERROR(--ISNUMBER(SEARCH("R96",G250)),0)+IFERROR(--ISNUMBER(SEARCH("R98",G250)),0)+IFERROR(--ISNUMBER(SEARCH("R99",G250)),0)+IFERROR(--ISNUMBER(SEARCH("R100",G250)),0)+IFERROR(--ISNUMBER(SEARCH("R104",G250)),0)+IFERROR(--ISNUMBER(SEARCH("R105",G250)),0)+IFERROR(--ISNUMBER(SEARCH("R107",G250)),0)+IFERROR(--ISNUMBER(SEARCH("R108",G250)),0)+IFERROR(--ISNUMBER(SEARCH("R109",G250)),0)+IFERROR(--ISNUMBER(SEARCH("R110",G250)),0)+IFERROR(--ISNUMBER(SEARCH("R112",G250)),0)+IFERROR(--ISNUMBER(SEARCH("R113",G250)),0)+IFERROR(--ISNUMBER(SEARCH("R114",G250)),0)+IFERROR(--ISNUMBER(SEARCH("R118",G250)),0)+IFERROR(--ISNUMBER(SEARCH("R119",G250)),0)+IFERROR(--ISNUMBER(SEARCH("R120",G250)),0)+IFERROR(--ISNUMBER(SEARCH("R122",G250)),0)+IFERROR(--ISNUMBER(SEARCH("R123",G250)),0)+IFERROR(--ISNUMBER(SEARCH("R124",G250)),0)+IFERROR(--ISNUMBER(SEARCH("R128",G250)),0)+IFERROR(--ISNUMBER(SEARCH("R130",G250)),0)+IFERROR(--ISNUMBER(SEARCH("R131",G250)),0)+IFERROR(--ISNUMBER(SEARCH("R132",G250)),0)+IFERROR(--ISNUMBER(SEARCH("R135",G250)),0)+IFERROR(--ISNUMBER(SEARCH("R138",G250)),0)+IFERROR(--ISNUMBER(SEARCH("R141",G250)),0))</f>
        <v/>
      </c>
      <c r="U250" s="58">
        <f>IF(A250="","",IFERROR(--ISNUMBER(SEARCH("R28",G250))*28,0)+IFERROR(--ISNUMBER(SEARCH("R29",G250))*29,0)+IFERROR(--ISNUMBER(SEARCH("R30",G250))*30,0)+IFERROR(--ISNUMBER(SEARCH("R31",G250))*31,0)+IFERROR(--ISNUMBER(SEARCH("R32",G250))*32,0)+IFERROR(--ISNUMBER(SEARCH("R33",G250))*33,0)+IFERROR(--ISNUMBER(SEARCH("R34",G250))*34,0)+IFERROR(--ISNUMBER(SEARCH("R35",G250))*35,0)+IFERROR(--ISNUMBER(SEARCH("R36",G250))*36,0)+IFERROR(--ISNUMBER(SEARCH("R37",G250))*37,0)+IFERROR(--ISNUMBER(SEARCH("R38",G250))*38,0)+IFERROR(--ISNUMBER(SEARCH("R39",G250))*39,0)+IFERROR(--ISNUMBER(SEARCH("R40",G250))*40,0)+IFERROR(--ISNUMBER(SEARCH("R41",G250))*41,0)+IFERROR(--ISNUMBER(SEARCH("R42",G250))*42,0)+IFERROR(--ISNUMBER(SEARCH("R43",G250))*43,0)+IFERROR(--ISNUMBER(SEARCH("R44",G250))*44,0)+IFERROR(--ISNUMBER(SEARCH("R45",G250))*45,0)+IFERROR(--ISNUMBER(SEARCH("R46",G250))*46,0)+IFERROR(--ISNUMBER(SEARCH("R47",G250))*47,0)+IFERROR(--ISNUMBER(SEARCH("R48",G250))*48,0)+IFERROR(--ISNUMBER(SEARCH("R49",G250))*49,0)+IFERROR(--ISNUMBER(SEARCH("R50",G250))*50,0)+IFERROR(--ISNUMBER(SEARCH("R51",G250))*51,0)+IFERROR(--ISNUMBER(SEARCH("R52",G250))*52,0)+IFERROR(--ISNUMBER(SEARCH("R53",G250))*53,0)+IFERROR(--ISNUMBER(SEARCH("R54",G250))*54,0)+IFERROR(--ISNUMBER(SEARCH("R55",G250))*55,0)+IFERROR(--ISNUMBER(SEARCH("R56",G250))*56,0)+IFERROR(--ISNUMBER(SEARCH("R57",G250))*57,0)+IFERROR(--ISNUMBER(SEARCH("R58",G250))*58,0)+IFERROR(--ISNUMBER(SEARCH("R59",G250))*59,0)+IFERROR(--ISNUMBER(SEARCH("R60",G250))*60,0)+IFERROR(--ISNUMBER(SEARCH("R61",G250))*61,0)+IFERROR(--ISNUMBER(SEARCH("R62",G250))*62,0)+IFERROR(--ISNUMBER(SEARCH("R63",G250))*63,0)+IFERROR(--ISNUMBER(SEARCH("R64",G250))*64,0)+IFERROR(--ISNUMBER(SEARCH("R65",G250))*65,0)+IFERROR(--ISNUMBER(SEARCH("R66",G250))*66,0)+IFERROR(--ISNUMBER(SEARCH("R67",G250))*67,0)+IFERROR(--ISNUMBER(SEARCH("R68",G250))*68,0)+IFERROR(--ISNUMBER(SEARCH("R69",G250))*69,0)+IFERROR(--ISNUMBER(SEARCH("R70",G250))*70,0)+IFERROR(--ISNUMBER(SEARCH("R71",G250))*71,0)+IFERROR(--ISNUMBER(SEARCH("R72",G250))*72,0)+IFERROR(--ISNUMBER(SEARCH("R73",G250))*73,0)+IFERROR(--ISNUMBER(SEARCH("R74",G250))*74,0)+IFERROR(--ISNUMBER(SEARCH("R75",G250))*75,0)+IFERROR(--ISNUMBER(SEARCH("R76",G250))*76,0)+IFERROR(--ISNUMBER(SEARCH("R77",G250))*77,0)+IFERROR(--ISNUMBER(SEARCH("R78",G250))*78,0)+IFERROR(--ISNUMBER(SEARCH("R79",G250))*79,0)+IFERROR(--ISNUMBER(SEARCH("R80",G250))*80,0)+IFERROR(--ISNUMBER(SEARCH("R81",G250))*81,0)+IFERROR(--ISNUMBER(SEARCH("R82",G250))*82,0)+IFERROR(--ISNUMBER(SEARCH("R83",G250))*83,0)+IFERROR(--ISNUMBER(SEARCH("R84",G250))*84,0)+IFERROR(--ISNUMBER(SEARCH("R85",G250))*85,0)+IFERROR(--ISNUMBER(SEARCH("R86",G250))*86,0)+IFERROR(--ISNUMBER(SEARCH("R87",G250))*87,0)+IFERROR(--ISNUMBER(SEARCH("R88",G250))*88,0)+IFERROR(--ISNUMBER(SEARCH("R89",G250))*89,0)+IFERROR(--ISNUMBER(SEARCH("R90",G250))*90,0)+IFERROR(--ISNUMBER(SEARCH("R91",G250))*91,0)+IFERROR(--ISNUMBER(SEARCH("R92",G250))*92,0)+IFERROR(--ISNUMBER(SEARCH("R93",G250))*93,0)+IFERROR(--ISNUMBER(SEARCH("R94",G250))*94,0)+IFERROR(--ISNUMBER(SEARCH("R95",G250))*95,0)+IFERROR(--ISNUMBER(SEARCH("R96",G250))*96,0)+IFERROR(--ISNUMBER(SEARCH("R97",G250))*97,0)+IFERROR(--ISNUMBER(SEARCH("R98",G250))*98,0)+IFERROR(--ISNUMBER(SEARCH("R99",G250))*99,0)+IFERROR(--ISNUMBER(SEARCH("R100",G250))*100,0)+IFERROR(--ISNUMBER(SEARCH("R101",G250))*101,0)+IFERROR(--ISNUMBER(SEARCH("R102",G250))*102,0)+IFERROR(--ISNUMBER(SEARCH("R103",G250))*103,0)+IFERROR(--ISNUMBER(SEARCH("R104",G250))*104,0)+IFERROR(--ISNUMBER(SEARCH("R105",G250))*105,0)+IFERROR(--ISNUMBER(SEARCH("R106",G250))*106,0)+IFERROR(--ISNUMBER(SEARCH("R107",G250))*107,0)+IFERROR(--ISNUMBER(SEARCH("R108",G250))*108,0)+IFERROR(--ISNUMBER(SEARCH("R109",G250))*109,0)+IFERROR(--ISNUMBER(SEARCH("R110",G250))*110,0)+IFERROR(--ISNUMBER(SEARCH("R111",G250))*111,0)+IFERROR(--ISNUMBER(SEARCH("R112",G250))*112,0)+IFERROR(--ISNUMBER(SEARCH("R113",G250))*113,0)+IFERROR(--ISNUMBER(SEARCH("R114",G250))*114,0)+IFERROR(--ISNUMBER(SEARCH("R115",G250))*115,0)+IFERROR(--ISNUMBER(SEARCH("R116",G250))*116,0)+IFERROR(--ISNUMBER(SEARCH("R117",G250))*117,0)+IFERROR(--ISNUMBER(SEARCH("R118",G250))*118,0)+IFERROR(--ISNUMBER(SEARCH("R119",G250))*119,0)+IFERROR(--ISNUMBER(SEARCH("R120",G250))*120,0)+IFERROR(--ISNUMBER(SEARCH("R121",G250))*121,0)+IFERROR(--ISNUMBER(SEARCH("R122",G250))*122,0)+IFERROR(--ISNUMBER(SEARCH("R123",G250))*123,0)+IFERROR(--ISNUMBER(SEARCH("R124",G250))*124,0)+IFERROR(--ISNUMBER(SEARCH("R125",G250))*125,0)+IFERROR(--ISNUMBER(SEARCH("R126",G250))*126,0)+IFERROR(--ISNUMBER(SEARCH("R127",G250))*127,0)+IFERROR(--ISNUMBER(SEARCH("R128",G250))*128,0)+IFERROR(--ISNUMBER(SEARCH("R129",G250))*129,0)+IFERROR(--ISNUMBER(SEARCH("R130",G250))*130,0)+IFERROR(--ISNUMBER(SEARCH("R131",G250))*131,0)+IFERROR(--ISNUMBER(SEARCH("R132",G250))*132,0)+IFERROR(--ISNUMBER(SEARCH("R133",G250))*133,0)+IFERROR(--ISNUMBER(SEARCH("R134",G250))*134,0)+IFERROR(--ISNUMBER(SEARCH("R135",G250))*135,0)+IFERROR(--ISNUMBER(SEARCH("R136",G250))*136,0)+IFERROR(--ISNUMBER(SEARCH("R137",G250))*137,0)+IFERROR(--ISNUMBER(SEARCH("R138",G250))*138,0)+IFERROR(--ISNUMBER(SEARCH("R139",G250))*139,0)+IFERROR(--ISNUMBER(SEARCH("R140",G250))*140,0)+IFERROR(--ISNUMBER(SEARCH("R141",G250))*141,0))</f>
        <v/>
      </c>
      <c r="V250" s="59">
        <f>IF(A250="","",IF(K250&lt;&gt;"",K250,J250))</f>
        <v/>
      </c>
      <c r="W250" s="59">
        <f>IF(A250="","",IF(AND(V250=29,O250&lt;&gt;"",COUNTIFS($V$6:$V$505,29,$F$6:$F$505,F250,$C$6:$C$505,C250,$O$6:$O$505,"&lt;&gt;")&gt;1),IF(COUNTIFS($V$6:V250,29,$F$6:F250,F250,$C$6:C250,C250,$O$6:O250,"&lt;&gt;")=1,"Esta es la fila que se debe CONSERVAR (aparición 1 de "&amp;COUNTIFS($V$6:$V$505,29,$F$6:$F$505,F250,$C$6:$C$505,C250,$O$6:$O$505,"&lt;&gt;")&amp;" con el mismo tercero y valor, casilla 29). Si hay más filas iguales, bórreles el valor a ELLAS, no a esta.","DUPLICADO — ya existe otra fila con el mismo tercero y valor para casilla 29 (aparición "&amp;COUNTIFS($V$6:V250,29,$F$6:F250,F250,$C$6:C250,C250,$O$6:O250,"&lt;&gt;")&amp;" de "&amp;COUNTIFS($V$6:$V$505,29,$F$6:$F$505,F250,$C$6:$C$505,C250,$O$6:$O$505,"&lt;&gt;")&amp;"). Para resolverlo: seleccione la celda O"&amp;ROW()&amp;" (columna Valor a declarar de ESTA fila) y presione Supr."),""))</f>
        <v/>
      </c>
      <c r="X250" s="463">
        <f>IF(A250="","",F250)</f>
        <v/>
      </c>
      <c r="Y250" s="463">
        <f>IF(A250="","",SUMIF(Entrada_Manual!$I$88:$I$187,A250,Entrada_Manual!$F$88:$F$187))</f>
        <v/>
      </c>
      <c r="Z250" s="463">
        <f>IF(A250="","",X250-Y250)</f>
        <v/>
      </c>
      <c r="AA250">
        <f>IF(A250="","",SUMPRODUCT((Entrada_Manual!$I$88:$I$187=A250)*1))</f>
        <v/>
      </c>
      <c r="AB250">
        <f>IF(A250="","",IF(S250&lt;=1,"",IF(AA250=0,"PENDIENTE — SIN ASIGNAR",IF(Z250=0,"RESUELTO","PARCIAL — DIFERENCIA "&amp;TEXT(Z250,"#,##0")))))</f>
        <v/>
      </c>
    </row>
    <row r="251" ht="14.25" customHeight="1" s="235">
      <c r="A251" s="47">
        <f>IF(Exogena_RAW!E260&lt;&gt;"",ROW()-5,"")</f>
        <v/>
      </c>
      <c r="B251" s="48">
        <f>IF(A251="","",260)</f>
        <v/>
      </c>
      <c r="C251" s="48">
        <f>IF(A251="","",IFERROR(Exogena_RAW!A260,""))</f>
        <v/>
      </c>
      <c r="D251" s="48">
        <f>IF(A251="","",IFERROR(Exogena_RAW!B260,""))</f>
        <v/>
      </c>
      <c r="E251" s="48">
        <f>IF(A251="","",Exogena_RAW!E260)</f>
        <v/>
      </c>
      <c r="F251" s="461">
        <f>IF(A251="","",Exogena_RAW!F260)</f>
        <v/>
      </c>
      <c r="G251" s="48">
        <f>IF(A251="","",IFERROR(Exogena_RAW!G260,""))</f>
        <v/>
      </c>
      <c r="H251" s="48">
        <f>IF(A251="","",IFERROR(Exogena_RAW!H260,""))</f>
        <v/>
      </c>
      <c r="I251" s="48">
        <f>IF(A251="","",IFERROR(IF(S251&gt;1,"VARIAS CASILLAS",IF(S251=1,IF(T251=1,"PROPUESTA DE CASILLA","REVISIÓN: CASILLA NO DIRECTA"),IF(OR(ISNUMBER(SEARCH("TOPE",UPPER(E251))),ISNUMBER(SEARCH("TOPE",UPPER(G251)))),"SOLO CONTROL",IF(ISNUMBER(SEARCH("RETEN",UPPER(E251))),"RETENCIÓN","REVISAR")))),"REVISAR"))</f>
        <v/>
      </c>
      <c r="J251" s="48">
        <f>IF(A251="","",IF(ISNUMBER(SEARCH("ingreso laboral promedio de los últimos seis meses",E251)),"",IFERROR(IF(AND(S251=1,T251=1),U251,""),"")))</f>
        <v/>
      </c>
      <c r="K251" s="216" t="n"/>
      <c r="L251" s="48">
        <f>IF(A251="","",IFERROR(IF(K251&lt;&gt;"","Casilla elegida por usuario",IF(S251&gt;1,"Varias casillas — elegir en K",IF(J251&lt;&gt;"","Sugerencia directa",IF(S251=1,"No trasladar directo — revisar",IF(OR(ISNUMBER(SEARCH("TOPE",UPPER(E251))),ISNUMBER(SEARCH("TOPE",UPPER(G251)))),"Solo control","Revisar manualmente"))))),"Revisar manualmente"))</f>
        <v/>
      </c>
      <c r="M251" s="461">
        <f>IF(A251="","",IF(IF(K251&lt;&gt;"",K251,J251)="",0,IF(COUNTIFS(Reglas!$I$5:$I$118,IF(K251&lt;&gt;"",K251,J251),Reglas!$J$5:$J$118,"Sí")=1,F251,0)))</f>
        <v/>
      </c>
      <c r="N251" s="56" t="n"/>
      <c r="O251" s="462">
        <f>IF(A251="","",IF(M251=0,"",M251))</f>
        <v/>
      </c>
      <c r="P251" s="461">
        <f>IF(A251="","",IF(O251="",0,IF(ISNUMBER(O251),O251,0)))</f>
        <v/>
      </c>
      <c r="Q251" s="48">
        <f>IF(A251="","",IF(Exogena_RAW!$C$4="","BLOQUEADO: FALTA AÑO",IF(Exogena_RAW!$K$10&lt;&gt;Reglas!$B$5,"BLOQUEADO: AÑO",IF(IF(K251&lt;&gt;"",K251,J251)="",IF(S251&gt;1,"REQUIERE ASIGNACIÓN MANUAL (VARIAS CASILLAS)","INFORMATIVO (sin casilla — no se declara)"),IF(COUNTIFS(Reglas!$I$5:$I$118,IF(K251&lt;&gt;"",K251,J251),Reglas!$J$5:$J$118,"Sí")=0,"BLOQUEADO: CASILLA NO DIRECTA",IF(O251="","EXCLUIDO (valor borrado por el usuario)",IF(_xlfn.ISFORMULA(O251),IF(W251&lt;&gt;"","BORRADOR — VALOR SUGERIDO DIAN ⚠ VER ALERTA","BORRADOR — VALOR SUGERIDO DIAN"),IF(W251&lt;&gt;"","ACEPTADO ⚠ VER ALERTA","ACEPTADO"))))))))</f>
        <v/>
      </c>
      <c r="R251" s="218" t="n"/>
      <c r="S251" s="58">
        <f>IF(A251="","",IFERROR(--ISNUMBER(SEARCH("R28",G251)),0)+IFERROR(--ISNUMBER(SEARCH("R29",G251)),0)+IFERROR(--ISNUMBER(SEARCH("R30",G251)),0)+IFERROR(--ISNUMBER(SEARCH("R31",G251)),0)+IFERROR(--ISNUMBER(SEARCH("R32",G251)),0)+IFERROR(--ISNUMBER(SEARCH("R33",G251)),0)+IFERROR(--ISNUMBER(SEARCH("R34",G251)),0)+IFERROR(--ISNUMBER(SEARCH("R35",G251)),0)+IFERROR(--ISNUMBER(SEARCH("R36",G251)),0)+IFERROR(--ISNUMBER(SEARCH("R37",G251)),0)+IFERROR(--ISNUMBER(SEARCH("R38",G251)),0)+IFERROR(--ISNUMBER(SEARCH("R39",G251)),0)+IFERROR(--ISNUMBER(SEARCH("R40",G251)),0)+IFERROR(--ISNUMBER(SEARCH("R41",G251)),0)+IFERROR(--ISNUMBER(SEARCH("R42",G251)),0)+IFERROR(--ISNUMBER(SEARCH("R43",G251)),0)+IFERROR(--ISNUMBER(SEARCH("R44",G251)),0)+IFERROR(--ISNUMBER(SEARCH("R45",G251)),0)+IFERROR(--ISNUMBER(SEARCH("R46",G251)),0)+IFERROR(--ISNUMBER(SEARCH("R47",G251)),0)+IFERROR(--ISNUMBER(SEARCH("R48",G251)),0)+IFERROR(--ISNUMBER(SEARCH("R49",G251)),0)+IFERROR(--ISNUMBER(SEARCH("R50",G251)),0)+IFERROR(--ISNUMBER(SEARCH("R51",G251)),0)+IFERROR(--ISNUMBER(SEARCH("R52",G251)),0)+IFERROR(--ISNUMBER(SEARCH("R53",G251)),0)+IFERROR(--ISNUMBER(SEARCH("R54",G251)),0)+IFERROR(--ISNUMBER(SEARCH("R55",G251)),0)+IFERROR(--ISNUMBER(SEARCH("R56",G251)),0)+IFERROR(--ISNUMBER(SEARCH("R57",G251)),0)+IFERROR(--ISNUMBER(SEARCH("R58",G251)),0)+IFERROR(--ISNUMBER(SEARCH("R59",G251)),0)+IFERROR(--ISNUMBER(SEARCH("R60",G251)),0)+IFERROR(--ISNUMBER(SEARCH("R61",G251)),0)+IFERROR(--ISNUMBER(SEARCH("R62",G251)),0)+IFERROR(--ISNUMBER(SEARCH("R63",G251)),0)+IFERROR(--ISNUMBER(SEARCH("R64",G251)),0)+IFERROR(--ISNUMBER(SEARCH("R65",G251)),0)+IFERROR(--ISNUMBER(SEARCH("R66",G251)),0)+IFERROR(--ISNUMBER(SEARCH("R67",G251)),0)+IFERROR(--ISNUMBER(SEARCH("R68",G251)),0)+IFERROR(--ISNUMBER(SEARCH("R69",G251)),0)+IFERROR(--ISNUMBER(SEARCH("R70",G251)),0)+IFERROR(--ISNUMBER(SEARCH("R71",G251)),0)+IFERROR(--ISNUMBER(SEARCH("R72",G251)),0)+IFERROR(--ISNUMBER(SEARCH("R73",G251)),0)+IFERROR(--ISNUMBER(SEARCH("R74",G251)),0)+IFERROR(--ISNUMBER(SEARCH("R75",G251)),0)+IFERROR(--ISNUMBER(SEARCH("R76",G251)),0)+IFERROR(--ISNUMBER(SEARCH("R77",G251)),0)+IFERROR(--ISNUMBER(SEARCH("R78",G251)),0)+IFERROR(--ISNUMBER(SEARCH("R79",G251)),0)+IFERROR(--ISNUMBER(SEARCH("R80",G251)),0)+IFERROR(--ISNUMBER(SEARCH("R81",G251)),0)+IFERROR(--ISNUMBER(SEARCH("R82",G251)),0)+IFERROR(--ISNUMBER(SEARCH("R83",G251)),0)+IFERROR(--ISNUMBER(SEARCH("R84",G251)),0)+IFERROR(--ISNUMBER(SEARCH("R85",G251)),0)+IFERROR(--ISNUMBER(SEARCH("R86",G251)),0)+IFERROR(--ISNUMBER(SEARCH("R87",G251)),0)+IFERROR(--ISNUMBER(SEARCH("R88",G251)),0)+IFERROR(--ISNUMBER(SEARCH("R89",G251)),0)+IFERROR(--ISNUMBER(SEARCH("R90",G251)),0)+IFERROR(--ISNUMBER(SEARCH("R91",G251)),0)+IFERROR(--ISNUMBER(SEARCH("R92",G251)),0)+IFERROR(--ISNUMBER(SEARCH("R93",G251)),0)+IFERROR(--ISNUMBER(SEARCH("R94",G251)),0)+IFERROR(--ISNUMBER(SEARCH("R95",G251)),0)+IFERROR(--ISNUMBER(SEARCH("R96",G251)),0)+IFERROR(--ISNUMBER(SEARCH("R97",G251)),0)+IFERROR(--ISNUMBER(SEARCH("R98",G251)),0)+IFERROR(--ISNUMBER(SEARCH("R99",G251)),0)+IFERROR(--ISNUMBER(SEARCH("R100",G251)),0)+IFERROR(--ISNUMBER(SEARCH("R101",G251)),0)+IFERROR(--ISNUMBER(SEARCH("R102",G251)),0)+IFERROR(--ISNUMBER(SEARCH("R103",G251)),0)+IFERROR(--ISNUMBER(SEARCH("R104",G251)),0)+IFERROR(--ISNUMBER(SEARCH("R105",G251)),0)+IFERROR(--ISNUMBER(SEARCH("R106",G251)),0)+IFERROR(--ISNUMBER(SEARCH("R107",G251)),0)+IFERROR(--ISNUMBER(SEARCH("R108",G251)),0)+IFERROR(--ISNUMBER(SEARCH("R109",G251)),0)+IFERROR(--ISNUMBER(SEARCH("R110",G251)),0)+IFERROR(--ISNUMBER(SEARCH("R111",G251)),0)+IFERROR(--ISNUMBER(SEARCH("R112",G251)),0)+IFERROR(--ISNUMBER(SEARCH("R113",G251)),0)+IFERROR(--ISNUMBER(SEARCH("R114",G251)),0)+IFERROR(--ISNUMBER(SEARCH("R115",G251)),0)+IFERROR(--ISNUMBER(SEARCH("R116",G251)),0)+IFERROR(--ISNUMBER(SEARCH("R117",G251)),0)+IFERROR(--ISNUMBER(SEARCH("R118",G251)),0)+IFERROR(--ISNUMBER(SEARCH("R119",G251)),0)+IFERROR(--ISNUMBER(SEARCH("R120",G251)),0)+IFERROR(--ISNUMBER(SEARCH("R121",G251)),0)+IFERROR(--ISNUMBER(SEARCH("R122",G251)),0)+IFERROR(--ISNUMBER(SEARCH("R123",G251)),0)+IFERROR(--ISNUMBER(SEARCH("R124",G251)),0)+IFERROR(--ISNUMBER(SEARCH("R125",G251)),0)+IFERROR(--ISNUMBER(SEARCH("R126",G251)),0)+IFERROR(--ISNUMBER(SEARCH("R127",G251)),0)+IFERROR(--ISNUMBER(SEARCH("R128",G251)),0)+IFERROR(--ISNUMBER(SEARCH("R129",G251)),0)+IFERROR(--ISNUMBER(SEARCH("R130",G251)),0)+IFERROR(--ISNUMBER(SEARCH("R131",G251)),0)+IFERROR(--ISNUMBER(SEARCH("R132",G251)),0)+IFERROR(--ISNUMBER(SEARCH("R133",G251)),0)+IFERROR(--ISNUMBER(SEARCH("R134",G251)),0)+IFERROR(--ISNUMBER(SEARCH("R135",G251)),0)+IFERROR(--ISNUMBER(SEARCH("R136",G251)),0)+IFERROR(--ISNUMBER(SEARCH("R137",G251)),0)+IFERROR(--ISNUMBER(SEARCH("R138",G251)),0)+IFERROR(--ISNUMBER(SEARCH("R139",G251)),0)+IFERROR(--ISNUMBER(SEARCH("R140",G251)),0)+IFERROR(--ISNUMBER(SEARCH("R141",G251)),0))</f>
        <v/>
      </c>
      <c r="T251" s="58">
        <f>IF(A251="","",IFERROR(--ISNUMBER(SEARCH("R28",G251)),0)+IFERROR(--ISNUMBER(SEARCH("R29",G251)),0)+IFERROR(--ISNUMBER(SEARCH("R30",G251)),0)+IFERROR(--ISNUMBER(SEARCH("R32",G251)),0)+IFERROR(--ISNUMBER(SEARCH("R33",G251)),0)+IFERROR(--ISNUMBER(SEARCH("R35",G251)),0)+IFERROR(--ISNUMBER(SEARCH("R36",G251)),0)+IFERROR(--ISNUMBER(SEARCH("R38",G251)),0)+IFERROR(--ISNUMBER(SEARCH("R39",G251)),0)+IFERROR(--ISNUMBER(SEARCH("R43",G251)),0)+IFERROR(--ISNUMBER(SEARCH("R44",G251)),0)+IFERROR(--ISNUMBER(SEARCH("R45",G251)),0)+IFERROR(--ISNUMBER(SEARCH("R47",G251)),0)+IFERROR(--ISNUMBER(SEARCH("R48",G251)),0)+IFERROR(--ISNUMBER(SEARCH("R50",G251)),0)+IFERROR(--ISNUMBER(SEARCH("R51",G251)),0)+IFERROR(--ISNUMBER(SEARCH("R56",G251)),0)+IFERROR(--ISNUMBER(SEARCH("R58",G251)),0)+IFERROR(--ISNUMBER(SEARCH("R59",G251)),0)+IFERROR(--ISNUMBER(SEARCH("R60",G251)),0)+IFERROR(--ISNUMBER(SEARCH("R62",G251)),0)+IFERROR(--ISNUMBER(SEARCH("R63",G251)),0)+IFERROR(--ISNUMBER(SEARCH("R64",G251)),0)+IFERROR(--ISNUMBER(SEARCH("R66",G251)),0)+IFERROR(--ISNUMBER(SEARCH("R67",G251)),0)+IFERROR(--ISNUMBER(SEARCH("R72",G251)),0)+IFERROR(--ISNUMBER(SEARCH("R74",G251)),0)+IFERROR(--ISNUMBER(SEARCH("R75",G251)),0)+IFERROR(--ISNUMBER(SEARCH("R76",G251)),0)+IFERROR(--ISNUMBER(SEARCH("R77",G251)),0)+IFERROR(--ISNUMBER(SEARCH("R79",G251)),0)+IFERROR(--ISNUMBER(SEARCH("R80",G251)),0)+IFERROR(--ISNUMBER(SEARCH("R81",G251)),0)+IFERROR(--ISNUMBER(SEARCH("R83",G251)),0)+IFERROR(--ISNUMBER(SEARCH("R84",G251)),0)+IFERROR(--ISNUMBER(SEARCH("R89",G251)),0)+IFERROR(--ISNUMBER(SEARCH("R94",G251)),0)+IFERROR(--ISNUMBER(SEARCH("R95",G251)),0)+IFERROR(--ISNUMBER(SEARCH("R96",G251)),0)+IFERROR(--ISNUMBER(SEARCH("R98",G251)),0)+IFERROR(--ISNUMBER(SEARCH("R99",G251)),0)+IFERROR(--ISNUMBER(SEARCH("R100",G251)),0)+IFERROR(--ISNUMBER(SEARCH("R104",G251)),0)+IFERROR(--ISNUMBER(SEARCH("R105",G251)),0)+IFERROR(--ISNUMBER(SEARCH("R107",G251)),0)+IFERROR(--ISNUMBER(SEARCH("R108",G251)),0)+IFERROR(--ISNUMBER(SEARCH("R109",G251)),0)+IFERROR(--ISNUMBER(SEARCH("R110",G251)),0)+IFERROR(--ISNUMBER(SEARCH("R112",G251)),0)+IFERROR(--ISNUMBER(SEARCH("R113",G251)),0)+IFERROR(--ISNUMBER(SEARCH("R114",G251)),0)+IFERROR(--ISNUMBER(SEARCH("R118",G251)),0)+IFERROR(--ISNUMBER(SEARCH("R119",G251)),0)+IFERROR(--ISNUMBER(SEARCH("R120",G251)),0)+IFERROR(--ISNUMBER(SEARCH("R122",G251)),0)+IFERROR(--ISNUMBER(SEARCH("R123",G251)),0)+IFERROR(--ISNUMBER(SEARCH("R124",G251)),0)+IFERROR(--ISNUMBER(SEARCH("R128",G251)),0)+IFERROR(--ISNUMBER(SEARCH("R130",G251)),0)+IFERROR(--ISNUMBER(SEARCH("R131",G251)),0)+IFERROR(--ISNUMBER(SEARCH("R132",G251)),0)+IFERROR(--ISNUMBER(SEARCH("R135",G251)),0)+IFERROR(--ISNUMBER(SEARCH("R138",G251)),0)+IFERROR(--ISNUMBER(SEARCH("R141",G251)),0))</f>
        <v/>
      </c>
      <c r="U251" s="58">
        <f>IF(A251="","",IFERROR(--ISNUMBER(SEARCH("R28",G251))*28,0)+IFERROR(--ISNUMBER(SEARCH("R29",G251))*29,0)+IFERROR(--ISNUMBER(SEARCH("R30",G251))*30,0)+IFERROR(--ISNUMBER(SEARCH("R31",G251))*31,0)+IFERROR(--ISNUMBER(SEARCH("R32",G251))*32,0)+IFERROR(--ISNUMBER(SEARCH("R33",G251))*33,0)+IFERROR(--ISNUMBER(SEARCH("R34",G251))*34,0)+IFERROR(--ISNUMBER(SEARCH("R35",G251))*35,0)+IFERROR(--ISNUMBER(SEARCH("R36",G251))*36,0)+IFERROR(--ISNUMBER(SEARCH("R37",G251))*37,0)+IFERROR(--ISNUMBER(SEARCH("R38",G251))*38,0)+IFERROR(--ISNUMBER(SEARCH("R39",G251))*39,0)+IFERROR(--ISNUMBER(SEARCH("R40",G251))*40,0)+IFERROR(--ISNUMBER(SEARCH("R41",G251))*41,0)+IFERROR(--ISNUMBER(SEARCH("R42",G251))*42,0)+IFERROR(--ISNUMBER(SEARCH("R43",G251))*43,0)+IFERROR(--ISNUMBER(SEARCH("R44",G251))*44,0)+IFERROR(--ISNUMBER(SEARCH("R45",G251))*45,0)+IFERROR(--ISNUMBER(SEARCH("R46",G251))*46,0)+IFERROR(--ISNUMBER(SEARCH("R47",G251))*47,0)+IFERROR(--ISNUMBER(SEARCH("R48",G251))*48,0)+IFERROR(--ISNUMBER(SEARCH("R49",G251))*49,0)+IFERROR(--ISNUMBER(SEARCH("R50",G251))*50,0)+IFERROR(--ISNUMBER(SEARCH("R51",G251))*51,0)+IFERROR(--ISNUMBER(SEARCH("R52",G251))*52,0)+IFERROR(--ISNUMBER(SEARCH("R53",G251))*53,0)+IFERROR(--ISNUMBER(SEARCH("R54",G251))*54,0)+IFERROR(--ISNUMBER(SEARCH("R55",G251))*55,0)+IFERROR(--ISNUMBER(SEARCH("R56",G251))*56,0)+IFERROR(--ISNUMBER(SEARCH("R57",G251))*57,0)+IFERROR(--ISNUMBER(SEARCH("R58",G251))*58,0)+IFERROR(--ISNUMBER(SEARCH("R59",G251))*59,0)+IFERROR(--ISNUMBER(SEARCH("R60",G251))*60,0)+IFERROR(--ISNUMBER(SEARCH("R61",G251))*61,0)+IFERROR(--ISNUMBER(SEARCH("R62",G251))*62,0)+IFERROR(--ISNUMBER(SEARCH("R63",G251))*63,0)+IFERROR(--ISNUMBER(SEARCH("R64",G251))*64,0)+IFERROR(--ISNUMBER(SEARCH("R65",G251))*65,0)+IFERROR(--ISNUMBER(SEARCH("R66",G251))*66,0)+IFERROR(--ISNUMBER(SEARCH("R67",G251))*67,0)+IFERROR(--ISNUMBER(SEARCH("R68",G251))*68,0)+IFERROR(--ISNUMBER(SEARCH("R69",G251))*69,0)+IFERROR(--ISNUMBER(SEARCH("R70",G251))*70,0)+IFERROR(--ISNUMBER(SEARCH("R71",G251))*71,0)+IFERROR(--ISNUMBER(SEARCH("R72",G251))*72,0)+IFERROR(--ISNUMBER(SEARCH("R73",G251))*73,0)+IFERROR(--ISNUMBER(SEARCH("R74",G251))*74,0)+IFERROR(--ISNUMBER(SEARCH("R75",G251))*75,0)+IFERROR(--ISNUMBER(SEARCH("R76",G251))*76,0)+IFERROR(--ISNUMBER(SEARCH("R77",G251))*77,0)+IFERROR(--ISNUMBER(SEARCH("R78",G251))*78,0)+IFERROR(--ISNUMBER(SEARCH("R79",G251))*79,0)+IFERROR(--ISNUMBER(SEARCH("R80",G251))*80,0)+IFERROR(--ISNUMBER(SEARCH("R81",G251))*81,0)+IFERROR(--ISNUMBER(SEARCH("R82",G251))*82,0)+IFERROR(--ISNUMBER(SEARCH("R83",G251))*83,0)+IFERROR(--ISNUMBER(SEARCH("R84",G251))*84,0)+IFERROR(--ISNUMBER(SEARCH("R85",G251))*85,0)+IFERROR(--ISNUMBER(SEARCH("R86",G251))*86,0)+IFERROR(--ISNUMBER(SEARCH("R87",G251))*87,0)+IFERROR(--ISNUMBER(SEARCH("R88",G251))*88,0)+IFERROR(--ISNUMBER(SEARCH("R89",G251))*89,0)+IFERROR(--ISNUMBER(SEARCH("R90",G251))*90,0)+IFERROR(--ISNUMBER(SEARCH("R91",G251))*91,0)+IFERROR(--ISNUMBER(SEARCH("R92",G251))*92,0)+IFERROR(--ISNUMBER(SEARCH("R93",G251))*93,0)+IFERROR(--ISNUMBER(SEARCH("R94",G251))*94,0)+IFERROR(--ISNUMBER(SEARCH("R95",G251))*95,0)+IFERROR(--ISNUMBER(SEARCH("R96",G251))*96,0)+IFERROR(--ISNUMBER(SEARCH("R97",G251))*97,0)+IFERROR(--ISNUMBER(SEARCH("R98",G251))*98,0)+IFERROR(--ISNUMBER(SEARCH("R99",G251))*99,0)+IFERROR(--ISNUMBER(SEARCH("R100",G251))*100,0)+IFERROR(--ISNUMBER(SEARCH("R101",G251))*101,0)+IFERROR(--ISNUMBER(SEARCH("R102",G251))*102,0)+IFERROR(--ISNUMBER(SEARCH("R103",G251))*103,0)+IFERROR(--ISNUMBER(SEARCH("R104",G251))*104,0)+IFERROR(--ISNUMBER(SEARCH("R105",G251))*105,0)+IFERROR(--ISNUMBER(SEARCH("R106",G251))*106,0)+IFERROR(--ISNUMBER(SEARCH("R107",G251))*107,0)+IFERROR(--ISNUMBER(SEARCH("R108",G251))*108,0)+IFERROR(--ISNUMBER(SEARCH("R109",G251))*109,0)+IFERROR(--ISNUMBER(SEARCH("R110",G251))*110,0)+IFERROR(--ISNUMBER(SEARCH("R111",G251))*111,0)+IFERROR(--ISNUMBER(SEARCH("R112",G251))*112,0)+IFERROR(--ISNUMBER(SEARCH("R113",G251))*113,0)+IFERROR(--ISNUMBER(SEARCH("R114",G251))*114,0)+IFERROR(--ISNUMBER(SEARCH("R115",G251))*115,0)+IFERROR(--ISNUMBER(SEARCH("R116",G251))*116,0)+IFERROR(--ISNUMBER(SEARCH("R117",G251))*117,0)+IFERROR(--ISNUMBER(SEARCH("R118",G251))*118,0)+IFERROR(--ISNUMBER(SEARCH("R119",G251))*119,0)+IFERROR(--ISNUMBER(SEARCH("R120",G251))*120,0)+IFERROR(--ISNUMBER(SEARCH("R121",G251))*121,0)+IFERROR(--ISNUMBER(SEARCH("R122",G251))*122,0)+IFERROR(--ISNUMBER(SEARCH("R123",G251))*123,0)+IFERROR(--ISNUMBER(SEARCH("R124",G251))*124,0)+IFERROR(--ISNUMBER(SEARCH("R125",G251))*125,0)+IFERROR(--ISNUMBER(SEARCH("R126",G251))*126,0)+IFERROR(--ISNUMBER(SEARCH("R127",G251))*127,0)+IFERROR(--ISNUMBER(SEARCH("R128",G251))*128,0)+IFERROR(--ISNUMBER(SEARCH("R129",G251))*129,0)+IFERROR(--ISNUMBER(SEARCH("R130",G251))*130,0)+IFERROR(--ISNUMBER(SEARCH("R131",G251))*131,0)+IFERROR(--ISNUMBER(SEARCH("R132",G251))*132,0)+IFERROR(--ISNUMBER(SEARCH("R133",G251))*133,0)+IFERROR(--ISNUMBER(SEARCH("R134",G251))*134,0)+IFERROR(--ISNUMBER(SEARCH("R135",G251))*135,0)+IFERROR(--ISNUMBER(SEARCH("R136",G251))*136,0)+IFERROR(--ISNUMBER(SEARCH("R137",G251))*137,0)+IFERROR(--ISNUMBER(SEARCH("R138",G251))*138,0)+IFERROR(--ISNUMBER(SEARCH("R139",G251))*139,0)+IFERROR(--ISNUMBER(SEARCH("R140",G251))*140,0)+IFERROR(--ISNUMBER(SEARCH("R141",G251))*141,0))</f>
        <v/>
      </c>
      <c r="V251" s="59">
        <f>IF(A251="","",IF(K251&lt;&gt;"",K251,J251))</f>
        <v/>
      </c>
      <c r="W251" s="59">
        <f>IF(A251="","",IF(AND(V251=29,O251&lt;&gt;"",COUNTIFS($V$6:$V$505,29,$F$6:$F$505,F251,$C$6:$C$505,C251,$O$6:$O$505,"&lt;&gt;")&gt;1),IF(COUNTIFS($V$6:V251,29,$F$6:F251,F251,$C$6:C251,C251,$O$6:O251,"&lt;&gt;")=1,"Esta es la fila que se debe CONSERVAR (aparición 1 de "&amp;COUNTIFS($V$6:$V$505,29,$F$6:$F$505,F251,$C$6:$C$505,C251,$O$6:$O$505,"&lt;&gt;")&amp;" con el mismo tercero y valor, casilla 29). Si hay más filas iguales, bórreles el valor a ELLAS, no a esta.","DUPLICADO — ya existe otra fila con el mismo tercero y valor para casilla 29 (aparición "&amp;COUNTIFS($V$6:V251,29,$F$6:F251,F251,$C$6:C251,C251,$O$6:O251,"&lt;&gt;")&amp;" de "&amp;COUNTIFS($V$6:$V$505,29,$F$6:$F$505,F251,$C$6:$C$505,C251,$O$6:$O$505,"&lt;&gt;")&amp;"). Para resolverlo: seleccione la celda O"&amp;ROW()&amp;" (columna Valor a declarar de ESTA fila) y presione Supr."),""))</f>
        <v/>
      </c>
      <c r="X251" s="463">
        <f>IF(A251="","",F251)</f>
        <v/>
      </c>
      <c r="Y251" s="463">
        <f>IF(A251="","",SUMIF(Entrada_Manual!$I$88:$I$187,A251,Entrada_Manual!$F$88:$F$187))</f>
        <v/>
      </c>
      <c r="Z251" s="463">
        <f>IF(A251="","",X251-Y251)</f>
        <v/>
      </c>
      <c r="AA251">
        <f>IF(A251="","",SUMPRODUCT((Entrada_Manual!$I$88:$I$187=A251)*1))</f>
        <v/>
      </c>
      <c r="AB251">
        <f>IF(A251="","",IF(S251&lt;=1,"",IF(AA251=0,"PENDIENTE — SIN ASIGNAR",IF(Z251=0,"RESUELTO","PARCIAL — DIFERENCIA "&amp;TEXT(Z251,"#,##0")))))</f>
        <v/>
      </c>
    </row>
    <row r="252" ht="14.25" customHeight="1" s="235">
      <c r="A252" s="47">
        <f>IF(Exogena_RAW!E261&lt;&gt;"",ROW()-5,"")</f>
        <v/>
      </c>
      <c r="B252" s="48">
        <f>IF(A252="","",261)</f>
        <v/>
      </c>
      <c r="C252" s="48">
        <f>IF(A252="","",IFERROR(Exogena_RAW!A261,""))</f>
        <v/>
      </c>
      <c r="D252" s="48">
        <f>IF(A252="","",IFERROR(Exogena_RAW!B261,""))</f>
        <v/>
      </c>
      <c r="E252" s="48">
        <f>IF(A252="","",Exogena_RAW!E261)</f>
        <v/>
      </c>
      <c r="F252" s="461">
        <f>IF(A252="","",Exogena_RAW!F261)</f>
        <v/>
      </c>
      <c r="G252" s="48">
        <f>IF(A252="","",IFERROR(Exogena_RAW!G261,""))</f>
        <v/>
      </c>
      <c r="H252" s="48">
        <f>IF(A252="","",IFERROR(Exogena_RAW!H261,""))</f>
        <v/>
      </c>
      <c r="I252" s="48">
        <f>IF(A252="","",IFERROR(IF(S252&gt;1,"VARIAS CASILLAS",IF(S252=1,IF(T252=1,"PROPUESTA DE CASILLA","REVISIÓN: CASILLA NO DIRECTA"),IF(OR(ISNUMBER(SEARCH("TOPE",UPPER(E252))),ISNUMBER(SEARCH("TOPE",UPPER(G252)))),"SOLO CONTROL",IF(ISNUMBER(SEARCH("RETEN",UPPER(E252))),"RETENCIÓN","REVISAR")))),"REVISAR"))</f>
        <v/>
      </c>
      <c r="J252" s="48">
        <f>IF(A252="","",IF(ISNUMBER(SEARCH("ingreso laboral promedio de los últimos seis meses",E252)),"",IFERROR(IF(AND(S252=1,T252=1),U252,""),"")))</f>
        <v/>
      </c>
      <c r="K252" s="216" t="n"/>
      <c r="L252" s="48">
        <f>IF(A252="","",IFERROR(IF(K252&lt;&gt;"","Casilla elegida por usuario",IF(S252&gt;1,"Varias casillas — elegir en K",IF(J252&lt;&gt;"","Sugerencia directa",IF(S252=1,"No trasladar directo — revisar",IF(OR(ISNUMBER(SEARCH("TOPE",UPPER(E252))),ISNUMBER(SEARCH("TOPE",UPPER(G252)))),"Solo control","Revisar manualmente"))))),"Revisar manualmente"))</f>
        <v/>
      </c>
      <c r="M252" s="461">
        <f>IF(A252="","",IF(IF(K252&lt;&gt;"",K252,J252)="",0,IF(COUNTIFS(Reglas!$I$5:$I$118,IF(K252&lt;&gt;"",K252,J252),Reglas!$J$5:$J$118,"Sí")=1,F252,0)))</f>
        <v/>
      </c>
      <c r="N252" s="56" t="n"/>
      <c r="O252" s="462">
        <f>IF(A252="","",IF(M252=0,"",M252))</f>
        <v/>
      </c>
      <c r="P252" s="461">
        <f>IF(A252="","",IF(O252="",0,IF(ISNUMBER(O252),O252,0)))</f>
        <v/>
      </c>
      <c r="Q252" s="48">
        <f>IF(A252="","",IF(Exogena_RAW!$C$4="","BLOQUEADO: FALTA AÑO",IF(Exogena_RAW!$K$10&lt;&gt;Reglas!$B$5,"BLOQUEADO: AÑO",IF(IF(K252&lt;&gt;"",K252,J252)="",IF(S252&gt;1,"REQUIERE ASIGNACIÓN MANUAL (VARIAS CASILLAS)","INFORMATIVO (sin casilla — no se declara)"),IF(COUNTIFS(Reglas!$I$5:$I$118,IF(K252&lt;&gt;"",K252,J252),Reglas!$J$5:$J$118,"Sí")=0,"BLOQUEADO: CASILLA NO DIRECTA",IF(O252="","EXCLUIDO (valor borrado por el usuario)",IF(_xlfn.ISFORMULA(O252),IF(W252&lt;&gt;"","BORRADOR — VALOR SUGERIDO DIAN ⚠ VER ALERTA","BORRADOR — VALOR SUGERIDO DIAN"),IF(W252&lt;&gt;"","ACEPTADO ⚠ VER ALERTA","ACEPTADO"))))))))</f>
        <v/>
      </c>
      <c r="R252" s="218" t="n"/>
      <c r="S252" s="58">
        <f>IF(A252="","",IFERROR(--ISNUMBER(SEARCH("R28",G252)),0)+IFERROR(--ISNUMBER(SEARCH("R29",G252)),0)+IFERROR(--ISNUMBER(SEARCH("R30",G252)),0)+IFERROR(--ISNUMBER(SEARCH("R31",G252)),0)+IFERROR(--ISNUMBER(SEARCH("R32",G252)),0)+IFERROR(--ISNUMBER(SEARCH("R33",G252)),0)+IFERROR(--ISNUMBER(SEARCH("R34",G252)),0)+IFERROR(--ISNUMBER(SEARCH("R35",G252)),0)+IFERROR(--ISNUMBER(SEARCH("R36",G252)),0)+IFERROR(--ISNUMBER(SEARCH("R37",G252)),0)+IFERROR(--ISNUMBER(SEARCH("R38",G252)),0)+IFERROR(--ISNUMBER(SEARCH("R39",G252)),0)+IFERROR(--ISNUMBER(SEARCH("R40",G252)),0)+IFERROR(--ISNUMBER(SEARCH("R41",G252)),0)+IFERROR(--ISNUMBER(SEARCH("R42",G252)),0)+IFERROR(--ISNUMBER(SEARCH("R43",G252)),0)+IFERROR(--ISNUMBER(SEARCH("R44",G252)),0)+IFERROR(--ISNUMBER(SEARCH("R45",G252)),0)+IFERROR(--ISNUMBER(SEARCH("R46",G252)),0)+IFERROR(--ISNUMBER(SEARCH("R47",G252)),0)+IFERROR(--ISNUMBER(SEARCH("R48",G252)),0)+IFERROR(--ISNUMBER(SEARCH("R49",G252)),0)+IFERROR(--ISNUMBER(SEARCH("R50",G252)),0)+IFERROR(--ISNUMBER(SEARCH("R51",G252)),0)+IFERROR(--ISNUMBER(SEARCH("R52",G252)),0)+IFERROR(--ISNUMBER(SEARCH("R53",G252)),0)+IFERROR(--ISNUMBER(SEARCH("R54",G252)),0)+IFERROR(--ISNUMBER(SEARCH("R55",G252)),0)+IFERROR(--ISNUMBER(SEARCH("R56",G252)),0)+IFERROR(--ISNUMBER(SEARCH("R57",G252)),0)+IFERROR(--ISNUMBER(SEARCH("R58",G252)),0)+IFERROR(--ISNUMBER(SEARCH("R59",G252)),0)+IFERROR(--ISNUMBER(SEARCH("R60",G252)),0)+IFERROR(--ISNUMBER(SEARCH("R61",G252)),0)+IFERROR(--ISNUMBER(SEARCH("R62",G252)),0)+IFERROR(--ISNUMBER(SEARCH("R63",G252)),0)+IFERROR(--ISNUMBER(SEARCH("R64",G252)),0)+IFERROR(--ISNUMBER(SEARCH("R65",G252)),0)+IFERROR(--ISNUMBER(SEARCH("R66",G252)),0)+IFERROR(--ISNUMBER(SEARCH("R67",G252)),0)+IFERROR(--ISNUMBER(SEARCH("R68",G252)),0)+IFERROR(--ISNUMBER(SEARCH("R69",G252)),0)+IFERROR(--ISNUMBER(SEARCH("R70",G252)),0)+IFERROR(--ISNUMBER(SEARCH("R71",G252)),0)+IFERROR(--ISNUMBER(SEARCH("R72",G252)),0)+IFERROR(--ISNUMBER(SEARCH("R73",G252)),0)+IFERROR(--ISNUMBER(SEARCH("R74",G252)),0)+IFERROR(--ISNUMBER(SEARCH("R75",G252)),0)+IFERROR(--ISNUMBER(SEARCH("R76",G252)),0)+IFERROR(--ISNUMBER(SEARCH("R77",G252)),0)+IFERROR(--ISNUMBER(SEARCH("R78",G252)),0)+IFERROR(--ISNUMBER(SEARCH("R79",G252)),0)+IFERROR(--ISNUMBER(SEARCH("R80",G252)),0)+IFERROR(--ISNUMBER(SEARCH("R81",G252)),0)+IFERROR(--ISNUMBER(SEARCH("R82",G252)),0)+IFERROR(--ISNUMBER(SEARCH("R83",G252)),0)+IFERROR(--ISNUMBER(SEARCH("R84",G252)),0)+IFERROR(--ISNUMBER(SEARCH("R85",G252)),0)+IFERROR(--ISNUMBER(SEARCH("R86",G252)),0)+IFERROR(--ISNUMBER(SEARCH("R87",G252)),0)+IFERROR(--ISNUMBER(SEARCH("R88",G252)),0)+IFERROR(--ISNUMBER(SEARCH("R89",G252)),0)+IFERROR(--ISNUMBER(SEARCH("R90",G252)),0)+IFERROR(--ISNUMBER(SEARCH("R91",G252)),0)+IFERROR(--ISNUMBER(SEARCH("R92",G252)),0)+IFERROR(--ISNUMBER(SEARCH("R93",G252)),0)+IFERROR(--ISNUMBER(SEARCH("R94",G252)),0)+IFERROR(--ISNUMBER(SEARCH("R95",G252)),0)+IFERROR(--ISNUMBER(SEARCH("R96",G252)),0)+IFERROR(--ISNUMBER(SEARCH("R97",G252)),0)+IFERROR(--ISNUMBER(SEARCH("R98",G252)),0)+IFERROR(--ISNUMBER(SEARCH("R99",G252)),0)+IFERROR(--ISNUMBER(SEARCH("R100",G252)),0)+IFERROR(--ISNUMBER(SEARCH("R101",G252)),0)+IFERROR(--ISNUMBER(SEARCH("R102",G252)),0)+IFERROR(--ISNUMBER(SEARCH("R103",G252)),0)+IFERROR(--ISNUMBER(SEARCH("R104",G252)),0)+IFERROR(--ISNUMBER(SEARCH("R105",G252)),0)+IFERROR(--ISNUMBER(SEARCH("R106",G252)),0)+IFERROR(--ISNUMBER(SEARCH("R107",G252)),0)+IFERROR(--ISNUMBER(SEARCH("R108",G252)),0)+IFERROR(--ISNUMBER(SEARCH("R109",G252)),0)+IFERROR(--ISNUMBER(SEARCH("R110",G252)),0)+IFERROR(--ISNUMBER(SEARCH("R111",G252)),0)+IFERROR(--ISNUMBER(SEARCH("R112",G252)),0)+IFERROR(--ISNUMBER(SEARCH("R113",G252)),0)+IFERROR(--ISNUMBER(SEARCH("R114",G252)),0)+IFERROR(--ISNUMBER(SEARCH("R115",G252)),0)+IFERROR(--ISNUMBER(SEARCH("R116",G252)),0)+IFERROR(--ISNUMBER(SEARCH("R117",G252)),0)+IFERROR(--ISNUMBER(SEARCH("R118",G252)),0)+IFERROR(--ISNUMBER(SEARCH("R119",G252)),0)+IFERROR(--ISNUMBER(SEARCH("R120",G252)),0)+IFERROR(--ISNUMBER(SEARCH("R121",G252)),0)+IFERROR(--ISNUMBER(SEARCH("R122",G252)),0)+IFERROR(--ISNUMBER(SEARCH("R123",G252)),0)+IFERROR(--ISNUMBER(SEARCH("R124",G252)),0)+IFERROR(--ISNUMBER(SEARCH("R125",G252)),0)+IFERROR(--ISNUMBER(SEARCH("R126",G252)),0)+IFERROR(--ISNUMBER(SEARCH("R127",G252)),0)+IFERROR(--ISNUMBER(SEARCH("R128",G252)),0)+IFERROR(--ISNUMBER(SEARCH("R129",G252)),0)+IFERROR(--ISNUMBER(SEARCH("R130",G252)),0)+IFERROR(--ISNUMBER(SEARCH("R131",G252)),0)+IFERROR(--ISNUMBER(SEARCH("R132",G252)),0)+IFERROR(--ISNUMBER(SEARCH("R133",G252)),0)+IFERROR(--ISNUMBER(SEARCH("R134",G252)),0)+IFERROR(--ISNUMBER(SEARCH("R135",G252)),0)+IFERROR(--ISNUMBER(SEARCH("R136",G252)),0)+IFERROR(--ISNUMBER(SEARCH("R137",G252)),0)+IFERROR(--ISNUMBER(SEARCH("R138",G252)),0)+IFERROR(--ISNUMBER(SEARCH("R139",G252)),0)+IFERROR(--ISNUMBER(SEARCH("R140",G252)),0)+IFERROR(--ISNUMBER(SEARCH("R141",G252)),0))</f>
        <v/>
      </c>
      <c r="T252" s="58">
        <f>IF(A252="","",IFERROR(--ISNUMBER(SEARCH("R28",G252)),0)+IFERROR(--ISNUMBER(SEARCH("R29",G252)),0)+IFERROR(--ISNUMBER(SEARCH("R30",G252)),0)+IFERROR(--ISNUMBER(SEARCH("R32",G252)),0)+IFERROR(--ISNUMBER(SEARCH("R33",G252)),0)+IFERROR(--ISNUMBER(SEARCH("R35",G252)),0)+IFERROR(--ISNUMBER(SEARCH("R36",G252)),0)+IFERROR(--ISNUMBER(SEARCH("R38",G252)),0)+IFERROR(--ISNUMBER(SEARCH("R39",G252)),0)+IFERROR(--ISNUMBER(SEARCH("R43",G252)),0)+IFERROR(--ISNUMBER(SEARCH("R44",G252)),0)+IFERROR(--ISNUMBER(SEARCH("R45",G252)),0)+IFERROR(--ISNUMBER(SEARCH("R47",G252)),0)+IFERROR(--ISNUMBER(SEARCH("R48",G252)),0)+IFERROR(--ISNUMBER(SEARCH("R50",G252)),0)+IFERROR(--ISNUMBER(SEARCH("R51",G252)),0)+IFERROR(--ISNUMBER(SEARCH("R56",G252)),0)+IFERROR(--ISNUMBER(SEARCH("R58",G252)),0)+IFERROR(--ISNUMBER(SEARCH("R59",G252)),0)+IFERROR(--ISNUMBER(SEARCH("R60",G252)),0)+IFERROR(--ISNUMBER(SEARCH("R62",G252)),0)+IFERROR(--ISNUMBER(SEARCH("R63",G252)),0)+IFERROR(--ISNUMBER(SEARCH("R64",G252)),0)+IFERROR(--ISNUMBER(SEARCH("R66",G252)),0)+IFERROR(--ISNUMBER(SEARCH("R67",G252)),0)+IFERROR(--ISNUMBER(SEARCH("R72",G252)),0)+IFERROR(--ISNUMBER(SEARCH("R74",G252)),0)+IFERROR(--ISNUMBER(SEARCH("R75",G252)),0)+IFERROR(--ISNUMBER(SEARCH("R76",G252)),0)+IFERROR(--ISNUMBER(SEARCH("R77",G252)),0)+IFERROR(--ISNUMBER(SEARCH("R79",G252)),0)+IFERROR(--ISNUMBER(SEARCH("R80",G252)),0)+IFERROR(--ISNUMBER(SEARCH("R81",G252)),0)+IFERROR(--ISNUMBER(SEARCH("R83",G252)),0)+IFERROR(--ISNUMBER(SEARCH("R84",G252)),0)+IFERROR(--ISNUMBER(SEARCH("R89",G252)),0)+IFERROR(--ISNUMBER(SEARCH("R94",G252)),0)+IFERROR(--ISNUMBER(SEARCH("R95",G252)),0)+IFERROR(--ISNUMBER(SEARCH("R96",G252)),0)+IFERROR(--ISNUMBER(SEARCH("R98",G252)),0)+IFERROR(--ISNUMBER(SEARCH("R99",G252)),0)+IFERROR(--ISNUMBER(SEARCH("R100",G252)),0)+IFERROR(--ISNUMBER(SEARCH("R104",G252)),0)+IFERROR(--ISNUMBER(SEARCH("R105",G252)),0)+IFERROR(--ISNUMBER(SEARCH("R107",G252)),0)+IFERROR(--ISNUMBER(SEARCH("R108",G252)),0)+IFERROR(--ISNUMBER(SEARCH("R109",G252)),0)+IFERROR(--ISNUMBER(SEARCH("R110",G252)),0)+IFERROR(--ISNUMBER(SEARCH("R112",G252)),0)+IFERROR(--ISNUMBER(SEARCH("R113",G252)),0)+IFERROR(--ISNUMBER(SEARCH("R114",G252)),0)+IFERROR(--ISNUMBER(SEARCH("R118",G252)),0)+IFERROR(--ISNUMBER(SEARCH("R119",G252)),0)+IFERROR(--ISNUMBER(SEARCH("R120",G252)),0)+IFERROR(--ISNUMBER(SEARCH("R122",G252)),0)+IFERROR(--ISNUMBER(SEARCH("R123",G252)),0)+IFERROR(--ISNUMBER(SEARCH("R124",G252)),0)+IFERROR(--ISNUMBER(SEARCH("R128",G252)),0)+IFERROR(--ISNUMBER(SEARCH("R130",G252)),0)+IFERROR(--ISNUMBER(SEARCH("R131",G252)),0)+IFERROR(--ISNUMBER(SEARCH("R132",G252)),0)+IFERROR(--ISNUMBER(SEARCH("R135",G252)),0)+IFERROR(--ISNUMBER(SEARCH("R138",G252)),0)+IFERROR(--ISNUMBER(SEARCH("R141",G252)),0))</f>
        <v/>
      </c>
      <c r="U252" s="58">
        <f>IF(A252="","",IFERROR(--ISNUMBER(SEARCH("R28",G252))*28,0)+IFERROR(--ISNUMBER(SEARCH("R29",G252))*29,0)+IFERROR(--ISNUMBER(SEARCH("R30",G252))*30,0)+IFERROR(--ISNUMBER(SEARCH("R31",G252))*31,0)+IFERROR(--ISNUMBER(SEARCH("R32",G252))*32,0)+IFERROR(--ISNUMBER(SEARCH("R33",G252))*33,0)+IFERROR(--ISNUMBER(SEARCH("R34",G252))*34,0)+IFERROR(--ISNUMBER(SEARCH("R35",G252))*35,0)+IFERROR(--ISNUMBER(SEARCH("R36",G252))*36,0)+IFERROR(--ISNUMBER(SEARCH("R37",G252))*37,0)+IFERROR(--ISNUMBER(SEARCH("R38",G252))*38,0)+IFERROR(--ISNUMBER(SEARCH("R39",G252))*39,0)+IFERROR(--ISNUMBER(SEARCH("R40",G252))*40,0)+IFERROR(--ISNUMBER(SEARCH("R41",G252))*41,0)+IFERROR(--ISNUMBER(SEARCH("R42",G252))*42,0)+IFERROR(--ISNUMBER(SEARCH("R43",G252))*43,0)+IFERROR(--ISNUMBER(SEARCH("R44",G252))*44,0)+IFERROR(--ISNUMBER(SEARCH("R45",G252))*45,0)+IFERROR(--ISNUMBER(SEARCH("R46",G252))*46,0)+IFERROR(--ISNUMBER(SEARCH("R47",G252))*47,0)+IFERROR(--ISNUMBER(SEARCH("R48",G252))*48,0)+IFERROR(--ISNUMBER(SEARCH("R49",G252))*49,0)+IFERROR(--ISNUMBER(SEARCH("R50",G252))*50,0)+IFERROR(--ISNUMBER(SEARCH("R51",G252))*51,0)+IFERROR(--ISNUMBER(SEARCH("R52",G252))*52,0)+IFERROR(--ISNUMBER(SEARCH("R53",G252))*53,0)+IFERROR(--ISNUMBER(SEARCH("R54",G252))*54,0)+IFERROR(--ISNUMBER(SEARCH("R55",G252))*55,0)+IFERROR(--ISNUMBER(SEARCH("R56",G252))*56,0)+IFERROR(--ISNUMBER(SEARCH("R57",G252))*57,0)+IFERROR(--ISNUMBER(SEARCH("R58",G252))*58,0)+IFERROR(--ISNUMBER(SEARCH("R59",G252))*59,0)+IFERROR(--ISNUMBER(SEARCH("R60",G252))*60,0)+IFERROR(--ISNUMBER(SEARCH("R61",G252))*61,0)+IFERROR(--ISNUMBER(SEARCH("R62",G252))*62,0)+IFERROR(--ISNUMBER(SEARCH("R63",G252))*63,0)+IFERROR(--ISNUMBER(SEARCH("R64",G252))*64,0)+IFERROR(--ISNUMBER(SEARCH("R65",G252))*65,0)+IFERROR(--ISNUMBER(SEARCH("R66",G252))*66,0)+IFERROR(--ISNUMBER(SEARCH("R67",G252))*67,0)+IFERROR(--ISNUMBER(SEARCH("R68",G252))*68,0)+IFERROR(--ISNUMBER(SEARCH("R69",G252))*69,0)+IFERROR(--ISNUMBER(SEARCH("R70",G252))*70,0)+IFERROR(--ISNUMBER(SEARCH("R71",G252))*71,0)+IFERROR(--ISNUMBER(SEARCH("R72",G252))*72,0)+IFERROR(--ISNUMBER(SEARCH("R73",G252))*73,0)+IFERROR(--ISNUMBER(SEARCH("R74",G252))*74,0)+IFERROR(--ISNUMBER(SEARCH("R75",G252))*75,0)+IFERROR(--ISNUMBER(SEARCH("R76",G252))*76,0)+IFERROR(--ISNUMBER(SEARCH("R77",G252))*77,0)+IFERROR(--ISNUMBER(SEARCH("R78",G252))*78,0)+IFERROR(--ISNUMBER(SEARCH("R79",G252))*79,0)+IFERROR(--ISNUMBER(SEARCH("R80",G252))*80,0)+IFERROR(--ISNUMBER(SEARCH("R81",G252))*81,0)+IFERROR(--ISNUMBER(SEARCH("R82",G252))*82,0)+IFERROR(--ISNUMBER(SEARCH("R83",G252))*83,0)+IFERROR(--ISNUMBER(SEARCH("R84",G252))*84,0)+IFERROR(--ISNUMBER(SEARCH("R85",G252))*85,0)+IFERROR(--ISNUMBER(SEARCH("R86",G252))*86,0)+IFERROR(--ISNUMBER(SEARCH("R87",G252))*87,0)+IFERROR(--ISNUMBER(SEARCH("R88",G252))*88,0)+IFERROR(--ISNUMBER(SEARCH("R89",G252))*89,0)+IFERROR(--ISNUMBER(SEARCH("R90",G252))*90,0)+IFERROR(--ISNUMBER(SEARCH("R91",G252))*91,0)+IFERROR(--ISNUMBER(SEARCH("R92",G252))*92,0)+IFERROR(--ISNUMBER(SEARCH("R93",G252))*93,0)+IFERROR(--ISNUMBER(SEARCH("R94",G252))*94,0)+IFERROR(--ISNUMBER(SEARCH("R95",G252))*95,0)+IFERROR(--ISNUMBER(SEARCH("R96",G252))*96,0)+IFERROR(--ISNUMBER(SEARCH("R97",G252))*97,0)+IFERROR(--ISNUMBER(SEARCH("R98",G252))*98,0)+IFERROR(--ISNUMBER(SEARCH("R99",G252))*99,0)+IFERROR(--ISNUMBER(SEARCH("R100",G252))*100,0)+IFERROR(--ISNUMBER(SEARCH("R101",G252))*101,0)+IFERROR(--ISNUMBER(SEARCH("R102",G252))*102,0)+IFERROR(--ISNUMBER(SEARCH("R103",G252))*103,0)+IFERROR(--ISNUMBER(SEARCH("R104",G252))*104,0)+IFERROR(--ISNUMBER(SEARCH("R105",G252))*105,0)+IFERROR(--ISNUMBER(SEARCH("R106",G252))*106,0)+IFERROR(--ISNUMBER(SEARCH("R107",G252))*107,0)+IFERROR(--ISNUMBER(SEARCH("R108",G252))*108,0)+IFERROR(--ISNUMBER(SEARCH("R109",G252))*109,0)+IFERROR(--ISNUMBER(SEARCH("R110",G252))*110,0)+IFERROR(--ISNUMBER(SEARCH("R111",G252))*111,0)+IFERROR(--ISNUMBER(SEARCH("R112",G252))*112,0)+IFERROR(--ISNUMBER(SEARCH("R113",G252))*113,0)+IFERROR(--ISNUMBER(SEARCH("R114",G252))*114,0)+IFERROR(--ISNUMBER(SEARCH("R115",G252))*115,0)+IFERROR(--ISNUMBER(SEARCH("R116",G252))*116,0)+IFERROR(--ISNUMBER(SEARCH("R117",G252))*117,0)+IFERROR(--ISNUMBER(SEARCH("R118",G252))*118,0)+IFERROR(--ISNUMBER(SEARCH("R119",G252))*119,0)+IFERROR(--ISNUMBER(SEARCH("R120",G252))*120,0)+IFERROR(--ISNUMBER(SEARCH("R121",G252))*121,0)+IFERROR(--ISNUMBER(SEARCH("R122",G252))*122,0)+IFERROR(--ISNUMBER(SEARCH("R123",G252))*123,0)+IFERROR(--ISNUMBER(SEARCH("R124",G252))*124,0)+IFERROR(--ISNUMBER(SEARCH("R125",G252))*125,0)+IFERROR(--ISNUMBER(SEARCH("R126",G252))*126,0)+IFERROR(--ISNUMBER(SEARCH("R127",G252))*127,0)+IFERROR(--ISNUMBER(SEARCH("R128",G252))*128,0)+IFERROR(--ISNUMBER(SEARCH("R129",G252))*129,0)+IFERROR(--ISNUMBER(SEARCH("R130",G252))*130,0)+IFERROR(--ISNUMBER(SEARCH("R131",G252))*131,0)+IFERROR(--ISNUMBER(SEARCH("R132",G252))*132,0)+IFERROR(--ISNUMBER(SEARCH("R133",G252))*133,0)+IFERROR(--ISNUMBER(SEARCH("R134",G252))*134,0)+IFERROR(--ISNUMBER(SEARCH("R135",G252))*135,0)+IFERROR(--ISNUMBER(SEARCH("R136",G252))*136,0)+IFERROR(--ISNUMBER(SEARCH("R137",G252))*137,0)+IFERROR(--ISNUMBER(SEARCH("R138",G252))*138,0)+IFERROR(--ISNUMBER(SEARCH("R139",G252))*139,0)+IFERROR(--ISNUMBER(SEARCH("R140",G252))*140,0)+IFERROR(--ISNUMBER(SEARCH("R141",G252))*141,0))</f>
        <v/>
      </c>
      <c r="V252" s="59">
        <f>IF(A252="","",IF(K252&lt;&gt;"",K252,J252))</f>
        <v/>
      </c>
      <c r="W252" s="59">
        <f>IF(A252="","",IF(AND(V252=29,O252&lt;&gt;"",COUNTIFS($V$6:$V$505,29,$F$6:$F$505,F252,$C$6:$C$505,C252,$O$6:$O$505,"&lt;&gt;")&gt;1),IF(COUNTIFS($V$6:V252,29,$F$6:F252,F252,$C$6:C252,C252,$O$6:O252,"&lt;&gt;")=1,"Esta es la fila que se debe CONSERVAR (aparición 1 de "&amp;COUNTIFS($V$6:$V$505,29,$F$6:$F$505,F252,$C$6:$C$505,C252,$O$6:$O$505,"&lt;&gt;")&amp;" con el mismo tercero y valor, casilla 29). Si hay más filas iguales, bórreles el valor a ELLAS, no a esta.","DUPLICADO — ya existe otra fila con el mismo tercero y valor para casilla 29 (aparición "&amp;COUNTIFS($V$6:V252,29,$F$6:F252,F252,$C$6:C252,C252,$O$6:O252,"&lt;&gt;")&amp;" de "&amp;COUNTIFS($V$6:$V$505,29,$F$6:$F$505,F252,$C$6:$C$505,C252,$O$6:$O$505,"&lt;&gt;")&amp;"). Para resolverlo: seleccione la celda O"&amp;ROW()&amp;" (columna Valor a declarar de ESTA fila) y presione Supr."),""))</f>
        <v/>
      </c>
      <c r="X252" s="463">
        <f>IF(A252="","",F252)</f>
        <v/>
      </c>
      <c r="Y252" s="463">
        <f>IF(A252="","",SUMIF(Entrada_Manual!$I$88:$I$187,A252,Entrada_Manual!$F$88:$F$187))</f>
        <v/>
      </c>
      <c r="Z252" s="463">
        <f>IF(A252="","",X252-Y252)</f>
        <v/>
      </c>
      <c r="AA252">
        <f>IF(A252="","",SUMPRODUCT((Entrada_Manual!$I$88:$I$187=A252)*1))</f>
        <v/>
      </c>
      <c r="AB252">
        <f>IF(A252="","",IF(S252&lt;=1,"",IF(AA252=0,"PENDIENTE — SIN ASIGNAR",IF(Z252=0,"RESUELTO","PARCIAL — DIFERENCIA "&amp;TEXT(Z252,"#,##0")))))</f>
        <v/>
      </c>
    </row>
    <row r="253" ht="14.25" customHeight="1" s="235">
      <c r="A253" s="47">
        <f>IF(Exogena_RAW!E262&lt;&gt;"",ROW()-5,"")</f>
        <v/>
      </c>
      <c r="B253" s="48">
        <f>IF(A253="","",262)</f>
        <v/>
      </c>
      <c r="C253" s="48">
        <f>IF(A253="","",IFERROR(Exogena_RAW!A262,""))</f>
        <v/>
      </c>
      <c r="D253" s="48">
        <f>IF(A253="","",IFERROR(Exogena_RAW!B262,""))</f>
        <v/>
      </c>
      <c r="E253" s="48">
        <f>IF(A253="","",Exogena_RAW!E262)</f>
        <v/>
      </c>
      <c r="F253" s="461">
        <f>IF(A253="","",Exogena_RAW!F262)</f>
        <v/>
      </c>
      <c r="G253" s="48">
        <f>IF(A253="","",IFERROR(Exogena_RAW!G262,""))</f>
        <v/>
      </c>
      <c r="H253" s="48">
        <f>IF(A253="","",IFERROR(Exogena_RAW!H262,""))</f>
        <v/>
      </c>
      <c r="I253" s="48">
        <f>IF(A253="","",IFERROR(IF(S253&gt;1,"VARIAS CASILLAS",IF(S253=1,IF(T253=1,"PROPUESTA DE CASILLA","REVISIÓN: CASILLA NO DIRECTA"),IF(OR(ISNUMBER(SEARCH("TOPE",UPPER(E253))),ISNUMBER(SEARCH("TOPE",UPPER(G253)))),"SOLO CONTROL",IF(ISNUMBER(SEARCH("RETEN",UPPER(E253))),"RETENCIÓN","REVISAR")))),"REVISAR"))</f>
        <v/>
      </c>
      <c r="J253" s="48">
        <f>IF(A253="","",IF(ISNUMBER(SEARCH("ingreso laboral promedio de los últimos seis meses",E253)),"",IFERROR(IF(AND(S253=1,T253=1),U253,""),"")))</f>
        <v/>
      </c>
      <c r="K253" s="216" t="n"/>
      <c r="L253" s="48">
        <f>IF(A253="","",IFERROR(IF(K253&lt;&gt;"","Casilla elegida por usuario",IF(S253&gt;1,"Varias casillas — elegir en K",IF(J253&lt;&gt;"","Sugerencia directa",IF(S253=1,"No trasladar directo — revisar",IF(OR(ISNUMBER(SEARCH("TOPE",UPPER(E253))),ISNUMBER(SEARCH("TOPE",UPPER(G253)))),"Solo control","Revisar manualmente"))))),"Revisar manualmente"))</f>
        <v/>
      </c>
      <c r="M253" s="461">
        <f>IF(A253="","",IF(IF(K253&lt;&gt;"",K253,J253)="",0,IF(COUNTIFS(Reglas!$I$5:$I$118,IF(K253&lt;&gt;"",K253,J253),Reglas!$J$5:$J$118,"Sí")=1,F253,0)))</f>
        <v/>
      </c>
      <c r="N253" s="56" t="n"/>
      <c r="O253" s="462">
        <f>IF(A253="","",IF(M253=0,"",M253))</f>
        <v/>
      </c>
      <c r="P253" s="461">
        <f>IF(A253="","",IF(O253="",0,IF(ISNUMBER(O253),O253,0)))</f>
        <v/>
      </c>
      <c r="Q253" s="48">
        <f>IF(A253="","",IF(Exogena_RAW!$C$4="","BLOQUEADO: FALTA AÑO",IF(Exogena_RAW!$K$10&lt;&gt;Reglas!$B$5,"BLOQUEADO: AÑO",IF(IF(K253&lt;&gt;"",K253,J253)="",IF(S253&gt;1,"REQUIERE ASIGNACIÓN MANUAL (VARIAS CASILLAS)","INFORMATIVO (sin casilla — no se declara)"),IF(COUNTIFS(Reglas!$I$5:$I$118,IF(K253&lt;&gt;"",K253,J253),Reglas!$J$5:$J$118,"Sí")=0,"BLOQUEADO: CASILLA NO DIRECTA",IF(O253="","EXCLUIDO (valor borrado por el usuario)",IF(_xlfn.ISFORMULA(O253),IF(W253&lt;&gt;"","BORRADOR — VALOR SUGERIDO DIAN ⚠ VER ALERTA","BORRADOR — VALOR SUGERIDO DIAN"),IF(W253&lt;&gt;"","ACEPTADO ⚠ VER ALERTA","ACEPTADO"))))))))</f>
        <v/>
      </c>
      <c r="R253" s="218" t="n"/>
      <c r="S253" s="58">
        <f>IF(A253="","",IFERROR(--ISNUMBER(SEARCH("R28",G253)),0)+IFERROR(--ISNUMBER(SEARCH("R29",G253)),0)+IFERROR(--ISNUMBER(SEARCH("R30",G253)),0)+IFERROR(--ISNUMBER(SEARCH("R31",G253)),0)+IFERROR(--ISNUMBER(SEARCH("R32",G253)),0)+IFERROR(--ISNUMBER(SEARCH("R33",G253)),0)+IFERROR(--ISNUMBER(SEARCH("R34",G253)),0)+IFERROR(--ISNUMBER(SEARCH("R35",G253)),0)+IFERROR(--ISNUMBER(SEARCH("R36",G253)),0)+IFERROR(--ISNUMBER(SEARCH("R37",G253)),0)+IFERROR(--ISNUMBER(SEARCH("R38",G253)),0)+IFERROR(--ISNUMBER(SEARCH("R39",G253)),0)+IFERROR(--ISNUMBER(SEARCH("R40",G253)),0)+IFERROR(--ISNUMBER(SEARCH("R41",G253)),0)+IFERROR(--ISNUMBER(SEARCH("R42",G253)),0)+IFERROR(--ISNUMBER(SEARCH("R43",G253)),0)+IFERROR(--ISNUMBER(SEARCH("R44",G253)),0)+IFERROR(--ISNUMBER(SEARCH("R45",G253)),0)+IFERROR(--ISNUMBER(SEARCH("R46",G253)),0)+IFERROR(--ISNUMBER(SEARCH("R47",G253)),0)+IFERROR(--ISNUMBER(SEARCH("R48",G253)),0)+IFERROR(--ISNUMBER(SEARCH("R49",G253)),0)+IFERROR(--ISNUMBER(SEARCH("R50",G253)),0)+IFERROR(--ISNUMBER(SEARCH("R51",G253)),0)+IFERROR(--ISNUMBER(SEARCH("R52",G253)),0)+IFERROR(--ISNUMBER(SEARCH("R53",G253)),0)+IFERROR(--ISNUMBER(SEARCH("R54",G253)),0)+IFERROR(--ISNUMBER(SEARCH("R55",G253)),0)+IFERROR(--ISNUMBER(SEARCH("R56",G253)),0)+IFERROR(--ISNUMBER(SEARCH("R57",G253)),0)+IFERROR(--ISNUMBER(SEARCH("R58",G253)),0)+IFERROR(--ISNUMBER(SEARCH("R59",G253)),0)+IFERROR(--ISNUMBER(SEARCH("R60",G253)),0)+IFERROR(--ISNUMBER(SEARCH("R61",G253)),0)+IFERROR(--ISNUMBER(SEARCH("R62",G253)),0)+IFERROR(--ISNUMBER(SEARCH("R63",G253)),0)+IFERROR(--ISNUMBER(SEARCH("R64",G253)),0)+IFERROR(--ISNUMBER(SEARCH("R65",G253)),0)+IFERROR(--ISNUMBER(SEARCH("R66",G253)),0)+IFERROR(--ISNUMBER(SEARCH("R67",G253)),0)+IFERROR(--ISNUMBER(SEARCH("R68",G253)),0)+IFERROR(--ISNUMBER(SEARCH("R69",G253)),0)+IFERROR(--ISNUMBER(SEARCH("R70",G253)),0)+IFERROR(--ISNUMBER(SEARCH("R71",G253)),0)+IFERROR(--ISNUMBER(SEARCH("R72",G253)),0)+IFERROR(--ISNUMBER(SEARCH("R73",G253)),0)+IFERROR(--ISNUMBER(SEARCH("R74",G253)),0)+IFERROR(--ISNUMBER(SEARCH("R75",G253)),0)+IFERROR(--ISNUMBER(SEARCH("R76",G253)),0)+IFERROR(--ISNUMBER(SEARCH("R77",G253)),0)+IFERROR(--ISNUMBER(SEARCH("R78",G253)),0)+IFERROR(--ISNUMBER(SEARCH("R79",G253)),0)+IFERROR(--ISNUMBER(SEARCH("R80",G253)),0)+IFERROR(--ISNUMBER(SEARCH("R81",G253)),0)+IFERROR(--ISNUMBER(SEARCH("R82",G253)),0)+IFERROR(--ISNUMBER(SEARCH("R83",G253)),0)+IFERROR(--ISNUMBER(SEARCH("R84",G253)),0)+IFERROR(--ISNUMBER(SEARCH("R85",G253)),0)+IFERROR(--ISNUMBER(SEARCH("R86",G253)),0)+IFERROR(--ISNUMBER(SEARCH("R87",G253)),0)+IFERROR(--ISNUMBER(SEARCH("R88",G253)),0)+IFERROR(--ISNUMBER(SEARCH("R89",G253)),0)+IFERROR(--ISNUMBER(SEARCH("R90",G253)),0)+IFERROR(--ISNUMBER(SEARCH("R91",G253)),0)+IFERROR(--ISNUMBER(SEARCH("R92",G253)),0)+IFERROR(--ISNUMBER(SEARCH("R93",G253)),0)+IFERROR(--ISNUMBER(SEARCH("R94",G253)),0)+IFERROR(--ISNUMBER(SEARCH("R95",G253)),0)+IFERROR(--ISNUMBER(SEARCH("R96",G253)),0)+IFERROR(--ISNUMBER(SEARCH("R97",G253)),0)+IFERROR(--ISNUMBER(SEARCH("R98",G253)),0)+IFERROR(--ISNUMBER(SEARCH("R99",G253)),0)+IFERROR(--ISNUMBER(SEARCH("R100",G253)),0)+IFERROR(--ISNUMBER(SEARCH("R101",G253)),0)+IFERROR(--ISNUMBER(SEARCH("R102",G253)),0)+IFERROR(--ISNUMBER(SEARCH("R103",G253)),0)+IFERROR(--ISNUMBER(SEARCH("R104",G253)),0)+IFERROR(--ISNUMBER(SEARCH("R105",G253)),0)+IFERROR(--ISNUMBER(SEARCH("R106",G253)),0)+IFERROR(--ISNUMBER(SEARCH("R107",G253)),0)+IFERROR(--ISNUMBER(SEARCH("R108",G253)),0)+IFERROR(--ISNUMBER(SEARCH("R109",G253)),0)+IFERROR(--ISNUMBER(SEARCH("R110",G253)),0)+IFERROR(--ISNUMBER(SEARCH("R111",G253)),0)+IFERROR(--ISNUMBER(SEARCH("R112",G253)),0)+IFERROR(--ISNUMBER(SEARCH("R113",G253)),0)+IFERROR(--ISNUMBER(SEARCH("R114",G253)),0)+IFERROR(--ISNUMBER(SEARCH("R115",G253)),0)+IFERROR(--ISNUMBER(SEARCH("R116",G253)),0)+IFERROR(--ISNUMBER(SEARCH("R117",G253)),0)+IFERROR(--ISNUMBER(SEARCH("R118",G253)),0)+IFERROR(--ISNUMBER(SEARCH("R119",G253)),0)+IFERROR(--ISNUMBER(SEARCH("R120",G253)),0)+IFERROR(--ISNUMBER(SEARCH("R121",G253)),0)+IFERROR(--ISNUMBER(SEARCH("R122",G253)),0)+IFERROR(--ISNUMBER(SEARCH("R123",G253)),0)+IFERROR(--ISNUMBER(SEARCH("R124",G253)),0)+IFERROR(--ISNUMBER(SEARCH("R125",G253)),0)+IFERROR(--ISNUMBER(SEARCH("R126",G253)),0)+IFERROR(--ISNUMBER(SEARCH("R127",G253)),0)+IFERROR(--ISNUMBER(SEARCH("R128",G253)),0)+IFERROR(--ISNUMBER(SEARCH("R129",G253)),0)+IFERROR(--ISNUMBER(SEARCH("R130",G253)),0)+IFERROR(--ISNUMBER(SEARCH("R131",G253)),0)+IFERROR(--ISNUMBER(SEARCH("R132",G253)),0)+IFERROR(--ISNUMBER(SEARCH("R133",G253)),0)+IFERROR(--ISNUMBER(SEARCH("R134",G253)),0)+IFERROR(--ISNUMBER(SEARCH("R135",G253)),0)+IFERROR(--ISNUMBER(SEARCH("R136",G253)),0)+IFERROR(--ISNUMBER(SEARCH("R137",G253)),0)+IFERROR(--ISNUMBER(SEARCH("R138",G253)),0)+IFERROR(--ISNUMBER(SEARCH("R139",G253)),0)+IFERROR(--ISNUMBER(SEARCH("R140",G253)),0)+IFERROR(--ISNUMBER(SEARCH("R141",G253)),0))</f>
        <v/>
      </c>
      <c r="T253" s="58">
        <f>IF(A253="","",IFERROR(--ISNUMBER(SEARCH("R28",G253)),0)+IFERROR(--ISNUMBER(SEARCH("R29",G253)),0)+IFERROR(--ISNUMBER(SEARCH("R30",G253)),0)+IFERROR(--ISNUMBER(SEARCH("R32",G253)),0)+IFERROR(--ISNUMBER(SEARCH("R33",G253)),0)+IFERROR(--ISNUMBER(SEARCH("R35",G253)),0)+IFERROR(--ISNUMBER(SEARCH("R36",G253)),0)+IFERROR(--ISNUMBER(SEARCH("R38",G253)),0)+IFERROR(--ISNUMBER(SEARCH("R39",G253)),0)+IFERROR(--ISNUMBER(SEARCH("R43",G253)),0)+IFERROR(--ISNUMBER(SEARCH("R44",G253)),0)+IFERROR(--ISNUMBER(SEARCH("R45",G253)),0)+IFERROR(--ISNUMBER(SEARCH("R47",G253)),0)+IFERROR(--ISNUMBER(SEARCH("R48",G253)),0)+IFERROR(--ISNUMBER(SEARCH("R50",G253)),0)+IFERROR(--ISNUMBER(SEARCH("R51",G253)),0)+IFERROR(--ISNUMBER(SEARCH("R56",G253)),0)+IFERROR(--ISNUMBER(SEARCH("R58",G253)),0)+IFERROR(--ISNUMBER(SEARCH("R59",G253)),0)+IFERROR(--ISNUMBER(SEARCH("R60",G253)),0)+IFERROR(--ISNUMBER(SEARCH("R62",G253)),0)+IFERROR(--ISNUMBER(SEARCH("R63",G253)),0)+IFERROR(--ISNUMBER(SEARCH("R64",G253)),0)+IFERROR(--ISNUMBER(SEARCH("R66",G253)),0)+IFERROR(--ISNUMBER(SEARCH("R67",G253)),0)+IFERROR(--ISNUMBER(SEARCH("R72",G253)),0)+IFERROR(--ISNUMBER(SEARCH("R74",G253)),0)+IFERROR(--ISNUMBER(SEARCH("R75",G253)),0)+IFERROR(--ISNUMBER(SEARCH("R76",G253)),0)+IFERROR(--ISNUMBER(SEARCH("R77",G253)),0)+IFERROR(--ISNUMBER(SEARCH("R79",G253)),0)+IFERROR(--ISNUMBER(SEARCH("R80",G253)),0)+IFERROR(--ISNUMBER(SEARCH("R81",G253)),0)+IFERROR(--ISNUMBER(SEARCH("R83",G253)),0)+IFERROR(--ISNUMBER(SEARCH("R84",G253)),0)+IFERROR(--ISNUMBER(SEARCH("R89",G253)),0)+IFERROR(--ISNUMBER(SEARCH("R94",G253)),0)+IFERROR(--ISNUMBER(SEARCH("R95",G253)),0)+IFERROR(--ISNUMBER(SEARCH("R96",G253)),0)+IFERROR(--ISNUMBER(SEARCH("R98",G253)),0)+IFERROR(--ISNUMBER(SEARCH("R99",G253)),0)+IFERROR(--ISNUMBER(SEARCH("R100",G253)),0)+IFERROR(--ISNUMBER(SEARCH("R104",G253)),0)+IFERROR(--ISNUMBER(SEARCH("R105",G253)),0)+IFERROR(--ISNUMBER(SEARCH("R107",G253)),0)+IFERROR(--ISNUMBER(SEARCH("R108",G253)),0)+IFERROR(--ISNUMBER(SEARCH("R109",G253)),0)+IFERROR(--ISNUMBER(SEARCH("R110",G253)),0)+IFERROR(--ISNUMBER(SEARCH("R112",G253)),0)+IFERROR(--ISNUMBER(SEARCH("R113",G253)),0)+IFERROR(--ISNUMBER(SEARCH("R114",G253)),0)+IFERROR(--ISNUMBER(SEARCH("R118",G253)),0)+IFERROR(--ISNUMBER(SEARCH("R119",G253)),0)+IFERROR(--ISNUMBER(SEARCH("R120",G253)),0)+IFERROR(--ISNUMBER(SEARCH("R122",G253)),0)+IFERROR(--ISNUMBER(SEARCH("R123",G253)),0)+IFERROR(--ISNUMBER(SEARCH("R124",G253)),0)+IFERROR(--ISNUMBER(SEARCH("R128",G253)),0)+IFERROR(--ISNUMBER(SEARCH("R130",G253)),0)+IFERROR(--ISNUMBER(SEARCH("R131",G253)),0)+IFERROR(--ISNUMBER(SEARCH("R132",G253)),0)+IFERROR(--ISNUMBER(SEARCH("R135",G253)),0)+IFERROR(--ISNUMBER(SEARCH("R138",G253)),0)+IFERROR(--ISNUMBER(SEARCH("R141",G253)),0))</f>
        <v/>
      </c>
      <c r="U253" s="58">
        <f>IF(A253="","",IFERROR(--ISNUMBER(SEARCH("R28",G253))*28,0)+IFERROR(--ISNUMBER(SEARCH("R29",G253))*29,0)+IFERROR(--ISNUMBER(SEARCH("R30",G253))*30,0)+IFERROR(--ISNUMBER(SEARCH("R31",G253))*31,0)+IFERROR(--ISNUMBER(SEARCH("R32",G253))*32,0)+IFERROR(--ISNUMBER(SEARCH("R33",G253))*33,0)+IFERROR(--ISNUMBER(SEARCH("R34",G253))*34,0)+IFERROR(--ISNUMBER(SEARCH("R35",G253))*35,0)+IFERROR(--ISNUMBER(SEARCH("R36",G253))*36,0)+IFERROR(--ISNUMBER(SEARCH("R37",G253))*37,0)+IFERROR(--ISNUMBER(SEARCH("R38",G253))*38,0)+IFERROR(--ISNUMBER(SEARCH("R39",G253))*39,0)+IFERROR(--ISNUMBER(SEARCH("R40",G253))*40,0)+IFERROR(--ISNUMBER(SEARCH("R41",G253))*41,0)+IFERROR(--ISNUMBER(SEARCH("R42",G253))*42,0)+IFERROR(--ISNUMBER(SEARCH("R43",G253))*43,0)+IFERROR(--ISNUMBER(SEARCH("R44",G253))*44,0)+IFERROR(--ISNUMBER(SEARCH("R45",G253))*45,0)+IFERROR(--ISNUMBER(SEARCH("R46",G253))*46,0)+IFERROR(--ISNUMBER(SEARCH("R47",G253))*47,0)+IFERROR(--ISNUMBER(SEARCH("R48",G253))*48,0)+IFERROR(--ISNUMBER(SEARCH("R49",G253))*49,0)+IFERROR(--ISNUMBER(SEARCH("R50",G253))*50,0)+IFERROR(--ISNUMBER(SEARCH("R51",G253))*51,0)+IFERROR(--ISNUMBER(SEARCH("R52",G253))*52,0)+IFERROR(--ISNUMBER(SEARCH("R53",G253))*53,0)+IFERROR(--ISNUMBER(SEARCH("R54",G253))*54,0)+IFERROR(--ISNUMBER(SEARCH("R55",G253))*55,0)+IFERROR(--ISNUMBER(SEARCH("R56",G253))*56,0)+IFERROR(--ISNUMBER(SEARCH("R57",G253))*57,0)+IFERROR(--ISNUMBER(SEARCH("R58",G253))*58,0)+IFERROR(--ISNUMBER(SEARCH("R59",G253))*59,0)+IFERROR(--ISNUMBER(SEARCH("R60",G253))*60,0)+IFERROR(--ISNUMBER(SEARCH("R61",G253))*61,0)+IFERROR(--ISNUMBER(SEARCH("R62",G253))*62,0)+IFERROR(--ISNUMBER(SEARCH("R63",G253))*63,0)+IFERROR(--ISNUMBER(SEARCH("R64",G253))*64,0)+IFERROR(--ISNUMBER(SEARCH("R65",G253))*65,0)+IFERROR(--ISNUMBER(SEARCH("R66",G253))*66,0)+IFERROR(--ISNUMBER(SEARCH("R67",G253))*67,0)+IFERROR(--ISNUMBER(SEARCH("R68",G253))*68,0)+IFERROR(--ISNUMBER(SEARCH("R69",G253))*69,0)+IFERROR(--ISNUMBER(SEARCH("R70",G253))*70,0)+IFERROR(--ISNUMBER(SEARCH("R71",G253))*71,0)+IFERROR(--ISNUMBER(SEARCH("R72",G253))*72,0)+IFERROR(--ISNUMBER(SEARCH("R73",G253))*73,0)+IFERROR(--ISNUMBER(SEARCH("R74",G253))*74,0)+IFERROR(--ISNUMBER(SEARCH("R75",G253))*75,0)+IFERROR(--ISNUMBER(SEARCH("R76",G253))*76,0)+IFERROR(--ISNUMBER(SEARCH("R77",G253))*77,0)+IFERROR(--ISNUMBER(SEARCH("R78",G253))*78,0)+IFERROR(--ISNUMBER(SEARCH("R79",G253))*79,0)+IFERROR(--ISNUMBER(SEARCH("R80",G253))*80,0)+IFERROR(--ISNUMBER(SEARCH("R81",G253))*81,0)+IFERROR(--ISNUMBER(SEARCH("R82",G253))*82,0)+IFERROR(--ISNUMBER(SEARCH("R83",G253))*83,0)+IFERROR(--ISNUMBER(SEARCH("R84",G253))*84,0)+IFERROR(--ISNUMBER(SEARCH("R85",G253))*85,0)+IFERROR(--ISNUMBER(SEARCH("R86",G253))*86,0)+IFERROR(--ISNUMBER(SEARCH("R87",G253))*87,0)+IFERROR(--ISNUMBER(SEARCH("R88",G253))*88,0)+IFERROR(--ISNUMBER(SEARCH("R89",G253))*89,0)+IFERROR(--ISNUMBER(SEARCH("R90",G253))*90,0)+IFERROR(--ISNUMBER(SEARCH("R91",G253))*91,0)+IFERROR(--ISNUMBER(SEARCH("R92",G253))*92,0)+IFERROR(--ISNUMBER(SEARCH("R93",G253))*93,0)+IFERROR(--ISNUMBER(SEARCH("R94",G253))*94,0)+IFERROR(--ISNUMBER(SEARCH("R95",G253))*95,0)+IFERROR(--ISNUMBER(SEARCH("R96",G253))*96,0)+IFERROR(--ISNUMBER(SEARCH("R97",G253))*97,0)+IFERROR(--ISNUMBER(SEARCH("R98",G253))*98,0)+IFERROR(--ISNUMBER(SEARCH("R99",G253))*99,0)+IFERROR(--ISNUMBER(SEARCH("R100",G253))*100,0)+IFERROR(--ISNUMBER(SEARCH("R101",G253))*101,0)+IFERROR(--ISNUMBER(SEARCH("R102",G253))*102,0)+IFERROR(--ISNUMBER(SEARCH("R103",G253))*103,0)+IFERROR(--ISNUMBER(SEARCH("R104",G253))*104,0)+IFERROR(--ISNUMBER(SEARCH("R105",G253))*105,0)+IFERROR(--ISNUMBER(SEARCH("R106",G253))*106,0)+IFERROR(--ISNUMBER(SEARCH("R107",G253))*107,0)+IFERROR(--ISNUMBER(SEARCH("R108",G253))*108,0)+IFERROR(--ISNUMBER(SEARCH("R109",G253))*109,0)+IFERROR(--ISNUMBER(SEARCH("R110",G253))*110,0)+IFERROR(--ISNUMBER(SEARCH("R111",G253))*111,0)+IFERROR(--ISNUMBER(SEARCH("R112",G253))*112,0)+IFERROR(--ISNUMBER(SEARCH("R113",G253))*113,0)+IFERROR(--ISNUMBER(SEARCH("R114",G253))*114,0)+IFERROR(--ISNUMBER(SEARCH("R115",G253))*115,0)+IFERROR(--ISNUMBER(SEARCH("R116",G253))*116,0)+IFERROR(--ISNUMBER(SEARCH("R117",G253))*117,0)+IFERROR(--ISNUMBER(SEARCH("R118",G253))*118,0)+IFERROR(--ISNUMBER(SEARCH("R119",G253))*119,0)+IFERROR(--ISNUMBER(SEARCH("R120",G253))*120,0)+IFERROR(--ISNUMBER(SEARCH("R121",G253))*121,0)+IFERROR(--ISNUMBER(SEARCH("R122",G253))*122,0)+IFERROR(--ISNUMBER(SEARCH("R123",G253))*123,0)+IFERROR(--ISNUMBER(SEARCH("R124",G253))*124,0)+IFERROR(--ISNUMBER(SEARCH("R125",G253))*125,0)+IFERROR(--ISNUMBER(SEARCH("R126",G253))*126,0)+IFERROR(--ISNUMBER(SEARCH("R127",G253))*127,0)+IFERROR(--ISNUMBER(SEARCH("R128",G253))*128,0)+IFERROR(--ISNUMBER(SEARCH("R129",G253))*129,0)+IFERROR(--ISNUMBER(SEARCH("R130",G253))*130,0)+IFERROR(--ISNUMBER(SEARCH("R131",G253))*131,0)+IFERROR(--ISNUMBER(SEARCH("R132",G253))*132,0)+IFERROR(--ISNUMBER(SEARCH("R133",G253))*133,0)+IFERROR(--ISNUMBER(SEARCH("R134",G253))*134,0)+IFERROR(--ISNUMBER(SEARCH("R135",G253))*135,0)+IFERROR(--ISNUMBER(SEARCH("R136",G253))*136,0)+IFERROR(--ISNUMBER(SEARCH("R137",G253))*137,0)+IFERROR(--ISNUMBER(SEARCH("R138",G253))*138,0)+IFERROR(--ISNUMBER(SEARCH("R139",G253))*139,0)+IFERROR(--ISNUMBER(SEARCH("R140",G253))*140,0)+IFERROR(--ISNUMBER(SEARCH("R141",G253))*141,0))</f>
        <v/>
      </c>
      <c r="V253" s="59">
        <f>IF(A253="","",IF(K253&lt;&gt;"",K253,J253))</f>
        <v/>
      </c>
      <c r="W253" s="59">
        <f>IF(A253="","",IF(AND(V253=29,O253&lt;&gt;"",COUNTIFS($V$6:$V$505,29,$F$6:$F$505,F253,$C$6:$C$505,C253,$O$6:$O$505,"&lt;&gt;")&gt;1),IF(COUNTIFS($V$6:V253,29,$F$6:F253,F253,$C$6:C253,C253,$O$6:O253,"&lt;&gt;")=1,"Esta es la fila que se debe CONSERVAR (aparición 1 de "&amp;COUNTIFS($V$6:$V$505,29,$F$6:$F$505,F253,$C$6:$C$505,C253,$O$6:$O$505,"&lt;&gt;")&amp;" con el mismo tercero y valor, casilla 29). Si hay más filas iguales, bórreles el valor a ELLAS, no a esta.","DUPLICADO — ya existe otra fila con el mismo tercero y valor para casilla 29 (aparición "&amp;COUNTIFS($V$6:V253,29,$F$6:F253,F253,$C$6:C253,C253,$O$6:O253,"&lt;&gt;")&amp;" de "&amp;COUNTIFS($V$6:$V$505,29,$F$6:$F$505,F253,$C$6:$C$505,C253,$O$6:$O$505,"&lt;&gt;")&amp;"). Para resolverlo: seleccione la celda O"&amp;ROW()&amp;" (columna Valor a declarar de ESTA fila) y presione Supr."),""))</f>
        <v/>
      </c>
      <c r="X253" s="463">
        <f>IF(A253="","",F253)</f>
        <v/>
      </c>
      <c r="Y253" s="463">
        <f>IF(A253="","",SUMIF(Entrada_Manual!$I$88:$I$187,A253,Entrada_Manual!$F$88:$F$187))</f>
        <v/>
      </c>
      <c r="Z253" s="463">
        <f>IF(A253="","",X253-Y253)</f>
        <v/>
      </c>
      <c r="AA253">
        <f>IF(A253="","",SUMPRODUCT((Entrada_Manual!$I$88:$I$187=A253)*1))</f>
        <v/>
      </c>
      <c r="AB253">
        <f>IF(A253="","",IF(S253&lt;=1,"",IF(AA253=0,"PENDIENTE — SIN ASIGNAR",IF(Z253=0,"RESUELTO","PARCIAL — DIFERENCIA "&amp;TEXT(Z253,"#,##0")))))</f>
        <v/>
      </c>
    </row>
    <row r="254" ht="14.25" customHeight="1" s="235">
      <c r="A254" s="47">
        <f>IF(Exogena_RAW!E263&lt;&gt;"",ROW()-5,"")</f>
        <v/>
      </c>
      <c r="B254" s="48">
        <f>IF(A254="","",263)</f>
        <v/>
      </c>
      <c r="C254" s="48">
        <f>IF(A254="","",IFERROR(Exogena_RAW!A263,""))</f>
        <v/>
      </c>
      <c r="D254" s="48">
        <f>IF(A254="","",IFERROR(Exogena_RAW!B263,""))</f>
        <v/>
      </c>
      <c r="E254" s="48">
        <f>IF(A254="","",Exogena_RAW!E263)</f>
        <v/>
      </c>
      <c r="F254" s="461">
        <f>IF(A254="","",Exogena_RAW!F263)</f>
        <v/>
      </c>
      <c r="G254" s="48">
        <f>IF(A254="","",IFERROR(Exogena_RAW!G263,""))</f>
        <v/>
      </c>
      <c r="H254" s="48">
        <f>IF(A254="","",IFERROR(Exogena_RAW!H263,""))</f>
        <v/>
      </c>
      <c r="I254" s="48">
        <f>IF(A254="","",IFERROR(IF(S254&gt;1,"VARIAS CASILLAS",IF(S254=1,IF(T254=1,"PROPUESTA DE CASILLA","REVISIÓN: CASILLA NO DIRECTA"),IF(OR(ISNUMBER(SEARCH("TOPE",UPPER(E254))),ISNUMBER(SEARCH("TOPE",UPPER(G254)))),"SOLO CONTROL",IF(ISNUMBER(SEARCH("RETEN",UPPER(E254))),"RETENCIÓN","REVISAR")))),"REVISAR"))</f>
        <v/>
      </c>
      <c r="J254" s="48">
        <f>IF(A254="","",IF(ISNUMBER(SEARCH("ingreso laboral promedio de los últimos seis meses",E254)),"",IFERROR(IF(AND(S254=1,T254=1),U254,""),"")))</f>
        <v/>
      </c>
      <c r="K254" s="216" t="n"/>
      <c r="L254" s="48">
        <f>IF(A254="","",IFERROR(IF(K254&lt;&gt;"","Casilla elegida por usuario",IF(S254&gt;1,"Varias casillas — elegir en K",IF(J254&lt;&gt;"","Sugerencia directa",IF(S254=1,"No trasladar directo — revisar",IF(OR(ISNUMBER(SEARCH("TOPE",UPPER(E254))),ISNUMBER(SEARCH("TOPE",UPPER(G254)))),"Solo control","Revisar manualmente"))))),"Revisar manualmente"))</f>
        <v/>
      </c>
      <c r="M254" s="461">
        <f>IF(A254="","",IF(IF(K254&lt;&gt;"",K254,J254)="",0,IF(COUNTIFS(Reglas!$I$5:$I$118,IF(K254&lt;&gt;"",K254,J254),Reglas!$J$5:$J$118,"Sí")=1,F254,0)))</f>
        <v/>
      </c>
      <c r="N254" s="56" t="n"/>
      <c r="O254" s="462">
        <f>IF(A254="","",IF(M254=0,"",M254))</f>
        <v/>
      </c>
      <c r="P254" s="461">
        <f>IF(A254="","",IF(O254="",0,IF(ISNUMBER(O254),O254,0)))</f>
        <v/>
      </c>
      <c r="Q254" s="48">
        <f>IF(A254="","",IF(Exogena_RAW!$C$4="","BLOQUEADO: FALTA AÑO",IF(Exogena_RAW!$K$10&lt;&gt;Reglas!$B$5,"BLOQUEADO: AÑO",IF(IF(K254&lt;&gt;"",K254,J254)="",IF(S254&gt;1,"REQUIERE ASIGNACIÓN MANUAL (VARIAS CASILLAS)","INFORMATIVO (sin casilla — no se declara)"),IF(COUNTIFS(Reglas!$I$5:$I$118,IF(K254&lt;&gt;"",K254,J254),Reglas!$J$5:$J$118,"Sí")=0,"BLOQUEADO: CASILLA NO DIRECTA",IF(O254="","EXCLUIDO (valor borrado por el usuario)",IF(_xlfn.ISFORMULA(O254),IF(W254&lt;&gt;"","BORRADOR — VALOR SUGERIDO DIAN ⚠ VER ALERTA","BORRADOR — VALOR SUGERIDO DIAN"),IF(W254&lt;&gt;"","ACEPTADO ⚠ VER ALERTA","ACEPTADO"))))))))</f>
        <v/>
      </c>
      <c r="R254" s="218" t="n"/>
      <c r="S254" s="58">
        <f>IF(A254="","",IFERROR(--ISNUMBER(SEARCH("R28",G254)),0)+IFERROR(--ISNUMBER(SEARCH("R29",G254)),0)+IFERROR(--ISNUMBER(SEARCH("R30",G254)),0)+IFERROR(--ISNUMBER(SEARCH("R31",G254)),0)+IFERROR(--ISNUMBER(SEARCH("R32",G254)),0)+IFERROR(--ISNUMBER(SEARCH("R33",G254)),0)+IFERROR(--ISNUMBER(SEARCH("R34",G254)),0)+IFERROR(--ISNUMBER(SEARCH("R35",G254)),0)+IFERROR(--ISNUMBER(SEARCH("R36",G254)),0)+IFERROR(--ISNUMBER(SEARCH("R37",G254)),0)+IFERROR(--ISNUMBER(SEARCH("R38",G254)),0)+IFERROR(--ISNUMBER(SEARCH("R39",G254)),0)+IFERROR(--ISNUMBER(SEARCH("R40",G254)),0)+IFERROR(--ISNUMBER(SEARCH("R41",G254)),0)+IFERROR(--ISNUMBER(SEARCH("R42",G254)),0)+IFERROR(--ISNUMBER(SEARCH("R43",G254)),0)+IFERROR(--ISNUMBER(SEARCH("R44",G254)),0)+IFERROR(--ISNUMBER(SEARCH("R45",G254)),0)+IFERROR(--ISNUMBER(SEARCH("R46",G254)),0)+IFERROR(--ISNUMBER(SEARCH("R47",G254)),0)+IFERROR(--ISNUMBER(SEARCH("R48",G254)),0)+IFERROR(--ISNUMBER(SEARCH("R49",G254)),0)+IFERROR(--ISNUMBER(SEARCH("R50",G254)),0)+IFERROR(--ISNUMBER(SEARCH("R51",G254)),0)+IFERROR(--ISNUMBER(SEARCH("R52",G254)),0)+IFERROR(--ISNUMBER(SEARCH("R53",G254)),0)+IFERROR(--ISNUMBER(SEARCH("R54",G254)),0)+IFERROR(--ISNUMBER(SEARCH("R55",G254)),0)+IFERROR(--ISNUMBER(SEARCH("R56",G254)),0)+IFERROR(--ISNUMBER(SEARCH("R57",G254)),0)+IFERROR(--ISNUMBER(SEARCH("R58",G254)),0)+IFERROR(--ISNUMBER(SEARCH("R59",G254)),0)+IFERROR(--ISNUMBER(SEARCH("R60",G254)),0)+IFERROR(--ISNUMBER(SEARCH("R61",G254)),0)+IFERROR(--ISNUMBER(SEARCH("R62",G254)),0)+IFERROR(--ISNUMBER(SEARCH("R63",G254)),0)+IFERROR(--ISNUMBER(SEARCH("R64",G254)),0)+IFERROR(--ISNUMBER(SEARCH("R65",G254)),0)+IFERROR(--ISNUMBER(SEARCH("R66",G254)),0)+IFERROR(--ISNUMBER(SEARCH("R67",G254)),0)+IFERROR(--ISNUMBER(SEARCH("R68",G254)),0)+IFERROR(--ISNUMBER(SEARCH("R69",G254)),0)+IFERROR(--ISNUMBER(SEARCH("R70",G254)),0)+IFERROR(--ISNUMBER(SEARCH("R71",G254)),0)+IFERROR(--ISNUMBER(SEARCH("R72",G254)),0)+IFERROR(--ISNUMBER(SEARCH("R73",G254)),0)+IFERROR(--ISNUMBER(SEARCH("R74",G254)),0)+IFERROR(--ISNUMBER(SEARCH("R75",G254)),0)+IFERROR(--ISNUMBER(SEARCH("R76",G254)),0)+IFERROR(--ISNUMBER(SEARCH("R77",G254)),0)+IFERROR(--ISNUMBER(SEARCH("R78",G254)),0)+IFERROR(--ISNUMBER(SEARCH("R79",G254)),0)+IFERROR(--ISNUMBER(SEARCH("R80",G254)),0)+IFERROR(--ISNUMBER(SEARCH("R81",G254)),0)+IFERROR(--ISNUMBER(SEARCH("R82",G254)),0)+IFERROR(--ISNUMBER(SEARCH("R83",G254)),0)+IFERROR(--ISNUMBER(SEARCH("R84",G254)),0)+IFERROR(--ISNUMBER(SEARCH("R85",G254)),0)+IFERROR(--ISNUMBER(SEARCH("R86",G254)),0)+IFERROR(--ISNUMBER(SEARCH("R87",G254)),0)+IFERROR(--ISNUMBER(SEARCH("R88",G254)),0)+IFERROR(--ISNUMBER(SEARCH("R89",G254)),0)+IFERROR(--ISNUMBER(SEARCH("R90",G254)),0)+IFERROR(--ISNUMBER(SEARCH("R91",G254)),0)+IFERROR(--ISNUMBER(SEARCH("R92",G254)),0)+IFERROR(--ISNUMBER(SEARCH("R93",G254)),0)+IFERROR(--ISNUMBER(SEARCH("R94",G254)),0)+IFERROR(--ISNUMBER(SEARCH("R95",G254)),0)+IFERROR(--ISNUMBER(SEARCH("R96",G254)),0)+IFERROR(--ISNUMBER(SEARCH("R97",G254)),0)+IFERROR(--ISNUMBER(SEARCH("R98",G254)),0)+IFERROR(--ISNUMBER(SEARCH("R99",G254)),0)+IFERROR(--ISNUMBER(SEARCH("R100",G254)),0)+IFERROR(--ISNUMBER(SEARCH("R101",G254)),0)+IFERROR(--ISNUMBER(SEARCH("R102",G254)),0)+IFERROR(--ISNUMBER(SEARCH("R103",G254)),0)+IFERROR(--ISNUMBER(SEARCH("R104",G254)),0)+IFERROR(--ISNUMBER(SEARCH("R105",G254)),0)+IFERROR(--ISNUMBER(SEARCH("R106",G254)),0)+IFERROR(--ISNUMBER(SEARCH("R107",G254)),0)+IFERROR(--ISNUMBER(SEARCH("R108",G254)),0)+IFERROR(--ISNUMBER(SEARCH("R109",G254)),0)+IFERROR(--ISNUMBER(SEARCH("R110",G254)),0)+IFERROR(--ISNUMBER(SEARCH("R111",G254)),0)+IFERROR(--ISNUMBER(SEARCH("R112",G254)),0)+IFERROR(--ISNUMBER(SEARCH("R113",G254)),0)+IFERROR(--ISNUMBER(SEARCH("R114",G254)),0)+IFERROR(--ISNUMBER(SEARCH("R115",G254)),0)+IFERROR(--ISNUMBER(SEARCH("R116",G254)),0)+IFERROR(--ISNUMBER(SEARCH("R117",G254)),0)+IFERROR(--ISNUMBER(SEARCH("R118",G254)),0)+IFERROR(--ISNUMBER(SEARCH("R119",G254)),0)+IFERROR(--ISNUMBER(SEARCH("R120",G254)),0)+IFERROR(--ISNUMBER(SEARCH("R121",G254)),0)+IFERROR(--ISNUMBER(SEARCH("R122",G254)),0)+IFERROR(--ISNUMBER(SEARCH("R123",G254)),0)+IFERROR(--ISNUMBER(SEARCH("R124",G254)),0)+IFERROR(--ISNUMBER(SEARCH("R125",G254)),0)+IFERROR(--ISNUMBER(SEARCH("R126",G254)),0)+IFERROR(--ISNUMBER(SEARCH("R127",G254)),0)+IFERROR(--ISNUMBER(SEARCH("R128",G254)),0)+IFERROR(--ISNUMBER(SEARCH("R129",G254)),0)+IFERROR(--ISNUMBER(SEARCH("R130",G254)),0)+IFERROR(--ISNUMBER(SEARCH("R131",G254)),0)+IFERROR(--ISNUMBER(SEARCH("R132",G254)),0)+IFERROR(--ISNUMBER(SEARCH("R133",G254)),0)+IFERROR(--ISNUMBER(SEARCH("R134",G254)),0)+IFERROR(--ISNUMBER(SEARCH("R135",G254)),0)+IFERROR(--ISNUMBER(SEARCH("R136",G254)),0)+IFERROR(--ISNUMBER(SEARCH("R137",G254)),0)+IFERROR(--ISNUMBER(SEARCH("R138",G254)),0)+IFERROR(--ISNUMBER(SEARCH("R139",G254)),0)+IFERROR(--ISNUMBER(SEARCH("R140",G254)),0)+IFERROR(--ISNUMBER(SEARCH("R141",G254)),0))</f>
        <v/>
      </c>
      <c r="T254" s="58">
        <f>IF(A254="","",IFERROR(--ISNUMBER(SEARCH("R28",G254)),0)+IFERROR(--ISNUMBER(SEARCH("R29",G254)),0)+IFERROR(--ISNUMBER(SEARCH("R30",G254)),0)+IFERROR(--ISNUMBER(SEARCH("R32",G254)),0)+IFERROR(--ISNUMBER(SEARCH("R33",G254)),0)+IFERROR(--ISNUMBER(SEARCH("R35",G254)),0)+IFERROR(--ISNUMBER(SEARCH("R36",G254)),0)+IFERROR(--ISNUMBER(SEARCH("R38",G254)),0)+IFERROR(--ISNUMBER(SEARCH("R39",G254)),0)+IFERROR(--ISNUMBER(SEARCH("R43",G254)),0)+IFERROR(--ISNUMBER(SEARCH("R44",G254)),0)+IFERROR(--ISNUMBER(SEARCH("R45",G254)),0)+IFERROR(--ISNUMBER(SEARCH("R47",G254)),0)+IFERROR(--ISNUMBER(SEARCH("R48",G254)),0)+IFERROR(--ISNUMBER(SEARCH("R50",G254)),0)+IFERROR(--ISNUMBER(SEARCH("R51",G254)),0)+IFERROR(--ISNUMBER(SEARCH("R56",G254)),0)+IFERROR(--ISNUMBER(SEARCH("R58",G254)),0)+IFERROR(--ISNUMBER(SEARCH("R59",G254)),0)+IFERROR(--ISNUMBER(SEARCH("R60",G254)),0)+IFERROR(--ISNUMBER(SEARCH("R62",G254)),0)+IFERROR(--ISNUMBER(SEARCH("R63",G254)),0)+IFERROR(--ISNUMBER(SEARCH("R64",G254)),0)+IFERROR(--ISNUMBER(SEARCH("R66",G254)),0)+IFERROR(--ISNUMBER(SEARCH("R67",G254)),0)+IFERROR(--ISNUMBER(SEARCH("R72",G254)),0)+IFERROR(--ISNUMBER(SEARCH("R74",G254)),0)+IFERROR(--ISNUMBER(SEARCH("R75",G254)),0)+IFERROR(--ISNUMBER(SEARCH("R76",G254)),0)+IFERROR(--ISNUMBER(SEARCH("R77",G254)),0)+IFERROR(--ISNUMBER(SEARCH("R79",G254)),0)+IFERROR(--ISNUMBER(SEARCH("R80",G254)),0)+IFERROR(--ISNUMBER(SEARCH("R81",G254)),0)+IFERROR(--ISNUMBER(SEARCH("R83",G254)),0)+IFERROR(--ISNUMBER(SEARCH("R84",G254)),0)+IFERROR(--ISNUMBER(SEARCH("R89",G254)),0)+IFERROR(--ISNUMBER(SEARCH("R94",G254)),0)+IFERROR(--ISNUMBER(SEARCH("R95",G254)),0)+IFERROR(--ISNUMBER(SEARCH("R96",G254)),0)+IFERROR(--ISNUMBER(SEARCH("R98",G254)),0)+IFERROR(--ISNUMBER(SEARCH("R99",G254)),0)+IFERROR(--ISNUMBER(SEARCH("R100",G254)),0)+IFERROR(--ISNUMBER(SEARCH("R104",G254)),0)+IFERROR(--ISNUMBER(SEARCH("R105",G254)),0)+IFERROR(--ISNUMBER(SEARCH("R107",G254)),0)+IFERROR(--ISNUMBER(SEARCH("R108",G254)),0)+IFERROR(--ISNUMBER(SEARCH("R109",G254)),0)+IFERROR(--ISNUMBER(SEARCH("R110",G254)),0)+IFERROR(--ISNUMBER(SEARCH("R112",G254)),0)+IFERROR(--ISNUMBER(SEARCH("R113",G254)),0)+IFERROR(--ISNUMBER(SEARCH("R114",G254)),0)+IFERROR(--ISNUMBER(SEARCH("R118",G254)),0)+IFERROR(--ISNUMBER(SEARCH("R119",G254)),0)+IFERROR(--ISNUMBER(SEARCH("R120",G254)),0)+IFERROR(--ISNUMBER(SEARCH("R122",G254)),0)+IFERROR(--ISNUMBER(SEARCH("R123",G254)),0)+IFERROR(--ISNUMBER(SEARCH("R124",G254)),0)+IFERROR(--ISNUMBER(SEARCH("R128",G254)),0)+IFERROR(--ISNUMBER(SEARCH("R130",G254)),0)+IFERROR(--ISNUMBER(SEARCH("R131",G254)),0)+IFERROR(--ISNUMBER(SEARCH("R132",G254)),0)+IFERROR(--ISNUMBER(SEARCH("R135",G254)),0)+IFERROR(--ISNUMBER(SEARCH("R138",G254)),0)+IFERROR(--ISNUMBER(SEARCH("R141",G254)),0))</f>
        <v/>
      </c>
      <c r="U254" s="58">
        <f>IF(A254="","",IFERROR(--ISNUMBER(SEARCH("R28",G254))*28,0)+IFERROR(--ISNUMBER(SEARCH("R29",G254))*29,0)+IFERROR(--ISNUMBER(SEARCH("R30",G254))*30,0)+IFERROR(--ISNUMBER(SEARCH("R31",G254))*31,0)+IFERROR(--ISNUMBER(SEARCH("R32",G254))*32,0)+IFERROR(--ISNUMBER(SEARCH("R33",G254))*33,0)+IFERROR(--ISNUMBER(SEARCH("R34",G254))*34,0)+IFERROR(--ISNUMBER(SEARCH("R35",G254))*35,0)+IFERROR(--ISNUMBER(SEARCH("R36",G254))*36,0)+IFERROR(--ISNUMBER(SEARCH("R37",G254))*37,0)+IFERROR(--ISNUMBER(SEARCH("R38",G254))*38,0)+IFERROR(--ISNUMBER(SEARCH("R39",G254))*39,0)+IFERROR(--ISNUMBER(SEARCH("R40",G254))*40,0)+IFERROR(--ISNUMBER(SEARCH("R41",G254))*41,0)+IFERROR(--ISNUMBER(SEARCH("R42",G254))*42,0)+IFERROR(--ISNUMBER(SEARCH("R43",G254))*43,0)+IFERROR(--ISNUMBER(SEARCH("R44",G254))*44,0)+IFERROR(--ISNUMBER(SEARCH("R45",G254))*45,0)+IFERROR(--ISNUMBER(SEARCH("R46",G254))*46,0)+IFERROR(--ISNUMBER(SEARCH("R47",G254))*47,0)+IFERROR(--ISNUMBER(SEARCH("R48",G254))*48,0)+IFERROR(--ISNUMBER(SEARCH("R49",G254))*49,0)+IFERROR(--ISNUMBER(SEARCH("R50",G254))*50,0)+IFERROR(--ISNUMBER(SEARCH("R51",G254))*51,0)+IFERROR(--ISNUMBER(SEARCH("R52",G254))*52,0)+IFERROR(--ISNUMBER(SEARCH("R53",G254))*53,0)+IFERROR(--ISNUMBER(SEARCH("R54",G254))*54,0)+IFERROR(--ISNUMBER(SEARCH("R55",G254))*55,0)+IFERROR(--ISNUMBER(SEARCH("R56",G254))*56,0)+IFERROR(--ISNUMBER(SEARCH("R57",G254))*57,0)+IFERROR(--ISNUMBER(SEARCH("R58",G254))*58,0)+IFERROR(--ISNUMBER(SEARCH("R59",G254))*59,0)+IFERROR(--ISNUMBER(SEARCH("R60",G254))*60,0)+IFERROR(--ISNUMBER(SEARCH("R61",G254))*61,0)+IFERROR(--ISNUMBER(SEARCH("R62",G254))*62,0)+IFERROR(--ISNUMBER(SEARCH("R63",G254))*63,0)+IFERROR(--ISNUMBER(SEARCH("R64",G254))*64,0)+IFERROR(--ISNUMBER(SEARCH("R65",G254))*65,0)+IFERROR(--ISNUMBER(SEARCH("R66",G254))*66,0)+IFERROR(--ISNUMBER(SEARCH("R67",G254))*67,0)+IFERROR(--ISNUMBER(SEARCH("R68",G254))*68,0)+IFERROR(--ISNUMBER(SEARCH("R69",G254))*69,0)+IFERROR(--ISNUMBER(SEARCH("R70",G254))*70,0)+IFERROR(--ISNUMBER(SEARCH("R71",G254))*71,0)+IFERROR(--ISNUMBER(SEARCH("R72",G254))*72,0)+IFERROR(--ISNUMBER(SEARCH("R73",G254))*73,0)+IFERROR(--ISNUMBER(SEARCH("R74",G254))*74,0)+IFERROR(--ISNUMBER(SEARCH("R75",G254))*75,0)+IFERROR(--ISNUMBER(SEARCH("R76",G254))*76,0)+IFERROR(--ISNUMBER(SEARCH("R77",G254))*77,0)+IFERROR(--ISNUMBER(SEARCH("R78",G254))*78,0)+IFERROR(--ISNUMBER(SEARCH("R79",G254))*79,0)+IFERROR(--ISNUMBER(SEARCH("R80",G254))*80,0)+IFERROR(--ISNUMBER(SEARCH("R81",G254))*81,0)+IFERROR(--ISNUMBER(SEARCH("R82",G254))*82,0)+IFERROR(--ISNUMBER(SEARCH("R83",G254))*83,0)+IFERROR(--ISNUMBER(SEARCH("R84",G254))*84,0)+IFERROR(--ISNUMBER(SEARCH("R85",G254))*85,0)+IFERROR(--ISNUMBER(SEARCH("R86",G254))*86,0)+IFERROR(--ISNUMBER(SEARCH("R87",G254))*87,0)+IFERROR(--ISNUMBER(SEARCH("R88",G254))*88,0)+IFERROR(--ISNUMBER(SEARCH("R89",G254))*89,0)+IFERROR(--ISNUMBER(SEARCH("R90",G254))*90,0)+IFERROR(--ISNUMBER(SEARCH("R91",G254))*91,0)+IFERROR(--ISNUMBER(SEARCH("R92",G254))*92,0)+IFERROR(--ISNUMBER(SEARCH("R93",G254))*93,0)+IFERROR(--ISNUMBER(SEARCH("R94",G254))*94,0)+IFERROR(--ISNUMBER(SEARCH("R95",G254))*95,0)+IFERROR(--ISNUMBER(SEARCH("R96",G254))*96,0)+IFERROR(--ISNUMBER(SEARCH("R97",G254))*97,0)+IFERROR(--ISNUMBER(SEARCH("R98",G254))*98,0)+IFERROR(--ISNUMBER(SEARCH("R99",G254))*99,0)+IFERROR(--ISNUMBER(SEARCH("R100",G254))*100,0)+IFERROR(--ISNUMBER(SEARCH("R101",G254))*101,0)+IFERROR(--ISNUMBER(SEARCH("R102",G254))*102,0)+IFERROR(--ISNUMBER(SEARCH("R103",G254))*103,0)+IFERROR(--ISNUMBER(SEARCH("R104",G254))*104,0)+IFERROR(--ISNUMBER(SEARCH("R105",G254))*105,0)+IFERROR(--ISNUMBER(SEARCH("R106",G254))*106,0)+IFERROR(--ISNUMBER(SEARCH("R107",G254))*107,0)+IFERROR(--ISNUMBER(SEARCH("R108",G254))*108,0)+IFERROR(--ISNUMBER(SEARCH("R109",G254))*109,0)+IFERROR(--ISNUMBER(SEARCH("R110",G254))*110,0)+IFERROR(--ISNUMBER(SEARCH("R111",G254))*111,0)+IFERROR(--ISNUMBER(SEARCH("R112",G254))*112,0)+IFERROR(--ISNUMBER(SEARCH("R113",G254))*113,0)+IFERROR(--ISNUMBER(SEARCH("R114",G254))*114,0)+IFERROR(--ISNUMBER(SEARCH("R115",G254))*115,0)+IFERROR(--ISNUMBER(SEARCH("R116",G254))*116,0)+IFERROR(--ISNUMBER(SEARCH("R117",G254))*117,0)+IFERROR(--ISNUMBER(SEARCH("R118",G254))*118,0)+IFERROR(--ISNUMBER(SEARCH("R119",G254))*119,0)+IFERROR(--ISNUMBER(SEARCH("R120",G254))*120,0)+IFERROR(--ISNUMBER(SEARCH("R121",G254))*121,0)+IFERROR(--ISNUMBER(SEARCH("R122",G254))*122,0)+IFERROR(--ISNUMBER(SEARCH("R123",G254))*123,0)+IFERROR(--ISNUMBER(SEARCH("R124",G254))*124,0)+IFERROR(--ISNUMBER(SEARCH("R125",G254))*125,0)+IFERROR(--ISNUMBER(SEARCH("R126",G254))*126,0)+IFERROR(--ISNUMBER(SEARCH("R127",G254))*127,0)+IFERROR(--ISNUMBER(SEARCH("R128",G254))*128,0)+IFERROR(--ISNUMBER(SEARCH("R129",G254))*129,0)+IFERROR(--ISNUMBER(SEARCH("R130",G254))*130,0)+IFERROR(--ISNUMBER(SEARCH("R131",G254))*131,0)+IFERROR(--ISNUMBER(SEARCH("R132",G254))*132,0)+IFERROR(--ISNUMBER(SEARCH("R133",G254))*133,0)+IFERROR(--ISNUMBER(SEARCH("R134",G254))*134,0)+IFERROR(--ISNUMBER(SEARCH("R135",G254))*135,0)+IFERROR(--ISNUMBER(SEARCH("R136",G254))*136,0)+IFERROR(--ISNUMBER(SEARCH("R137",G254))*137,0)+IFERROR(--ISNUMBER(SEARCH("R138",G254))*138,0)+IFERROR(--ISNUMBER(SEARCH("R139",G254))*139,0)+IFERROR(--ISNUMBER(SEARCH("R140",G254))*140,0)+IFERROR(--ISNUMBER(SEARCH("R141",G254))*141,0))</f>
        <v/>
      </c>
      <c r="V254" s="59">
        <f>IF(A254="","",IF(K254&lt;&gt;"",K254,J254))</f>
        <v/>
      </c>
      <c r="W254" s="59">
        <f>IF(A254="","",IF(AND(V254=29,O254&lt;&gt;"",COUNTIFS($V$6:$V$505,29,$F$6:$F$505,F254,$C$6:$C$505,C254,$O$6:$O$505,"&lt;&gt;")&gt;1),IF(COUNTIFS($V$6:V254,29,$F$6:F254,F254,$C$6:C254,C254,$O$6:O254,"&lt;&gt;")=1,"Esta es la fila que se debe CONSERVAR (aparición 1 de "&amp;COUNTIFS($V$6:$V$505,29,$F$6:$F$505,F254,$C$6:$C$505,C254,$O$6:$O$505,"&lt;&gt;")&amp;" con el mismo tercero y valor, casilla 29). Si hay más filas iguales, bórreles el valor a ELLAS, no a esta.","DUPLICADO — ya existe otra fila con el mismo tercero y valor para casilla 29 (aparición "&amp;COUNTIFS($V$6:V254,29,$F$6:F254,F254,$C$6:C254,C254,$O$6:O254,"&lt;&gt;")&amp;" de "&amp;COUNTIFS($V$6:$V$505,29,$F$6:$F$505,F254,$C$6:$C$505,C254,$O$6:$O$505,"&lt;&gt;")&amp;"). Para resolverlo: seleccione la celda O"&amp;ROW()&amp;" (columna Valor a declarar de ESTA fila) y presione Supr."),""))</f>
        <v/>
      </c>
      <c r="X254" s="463">
        <f>IF(A254="","",F254)</f>
        <v/>
      </c>
      <c r="Y254" s="463">
        <f>IF(A254="","",SUMIF(Entrada_Manual!$I$88:$I$187,A254,Entrada_Manual!$F$88:$F$187))</f>
        <v/>
      </c>
      <c r="Z254" s="463">
        <f>IF(A254="","",X254-Y254)</f>
        <v/>
      </c>
      <c r="AA254">
        <f>IF(A254="","",SUMPRODUCT((Entrada_Manual!$I$88:$I$187=A254)*1))</f>
        <v/>
      </c>
      <c r="AB254">
        <f>IF(A254="","",IF(S254&lt;=1,"",IF(AA254=0,"PENDIENTE — SIN ASIGNAR",IF(Z254=0,"RESUELTO","PARCIAL — DIFERENCIA "&amp;TEXT(Z254,"#,##0")))))</f>
        <v/>
      </c>
    </row>
    <row r="255" ht="14.25" customHeight="1" s="235">
      <c r="A255" s="47">
        <f>IF(Exogena_RAW!E264&lt;&gt;"",ROW()-5,"")</f>
        <v/>
      </c>
      <c r="B255" s="48">
        <f>IF(A255="","",264)</f>
        <v/>
      </c>
      <c r="C255" s="48">
        <f>IF(A255="","",IFERROR(Exogena_RAW!A264,""))</f>
        <v/>
      </c>
      <c r="D255" s="48">
        <f>IF(A255="","",IFERROR(Exogena_RAW!B264,""))</f>
        <v/>
      </c>
      <c r="E255" s="48">
        <f>IF(A255="","",Exogena_RAW!E264)</f>
        <v/>
      </c>
      <c r="F255" s="461">
        <f>IF(A255="","",Exogena_RAW!F264)</f>
        <v/>
      </c>
      <c r="G255" s="48">
        <f>IF(A255="","",IFERROR(Exogena_RAW!G264,""))</f>
        <v/>
      </c>
      <c r="H255" s="48">
        <f>IF(A255="","",IFERROR(Exogena_RAW!H264,""))</f>
        <v/>
      </c>
      <c r="I255" s="48">
        <f>IF(A255="","",IFERROR(IF(S255&gt;1,"VARIAS CASILLAS",IF(S255=1,IF(T255=1,"PROPUESTA DE CASILLA","REVISIÓN: CASILLA NO DIRECTA"),IF(OR(ISNUMBER(SEARCH("TOPE",UPPER(E255))),ISNUMBER(SEARCH("TOPE",UPPER(G255)))),"SOLO CONTROL",IF(ISNUMBER(SEARCH("RETEN",UPPER(E255))),"RETENCIÓN","REVISAR")))),"REVISAR"))</f>
        <v/>
      </c>
      <c r="J255" s="48">
        <f>IF(A255="","",IF(ISNUMBER(SEARCH("ingreso laboral promedio de los últimos seis meses",E255)),"",IFERROR(IF(AND(S255=1,T255=1),U255,""),"")))</f>
        <v/>
      </c>
      <c r="K255" s="216" t="n"/>
      <c r="L255" s="48">
        <f>IF(A255="","",IFERROR(IF(K255&lt;&gt;"","Casilla elegida por usuario",IF(S255&gt;1,"Varias casillas — elegir en K",IF(J255&lt;&gt;"","Sugerencia directa",IF(S255=1,"No trasladar directo — revisar",IF(OR(ISNUMBER(SEARCH("TOPE",UPPER(E255))),ISNUMBER(SEARCH("TOPE",UPPER(G255)))),"Solo control","Revisar manualmente"))))),"Revisar manualmente"))</f>
        <v/>
      </c>
      <c r="M255" s="461">
        <f>IF(A255="","",IF(IF(K255&lt;&gt;"",K255,J255)="",0,IF(COUNTIFS(Reglas!$I$5:$I$118,IF(K255&lt;&gt;"",K255,J255),Reglas!$J$5:$J$118,"Sí")=1,F255,0)))</f>
        <v/>
      </c>
      <c r="N255" s="56" t="n"/>
      <c r="O255" s="462">
        <f>IF(A255="","",IF(M255=0,"",M255))</f>
        <v/>
      </c>
      <c r="P255" s="461">
        <f>IF(A255="","",IF(O255="",0,IF(ISNUMBER(O255),O255,0)))</f>
        <v/>
      </c>
      <c r="Q255" s="48">
        <f>IF(A255="","",IF(Exogena_RAW!$C$4="","BLOQUEADO: FALTA AÑO",IF(Exogena_RAW!$K$10&lt;&gt;Reglas!$B$5,"BLOQUEADO: AÑO",IF(IF(K255&lt;&gt;"",K255,J255)="",IF(S255&gt;1,"REQUIERE ASIGNACIÓN MANUAL (VARIAS CASILLAS)","INFORMATIVO (sin casilla — no se declara)"),IF(COUNTIFS(Reglas!$I$5:$I$118,IF(K255&lt;&gt;"",K255,J255),Reglas!$J$5:$J$118,"Sí")=0,"BLOQUEADO: CASILLA NO DIRECTA",IF(O255="","EXCLUIDO (valor borrado por el usuario)",IF(_xlfn.ISFORMULA(O255),IF(W255&lt;&gt;"","BORRADOR — VALOR SUGERIDO DIAN ⚠ VER ALERTA","BORRADOR — VALOR SUGERIDO DIAN"),IF(W255&lt;&gt;"","ACEPTADO ⚠ VER ALERTA","ACEPTADO"))))))))</f>
        <v/>
      </c>
      <c r="R255" s="218" t="n"/>
      <c r="S255" s="58">
        <f>IF(A255="","",IFERROR(--ISNUMBER(SEARCH("R28",G255)),0)+IFERROR(--ISNUMBER(SEARCH("R29",G255)),0)+IFERROR(--ISNUMBER(SEARCH("R30",G255)),0)+IFERROR(--ISNUMBER(SEARCH("R31",G255)),0)+IFERROR(--ISNUMBER(SEARCH("R32",G255)),0)+IFERROR(--ISNUMBER(SEARCH("R33",G255)),0)+IFERROR(--ISNUMBER(SEARCH("R34",G255)),0)+IFERROR(--ISNUMBER(SEARCH("R35",G255)),0)+IFERROR(--ISNUMBER(SEARCH("R36",G255)),0)+IFERROR(--ISNUMBER(SEARCH("R37",G255)),0)+IFERROR(--ISNUMBER(SEARCH("R38",G255)),0)+IFERROR(--ISNUMBER(SEARCH("R39",G255)),0)+IFERROR(--ISNUMBER(SEARCH("R40",G255)),0)+IFERROR(--ISNUMBER(SEARCH("R41",G255)),0)+IFERROR(--ISNUMBER(SEARCH("R42",G255)),0)+IFERROR(--ISNUMBER(SEARCH("R43",G255)),0)+IFERROR(--ISNUMBER(SEARCH("R44",G255)),0)+IFERROR(--ISNUMBER(SEARCH("R45",G255)),0)+IFERROR(--ISNUMBER(SEARCH("R46",G255)),0)+IFERROR(--ISNUMBER(SEARCH("R47",G255)),0)+IFERROR(--ISNUMBER(SEARCH("R48",G255)),0)+IFERROR(--ISNUMBER(SEARCH("R49",G255)),0)+IFERROR(--ISNUMBER(SEARCH("R50",G255)),0)+IFERROR(--ISNUMBER(SEARCH("R51",G255)),0)+IFERROR(--ISNUMBER(SEARCH("R52",G255)),0)+IFERROR(--ISNUMBER(SEARCH("R53",G255)),0)+IFERROR(--ISNUMBER(SEARCH("R54",G255)),0)+IFERROR(--ISNUMBER(SEARCH("R55",G255)),0)+IFERROR(--ISNUMBER(SEARCH("R56",G255)),0)+IFERROR(--ISNUMBER(SEARCH("R57",G255)),0)+IFERROR(--ISNUMBER(SEARCH("R58",G255)),0)+IFERROR(--ISNUMBER(SEARCH("R59",G255)),0)+IFERROR(--ISNUMBER(SEARCH("R60",G255)),0)+IFERROR(--ISNUMBER(SEARCH("R61",G255)),0)+IFERROR(--ISNUMBER(SEARCH("R62",G255)),0)+IFERROR(--ISNUMBER(SEARCH("R63",G255)),0)+IFERROR(--ISNUMBER(SEARCH("R64",G255)),0)+IFERROR(--ISNUMBER(SEARCH("R65",G255)),0)+IFERROR(--ISNUMBER(SEARCH("R66",G255)),0)+IFERROR(--ISNUMBER(SEARCH("R67",G255)),0)+IFERROR(--ISNUMBER(SEARCH("R68",G255)),0)+IFERROR(--ISNUMBER(SEARCH("R69",G255)),0)+IFERROR(--ISNUMBER(SEARCH("R70",G255)),0)+IFERROR(--ISNUMBER(SEARCH("R71",G255)),0)+IFERROR(--ISNUMBER(SEARCH("R72",G255)),0)+IFERROR(--ISNUMBER(SEARCH("R73",G255)),0)+IFERROR(--ISNUMBER(SEARCH("R74",G255)),0)+IFERROR(--ISNUMBER(SEARCH("R75",G255)),0)+IFERROR(--ISNUMBER(SEARCH("R76",G255)),0)+IFERROR(--ISNUMBER(SEARCH("R77",G255)),0)+IFERROR(--ISNUMBER(SEARCH("R78",G255)),0)+IFERROR(--ISNUMBER(SEARCH("R79",G255)),0)+IFERROR(--ISNUMBER(SEARCH("R80",G255)),0)+IFERROR(--ISNUMBER(SEARCH("R81",G255)),0)+IFERROR(--ISNUMBER(SEARCH("R82",G255)),0)+IFERROR(--ISNUMBER(SEARCH("R83",G255)),0)+IFERROR(--ISNUMBER(SEARCH("R84",G255)),0)+IFERROR(--ISNUMBER(SEARCH("R85",G255)),0)+IFERROR(--ISNUMBER(SEARCH("R86",G255)),0)+IFERROR(--ISNUMBER(SEARCH("R87",G255)),0)+IFERROR(--ISNUMBER(SEARCH("R88",G255)),0)+IFERROR(--ISNUMBER(SEARCH("R89",G255)),0)+IFERROR(--ISNUMBER(SEARCH("R90",G255)),0)+IFERROR(--ISNUMBER(SEARCH("R91",G255)),0)+IFERROR(--ISNUMBER(SEARCH("R92",G255)),0)+IFERROR(--ISNUMBER(SEARCH("R93",G255)),0)+IFERROR(--ISNUMBER(SEARCH("R94",G255)),0)+IFERROR(--ISNUMBER(SEARCH("R95",G255)),0)+IFERROR(--ISNUMBER(SEARCH("R96",G255)),0)+IFERROR(--ISNUMBER(SEARCH("R97",G255)),0)+IFERROR(--ISNUMBER(SEARCH("R98",G255)),0)+IFERROR(--ISNUMBER(SEARCH("R99",G255)),0)+IFERROR(--ISNUMBER(SEARCH("R100",G255)),0)+IFERROR(--ISNUMBER(SEARCH("R101",G255)),0)+IFERROR(--ISNUMBER(SEARCH("R102",G255)),0)+IFERROR(--ISNUMBER(SEARCH("R103",G255)),0)+IFERROR(--ISNUMBER(SEARCH("R104",G255)),0)+IFERROR(--ISNUMBER(SEARCH("R105",G255)),0)+IFERROR(--ISNUMBER(SEARCH("R106",G255)),0)+IFERROR(--ISNUMBER(SEARCH("R107",G255)),0)+IFERROR(--ISNUMBER(SEARCH("R108",G255)),0)+IFERROR(--ISNUMBER(SEARCH("R109",G255)),0)+IFERROR(--ISNUMBER(SEARCH("R110",G255)),0)+IFERROR(--ISNUMBER(SEARCH("R111",G255)),0)+IFERROR(--ISNUMBER(SEARCH("R112",G255)),0)+IFERROR(--ISNUMBER(SEARCH("R113",G255)),0)+IFERROR(--ISNUMBER(SEARCH("R114",G255)),0)+IFERROR(--ISNUMBER(SEARCH("R115",G255)),0)+IFERROR(--ISNUMBER(SEARCH("R116",G255)),0)+IFERROR(--ISNUMBER(SEARCH("R117",G255)),0)+IFERROR(--ISNUMBER(SEARCH("R118",G255)),0)+IFERROR(--ISNUMBER(SEARCH("R119",G255)),0)+IFERROR(--ISNUMBER(SEARCH("R120",G255)),0)+IFERROR(--ISNUMBER(SEARCH("R121",G255)),0)+IFERROR(--ISNUMBER(SEARCH("R122",G255)),0)+IFERROR(--ISNUMBER(SEARCH("R123",G255)),0)+IFERROR(--ISNUMBER(SEARCH("R124",G255)),0)+IFERROR(--ISNUMBER(SEARCH("R125",G255)),0)+IFERROR(--ISNUMBER(SEARCH("R126",G255)),0)+IFERROR(--ISNUMBER(SEARCH("R127",G255)),0)+IFERROR(--ISNUMBER(SEARCH("R128",G255)),0)+IFERROR(--ISNUMBER(SEARCH("R129",G255)),0)+IFERROR(--ISNUMBER(SEARCH("R130",G255)),0)+IFERROR(--ISNUMBER(SEARCH("R131",G255)),0)+IFERROR(--ISNUMBER(SEARCH("R132",G255)),0)+IFERROR(--ISNUMBER(SEARCH("R133",G255)),0)+IFERROR(--ISNUMBER(SEARCH("R134",G255)),0)+IFERROR(--ISNUMBER(SEARCH("R135",G255)),0)+IFERROR(--ISNUMBER(SEARCH("R136",G255)),0)+IFERROR(--ISNUMBER(SEARCH("R137",G255)),0)+IFERROR(--ISNUMBER(SEARCH("R138",G255)),0)+IFERROR(--ISNUMBER(SEARCH("R139",G255)),0)+IFERROR(--ISNUMBER(SEARCH("R140",G255)),0)+IFERROR(--ISNUMBER(SEARCH("R141",G255)),0))</f>
        <v/>
      </c>
      <c r="T255" s="58">
        <f>IF(A255="","",IFERROR(--ISNUMBER(SEARCH("R28",G255)),0)+IFERROR(--ISNUMBER(SEARCH("R29",G255)),0)+IFERROR(--ISNUMBER(SEARCH("R30",G255)),0)+IFERROR(--ISNUMBER(SEARCH("R32",G255)),0)+IFERROR(--ISNUMBER(SEARCH("R33",G255)),0)+IFERROR(--ISNUMBER(SEARCH("R35",G255)),0)+IFERROR(--ISNUMBER(SEARCH("R36",G255)),0)+IFERROR(--ISNUMBER(SEARCH("R38",G255)),0)+IFERROR(--ISNUMBER(SEARCH("R39",G255)),0)+IFERROR(--ISNUMBER(SEARCH("R43",G255)),0)+IFERROR(--ISNUMBER(SEARCH("R44",G255)),0)+IFERROR(--ISNUMBER(SEARCH("R45",G255)),0)+IFERROR(--ISNUMBER(SEARCH("R47",G255)),0)+IFERROR(--ISNUMBER(SEARCH("R48",G255)),0)+IFERROR(--ISNUMBER(SEARCH("R50",G255)),0)+IFERROR(--ISNUMBER(SEARCH("R51",G255)),0)+IFERROR(--ISNUMBER(SEARCH("R56",G255)),0)+IFERROR(--ISNUMBER(SEARCH("R58",G255)),0)+IFERROR(--ISNUMBER(SEARCH("R59",G255)),0)+IFERROR(--ISNUMBER(SEARCH("R60",G255)),0)+IFERROR(--ISNUMBER(SEARCH("R62",G255)),0)+IFERROR(--ISNUMBER(SEARCH("R63",G255)),0)+IFERROR(--ISNUMBER(SEARCH("R64",G255)),0)+IFERROR(--ISNUMBER(SEARCH("R66",G255)),0)+IFERROR(--ISNUMBER(SEARCH("R67",G255)),0)+IFERROR(--ISNUMBER(SEARCH("R72",G255)),0)+IFERROR(--ISNUMBER(SEARCH("R74",G255)),0)+IFERROR(--ISNUMBER(SEARCH("R75",G255)),0)+IFERROR(--ISNUMBER(SEARCH("R76",G255)),0)+IFERROR(--ISNUMBER(SEARCH("R77",G255)),0)+IFERROR(--ISNUMBER(SEARCH("R79",G255)),0)+IFERROR(--ISNUMBER(SEARCH("R80",G255)),0)+IFERROR(--ISNUMBER(SEARCH("R81",G255)),0)+IFERROR(--ISNUMBER(SEARCH("R83",G255)),0)+IFERROR(--ISNUMBER(SEARCH("R84",G255)),0)+IFERROR(--ISNUMBER(SEARCH("R89",G255)),0)+IFERROR(--ISNUMBER(SEARCH("R94",G255)),0)+IFERROR(--ISNUMBER(SEARCH("R95",G255)),0)+IFERROR(--ISNUMBER(SEARCH("R96",G255)),0)+IFERROR(--ISNUMBER(SEARCH("R98",G255)),0)+IFERROR(--ISNUMBER(SEARCH("R99",G255)),0)+IFERROR(--ISNUMBER(SEARCH("R100",G255)),0)+IFERROR(--ISNUMBER(SEARCH("R104",G255)),0)+IFERROR(--ISNUMBER(SEARCH("R105",G255)),0)+IFERROR(--ISNUMBER(SEARCH("R107",G255)),0)+IFERROR(--ISNUMBER(SEARCH("R108",G255)),0)+IFERROR(--ISNUMBER(SEARCH("R109",G255)),0)+IFERROR(--ISNUMBER(SEARCH("R110",G255)),0)+IFERROR(--ISNUMBER(SEARCH("R112",G255)),0)+IFERROR(--ISNUMBER(SEARCH("R113",G255)),0)+IFERROR(--ISNUMBER(SEARCH("R114",G255)),0)+IFERROR(--ISNUMBER(SEARCH("R118",G255)),0)+IFERROR(--ISNUMBER(SEARCH("R119",G255)),0)+IFERROR(--ISNUMBER(SEARCH("R120",G255)),0)+IFERROR(--ISNUMBER(SEARCH("R122",G255)),0)+IFERROR(--ISNUMBER(SEARCH("R123",G255)),0)+IFERROR(--ISNUMBER(SEARCH("R124",G255)),0)+IFERROR(--ISNUMBER(SEARCH("R128",G255)),0)+IFERROR(--ISNUMBER(SEARCH("R130",G255)),0)+IFERROR(--ISNUMBER(SEARCH("R131",G255)),0)+IFERROR(--ISNUMBER(SEARCH("R132",G255)),0)+IFERROR(--ISNUMBER(SEARCH("R135",G255)),0)+IFERROR(--ISNUMBER(SEARCH("R138",G255)),0)+IFERROR(--ISNUMBER(SEARCH("R141",G255)),0))</f>
        <v/>
      </c>
      <c r="U255" s="58">
        <f>IF(A255="","",IFERROR(--ISNUMBER(SEARCH("R28",G255))*28,0)+IFERROR(--ISNUMBER(SEARCH("R29",G255))*29,0)+IFERROR(--ISNUMBER(SEARCH("R30",G255))*30,0)+IFERROR(--ISNUMBER(SEARCH("R31",G255))*31,0)+IFERROR(--ISNUMBER(SEARCH("R32",G255))*32,0)+IFERROR(--ISNUMBER(SEARCH("R33",G255))*33,0)+IFERROR(--ISNUMBER(SEARCH("R34",G255))*34,0)+IFERROR(--ISNUMBER(SEARCH("R35",G255))*35,0)+IFERROR(--ISNUMBER(SEARCH("R36",G255))*36,0)+IFERROR(--ISNUMBER(SEARCH("R37",G255))*37,0)+IFERROR(--ISNUMBER(SEARCH("R38",G255))*38,0)+IFERROR(--ISNUMBER(SEARCH("R39",G255))*39,0)+IFERROR(--ISNUMBER(SEARCH("R40",G255))*40,0)+IFERROR(--ISNUMBER(SEARCH("R41",G255))*41,0)+IFERROR(--ISNUMBER(SEARCH("R42",G255))*42,0)+IFERROR(--ISNUMBER(SEARCH("R43",G255))*43,0)+IFERROR(--ISNUMBER(SEARCH("R44",G255))*44,0)+IFERROR(--ISNUMBER(SEARCH("R45",G255))*45,0)+IFERROR(--ISNUMBER(SEARCH("R46",G255))*46,0)+IFERROR(--ISNUMBER(SEARCH("R47",G255))*47,0)+IFERROR(--ISNUMBER(SEARCH("R48",G255))*48,0)+IFERROR(--ISNUMBER(SEARCH("R49",G255))*49,0)+IFERROR(--ISNUMBER(SEARCH("R50",G255))*50,0)+IFERROR(--ISNUMBER(SEARCH("R51",G255))*51,0)+IFERROR(--ISNUMBER(SEARCH("R52",G255))*52,0)+IFERROR(--ISNUMBER(SEARCH("R53",G255))*53,0)+IFERROR(--ISNUMBER(SEARCH("R54",G255))*54,0)+IFERROR(--ISNUMBER(SEARCH("R55",G255))*55,0)+IFERROR(--ISNUMBER(SEARCH("R56",G255))*56,0)+IFERROR(--ISNUMBER(SEARCH("R57",G255))*57,0)+IFERROR(--ISNUMBER(SEARCH("R58",G255))*58,0)+IFERROR(--ISNUMBER(SEARCH("R59",G255))*59,0)+IFERROR(--ISNUMBER(SEARCH("R60",G255))*60,0)+IFERROR(--ISNUMBER(SEARCH("R61",G255))*61,0)+IFERROR(--ISNUMBER(SEARCH("R62",G255))*62,0)+IFERROR(--ISNUMBER(SEARCH("R63",G255))*63,0)+IFERROR(--ISNUMBER(SEARCH("R64",G255))*64,0)+IFERROR(--ISNUMBER(SEARCH("R65",G255))*65,0)+IFERROR(--ISNUMBER(SEARCH("R66",G255))*66,0)+IFERROR(--ISNUMBER(SEARCH("R67",G255))*67,0)+IFERROR(--ISNUMBER(SEARCH("R68",G255))*68,0)+IFERROR(--ISNUMBER(SEARCH("R69",G255))*69,0)+IFERROR(--ISNUMBER(SEARCH("R70",G255))*70,0)+IFERROR(--ISNUMBER(SEARCH("R71",G255))*71,0)+IFERROR(--ISNUMBER(SEARCH("R72",G255))*72,0)+IFERROR(--ISNUMBER(SEARCH("R73",G255))*73,0)+IFERROR(--ISNUMBER(SEARCH("R74",G255))*74,0)+IFERROR(--ISNUMBER(SEARCH("R75",G255))*75,0)+IFERROR(--ISNUMBER(SEARCH("R76",G255))*76,0)+IFERROR(--ISNUMBER(SEARCH("R77",G255))*77,0)+IFERROR(--ISNUMBER(SEARCH("R78",G255))*78,0)+IFERROR(--ISNUMBER(SEARCH("R79",G255))*79,0)+IFERROR(--ISNUMBER(SEARCH("R80",G255))*80,0)+IFERROR(--ISNUMBER(SEARCH("R81",G255))*81,0)+IFERROR(--ISNUMBER(SEARCH("R82",G255))*82,0)+IFERROR(--ISNUMBER(SEARCH("R83",G255))*83,0)+IFERROR(--ISNUMBER(SEARCH("R84",G255))*84,0)+IFERROR(--ISNUMBER(SEARCH("R85",G255))*85,0)+IFERROR(--ISNUMBER(SEARCH("R86",G255))*86,0)+IFERROR(--ISNUMBER(SEARCH("R87",G255))*87,0)+IFERROR(--ISNUMBER(SEARCH("R88",G255))*88,0)+IFERROR(--ISNUMBER(SEARCH("R89",G255))*89,0)+IFERROR(--ISNUMBER(SEARCH("R90",G255))*90,0)+IFERROR(--ISNUMBER(SEARCH("R91",G255))*91,0)+IFERROR(--ISNUMBER(SEARCH("R92",G255))*92,0)+IFERROR(--ISNUMBER(SEARCH("R93",G255))*93,0)+IFERROR(--ISNUMBER(SEARCH("R94",G255))*94,0)+IFERROR(--ISNUMBER(SEARCH("R95",G255))*95,0)+IFERROR(--ISNUMBER(SEARCH("R96",G255))*96,0)+IFERROR(--ISNUMBER(SEARCH("R97",G255))*97,0)+IFERROR(--ISNUMBER(SEARCH("R98",G255))*98,0)+IFERROR(--ISNUMBER(SEARCH("R99",G255))*99,0)+IFERROR(--ISNUMBER(SEARCH("R100",G255))*100,0)+IFERROR(--ISNUMBER(SEARCH("R101",G255))*101,0)+IFERROR(--ISNUMBER(SEARCH("R102",G255))*102,0)+IFERROR(--ISNUMBER(SEARCH("R103",G255))*103,0)+IFERROR(--ISNUMBER(SEARCH("R104",G255))*104,0)+IFERROR(--ISNUMBER(SEARCH("R105",G255))*105,0)+IFERROR(--ISNUMBER(SEARCH("R106",G255))*106,0)+IFERROR(--ISNUMBER(SEARCH("R107",G255))*107,0)+IFERROR(--ISNUMBER(SEARCH("R108",G255))*108,0)+IFERROR(--ISNUMBER(SEARCH("R109",G255))*109,0)+IFERROR(--ISNUMBER(SEARCH("R110",G255))*110,0)+IFERROR(--ISNUMBER(SEARCH("R111",G255))*111,0)+IFERROR(--ISNUMBER(SEARCH("R112",G255))*112,0)+IFERROR(--ISNUMBER(SEARCH("R113",G255))*113,0)+IFERROR(--ISNUMBER(SEARCH("R114",G255))*114,0)+IFERROR(--ISNUMBER(SEARCH("R115",G255))*115,0)+IFERROR(--ISNUMBER(SEARCH("R116",G255))*116,0)+IFERROR(--ISNUMBER(SEARCH("R117",G255))*117,0)+IFERROR(--ISNUMBER(SEARCH("R118",G255))*118,0)+IFERROR(--ISNUMBER(SEARCH("R119",G255))*119,0)+IFERROR(--ISNUMBER(SEARCH("R120",G255))*120,0)+IFERROR(--ISNUMBER(SEARCH("R121",G255))*121,0)+IFERROR(--ISNUMBER(SEARCH("R122",G255))*122,0)+IFERROR(--ISNUMBER(SEARCH("R123",G255))*123,0)+IFERROR(--ISNUMBER(SEARCH("R124",G255))*124,0)+IFERROR(--ISNUMBER(SEARCH("R125",G255))*125,0)+IFERROR(--ISNUMBER(SEARCH("R126",G255))*126,0)+IFERROR(--ISNUMBER(SEARCH("R127",G255))*127,0)+IFERROR(--ISNUMBER(SEARCH("R128",G255))*128,0)+IFERROR(--ISNUMBER(SEARCH("R129",G255))*129,0)+IFERROR(--ISNUMBER(SEARCH("R130",G255))*130,0)+IFERROR(--ISNUMBER(SEARCH("R131",G255))*131,0)+IFERROR(--ISNUMBER(SEARCH("R132",G255))*132,0)+IFERROR(--ISNUMBER(SEARCH("R133",G255))*133,0)+IFERROR(--ISNUMBER(SEARCH("R134",G255))*134,0)+IFERROR(--ISNUMBER(SEARCH("R135",G255))*135,0)+IFERROR(--ISNUMBER(SEARCH("R136",G255))*136,0)+IFERROR(--ISNUMBER(SEARCH("R137",G255))*137,0)+IFERROR(--ISNUMBER(SEARCH("R138",G255))*138,0)+IFERROR(--ISNUMBER(SEARCH("R139",G255))*139,0)+IFERROR(--ISNUMBER(SEARCH("R140",G255))*140,0)+IFERROR(--ISNUMBER(SEARCH("R141",G255))*141,0))</f>
        <v/>
      </c>
      <c r="V255" s="59">
        <f>IF(A255="","",IF(K255&lt;&gt;"",K255,J255))</f>
        <v/>
      </c>
      <c r="W255" s="59">
        <f>IF(A255="","",IF(AND(V255=29,O255&lt;&gt;"",COUNTIFS($V$6:$V$505,29,$F$6:$F$505,F255,$C$6:$C$505,C255,$O$6:$O$505,"&lt;&gt;")&gt;1),IF(COUNTIFS($V$6:V255,29,$F$6:F255,F255,$C$6:C255,C255,$O$6:O255,"&lt;&gt;")=1,"Esta es la fila que se debe CONSERVAR (aparición 1 de "&amp;COUNTIFS($V$6:$V$505,29,$F$6:$F$505,F255,$C$6:$C$505,C255,$O$6:$O$505,"&lt;&gt;")&amp;" con el mismo tercero y valor, casilla 29). Si hay más filas iguales, bórreles el valor a ELLAS, no a esta.","DUPLICADO — ya existe otra fila con el mismo tercero y valor para casilla 29 (aparición "&amp;COUNTIFS($V$6:V255,29,$F$6:F255,F255,$C$6:C255,C255,$O$6:O255,"&lt;&gt;")&amp;" de "&amp;COUNTIFS($V$6:$V$505,29,$F$6:$F$505,F255,$C$6:$C$505,C255,$O$6:$O$505,"&lt;&gt;")&amp;"). Para resolverlo: seleccione la celda O"&amp;ROW()&amp;" (columna Valor a declarar de ESTA fila) y presione Supr."),""))</f>
        <v/>
      </c>
      <c r="X255" s="463">
        <f>IF(A255="","",F255)</f>
        <v/>
      </c>
      <c r="Y255" s="463">
        <f>IF(A255="","",SUMIF(Entrada_Manual!$I$88:$I$187,A255,Entrada_Manual!$F$88:$F$187))</f>
        <v/>
      </c>
      <c r="Z255" s="463">
        <f>IF(A255="","",X255-Y255)</f>
        <v/>
      </c>
      <c r="AA255">
        <f>IF(A255="","",SUMPRODUCT((Entrada_Manual!$I$88:$I$187=A255)*1))</f>
        <v/>
      </c>
      <c r="AB255">
        <f>IF(A255="","",IF(S255&lt;=1,"",IF(AA255=0,"PENDIENTE — SIN ASIGNAR",IF(Z255=0,"RESUELTO","PARCIAL — DIFERENCIA "&amp;TEXT(Z255,"#,##0")))))</f>
        <v/>
      </c>
    </row>
    <row r="256" ht="14.25" customHeight="1" s="235">
      <c r="A256" s="47">
        <f>IF(Exogena_RAW!E265&lt;&gt;"",ROW()-5,"")</f>
        <v/>
      </c>
      <c r="B256" s="48">
        <f>IF(A256="","",265)</f>
        <v/>
      </c>
      <c r="C256" s="48">
        <f>IF(A256="","",IFERROR(Exogena_RAW!A265,""))</f>
        <v/>
      </c>
      <c r="D256" s="48">
        <f>IF(A256="","",IFERROR(Exogena_RAW!B265,""))</f>
        <v/>
      </c>
      <c r="E256" s="48">
        <f>IF(A256="","",Exogena_RAW!E265)</f>
        <v/>
      </c>
      <c r="F256" s="461">
        <f>IF(A256="","",Exogena_RAW!F265)</f>
        <v/>
      </c>
      <c r="G256" s="48">
        <f>IF(A256="","",IFERROR(Exogena_RAW!G265,""))</f>
        <v/>
      </c>
      <c r="H256" s="48">
        <f>IF(A256="","",IFERROR(Exogena_RAW!H265,""))</f>
        <v/>
      </c>
      <c r="I256" s="48">
        <f>IF(A256="","",IFERROR(IF(S256&gt;1,"VARIAS CASILLAS",IF(S256=1,IF(T256=1,"PROPUESTA DE CASILLA","REVISIÓN: CASILLA NO DIRECTA"),IF(OR(ISNUMBER(SEARCH("TOPE",UPPER(E256))),ISNUMBER(SEARCH("TOPE",UPPER(G256)))),"SOLO CONTROL",IF(ISNUMBER(SEARCH("RETEN",UPPER(E256))),"RETENCIÓN","REVISAR")))),"REVISAR"))</f>
        <v/>
      </c>
      <c r="J256" s="48">
        <f>IF(A256="","",IF(ISNUMBER(SEARCH("ingreso laboral promedio de los últimos seis meses",E256)),"",IFERROR(IF(AND(S256=1,T256=1),U256,""),"")))</f>
        <v/>
      </c>
      <c r="K256" s="216" t="n"/>
      <c r="L256" s="48">
        <f>IF(A256="","",IFERROR(IF(K256&lt;&gt;"","Casilla elegida por usuario",IF(S256&gt;1,"Varias casillas — elegir en K",IF(J256&lt;&gt;"","Sugerencia directa",IF(S256=1,"No trasladar directo — revisar",IF(OR(ISNUMBER(SEARCH("TOPE",UPPER(E256))),ISNUMBER(SEARCH("TOPE",UPPER(G256)))),"Solo control","Revisar manualmente"))))),"Revisar manualmente"))</f>
        <v/>
      </c>
      <c r="M256" s="461">
        <f>IF(A256="","",IF(IF(K256&lt;&gt;"",K256,J256)="",0,IF(COUNTIFS(Reglas!$I$5:$I$118,IF(K256&lt;&gt;"",K256,J256),Reglas!$J$5:$J$118,"Sí")=1,F256,0)))</f>
        <v/>
      </c>
      <c r="N256" s="56" t="n"/>
      <c r="O256" s="462">
        <f>IF(A256="","",IF(M256=0,"",M256))</f>
        <v/>
      </c>
      <c r="P256" s="461">
        <f>IF(A256="","",IF(O256="",0,IF(ISNUMBER(O256),O256,0)))</f>
        <v/>
      </c>
      <c r="Q256" s="48">
        <f>IF(A256="","",IF(Exogena_RAW!$C$4="","BLOQUEADO: FALTA AÑO",IF(Exogena_RAW!$K$10&lt;&gt;Reglas!$B$5,"BLOQUEADO: AÑO",IF(IF(K256&lt;&gt;"",K256,J256)="",IF(S256&gt;1,"REQUIERE ASIGNACIÓN MANUAL (VARIAS CASILLAS)","INFORMATIVO (sin casilla — no se declara)"),IF(COUNTIFS(Reglas!$I$5:$I$118,IF(K256&lt;&gt;"",K256,J256),Reglas!$J$5:$J$118,"Sí")=0,"BLOQUEADO: CASILLA NO DIRECTA",IF(O256="","EXCLUIDO (valor borrado por el usuario)",IF(_xlfn.ISFORMULA(O256),IF(W256&lt;&gt;"","BORRADOR — VALOR SUGERIDO DIAN ⚠ VER ALERTA","BORRADOR — VALOR SUGERIDO DIAN"),IF(W256&lt;&gt;"","ACEPTADO ⚠ VER ALERTA","ACEPTADO"))))))))</f>
        <v/>
      </c>
      <c r="R256" s="218" t="n"/>
      <c r="S256" s="58">
        <f>IF(A256="","",IFERROR(--ISNUMBER(SEARCH("R28",G256)),0)+IFERROR(--ISNUMBER(SEARCH("R29",G256)),0)+IFERROR(--ISNUMBER(SEARCH("R30",G256)),0)+IFERROR(--ISNUMBER(SEARCH("R31",G256)),0)+IFERROR(--ISNUMBER(SEARCH("R32",G256)),0)+IFERROR(--ISNUMBER(SEARCH("R33",G256)),0)+IFERROR(--ISNUMBER(SEARCH("R34",G256)),0)+IFERROR(--ISNUMBER(SEARCH("R35",G256)),0)+IFERROR(--ISNUMBER(SEARCH("R36",G256)),0)+IFERROR(--ISNUMBER(SEARCH("R37",G256)),0)+IFERROR(--ISNUMBER(SEARCH("R38",G256)),0)+IFERROR(--ISNUMBER(SEARCH("R39",G256)),0)+IFERROR(--ISNUMBER(SEARCH("R40",G256)),0)+IFERROR(--ISNUMBER(SEARCH("R41",G256)),0)+IFERROR(--ISNUMBER(SEARCH("R42",G256)),0)+IFERROR(--ISNUMBER(SEARCH("R43",G256)),0)+IFERROR(--ISNUMBER(SEARCH("R44",G256)),0)+IFERROR(--ISNUMBER(SEARCH("R45",G256)),0)+IFERROR(--ISNUMBER(SEARCH("R46",G256)),0)+IFERROR(--ISNUMBER(SEARCH("R47",G256)),0)+IFERROR(--ISNUMBER(SEARCH("R48",G256)),0)+IFERROR(--ISNUMBER(SEARCH("R49",G256)),0)+IFERROR(--ISNUMBER(SEARCH("R50",G256)),0)+IFERROR(--ISNUMBER(SEARCH("R51",G256)),0)+IFERROR(--ISNUMBER(SEARCH("R52",G256)),0)+IFERROR(--ISNUMBER(SEARCH("R53",G256)),0)+IFERROR(--ISNUMBER(SEARCH("R54",G256)),0)+IFERROR(--ISNUMBER(SEARCH("R55",G256)),0)+IFERROR(--ISNUMBER(SEARCH("R56",G256)),0)+IFERROR(--ISNUMBER(SEARCH("R57",G256)),0)+IFERROR(--ISNUMBER(SEARCH("R58",G256)),0)+IFERROR(--ISNUMBER(SEARCH("R59",G256)),0)+IFERROR(--ISNUMBER(SEARCH("R60",G256)),0)+IFERROR(--ISNUMBER(SEARCH("R61",G256)),0)+IFERROR(--ISNUMBER(SEARCH("R62",G256)),0)+IFERROR(--ISNUMBER(SEARCH("R63",G256)),0)+IFERROR(--ISNUMBER(SEARCH("R64",G256)),0)+IFERROR(--ISNUMBER(SEARCH("R65",G256)),0)+IFERROR(--ISNUMBER(SEARCH("R66",G256)),0)+IFERROR(--ISNUMBER(SEARCH("R67",G256)),0)+IFERROR(--ISNUMBER(SEARCH("R68",G256)),0)+IFERROR(--ISNUMBER(SEARCH("R69",G256)),0)+IFERROR(--ISNUMBER(SEARCH("R70",G256)),0)+IFERROR(--ISNUMBER(SEARCH("R71",G256)),0)+IFERROR(--ISNUMBER(SEARCH("R72",G256)),0)+IFERROR(--ISNUMBER(SEARCH("R73",G256)),0)+IFERROR(--ISNUMBER(SEARCH("R74",G256)),0)+IFERROR(--ISNUMBER(SEARCH("R75",G256)),0)+IFERROR(--ISNUMBER(SEARCH("R76",G256)),0)+IFERROR(--ISNUMBER(SEARCH("R77",G256)),0)+IFERROR(--ISNUMBER(SEARCH("R78",G256)),0)+IFERROR(--ISNUMBER(SEARCH("R79",G256)),0)+IFERROR(--ISNUMBER(SEARCH("R80",G256)),0)+IFERROR(--ISNUMBER(SEARCH("R81",G256)),0)+IFERROR(--ISNUMBER(SEARCH("R82",G256)),0)+IFERROR(--ISNUMBER(SEARCH("R83",G256)),0)+IFERROR(--ISNUMBER(SEARCH("R84",G256)),0)+IFERROR(--ISNUMBER(SEARCH("R85",G256)),0)+IFERROR(--ISNUMBER(SEARCH("R86",G256)),0)+IFERROR(--ISNUMBER(SEARCH("R87",G256)),0)+IFERROR(--ISNUMBER(SEARCH("R88",G256)),0)+IFERROR(--ISNUMBER(SEARCH("R89",G256)),0)+IFERROR(--ISNUMBER(SEARCH("R90",G256)),0)+IFERROR(--ISNUMBER(SEARCH("R91",G256)),0)+IFERROR(--ISNUMBER(SEARCH("R92",G256)),0)+IFERROR(--ISNUMBER(SEARCH("R93",G256)),0)+IFERROR(--ISNUMBER(SEARCH("R94",G256)),0)+IFERROR(--ISNUMBER(SEARCH("R95",G256)),0)+IFERROR(--ISNUMBER(SEARCH("R96",G256)),0)+IFERROR(--ISNUMBER(SEARCH("R97",G256)),0)+IFERROR(--ISNUMBER(SEARCH("R98",G256)),0)+IFERROR(--ISNUMBER(SEARCH("R99",G256)),0)+IFERROR(--ISNUMBER(SEARCH("R100",G256)),0)+IFERROR(--ISNUMBER(SEARCH("R101",G256)),0)+IFERROR(--ISNUMBER(SEARCH("R102",G256)),0)+IFERROR(--ISNUMBER(SEARCH("R103",G256)),0)+IFERROR(--ISNUMBER(SEARCH("R104",G256)),0)+IFERROR(--ISNUMBER(SEARCH("R105",G256)),0)+IFERROR(--ISNUMBER(SEARCH("R106",G256)),0)+IFERROR(--ISNUMBER(SEARCH("R107",G256)),0)+IFERROR(--ISNUMBER(SEARCH("R108",G256)),0)+IFERROR(--ISNUMBER(SEARCH("R109",G256)),0)+IFERROR(--ISNUMBER(SEARCH("R110",G256)),0)+IFERROR(--ISNUMBER(SEARCH("R111",G256)),0)+IFERROR(--ISNUMBER(SEARCH("R112",G256)),0)+IFERROR(--ISNUMBER(SEARCH("R113",G256)),0)+IFERROR(--ISNUMBER(SEARCH("R114",G256)),0)+IFERROR(--ISNUMBER(SEARCH("R115",G256)),0)+IFERROR(--ISNUMBER(SEARCH("R116",G256)),0)+IFERROR(--ISNUMBER(SEARCH("R117",G256)),0)+IFERROR(--ISNUMBER(SEARCH("R118",G256)),0)+IFERROR(--ISNUMBER(SEARCH("R119",G256)),0)+IFERROR(--ISNUMBER(SEARCH("R120",G256)),0)+IFERROR(--ISNUMBER(SEARCH("R121",G256)),0)+IFERROR(--ISNUMBER(SEARCH("R122",G256)),0)+IFERROR(--ISNUMBER(SEARCH("R123",G256)),0)+IFERROR(--ISNUMBER(SEARCH("R124",G256)),0)+IFERROR(--ISNUMBER(SEARCH("R125",G256)),0)+IFERROR(--ISNUMBER(SEARCH("R126",G256)),0)+IFERROR(--ISNUMBER(SEARCH("R127",G256)),0)+IFERROR(--ISNUMBER(SEARCH("R128",G256)),0)+IFERROR(--ISNUMBER(SEARCH("R129",G256)),0)+IFERROR(--ISNUMBER(SEARCH("R130",G256)),0)+IFERROR(--ISNUMBER(SEARCH("R131",G256)),0)+IFERROR(--ISNUMBER(SEARCH("R132",G256)),0)+IFERROR(--ISNUMBER(SEARCH("R133",G256)),0)+IFERROR(--ISNUMBER(SEARCH("R134",G256)),0)+IFERROR(--ISNUMBER(SEARCH("R135",G256)),0)+IFERROR(--ISNUMBER(SEARCH("R136",G256)),0)+IFERROR(--ISNUMBER(SEARCH("R137",G256)),0)+IFERROR(--ISNUMBER(SEARCH("R138",G256)),0)+IFERROR(--ISNUMBER(SEARCH("R139",G256)),0)+IFERROR(--ISNUMBER(SEARCH("R140",G256)),0)+IFERROR(--ISNUMBER(SEARCH("R141",G256)),0))</f>
        <v/>
      </c>
      <c r="T256" s="58">
        <f>IF(A256="","",IFERROR(--ISNUMBER(SEARCH("R28",G256)),0)+IFERROR(--ISNUMBER(SEARCH("R29",G256)),0)+IFERROR(--ISNUMBER(SEARCH("R30",G256)),0)+IFERROR(--ISNUMBER(SEARCH("R32",G256)),0)+IFERROR(--ISNUMBER(SEARCH("R33",G256)),0)+IFERROR(--ISNUMBER(SEARCH("R35",G256)),0)+IFERROR(--ISNUMBER(SEARCH("R36",G256)),0)+IFERROR(--ISNUMBER(SEARCH("R38",G256)),0)+IFERROR(--ISNUMBER(SEARCH("R39",G256)),0)+IFERROR(--ISNUMBER(SEARCH("R43",G256)),0)+IFERROR(--ISNUMBER(SEARCH("R44",G256)),0)+IFERROR(--ISNUMBER(SEARCH("R45",G256)),0)+IFERROR(--ISNUMBER(SEARCH("R47",G256)),0)+IFERROR(--ISNUMBER(SEARCH("R48",G256)),0)+IFERROR(--ISNUMBER(SEARCH("R50",G256)),0)+IFERROR(--ISNUMBER(SEARCH("R51",G256)),0)+IFERROR(--ISNUMBER(SEARCH("R56",G256)),0)+IFERROR(--ISNUMBER(SEARCH("R58",G256)),0)+IFERROR(--ISNUMBER(SEARCH("R59",G256)),0)+IFERROR(--ISNUMBER(SEARCH("R60",G256)),0)+IFERROR(--ISNUMBER(SEARCH("R62",G256)),0)+IFERROR(--ISNUMBER(SEARCH("R63",G256)),0)+IFERROR(--ISNUMBER(SEARCH("R64",G256)),0)+IFERROR(--ISNUMBER(SEARCH("R66",G256)),0)+IFERROR(--ISNUMBER(SEARCH("R67",G256)),0)+IFERROR(--ISNUMBER(SEARCH("R72",G256)),0)+IFERROR(--ISNUMBER(SEARCH("R74",G256)),0)+IFERROR(--ISNUMBER(SEARCH("R75",G256)),0)+IFERROR(--ISNUMBER(SEARCH("R76",G256)),0)+IFERROR(--ISNUMBER(SEARCH("R77",G256)),0)+IFERROR(--ISNUMBER(SEARCH("R79",G256)),0)+IFERROR(--ISNUMBER(SEARCH("R80",G256)),0)+IFERROR(--ISNUMBER(SEARCH("R81",G256)),0)+IFERROR(--ISNUMBER(SEARCH("R83",G256)),0)+IFERROR(--ISNUMBER(SEARCH("R84",G256)),0)+IFERROR(--ISNUMBER(SEARCH("R89",G256)),0)+IFERROR(--ISNUMBER(SEARCH("R94",G256)),0)+IFERROR(--ISNUMBER(SEARCH("R95",G256)),0)+IFERROR(--ISNUMBER(SEARCH("R96",G256)),0)+IFERROR(--ISNUMBER(SEARCH("R98",G256)),0)+IFERROR(--ISNUMBER(SEARCH("R99",G256)),0)+IFERROR(--ISNUMBER(SEARCH("R100",G256)),0)+IFERROR(--ISNUMBER(SEARCH("R104",G256)),0)+IFERROR(--ISNUMBER(SEARCH("R105",G256)),0)+IFERROR(--ISNUMBER(SEARCH("R107",G256)),0)+IFERROR(--ISNUMBER(SEARCH("R108",G256)),0)+IFERROR(--ISNUMBER(SEARCH("R109",G256)),0)+IFERROR(--ISNUMBER(SEARCH("R110",G256)),0)+IFERROR(--ISNUMBER(SEARCH("R112",G256)),0)+IFERROR(--ISNUMBER(SEARCH("R113",G256)),0)+IFERROR(--ISNUMBER(SEARCH("R114",G256)),0)+IFERROR(--ISNUMBER(SEARCH("R118",G256)),0)+IFERROR(--ISNUMBER(SEARCH("R119",G256)),0)+IFERROR(--ISNUMBER(SEARCH("R120",G256)),0)+IFERROR(--ISNUMBER(SEARCH("R122",G256)),0)+IFERROR(--ISNUMBER(SEARCH("R123",G256)),0)+IFERROR(--ISNUMBER(SEARCH("R124",G256)),0)+IFERROR(--ISNUMBER(SEARCH("R128",G256)),0)+IFERROR(--ISNUMBER(SEARCH("R130",G256)),0)+IFERROR(--ISNUMBER(SEARCH("R131",G256)),0)+IFERROR(--ISNUMBER(SEARCH("R132",G256)),0)+IFERROR(--ISNUMBER(SEARCH("R135",G256)),0)+IFERROR(--ISNUMBER(SEARCH("R138",G256)),0)+IFERROR(--ISNUMBER(SEARCH("R141",G256)),0))</f>
        <v/>
      </c>
      <c r="U256" s="58">
        <f>IF(A256="","",IFERROR(--ISNUMBER(SEARCH("R28",G256))*28,0)+IFERROR(--ISNUMBER(SEARCH("R29",G256))*29,0)+IFERROR(--ISNUMBER(SEARCH("R30",G256))*30,0)+IFERROR(--ISNUMBER(SEARCH("R31",G256))*31,0)+IFERROR(--ISNUMBER(SEARCH("R32",G256))*32,0)+IFERROR(--ISNUMBER(SEARCH("R33",G256))*33,0)+IFERROR(--ISNUMBER(SEARCH("R34",G256))*34,0)+IFERROR(--ISNUMBER(SEARCH("R35",G256))*35,0)+IFERROR(--ISNUMBER(SEARCH("R36",G256))*36,0)+IFERROR(--ISNUMBER(SEARCH("R37",G256))*37,0)+IFERROR(--ISNUMBER(SEARCH("R38",G256))*38,0)+IFERROR(--ISNUMBER(SEARCH("R39",G256))*39,0)+IFERROR(--ISNUMBER(SEARCH("R40",G256))*40,0)+IFERROR(--ISNUMBER(SEARCH("R41",G256))*41,0)+IFERROR(--ISNUMBER(SEARCH("R42",G256))*42,0)+IFERROR(--ISNUMBER(SEARCH("R43",G256))*43,0)+IFERROR(--ISNUMBER(SEARCH("R44",G256))*44,0)+IFERROR(--ISNUMBER(SEARCH("R45",G256))*45,0)+IFERROR(--ISNUMBER(SEARCH("R46",G256))*46,0)+IFERROR(--ISNUMBER(SEARCH("R47",G256))*47,0)+IFERROR(--ISNUMBER(SEARCH("R48",G256))*48,0)+IFERROR(--ISNUMBER(SEARCH("R49",G256))*49,0)+IFERROR(--ISNUMBER(SEARCH("R50",G256))*50,0)+IFERROR(--ISNUMBER(SEARCH("R51",G256))*51,0)+IFERROR(--ISNUMBER(SEARCH("R52",G256))*52,0)+IFERROR(--ISNUMBER(SEARCH("R53",G256))*53,0)+IFERROR(--ISNUMBER(SEARCH("R54",G256))*54,0)+IFERROR(--ISNUMBER(SEARCH("R55",G256))*55,0)+IFERROR(--ISNUMBER(SEARCH("R56",G256))*56,0)+IFERROR(--ISNUMBER(SEARCH("R57",G256))*57,0)+IFERROR(--ISNUMBER(SEARCH("R58",G256))*58,0)+IFERROR(--ISNUMBER(SEARCH("R59",G256))*59,0)+IFERROR(--ISNUMBER(SEARCH("R60",G256))*60,0)+IFERROR(--ISNUMBER(SEARCH("R61",G256))*61,0)+IFERROR(--ISNUMBER(SEARCH("R62",G256))*62,0)+IFERROR(--ISNUMBER(SEARCH("R63",G256))*63,0)+IFERROR(--ISNUMBER(SEARCH("R64",G256))*64,0)+IFERROR(--ISNUMBER(SEARCH("R65",G256))*65,0)+IFERROR(--ISNUMBER(SEARCH("R66",G256))*66,0)+IFERROR(--ISNUMBER(SEARCH("R67",G256))*67,0)+IFERROR(--ISNUMBER(SEARCH("R68",G256))*68,0)+IFERROR(--ISNUMBER(SEARCH("R69",G256))*69,0)+IFERROR(--ISNUMBER(SEARCH("R70",G256))*70,0)+IFERROR(--ISNUMBER(SEARCH("R71",G256))*71,0)+IFERROR(--ISNUMBER(SEARCH("R72",G256))*72,0)+IFERROR(--ISNUMBER(SEARCH("R73",G256))*73,0)+IFERROR(--ISNUMBER(SEARCH("R74",G256))*74,0)+IFERROR(--ISNUMBER(SEARCH("R75",G256))*75,0)+IFERROR(--ISNUMBER(SEARCH("R76",G256))*76,0)+IFERROR(--ISNUMBER(SEARCH("R77",G256))*77,0)+IFERROR(--ISNUMBER(SEARCH("R78",G256))*78,0)+IFERROR(--ISNUMBER(SEARCH("R79",G256))*79,0)+IFERROR(--ISNUMBER(SEARCH("R80",G256))*80,0)+IFERROR(--ISNUMBER(SEARCH("R81",G256))*81,0)+IFERROR(--ISNUMBER(SEARCH("R82",G256))*82,0)+IFERROR(--ISNUMBER(SEARCH("R83",G256))*83,0)+IFERROR(--ISNUMBER(SEARCH("R84",G256))*84,0)+IFERROR(--ISNUMBER(SEARCH("R85",G256))*85,0)+IFERROR(--ISNUMBER(SEARCH("R86",G256))*86,0)+IFERROR(--ISNUMBER(SEARCH("R87",G256))*87,0)+IFERROR(--ISNUMBER(SEARCH("R88",G256))*88,0)+IFERROR(--ISNUMBER(SEARCH("R89",G256))*89,0)+IFERROR(--ISNUMBER(SEARCH("R90",G256))*90,0)+IFERROR(--ISNUMBER(SEARCH("R91",G256))*91,0)+IFERROR(--ISNUMBER(SEARCH("R92",G256))*92,0)+IFERROR(--ISNUMBER(SEARCH("R93",G256))*93,0)+IFERROR(--ISNUMBER(SEARCH("R94",G256))*94,0)+IFERROR(--ISNUMBER(SEARCH("R95",G256))*95,0)+IFERROR(--ISNUMBER(SEARCH("R96",G256))*96,0)+IFERROR(--ISNUMBER(SEARCH("R97",G256))*97,0)+IFERROR(--ISNUMBER(SEARCH("R98",G256))*98,0)+IFERROR(--ISNUMBER(SEARCH("R99",G256))*99,0)+IFERROR(--ISNUMBER(SEARCH("R100",G256))*100,0)+IFERROR(--ISNUMBER(SEARCH("R101",G256))*101,0)+IFERROR(--ISNUMBER(SEARCH("R102",G256))*102,0)+IFERROR(--ISNUMBER(SEARCH("R103",G256))*103,0)+IFERROR(--ISNUMBER(SEARCH("R104",G256))*104,0)+IFERROR(--ISNUMBER(SEARCH("R105",G256))*105,0)+IFERROR(--ISNUMBER(SEARCH("R106",G256))*106,0)+IFERROR(--ISNUMBER(SEARCH("R107",G256))*107,0)+IFERROR(--ISNUMBER(SEARCH("R108",G256))*108,0)+IFERROR(--ISNUMBER(SEARCH("R109",G256))*109,0)+IFERROR(--ISNUMBER(SEARCH("R110",G256))*110,0)+IFERROR(--ISNUMBER(SEARCH("R111",G256))*111,0)+IFERROR(--ISNUMBER(SEARCH("R112",G256))*112,0)+IFERROR(--ISNUMBER(SEARCH("R113",G256))*113,0)+IFERROR(--ISNUMBER(SEARCH("R114",G256))*114,0)+IFERROR(--ISNUMBER(SEARCH("R115",G256))*115,0)+IFERROR(--ISNUMBER(SEARCH("R116",G256))*116,0)+IFERROR(--ISNUMBER(SEARCH("R117",G256))*117,0)+IFERROR(--ISNUMBER(SEARCH("R118",G256))*118,0)+IFERROR(--ISNUMBER(SEARCH("R119",G256))*119,0)+IFERROR(--ISNUMBER(SEARCH("R120",G256))*120,0)+IFERROR(--ISNUMBER(SEARCH("R121",G256))*121,0)+IFERROR(--ISNUMBER(SEARCH("R122",G256))*122,0)+IFERROR(--ISNUMBER(SEARCH("R123",G256))*123,0)+IFERROR(--ISNUMBER(SEARCH("R124",G256))*124,0)+IFERROR(--ISNUMBER(SEARCH("R125",G256))*125,0)+IFERROR(--ISNUMBER(SEARCH("R126",G256))*126,0)+IFERROR(--ISNUMBER(SEARCH("R127",G256))*127,0)+IFERROR(--ISNUMBER(SEARCH("R128",G256))*128,0)+IFERROR(--ISNUMBER(SEARCH("R129",G256))*129,0)+IFERROR(--ISNUMBER(SEARCH("R130",G256))*130,0)+IFERROR(--ISNUMBER(SEARCH("R131",G256))*131,0)+IFERROR(--ISNUMBER(SEARCH("R132",G256))*132,0)+IFERROR(--ISNUMBER(SEARCH("R133",G256))*133,0)+IFERROR(--ISNUMBER(SEARCH("R134",G256))*134,0)+IFERROR(--ISNUMBER(SEARCH("R135",G256))*135,0)+IFERROR(--ISNUMBER(SEARCH("R136",G256))*136,0)+IFERROR(--ISNUMBER(SEARCH("R137",G256))*137,0)+IFERROR(--ISNUMBER(SEARCH("R138",G256))*138,0)+IFERROR(--ISNUMBER(SEARCH("R139",G256))*139,0)+IFERROR(--ISNUMBER(SEARCH("R140",G256))*140,0)+IFERROR(--ISNUMBER(SEARCH("R141",G256))*141,0))</f>
        <v/>
      </c>
      <c r="V256" s="59">
        <f>IF(A256="","",IF(K256&lt;&gt;"",K256,J256))</f>
        <v/>
      </c>
      <c r="W256" s="59">
        <f>IF(A256="","",IF(AND(V256=29,O256&lt;&gt;"",COUNTIFS($V$6:$V$505,29,$F$6:$F$505,F256,$C$6:$C$505,C256,$O$6:$O$505,"&lt;&gt;")&gt;1),IF(COUNTIFS($V$6:V256,29,$F$6:F256,F256,$C$6:C256,C256,$O$6:O256,"&lt;&gt;")=1,"Esta es la fila que se debe CONSERVAR (aparición 1 de "&amp;COUNTIFS($V$6:$V$505,29,$F$6:$F$505,F256,$C$6:$C$505,C256,$O$6:$O$505,"&lt;&gt;")&amp;" con el mismo tercero y valor, casilla 29). Si hay más filas iguales, bórreles el valor a ELLAS, no a esta.","DUPLICADO — ya existe otra fila con el mismo tercero y valor para casilla 29 (aparición "&amp;COUNTIFS($V$6:V256,29,$F$6:F256,F256,$C$6:C256,C256,$O$6:O256,"&lt;&gt;")&amp;" de "&amp;COUNTIFS($V$6:$V$505,29,$F$6:$F$505,F256,$C$6:$C$505,C256,$O$6:$O$505,"&lt;&gt;")&amp;"). Para resolverlo: seleccione la celda O"&amp;ROW()&amp;" (columna Valor a declarar de ESTA fila) y presione Supr."),""))</f>
        <v/>
      </c>
      <c r="X256" s="463">
        <f>IF(A256="","",F256)</f>
        <v/>
      </c>
      <c r="Y256" s="463">
        <f>IF(A256="","",SUMIF(Entrada_Manual!$I$88:$I$187,A256,Entrada_Manual!$F$88:$F$187))</f>
        <v/>
      </c>
      <c r="Z256" s="463">
        <f>IF(A256="","",X256-Y256)</f>
        <v/>
      </c>
      <c r="AA256">
        <f>IF(A256="","",SUMPRODUCT((Entrada_Manual!$I$88:$I$187=A256)*1))</f>
        <v/>
      </c>
      <c r="AB256">
        <f>IF(A256="","",IF(S256&lt;=1,"",IF(AA256=0,"PENDIENTE — SIN ASIGNAR",IF(Z256=0,"RESUELTO","PARCIAL — DIFERENCIA "&amp;TEXT(Z256,"#,##0")))))</f>
        <v/>
      </c>
    </row>
    <row r="257" ht="14.25" customHeight="1" s="235">
      <c r="A257" s="47">
        <f>IF(Exogena_RAW!E266&lt;&gt;"",ROW()-5,"")</f>
        <v/>
      </c>
      <c r="B257" s="48">
        <f>IF(A257="","",266)</f>
        <v/>
      </c>
      <c r="C257" s="48">
        <f>IF(A257="","",IFERROR(Exogena_RAW!A266,""))</f>
        <v/>
      </c>
      <c r="D257" s="48">
        <f>IF(A257="","",IFERROR(Exogena_RAW!B266,""))</f>
        <v/>
      </c>
      <c r="E257" s="48">
        <f>IF(A257="","",Exogena_RAW!E266)</f>
        <v/>
      </c>
      <c r="F257" s="461">
        <f>IF(A257="","",Exogena_RAW!F266)</f>
        <v/>
      </c>
      <c r="G257" s="48">
        <f>IF(A257="","",IFERROR(Exogena_RAW!G266,""))</f>
        <v/>
      </c>
      <c r="H257" s="48">
        <f>IF(A257="","",IFERROR(Exogena_RAW!H266,""))</f>
        <v/>
      </c>
      <c r="I257" s="48">
        <f>IF(A257="","",IFERROR(IF(S257&gt;1,"VARIAS CASILLAS",IF(S257=1,IF(T257=1,"PROPUESTA DE CASILLA","REVISIÓN: CASILLA NO DIRECTA"),IF(OR(ISNUMBER(SEARCH("TOPE",UPPER(E257))),ISNUMBER(SEARCH("TOPE",UPPER(G257)))),"SOLO CONTROL",IF(ISNUMBER(SEARCH("RETEN",UPPER(E257))),"RETENCIÓN","REVISAR")))),"REVISAR"))</f>
        <v/>
      </c>
      <c r="J257" s="48">
        <f>IF(A257="","",IF(ISNUMBER(SEARCH("ingreso laboral promedio de los últimos seis meses",E257)),"",IFERROR(IF(AND(S257=1,T257=1),U257,""),"")))</f>
        <v/>
      </c>
      <c r="K257" s="216" t="n"/>
      <c r="L257" s="48">
        <f>IF(A257="","",IFERROR(IF(K257&lt;&gt;"","Casilla elegida por usuario",IF(S257&gt;1,"Varias casillas — elegir en K",IF(J257&lt;&gt;"","Sugerencia directa",IF(S257=1,"No trasladar directo — revisar",IF(OR(ISNUMBER(SEARCH("TOPE",UPPER(E257))),ISNUMBER(SEARCH("TOPE",UPPER(G257)))),"Solo control","Revisar manualmente"))))),"Revisar manualmente"))</f>
        <v/>
      </c>
      <c r="M257" s="461">
        <f>IF(A257="","",IF(IF(K257&lt;&gt;"",K257,J257)="",0,IF(COUNTIFS(Reglas!$I$5:$I$118,IF(K257&lt;&gt;"",K257,J257),Reglas!$J$5:$J$118,"Sí")=1,F257,0)))</f>
        <v/>
      </c>
      <c r="N257" s="56" t="n"/>
      <c r="O257" s="462">
        <f>IF(A257="","",IF(M257=0,"",M257))</f>
        <v/>
      </c>
      <c r="P257" s="461">
        <f>IF(A257="","",IF(O257="",0,IF(ISNUMBER(O257),O257,0)))</f>
        <v/>
      </c>
      <c r="Q257" s="48">
        <f>IF(A257="","",IF(Exogena_RAW!$C$4="","BLOQUEADO: FALTA AÑO",IF(Exogena_RAW!$K$10&lt;&gt;Reglas!$B$5,"BLOQUEADO: AÑO",IF(IF(K257&lt;&gt;"",K257,J257)="",IF(S257&gt;1,"REQUIERE ASIGNACIÓN MANUAL (VARIAS CASILLAS)","INFORMATIVO (sin casilla — no se declara)"),IF(COUNTIFS(Reglas!$I$5:$I$118,IF(K257&lt;&gt;"",K257,J257),Reglas!$J$5:$J$118,"Sí")=0,"BLOQUEADO: CASILLA NO DIRECTA",IF(O257="","EXCLUIDO (valor borrado por el usuario)",IF(_xlfn.ISFORMULA(O257),IF(W257&lt;&gt;"","BORRADOR — VALOR SUGERIDO DIAN ⚠ VER ALERTA","BORRADOR — VALOR SUGERIDO DIAN"),IF(W257&lt;&gt;"","ACEPTADO ⚠ VER ALERTA","ACEPTADO"))))))))</f>
        <v/>
      </c>
      <c r="R257" s="218" t="n"/>
      <c r="S257" s="58">
        <f>IF(A257="","",IFERROR(--ISNUMBER(SEARCH("R28",G257)),0)+IFERROR(--ISNUMBER(SEARCH("R29",G257)),0)+IFERROR(--ISNUMBER(SEARCH("R30",G257)),0)+IFERROR(--ISNUMBER(SEARCH("R31",G257)),0)+IFERROR(--ISNUMBER(SEARCH("R32",G257)),0)+IFERROR(--ISNUMBER(SEARCH("R33",G257)),0)+IFERROR(--ISNUMBER(SEARCH("R34",G257)),0)+IFERROR(--ISNUMBER(SEARCH("R35",G257)),0)+IFERROR(--ISNUMBER(SEARCH("R36",G257)),0)+IFERROR(--ISNUMBER(SEARCH("R37",G257)),0)+IFERROR(--ISNUMBER(SEARCH("R38",G257)),0)+IFERROR(--ISNUMBER(SEARCH("R39",G257)),0)+IFERROR(--ISNUMBER(SEARCH("R40",G257)),0)+IFERROR(--ISNUMBER(SEARCH("R41",G257)),0)+IFERROR(--ISNUMBER(SEARCH("R42",G257)),0)+IFERROR(--ISNUMBER(SEARCH("R43",G257)),0)+IFERROR(--ISNUMBER(SEARCH("R44",G257)),0)+IFERROR(--ISNUMBER(SEARCH("R45",G257)),0)+IFERROR(--ISNUMBER(SEARCH("R46",G257)),0)+IFERROR(--ISNUMBER(SEARCH("R47",G257)),0)+IFERROR(--ISNUMBER(SEARCH("R48",G257)),0)+IFERROR(--ISNUMBER(SEARCH("R49",G257)),0)+IFERROR(--ISNUMBER(SEARCH("R50",G257)),0)+IFERROR(--ISNUMBER(SEARCH("R51",G257)),0)+IFERROR(--ISNUMBER(SEARCH("R52",G257)),0)+IFERROR(--ISNUMBER(SEARCH("R53",G257)),0)+IFERROR(--ISNUMBER(SEARCH("R54",G257)),0)+IFERROR(--ISNUMBER(SEARCH("R55",G257)),0)+IFERROR(--ISNUMBER(SEARCH("R56",G257)),0)+IFERROR(--ISNUMBER(SEARCH("R57",G257)),0)+IFERROR(--ISNUMBER(SEARCH("R58",G257)),0)+IFERROR(--ISNUMBER(SEARCH("R59",G257)),0)+IFERROR(--ISNUMBER(SEARCH("R60",G257)),0)+IFERROR(--ISNUMBER(SEARCH("R61",G257)),0)+IFERROR(--ISNUMBER(SEARCH("R62",G257)),0)+IFERROR(--ISNUMBER(SEARCH("R63",G257)),0)+IFERROR(--ISNUMBER(SEARCH("R64",G257)),0)+IFERROR(--ISNUMBER(SEARCH("R65",G257)),0)+IFERROR(--ISNUMBER(SEARCH("R66",G257)),0)+IFERROR(--ISNUMBER(SEARCH("R67",G257)),0)+IFERROR(--ISNUMBER(SEARCH("R68",G257)),0)+IFERROR(--ISNUMBER(SEARCH("R69",G257)),0)+IFERROR(--ISNUMBER(SEARCH("R70",G257)),0)+IFERROR(--ISNUMBER(SEARCH("R71",G257)),0)+IFERROR(--ISNUMBER(SEARCH("R72",G257)),0)+IFERROR(--ISNUMBER(SEARCH("R73",G257)),0)+IFERROR(--ISNUMBER(SEARCH("R74",G257)),0)+IFERROR(--ISNUMBER(SEARCH("R75",G257)),0)+IFERROR(--ISNUMBER(SEARCH("R76",G257)),0)+IFERROR(--ISNUMBER(SEARCH("R77",G257)),0)+IFERROR(--ISNUMBER(SEARCH("R78",G257)),0)+IFERROR(--ISNUMBER(SEARCH("R79",G257)),0)+IFERROR(--ISNUMBER(SEARCH("R80",G257)),0)+IFERROR(--ISNUMBER(SEARCH("R81",G257)),0)+IFERROR(--ISNUMBER(SEARCH("R82",G257)),0)+IFERROR(--ISNUMBER(SEARCH("R83",G257)),0)+IFERROR(--ISNUMBER(SEARCH("R84",G257)),0)+IFERROR(--ISNUMBER(SEARCH("R85",G257)),0)+IFERROR(--ISNUMBER(SEARCH("R86",G257)),0)+IFERROR(--ISNUMBER(SEARCH("R87",G257)),0)+IFERROR(--ISNUMBER(SEARCH("R88",G257)),0)+IFERROR(--ISNUMBER(SEARCH("R89",G257)),0)+IFERROR(--ISNUMBER(SEARCH("R90",G257)),0)+IFERROR(--ISNUMBER(SEARCH("R91",G257)),0)+IFERROR(--ISNUMBER(SEARCH("R92",G257)),0)+IFERROR(--ISNUMBER(SEARCH("R93",G257)),0)+IFERROR(--ISNUMBER(SEARCH("R94",G257)),0)+IFERROR(--ISNUMBER(SEARCH("R95",G257)),0)+IFERROR(--ISNUMBER(SEARCH("R96",G257)),0)+IFERROR(--ISNUMBER(SEARCH("R97",G257)),0)+IFERROR(--ISNUMBER(SEARCH("R98",G257)),0)+IFERROR(--ISNUMBER(SEARCH("R99",G257)),0)+IFERROR(--ISNUMBER(SEARCH("R100",G257)),0)+IFERROR(--ISNUMBER(SEARCH("R101",G257)),0)+IFERROR(--ISNUMBER(SEARCH("R102",G257)),0)+IFERROR(--ISNUMBER(SEARCH("R103",G257)),0)+IFERROR(--ISNUMBER(SEARCH("R104",G257)),0)+IFERROR(--ISNUMBER(SEARCH("R105",G257)),0)+IFERROR(--ISNUMBER(SEARCH("R106",G257)),0)+IFERROR(--ISNUMBER(SEARCH("R107",G257)),0)+IFERROR(--ISNUMBER(SEARCH("R108",G257)),0)+IFERROR(--ISNUMBER(SEARCH("R109",G257)),0)+IFERROR(--ISNUMBER(SEARCH("R110",G257)),0)+IFERROR(--ISNUMBER(SEARCH("R111",G257)),0)+IFERROR(--ISNUMBER(SEARCH("R112",G257)),0)+IFERROR(--ISNUMBER(SEARCH("R113",G257)),0)+IFERROR(--ISNUMBER(SEARCH("R114",G257)),0)+IFERROR(--ISNUMBER(SEARCH("R115",G257)),0)+IFERROR(--ISNUMBER(SEARCH("R116",G257)),0)+IFERROR(--ISNUMBER(SEARCH("R117",G257)),0)+IFERROR(--ISNUMBER(SEARCH("R118",G257)),0)+IFERROR(--ISNUMBER(SEARCH("R119",G257)),0)+IFERROR(--ISNUMBER(SEARCH("R120",G257)),0)+IFERROR(--ISNUMBER(SEARCH("R121",G257)),0)+IFERROR(--ISNUMBER(SEARCH("R122",G257)),0)+IFERROR(--ISNUMBER(SEARCH("R123",G257)),0)+IFERROR(--ISNUMBER(SEARCH("R124",G257)),0)+IFERROR(--ISNUMBER(SEARCH("R125",G257)),0)+IFERROR(--ISNUMBER(SEARCH("R126",G257)),0)+IFERROR(--ISNUMBER(SEARCH("R127",G257)),0)+IFERROR(--ISNUMBER(SEARCH("R128",G257)),0)+IFERROR(--ISNUMBER(SEARCH("R129",G257)),0)+IFERROR(--ISNUMBER(SEARCH("R130",G257)),0)+IFERROR(--ISNUMBER(SEARCH("R131",G257)),0)+IFERROR(--ISNUMBER(SEARCH("R132",G257)),0)+IFERROR(--ISNUMBER(SEARCH("R133",G257)),0)+IFERROR(--ISNUMBER(SEARCH("R134",G257)),0)+IFERROR(--ISNUMBER(SEARCH("R135",G257)),0)+IFERROR(--ISNUMBER(SEARCH("R136",G257)),0)+IFERROR(--ISNUMBER(SEARCH("R137",G257)),0)+IFERROR(--ISNUMBER(SEARCH("R138",G257)),0)+IFERROR(--ISNUMBER(SEARCH("R139",G257)),0)+IFERROR(--ISNUMBER(SEARCH("R140",G257)),0)+IFERROR(--ISNUMBER(SEARCH("R141",G257)),0))</f>
        <v/>
      </c>
      <c r="T257" s="58">
        <f>IF(A257="","",IFERROR(--ISNUMBER(SEARCH("R28",G257)),0)+IFERROR(--ISNUMBER(SEARCH("R29",G257)),0)+IFERROR(--ISNUMBER(SEARCH("R30",G257)),0)+IFERROR(--ISNUMBER(SEARCH("R32",G257)),0)+IFERROR(--ISNUMBER(SEARCH("R33",G257)),0)+IFERROR(--ISNUMBER(SEARCH("R35",G257)),0)+IFERROR(--ISNUMBER(SEARCH("R36",G257)),0)+IFERROR(--ISNUMBER(SEARCH("R38",G257)),0)+IFERROR(--ISNUMBER(SEARCH("R39",G257)),0)+IFERROR(--ISNUMBER(SEARCH("R43",G257)),0)+IFERROR(--ISNUMBER(SEARCH("R44",G257)),0)+IFERROR(--ISNUMBER(SEARCH("R45",G257)),0)+IFERROR(--ISNUMBER(SEARCH("R47",G257)),0)+IFERROR(--ISNUMBER(SEARCH("R48",G257)),0)+IFERROR(--ISNUMBER(SEARCH("R50",G257)),0)+IFERROR(--ISNUMBER(SEARCH("R51",G257)),0)+IFERROR(--ISNUMBER(SEARCH("R56",G257)),0)+IFERROR(--ISNUMBER(SEARCH("R58",G257)),0)+IFERROR(--ISNUMBER(SEARCH("R59",G257)),0)+IFERROR(--ISNUMBER(SEARCH("R60",G257)),0)+IFERROR(--ISNUMBER(SEARCH("R62",G257)),0)+IFERROR(--ISNUMBER(SEARCH("R63",G257)),0)+IFERROR(--ISNUMBER(SEARCH("R64",G257)),0)+IFERROR(--ISNUMBER(SEARCH("R66",G257)),0)+IFERROR(--ISNUMBER(SEARCH("R67",G257)),0)+IFERROR(--ISNUMBER(SEARCH("R72",G257)),0)+IFERROR(--ISNUMBER(SEARCH("R74",G257)),0)+IFERROR(--ISNUMBER(SEARCH("R75",G257)),0)+IFERROR(--ISNUMBER(SEARCH("R76",G257)),0)+IFERROR(--ISNUMBER(SEARCH("R77",G257)),0)+IFERROR(--ISNUMBER(SEARCH("R79",G257)),0)+IFERROR(--ISNUMBER(SEARCH("R80",G257)),0)+IFERROR(--ISNUMBER(SEARCH("R81",G257)),0)+IFERROR(--ISNUMBER(SEARCH("R83",G257)),0)+IFERROR(--ISNUMBER(SEARCH("R84",G257)),0)+IFERROR(--ISNUMBER(SEARCH("R89",G257)),0)+IFERROR(--ISNUMBER(SEARCH("R94",G257)),0)+IFERROR(--ISNUMBER(SEARCH("R95",G257)),0)+IFERROR(--ISNUMBER(SEARCH("R96",G257)),0)+IFERROR(--ISNUMBER(SEARCH("R98",G257)),0)+IFERROR(--ISNUMBER(SEARCH("R99",G257)),0)+IFERROR(--ISNUMBER(SEARCH("R100",G257)),0)+IFERROR(--ISNUMBER(SEARCH("R104",G257)),0)+IFERROR(--ISNUMBER(SEARCH("R105",G257)),0)+IFERROR(--ISNUMBER(SEARCH("R107",G257)),0)+IFERROR(--ISNUMBER(SEARCH("R108",G257)),0)+IFERROR(--ISNUMBER(SEARCH("R109",G257)),0)+IFERROR(--ISNUMBER(SEARCH("R110",G257)),0)+IFERROR(--ISNUMBER(SEARCH("R112",G257)),0)+IFERROR(--ISNUMBER(SEARCH("R113",G257)),0)+IFERROR(--ISNUMBER(SEARCH("R114",G257)),0)+IFERROR(--ISNUMBER(SEARCH("R118",G257)),0)+IFERROR(--ISNUMBER(SEARCH("R119",G257)),0)+IFERROR(--ISNUMBER(SEARCH("R120",G257)),0)+IFERROR(--ISNUMBER(SEARCH("R122",G257)),0)+IFERROR(--ISNUMBER(SEARCH("R123",G257)),0)+IFERROR(--ISNUMBER(SEARCH("R124",G257)),0)+IFERROR(--ISNUMBER(SEARCH("R128",G257)),0)+IFERROR(--ISNUMBER(SEARCH("R130",G257)),0)+IFERROR(--ISNUMBER(SEARCH("R131",G257)),0)+IFERROR(--ISNUMBER(SEARCH("R132",G257)),0)+IFERROR(--ISNUMBER(SEARCH("R135",G257)),0)+IFERROR(--ISNUMBER(SEARCH("R138",G257)),0)+IFERROR(--ISNUMBER(SEARCH("R141",G257)),0))</f>
        <v/>
      </c>
      <c r="U257" s="58">
        <f>IF(A257="","",IFERROR(--ISNUMBER(SEARCH("R28",G257))*28,0)+IFERROR(--ISNUMBER(SEARCH("R29",G257))*29,0)+IFERROR(--ISNUMBER(SEARCH("R30",G257))*30,0)+IFERROR(--ISNUMBER(SEARCH("R31",G257))*31,0)+IFERROR(--ISNUMBER(SEARCH("R32",G257))*32,0)+IFERROR(--ISNUMBER(SEARCH("R33",G257))*33,0)+IFERROR(--ISNUMBER(SEARCH("R34",G257))*34,0)+IFERROR(--ISNUMBER(SEARCH("R35",G257))*35,0)+IFERROR(--ISNUMBER(SEARCH("R36",G257))*36,0)+IFERROR(--ISNUMBER(SEARCH("R37",G257))*37,0)+IFERROR(--ISNUMBER(SEARCH("R38",G257))*38,0)+IFERROR(--ISNUMBER(SEARCH("R39",G257))*39,0)+IFERROR(--ISNUMBER(SEARCH("R40",G257))*40,0)+IFERROR(--ISNUMBER(SEARCH("R41",G257))*41,0)+IFERROR(--ISNUMBER(SEARCH("R42",G257))*42,0)+IFERROR(--ISNUMBER(SEARCH("R43",G257))*43,0)+IFERROR(--ISNUMBER(SEARCH("R44",G257))*44,0)+IFERROR(--ISNUMBER(SEARCH("R45",G257))*45,0)+IFERROR(--ISNUMBER(SEARCH("R46",G257))*46,0)+IFERROR(--ISNUMBER(SEARCH("R47",G257))*47,0)+IFERROR(--ISNUMBER(SEARCH("R48",G257))*48,0)+IFERROR(--ISNUMBER(SEARCH("R49",G257))*49,0)+IFERROR(--ISNUMBER(SEARCH("R50",G257))*50,0)+IFERROR(--ISNUMBER(SEARCH("R51",G257))*51,0)+IFERROR(--ISNUMBER(SEARCH("R52",G257))*52,0)+IFERROR(--ISNUMBER(SEARCH("R53",G257))*53,0)+IFERROR(--ISNUMBER(SEARCH("R54",G257))*54,0)+IFERROR(--ISNUMBER(SEARCH("R55",G257))*55,0)+IFERROR(--ISNUMBER(SEARCH("R56",G257))*56,0)+IFERROR(--ISNUMBER(SEARCH("R57",G257))*57,0)+IFERROR(--ISNUMBER(SEARCH("R58",G257))*58,0)+IFERROR(--ISNUMBER(SEARCH("R59",G257))*59,0)+IFERROR(--ISNUMBER(SEARCH("R60",G257))*60,0)+IFERROR(--ISNUMBER(SEARCH("R61",G257))*61,0)+IFERROR(--ISNUMBER(SEARCH("R62",G257))*62,0)+IFERROR(--ISNUMBER(SEARCH("R63",G257))*63,0)+IFERROR(--ISNUMBER(SEARCH("R64",G257))*64,0)+IFERROR(--ISNUMBER(SEARCH("R65",G257))*65,0)+IFERROR(--ISNUMBER(SEARCH("R66",G257))*66,0)+IFERROR(--ISNUMBER(SEARCH("R67",G257))*67,0)+IFERROR(--ISNUMBER(SEARCH("R68",G257))*68,0)+IFERROR(--ISNUMBER(SEARCH("R69",G257))*69,0)+IFERROR(--ISNUMBER(SEARCH("R70",G257))*70,0)+IFERROR(--ISNUMBER(SEARCH("R71",G257))*71,0)+IFERROR(--ISNUMBER(SEARCH("R72",G257))*72,0)+IFERROR(--ISNUMBER(SEARCH("R73",G257))*73,0)+IFERROR(--ISNUMBER(SEARCH("R74",G257))*74,0)+IFERROR(--ISNUMBER(SEARCH("R75",G257))*75,0)+IFERROR(--ISNUMBER(SEARCH("R76",G257))*76,0)+IFERROR(--ISNUMBER(SEARCH("R77",G257))*77,0)+IFERROR(--ISNUMBER(SEARCH("R78",G257))*78,0)+IFERROR(--ISNUMBER(SEARCH("R79",G257))*79,0)+IFERROR(--ISNUMBER(SEARCH("R80",G257))*80,0)+IFERROR(--ISNUMBER(SEARCH("R81",G257))*81,0)+IFERROR(--ISNUMBER(SEARCH("R82",G257))*82,0)+IFERROR(--ISNUMBER(SEARCH("R83",G257))*83,0)+IFERROR(--ISNUMBER(SEARCH("R84",G257))*84,0)+IFERROR(--ISNUMBER(SEARCH("R85",G257))*85,0)+IFERROR(--ISNUMBER(SEARCH("R86",G257))*86,0)+IFERROR(--ISNUMBER(SEARCH("R87",G257))*87,0)+IFERROR(--ISNUMBER(SEARCH("R88",G257))*88,0)+IFERROR(--ISNUMBER(SEARCH("R89",G257))*89,0)+IFERROR(--ISNUMBER(SEARCH("R90",G257))*90,0)+IFERROR(--ISNUMBER(SEARCH("R91",G257))*91,0)+IFERROR(--ISNUMBER(SEARCH("R92",G257))*92,0)+IFERROR(--ISNUMBER(SEARCH("R93",G257))*93,0)+IFERROR(--ISNUMBER(SEARCH("R94",G257))*94,0)+IFERROR(--ISNUMBER(SEARCH("R95",G257))*95,0)+IFERROR(--ISNUMBER(SEARCH("R96",G257))*96,0)+IFERROR(--ISNUMBER(SEARCH("R97",G257))*97,0)+IFERROR(--ISNUMBER(SEARCH("R98",G257))*98,0)+IFERROR(--ISNUMBER(SEARCH("R99",G257))*99,0)+IFERROR(--ISNUMBER(SEARCH("R100",G257))*100,0)+IFERROR(--ISNUMBER(SEARCH("R101",G257))*101,0)+IFERROR(--ISNUMBER(SEARCH("R102",G257))*102,0)+IFERROR(--ISNUMBER(SEARCH("R103",G257))*103,0)+IFERROR(--ISNUMBER(SEARCH("R104",G257))*104,0)+IFERROR(--ISNUMBER(SEARCH("R105",G257))*105,0)+IFERROR(--ISNUMBER(SEARCH("R106",G257))*106,0)+IFERROR(--ISNUMBER(SEARCH("R107",G257))*107,0)+IFERROR(--ISNUMBER(SEARCH("R108",G257))*108,0)+IFERROR(--ISNUMBER(SEARCH("R109",G257))*109,0)+IFERROR(--ISNUMBER(SEARCH("R110",G257))*110,0)+IFERROR(--ISNUMBER(SEARCH("R111",G257))*111,0)+IFERROR(--ISNUMBER(SEARCH("R112",G257))*112,0)+IFERROR(--ISNUMBER(SEARCH("R113",G257))*113,0)+IFERROR(--ISNUMBER(SEARCH("R114",G257))*114,0)+IFERROR(--ISNUMBER(SEARCH("R115",G257))*115,0)+IFERROR(--ISNUMBER(SEARCH("R116",G257))*116,0)+IFERROR(--ISNUMBER(SEARCH("R117",G257))*117,0)+IFERROR(--ISNUMBER(SEARCH("R118",G257))*118,0)+IFERROR(--ISNUMBER(SEARCH("R119",G257))*119,0)+IFERROR(--ISNUMBER(SEARCH("R120",G257))*120,0)+IFERROR(--ISNUMBER(SEARCH("R121",G257))*121,0)+IFERROR(--ISNUMBER(SEARCH("R122",G257))*122,0)+IFERROR(--ISNUMBER(SEARCH("R123",G257))*123,0)+IFERROR(--ISNUMBER(SEARCH("R124",G257))*124,0)+IFERROR(--ISNUMBER(SEARCH("R125",G257))*125,0)+IFERROR(--ISNUMBER(SEARCH("R126",G257))*126,0)+IFERROR(--ISNUMBER(SEARCH("R127",G257))*127,0)+IFERROR(--ISNUMBER(SEARCH("R128",G257))*128,0)+IFERROR(--ISNUMBER(SEARCH("R129",G257))*129,0)+IFERROR(--ISNUMBER(SEARCH("R130",G257))*130,0)+IFERROR(--ISNUMBER(SEARCH("R131",G257))*131,0)+IFERROR(--ISNUMBER(SEARCH("R132",G257))*132,0)+IFERROR(--ISNUMBER(SEARCH("R133",G257))*133,0)+IFERROR(--ISNUMBER(SEARCH("R134",G257))*134,0)+IFERROR(--ISNUMBER(SEARCH("R135",G257))*135,0)+IFERROR(--ISNUMBER(SEARCH("R136",G257))*136,0)+IFERROR(--ISNUMBER(SEARCH("R137",G257))*137,0)+IFERROR(--ISNUMBER(SEARCH("R138",G257))*138,0)+IFERROR(--ISNUMBER(SEARCH("R139",G257))*139,0)+IFERROR(--ISNUMBER(SEARCH("R140",G257))*140,0)+IFERROR(--ISNUMBER(SEARCH("R141",G257))*141,0))</f>
        <v/>
      </c>
      <c r="V257" s="59">
        <f>IF(A257="","",IF(K257&lt;&gt;"",K257,J257))</f>
        <v/>
      </c>
      <c r="W257" s="59">
        <f>IF(A257="","",IF(AND(V257=29,O257&lt;&gt;"",COUNTIFS($V$6:$V$505,29,$F$6:$F$505,F257,$C$6:$C$505,C257,$O$6:$O$505,"&lt;&gt;")&gt;1),IF(COUNTIFS($V$6:V257,29,$F$6:F257,F257,$C$6:C257,C257,$O$6:O257,"&lt;&gt;")=1,"Esta es la fila que se debe CONSERVAR (aparición 1 de "&amp;COUNTIFS($V$6:$V$505,29,$F$6:$F$505,F257,$C$6:$C$505,C257,$O$6:$O$505,"&lt;&gt;")&amp;" con el mismo tercero y valor, casilla 29). Si hay más filas iguales, bórreles el valor a ELLAS, no a esta.","DUPLICADO — ya existe otra fila con el mismo tercero y valor para casilla 29 (aparición "&amp;COUNTIFS($V$6:V257,29,$F$6:F257,F257,$C$6:C257,C257,$O$6:O257,"&lt;&gt;")&amp;" de "&amp;COUNTIFS($V$6:$V$505,29,$F$6:$F$505,F257,$C$6:$C$505,C257,$O$6:$O$505,"&lt;&gt;")&amp;"). Para resolverlo: seleccione la celda O"&amp;ROW()&amp;" (columna Valor a declarar de ESTA fila) y presione Supr."),""))</f>
        <v/>
      </c>
      <c r="X257" s="463">
        <f>IF(A257="","",F257)</f>
        <v/>
      </c>
      <c r="Y257" s="463">
        <f>IF(A257="","",SUMIF(Entrada_Manual!$I$88:$I$187,A257,Entrada_Manual!$F$88:$F$187))</f>
        <v/>
      </c>
      <c r="Z257" s="463">
        <f>IF(A257="","",X257-Y257)</f>
        <v/>
      </c>
      <c r="AA257">
        <f>IF(A257="","",SUMPRODUCT((Entrada_Manual!$I$88:$I$187=A257)*1))</f>
        <v/>
      </c>
      <c r="AB257">
        <f>IF(A257="","",IF(S257&lt;=1,"",IF(AA257=0,"PENDIENTE — SIN ASIGNAR",IF(Z257=0,"RESUELTO","PARCIAL — DIFERENCIA "&amp;TEXT(Z257,"#,##0")))))</f>
        <v/>
      </c>
    </row>
    <row r="258" ht="14.25" customHeight="1" s="235">
      <c r="A258" s="47">
        <f>IF(Exogena_RAW!E267&lt;&gt;"",ROW()-5,"")</f>
        <v/>
      </c>
      <c r="B258" s="48">
        <f>IF(A258="","",267)</f>
        <v/>
      </c>
      <c r="C258" s="48">
        <f>IF(A258="","",IFERROR(Exogena_RAW!A267,""))</f>
        <v/>
      </c>
      <c r="D258" s="48">
        <f>IF(A258="","",IFERROR(Exogena_RAW!B267,""))</f>
        <v/>
      </c>
      <c r="E258" s="48">
        <f>IF(A258="","",Exogena_RAW!E267)</f>
        <v/>
      </c>
      <c r="F258" s="461">
        <f>IF(A258="","",Exogena_RAW!F267)</f>
        <v/>
      </c>
      <c r="G258" s="48">
        <f>IF(A258="","",IFERROR(Exogena_RAW!G267,""))</f>
        <v/>
      </c>
      <c r="H258" s="48">
        <f>IF(A258="","",IFERROR(Exogena_RAW!H267,""))</f>
        <v/>
      </c>
      <c r="I258" s="48">
        <f>IF(A258="","",IFERROR(IF(S258&gt;1,"VARIAS CASILLAS",IF(S258=1,IF(T258=1,"PROPUESTA DE CASILLA","REVISIÓN: CASILLA NO DIRECTA"),IF(OR(ISNUMBER(SEARCH("TOPE",UPPER(E258))),ISNUMBER(SEARCH("TOPE",UPPER(G258)))),"SOLO CONTROL",IF(ISNUMBER(SEARCH("RETEN",UPPER(E258))),"RETENCIÓN","REVISAR")))),"REVISAR"))</f>
        <v/>
      </c>
      <c r="J258" s="48">
        <f>IF(A258="","",IF(ISNUMBER(SEARCH("ingreso laboral promedio de los últimos seis meses",E258)),"",IFERROR(IF(AND(S258=1,T258=1),U258,""),"")))</f>
        <v/>
      </c>
      <c r="K258" s="216" t="n"/>
      <c r="L258" s="48">
        <f>IF(A258="","",IFERROR(IF(K258&lt;&gt;"","Casilla elegida por usuario",IF(S258&gt;1,"Varias casillas — elegir en K",IF(J258&lt;&gt;"","Sugerencia directa",IF(S258=1,"No trasladar directo — revisar",IF(OR(ISNUMBER(SEARCH("TOPE",UPPER(E258))),ISNUMBER(SEARCH("TOPE",UPPER(G258)))),"Solo control","Revisar manualmente"))))),"Revisar manualmente"))</f>
        <v/>
      </c>
      <c r="M258" s="461">
        <f>IF(A258="","",IF(IF(K258&lt;&gt;"",K258,J258)="",0,IF(COUNTIFS(Reglas!$I$5:$I$118,IF(K258&lt;&gt;"",K258,J258),Reglas!$J$5:$J$118,"Sí")=1,F258,0)))</f>
        <v/>
      </c>
      <c r="N258" s="56" t="n"/>
      <c r="O258" s="462">
        <f>IF(A258="","",IF(M258=0,"",M258))</f>
        <v/>
      </c>
      <c r="P258" s="461">
        <f>IF(A258="","",IF(O258="",0,IF(ISNUMBER(O258),O258,0)))</f>
        <v/>
      </c>
      <c r="Q258" s="48">
        <f>IF(A258="","",IF(Exogena_RAW!$C$4="","BLOQUEADO: FALTA AÑO",IF(Exogena_RAW!$K$10&lt;&gt;Reglas!$B$5,"BLOQUEADO: AÑO",IF(IF(K258&lt;&gt;"",K258,J258)="",IF(S258&gt;1,"REQUIERE ASIGNACIÓN MANUAL (VARIAS CASILLAS)","INFORMATIVO (sin casilla — no se declara)"),IF(COUNTIFS(Reglas!$I$5:$I$118,IF(K258&lt;&gt;"",K258,J258),Reglas!$J$5:$J$118,"Sí")=0,"BLOQUEADO: CASILLA NO DIRECTA",IF(O258="","EXCLUIDO (valor borrado por el usuario)",IF(_xlfn.ISFORMULA(O258),IF(W258&lt;&gt;"","BORRADOR — VALOR SUGERIDO DIAN ⚠ VER ALERTA","BORRADOR — VALOR SUGERIDO DIAN"),IF(W258&lt;&gt;"","ACEPTADO ⚠ VER ALERTA","ACEPTADO"))))))))</f>
        <v/>
      </c>
      <c r="R258" s="218" t="n"/>
      <c r="S258" s="58">
        <f>IF(A258="","",IFERROR(--ISNUMBER(SEARCH("R28",G258)),0)+IFERROR(--ISNUMBER(SEARCH("R29",G258)),0)+IFERROR(--ISNUMBER(SEARCH("R30",G258)),0)+IFERROR(--ISNUMBER(SEARCH("R31",G258)),0)+IFERROR(--ISNUMBER(SEARCH("R32",G258)),0)+IFERROR(--ISNUMBER(SEARCH("R33",G258)),0)+IFERROR(--ISNUMBER(SEARCH("R34",G258)),0)+IFERROR(--ISNUMBER(SEARCH("R35",G258)),0)+IFERROR(--ISNUMBER(SEARCH("R36",G258)),0)+IFERROR(--ISNUMBER(SEARCH("R37",G258)),0)+IFERROR(--ISNUMBER(SEARCH("R38",G258)),0)+IFERROR(--ISNUMBER(SEARCH("R39",G258)),0)+IFERROR(--ISNUMBER(SEARCH("R40",G258)),0)+IFERROR(--ISNUMBER(SEARCH("R41",G258)),0)+IFERROR(--ISNUMBER(SEARCH("R42",G258)),0)+IFERROR(--ISNUMBER(SEARCH("R43",G258)),0)+IFERROR(--ISNUMBER(SEARCH("R44",G258)),0)+IFERROR(--ISNUMBER(SEARCH("R45",G258)),0)+IFERROR(--ISNUMBER(SEARCH("R46",G258)),0)+IFERROR(--ISNUMBER(SEARCH("R47",G258)),0)+IFERROR(--ISNUMBER(SEARCH("R48",G258)),0)+IFERROR(--ISNUMBER(SEARCH("R49",G258)),0)+IFERROR(--ISNUMBER(SEARCH("R50",G258)),0)+IFERROR(--ISNUMBER(SEARCH("R51",G258)),0)+IFERROR(--ISNUMBER(SEARCH("R52",G258)),0)+IFERROR(--ISNUMBER(SEARCH("R53",G258)),0)+IFERROR(--ISNUMBER(SEARCH("R54",G258)),0)+IFERROR(--ISNUMBER(SEARCH("R55",G258)),0)+IFERROR(--ISNUMBER(SEARCH("R56",G258)),0)+IFERROR(--ISNUMBER(SEARCH("R57",G258)),0)+IFERROR(--ISNUMBER(SEARCH("R58",G258)),0)+IFERROR(--ISNUMBER(SEARCH("R59",G258)),0)+IFERROR(--ISNUMBER(SEARCH("R60",G258)),0)+IFERROR(--ISNUMBER(SEARCH("R61",G258)),0)+IFERROR(--ISNUMBER(SEARCH("R62",G258)),0)+IFERROR(--ISNUMBER(SEARCH("R63",G258)),0)+IFERROR(--ISNUMBER(SEARCH("R64",G258)),0)+IFERROR(--ISNUMBER(SEARCH("R65",G258)),0)+IFERROR(--ISNUMBER(SEARCH("R66",G258)),0)+IFERROR(--ISNUMBER(SEARCH("R67",G258)),0)+IFERROR(--ISNUMBER(SEARCH("R68",G258)),0)+IFERROR(--ISNUMBER(SEARCH("R69",G258)),0)+IFERROR(--ISNUMBER(SEARCH("R70",G258)),0)+IFERROR(--ISNUMBER(SEARCH("R71",G258)),0)+IFERROR(--ISNUMBER(SEARCH("R72",G258)),0)+IFERROR(--ISNUMBER(SEARCH("R73",G258)),0)+IFERROR(--ISNUMBER(SEARCH("R74",G258)),0)+IFERROR(--ISNUMBER(SEARCH("R75",G258)),0)+IFERROR(--ISNUMBER(SEARCH("R76",G258)),0)+IFERROR(--ISNUMBER(SEARCH("R77",G258)),0)+IFERROR(--ISNUMBER(SEARCH("R78",G258)),0)+IFERROR(--ISNUMBER(SEARCH("R79",G258)),0)+IFERROR(--ISNUMBER(SEARCH("R80",G258)),0)+IFERROR(--ISNUMBER(SEARCH("R81",G258)),0)+IFERROR(--ISNUMBER(SEARCH("R82",G258)),0)+IFERROR(--ISNUMBER(SEARCH("R83",G258)),0)+IFERROR(--ISNUMBER(SEARCH("R84",G258)),0)+IFERROR(--ISNUMBER(SEARCH("R85",G258)),0)+IFERROR(--ISNUMBER(SEARCH("R86",G258)),0)+IFERROR(--ISNUMBER(SEARCH("R87",G258)),0)+IFERROR(--ISNUMBER(SEARCH("R88",G258)),0)+IFERROR(--ISNUMBER(SEARCH("R89",G258)),0)+IFERROR(--ISNUMBER(SEARCH("R90",G258)),0)+IFERROR(--ISNUMBER(SEARCH("R91",G258)),0)+IFERROR(--ISNUMBER(SEARCH("R92",G258)),0)+IFERROR(--ISNUMBER(SEARCH("R93",G258)),0)+IFERROR(--ISNUMBER(SEARCH("R94",G258)),0)+IFERROR(--ISNUMBER(SEARCH("R95",G258)),0)+IFERROR(--ISNUMBER(SEARCH("R96",G258)),0)+IFERROR(--ISNUMBER(SEARCH("R97",G258)),0)+IFERROR(--ISNUMBER(SEARCH("R98",G258)),0)+IFERROR(--ISNUMBER(SEARCH("R99",G258)),0)+IFERROR(--ISNUMBER(SEARCH("R100",G258)),0)+IFERROR(--ISNUMBER(SEARCH("R101",G258)),0)+IFERROR(--ISNUMBER(SEARCH("R102",G258)),0)+IFERROR(--ISNUMBER(SEARCH("R103",G258)),0)+IFERROR(--ISNUMBER(SEARCH("R104",G258)),0)+IFERROR(--ISNUMBER(SEARCH("R105",G258)),0)+IFERROR(--ISNUMBER(SEARCH("R106",G258)),0)+IFERROR(--ISNUMBER(SEARCH("R107",G258)),0)+IFERROR(--ISNUMBER(SEARCH("R108",G258)),0)+IFERROR(--ISNUMBER(SEARCH("R109",G258)),0)+IFERROR(--ISNUMBER(SEARCH("R110",G258)),0)+IFERROR(--ISNUMBER(SEARCH("R111",G258)),0)+IFERROR(--ISNUMBER(SEARCH("R112",G258)),0)+IFERROR(--ISNUMBER(SEARCH("R113",G258)),0)+IFERROR(--ISNUMBER(SEARCH("R114",G258)),0)+IFERROR(--ISNUMBER(SEARCH("R115",G258)),0)+IFERROR(--ISNUMBER(SEARCH("R116",G258)),0)+IFERROR(--ISNUMBER(SEARCH("R117",G258)),0)+IFERROR(--ISNUMBER(SEARCH("R118",G258)),0)+IFERROR(--ISNUMBER(SEARCH("R119",G258)),0)+IFERROR(--ISNUMBER(SEARCH("R120",G258)),0)+IFERROR(--ISNUMBER(SEARCH("R121",G258)),0)+IFERROR(--ISNUMBER(SEARCH("R122",G258)),0)+IFERROR(--ISNUMBER(SEARCH("R123",G258)),0)+IFERROR(--ISNUMBER(SEARCH("R124",G258)),0)+IFERROR(--ISNUMBER(SEARCH("R125",G258)),0)+IFERROR(--ISNUMBER(SEARCH("R126",G258)),0)+IFERROR(--ISNUMBER(SEARCH("R127",G258)),0)+IFERROR(--ISNUMBER(SEARCH("R128",G258)),0)+IFERROR(--ISNUMBER(SEARCH("R129",G258)),0)+IFERROR(--ISNUMBER(SEARCH("R130",G258)),0)+IFERROR(--ISNUMBER(SEARCH("R131",G258)),0)+IFERROR(--ISNUMBER(SEARCH("R132",G258)),0)+IFERROR(--ISNUMBER(SEARCH("R133",G258)),0)+IFERROR(--ISNUMBER(SEARCH("R134",G258)),0)+IFERROR(--ISNUMBER(SEARCH("R135",G258)),0)+IFERROR(--ISNUMBER(SEARCH("R136",G258)),0)+IFERROR(--ISNUMBER(SEARCH("R137",G258)),0)+IFERROR(--ISNUMBER(SEARCH("R138",G258)),0)+IFERROR(--ISNUMBER(SEARCH("R139",G258)),0)+IFERROR(--ISNUMBER(SEARCH("R140",G258)),0)+IFERROR(--ISNUMBER(SEARCH("R141",G258)),0))</f>
        <v/>
      </c>
      <c r="T258" s="58">
        <f>IF(A258="","",IFERROR(--ISNUMBER(SEARCH("R28",G258)),0)+IFERROR(--ISNUMBER(SEARCH("R29",G258)),0)+IFERROR(--ISNUMBER(SEARCH("R30",G258)),0)+IFERROR(--ISNUMBER(SEARCH("R32",G258)),0)+IFERROR(--ISNUMBER(SEARCH("R33",G258)),0)+IFERROR(--ISNUMBER(SEARCH("R35",G258)),0)+IFERROR(--ISNUMBER(SEARCH("R36",G258)),0)+IFERROR(--ISNUMBER(SEARCH("R38",G258)),0)+IFERROR(--ISNUMBER(SEARCH("R39",G258)),0)+IFERROR(--ISNUMBER(SEARCH("R43",G258)),0)+IFERROR(--ISNUMBER(SEARCH("R44",G258)),0)+IFERROR(--ISNUMBER(SEARCH("R45",G258)),0)+IFERROR(--ISNUMBER(SEARCH("R47",G258)),0)+IFERROR(--ISNUMBER(SEARCH("R48",G258)),0)+IFERROR(--ISNUMBER(SEARCH("R50",G258)),0)+IFERROR(--ISNUMBER(SEARCH("R51",G258)),0)+IFERROR(--ISNUMBER(SEARCH("R56",G258)),0)+IFERROR(--ISNUMBER(SEARCH("R58",G258)),0)+IFERROR(--ISNUMBER(SEARCH("R59",G258)),0)+IFERROR(--ISNUMBER(SEARCH("R60",G258)),0)+IFERROR(--ISNUMBER(SEARCH("R62",G258)),0)+IFERROR(--ISNUMBER(SEARCH("R63",G258)),0)+IFERROR(--ISNUMBER(SEARCH("R64",G258)),0)+IFERROR(--ISNUMBER(SEARCH("R66",G258)),0)+IFERROR(--ISNUMBER(SEARCH("R67",G258)),0)+IFERROR(--ISNUMBER(SEARCH("R72",G258)),0)+IFERROR(--ISNUMBER(SEARCH("R74",G258)),0)+IFERROR(--ISNUMBER(SEARCH("R75",G258)),0)+IFERROR(--ISNUMBER(SEARCH("R76",G258)),0)+IFERROR(--ISNUMBER(SEARCH("R77",G258)),0)+IFERROR(--ISNUMBER(SEARCH("R79",G258)),0)+IFERROR(--ISNUMBER(SEARCH("R80",G258)),0)+IFERROR(--ISNUMBER(SEARCH("R81",G258)),0)+IFERROR(--ISNUMBER(SEARCH("R83",G258)),0)+IFERROR(--ISNUMBER(SEARCH("R84",G258)),0)+IFERROR(--ISNUMBER(SEARCH("R89",G258)),0)+IFERROR(--ISNUMBER(SEARCH("R94",G258)),0)+IFERROR(--ISNUMBER(SEARCH("R95",G258)),0)+IFERROR(--ISNUMBER(SEARCH("R96",G258)),0)+IFERROR(--ISNUMBER(SEARCH("R98",G258)),0)+IFERROR(--ISNUMBER(SEARCH("R99",G258)),0)+IFERROR(--ISNUMBER(SEARCH("R100",G258)),0)+IFERROR(--ISNUMBER(SEARCH("R104",G258)),0)+IFERROR(--ISNUMBER(SEARCH("R105",G258)),0)+IFERROR(--ISNUMBER(SEARCH("R107",G258)),0)+IFERROR(--ISNUMBER(SEARCH("R108",G258)),0)+IFERROR(--ISNUMBER(SEARCH("R109",G258)),0)+IFERROR(--ISNUMBER(SEARCH("R110",G258)),0)+IFERROR(--ISNUMBER(SEARCH("R112",G258)),0)+IFERROR(--ISNUMBER(SEARCH("R113",G258)),0)+IFERROR(--ISNUMBER(SEARCH("R114",G258)),0)+IFERROR(--ISNUMBER(SEARCH("R118",G258)),0)+IFERROR(--ISNUMBER(SEARCH("R119",G258)),0)+IFERROR(--ISNUMBER(SEARCH("R120",G258)),0)+IFERROR(--ISNUMBER(SEARCH("R122",G258)),0)+IFERROR(--ISNUMBER(SEARCH("R123",G258)),0)+IFERROR(--ISNUMBER(SEARCH("R124",G258)),0)+IFERROR(--ISNUMBER(SEARCH("R128",G258)),0)+IFERROR(--ISNUMBER(SEARCH("R130",G258)),0)+IFERROR(--ISNUMBER(SEARCH("R131",G258)),0)+IFERROR(--ISNUMBER(SEARCH("R132",G258)),0)+IFERROR(--ISNUMBER(SEARCH("R135",G258)),0)+IFERROR(--ISNUMBER(SEARCH("R138",G258)),0)+IFERROR(--ISNUMBER(SEARCH("R141",G258)),0))</f>
        <v/>
      </c>
      <c r="U258" s="58">
        <f>IF(A258="","",IFERROR(--ISNUMBER(SEARCH("R28",G258))*28,0)+IFERROR(--ISNUMBER(SEARCH("R29",G258))*29,0)+IFERROR(--ISNUMBER(SEARCH("R30",G258))*30,0)+IFERROR(--ISNUMBER(SEARCH("R31",G258))*31,0)+IFERROR(--ISNUMBER(SEARCH("R32",G258))*32,0)+IFERROR(--ISNUMBER(SEARCH("R33",G258))*33,0)+IFERROR(--ISNUMBER(SEARCH("R34",G258))*34,0)+IFERROR(--ISNUMBER(SEARCH("R35",G258))*35,0)+IFERROR(--ISNUMBER(SEARCH("R36",G258))*36,0)+IFERROR(--ISNUMBER(SEARCH("R37",G258))*37,0)+IFERROR(--ISNUMBER(SEARCH("R38",G258))*38,0)+IFERROR(--ISNUMBER(SEARCH("R39",G258))*39,0)+IFERROR(--ISNUMBER(SEARCH("R40",G258))*40,0)+IFERROR(--ISNUMBER(SEARCH("R41",G258))*41,0)+IFERROR(--ISNUMBER(SEARCH("R42",G258))*42,0)+IFERROR(--ISNUMBER(SEARCH("R43",G258))*43,0)+IFERROR(--ISNUMBER(SEARCH("R44",G258))*44,0)+IFERROR(--ISNUMBER(SEARCH("R45",G258))*45,0)+IFERROR(--ISNUMBER(SEARCH("R46",G258))*46,0)+IFERROR(--ISNUMBER(SEARCH("R47",G258))*47,0)+IFERROR(--ISNUMBER(SEARCH("R48",G258))*48,0)+IFERROR(--ISNUMBER(SEARCH("R49",G258))*49,0)+IFERROR(--ISNUMBER(SEARCH("R50",G258))*50,0)+IFERROR(--ISNUMBER(SEARCH("R51",G258))*51,0)+IFERROR(--ISNUMBER(SEARCH("R52",G258))*52,0)+IFERROR(--ISNUMBER(SEARCH("R53",G258))*53,0)+IFERROR(--ISNUMBER(SEARCH("R54",G258))*54,0)+IFERROR(--ISNUMBER(SEARCH("R55",G258))*55,0)+IFERROR(--ISNUMBER(SEARCH("R56",G258))*56,0)+IFERROR(--ISNUMBER(SEARCH("R57",G258))*57,0)+IFERROR(--ISNUMBER(SEARCH("R58",G258))*58,0)+IFERROR(--ISNUMBER(SEARCH("R59",G258))*59,0)+IFERROR(--ISNUMBER(SEARCH("R60",G258))*60,0)+IFERROR(--ISNUMBER(SEARCH("R61",G258))*61,0)+IFERROR(--ISNUMBER(SEARCH("R62",G258))*62,0)+IFERROR(--ISNUMBER(SEARCH("R63",G258))*63,0)+IFERROR(--ISNUMBER(SEARCH("R64",G258))*64,0)+IFERROR(--ISNUMBER(SEARCH("R65",G258))*65,0)+IFERROR(--ISNUMBER(SEARCH("R66",G258))*66,0)+IFERROR(--ISNUMBER(SEARCH("R67",G258))*67,0)+IFERROR(--ISNUMBER(SEARCH("R68",G258))*68,0)+IFERROR(--ISNUMBER(SEARCH("R69",G258))*69,0)+IFERROR(--ISNUMBER(SEARCH("R70",G258))*70,0)+IFERROR(--ISNUMBER(SEARCH("R71",G258))*71,0)+IFERROR(--ISNUMBER(SEARCH("R72",G258))*72,0)+IFERROR(--ISNUMBER(SEARCH("R73",G258))*73,0)+IFERROR(--ISNUMBER(SEARCH("R74",G258))*74,0)+IFERROR(--ISNUMBER(SEARCH("R75",G258))*75,0)+IFERROR(--ISNUMBER(SEARCH("R76",G258))*76,0)+IFERROR(--ISNUMBER(SEARCH("R77",G258))*77,0)+IFERROR(--ISNUMBER(SEARCH("R78",G258))*78,0)+IFERROR(--ISNUMBER(SEARCH("R79",G258))*79,0)+IFERROR(--ISNUMBER(SEARCH("R80",G258))*80,0)+IFERROR(--ISNUMBER(SEARCH("R81",G258))*81,0)+IFERROR(--ISNUMBER(SEARCH("R82",G258))*82,0)+IFERROR(--ISNUMBER(SEARCH("R83",G258))*83,0)+IFERROR(--ISNUMBER(SEARCH("R84",G258))*84,0)+IFERROR(--ISNUMBER(SEARCH("R85",G258))*85,0)+IFERROR(--ISNUMBER(SEARCH("R86",G258))*86,0)+IFERROR(--ISNUMBER(SEARCH("R87",G258))*87,0)+IFERROR(--ISNUMBER(SEARCH("R88",G258))*88,0)+IFERROR(--ISNUMBER(SEARCH("R89",G258))*89,0)+IFERROR(--ISNUMBER(SEARCH("R90",G258))*90,0)+IFERROR(--ISNUMBER(SEARCH("R91",G258))*91,0)+IFERROR(--ISNUMBER(SEARCH("R92",G258))*92,0)+IFERROR(--ISNUMBER(SEARCH("R93",G258))*93,0)+IFERROR(--ISNUMBER(SEARCH("R94",G258))*94,0)+IFERROR(--ISNUMBER(SEARCH("R95",G258))*95,0)+IFERROR(--ISNUMBER(SEARCH("R96",G258))*96,0)+IFERROR(--ISNUMBER(SEARCH("R97",G258))*97,0)+IFERROR(--ISNUMBER(SEARCH("R98",G258))*98,0)+IFERROR(--ISNUMBER(SEARCH("R99",G258))*99,0)+IFERROR(--ISNUMBER(SEARCH("R100",G258))*100,0)+IFERROR(--ISNUMBER(SEARCH("R101",G258))*101,0)+IFERROR(--ISNUMBER(SEARCH("R102",G258))*102,0)+IFERROR(--ISNUMBER(SEARCH("R103",G258))*103,0)+IFERROR(--ISNUMBER(SEARCH("R104",G258))*104,0)+IFERROR(--ISNUMBER(SEARCH("R105",G258))*105,0)+IFERROR(--ISNUMBER(SEARCH("R106",G258))*106,0)+IFERROR(--ISNUMBER(SEARCH("R107",G258))*107,0)+IFERROR(--ISNUMBER(SEARCH("R108",G258))*108,0)+IFERROR(--ISNUMBER(SEARCH("R109",G258))*109,0)+IFERROR(--ISNUMBER(SEARCH("R110",G258))*110,0)+IFERROR(--ISNUMBER(SEARCH("R111",G258))*111,0)+IFERROR(--ISNUMBER(SEARCH("R112",G258))*112,0)+IFERROR(--ISNUMBER(SEARCH("R113",G258))*113,0)+IFERROR(--ISNUMBER(SEARCH("R114",G258))*114,0)+IFERROR(--ISNUMBER(SEARCH("R115",G258))*115,0)+IFERROR(--ISNUMBER(SEARCH("R116",G258))*116,0)+IFERROR(--ISNUMBER(SEARCH("R117",G258))*117,0)+IFERROR(--ISNUMBER(SEARCH("R118",G258))*118,0)+IFERROR(--ISNUMBER(SEARCH("R119",G258))*119,0)+IFERROR(--ISNUMBER(SEARCH("R120",G258))*120,0)+IFERROR(--ISNUMBER(SEARCH("R121",G258))*121,0)+IFERROR(--ISNUMBER(SEARCH("R122",G258))*122,0)+IFERROR(--ISNUMBER(SEARCH("R123",G258))*123,0)+IFERROR(--ISNUMBER(SEARCH("R124",G258))*124,0)+IFERROR(--ISNUMBER(SEARCH("R125",G258))*125,0)+IFERROR(--ISNUMBER(SEARCH("R126",G258))*126,0)+IFERROR(--ISNUMBER(SEARCH("R127",G258))*127,0)+IFERROR(--ISNUMBER(SEARCH("R128",G258))*128,0)+IFERROR(--ISNUMBER(SEARCH("R129",G258))*129,0)+IFERROR(--ISNUMBER(SEARCH("R130",G258))*130,0)+IFERROR(--ISNUMBER(SEARCH("R131",G258))*131,0)+IFERROR(--ISNUMBER(SEARCH("R132",G258))*132,0)+IFERROR(--ISNUMBER(SEARCH("R133",G258))*133,0)+IFERROR(--ISNUMBER(SEARCH("R134",G258))*134,0)+IFERROR(--ISNUMBER(SEARCH("R135",G258))*135,0)+IFERROR(--ISNUMBER(SEARCH("R136",G258))*136,0)+IFERROR(--ISNUMBER(SEARCH("R137",G258))*137,0)+IFERROR(--ISNUMBER(SEARCH("R138",G258))*138,0)+IFERROR(--ISNUMBER(SEARCH("R139",G258))*139,0)+IFERROR(--ISNUMBER(SEARCH("R140",G258))*140,0)+IFERROR(--ISNUMBER(SEARCH("R141",G258))*141,0))</f>
        <v/>
      </c>
      <c r="V258" s="59">
        <f>IF(A258="","",IF(K258&lt;&gt;"",K258,J258))</f>
        <v/>
      </c>
      <c r="W258" s="59">
        <f>IF(A258="","",IF(AND(V258=29,O258&lt;&gt;"",COUNTIFS($V$6:$V$505,29,$F$6:$F$505,F258,$C$6:$C$505,C258,$O$6:$O$505,"&lt;&gt;")&gt;1),IF(COUNTIFS($V$6:V258,29,$F$6:F258,F258,$C$6:C258,C258,$O$6:O258,"&lt;&gt;")=1,"Esta es la fila que se debe CONSERVAR (aparición 1 de "&amp;COUNTIFS($V$6:$V$505,29,$F$6:$F$505,F258,$C$6:$C$505,C258,$O$6:$O$505,"&lt;&gt;")&amp;" con el mismo tercero y valor, casilla 29). Si hay más filas iguales, bórreles el valor a ELLAS, no a esta.","DUPLICADO — ya existe otra fila con el mismo tercero y valor para casilla 29 (aparición "&amp;COUNTIFS($V$6:V258,29,$F$6:F258,F258,$C$6:C258,C258,$O$6:O258,"&lt;&gt;")&amp;" de "&amp;COUNTIFS($V$6:$V$505,29,$F$6:$F$505,F258,$C$6:$C$505,C258,$O$6:$O$505,"&lt;&gt;")&amp;"). Para resolverlo: seleccione la celda O"&amp;ROW()&amp;" (columna Valor a declarar de ESTA fila) y presione Supr."),""))</f>
        <v/>
      </c>
      <c r="X258" s="463">
        <f>IF(A258="","",F258)</f>
        <v/>
      </c>
      <c r="Y258" s="463">
        <f>IF(A258="","",SUMIF(Entrada_Manual!$I$88:$I$187,A258,Entrada_Manual!$F$88:$F$187))</f>
        <v/>
      </c>
      <c r="Z258" s="463">
        <f>IF(A258="","",X258-Y258)</f>
        <v/>
      </c>
      <c r="AA258">
        <f>IF(A258="","",SUMPRODUCT((Entrada_Manual!$I$88:$I$187=A258)*1))</f>
        <v/>
      </c>
      <c r="AB258">
        <f>IF(A258="","",IF(S258&lt;=1,"",IF(AA258=0,"PENDIENTE — SIN ASIGNAR",IF(Z258=0,"RESUELTO","PARCIAL — DIFERENCIA "&amp;TEXT(Z258,"#,##0")))))</f>
        <v/>
      </c>
    </row>
    <row r="259" ht="14.25" customHeight="1" s="235">
      <c r="A259" s="47">
        <f>IF(Exogena_RAW!E268&lt;&gt;"",ROW()-5,"")</f>
        <v/>
      </c>
      <c r="B259" s="48">
        <f>IF(A259="","",268)</f>
        <v/>
      </c>
      <c r="C259" s="48">
        <f>IF(A259="","",IFERROR(Exogena_RAW!A268,""))</f>
        <v/>
      </c>
      <c r="D259" s="48">
        <f>IF(A259="","",IFERROR(Exogena_RAW!B268,""))</f>
        <v/>
      </c>
      <c r="E259" s="48">
        <f>IF(A259="","",Exogena_RAW!E268)</f>
        <v/>
      </c>
      <c r="F259" s="461">
        <f>IF(A259="","",Exogena_RAW!F268)</f>
        <v/>
      </c>
      <c r="G259" s="48">
        <f>IF(A259="","",IFERROR(Exogena_RAW!G268,""))</f>
        <v/>
      </c>
      <c r="H259" s="48">
        <f>IF(A259="","",IFERROR(Exogena_RAW!H268,""))</f>
        <v/>
      </c>
      <c r="I259" s="48">
        <f>IF(A259="","",IFERROR(IF(S259&gt;1,"VARIAS CASILLAS",IF(S259=1,IF(T259=1,"PROPUESTA DE CASILLA","REVISIÓN: CASILLA NO DIRECTA"),IF(OR(ISNUMBER(SEARCH("TOPE",UPPER(E259))),ISNUMBER(SEARCH("TOPE",UPPER(G259)))),"SOLO CONTROL",IF(ISNUMBER(SEARCH("RETEN",UPPER(E259))),"RETENCIÓN","REVISAR")))),"REVISAR"))</f>
        <v/>
      </c>
      <c r="J259" s="48">
        <f>IF(A259="","",IF(ISNUMBER(SEARCH("ingreso laboral promedio de los últimos seis meses",E259)),"",IFERROR(IF(AND(S259=1,T259=1),U259,""),"")))</f>
        <v/>
      </c>
      <c r="K259" s="216" t="n"/>
      <c r="L259" s="48">
        <f>IF(A259="","",IFERROR(IF(K259&lt;&gt;"","Casilla elegida por usuario",IF(S259&gt;1,"Varias casillas — elegir en K",IF(J259&lt;&gt;"","Sugerencia directa",IF(S259=1,"No trasladar directo — revisar",IF(OR(ISNUMBER(SEARCH("TOPE",UPPER(E259))),ISNUMBER(SEARCH("TOPE",UPPER(G259)))),"Solo control","Revisar manualmente"))))),"Revisar manualmente"))</f>
        <v/>
      </c>
      <c r="M259" s="461">
        <f>IF(A259="","",IF(IF(K259&lt;&gt;"",K259,J259)="",0,IF(COUNTIFS(Reglas!$I$5:$I$118,IF(K259&lt;&gt;"",K259,J259),Reglas!$J$5:$J$118,"Sí")=1,F259,0)))</f>
        <v/>
      </c>
      <c r="N259" s="56" t="n"/>
      <c r="O259" s="462">
        <f>IF(A259="","",IF(M259=0,"",M259))</f>
        <v/>
      </c>
      <c r="P259" s="461">
        <f>IF(A259="","",IF(O259="",0,IF(ISNUMBER(O259),O259,0)))</f>
        <v/>
      </c>
      <c r="Q259" s="48">
        <f>IF(A259="","",IF(Exogena_RAW!$C$4="","BLOQUEADO: FALTA AÑO",IF(Exogena_RAW!$K$10&lt;&gt;Reglas!$B$5,"BLOQUEADO: AÑO",IF(IF(K259&lt;&gt;"",K259,J259)="",IF(S259&gt;1,"REQUIERE ASIGNACIÓN MANUAL (VARIAS CASILLAS)","INFORMATIVO (sin casilla — no se declara)"),IF(COUNTIFS(Reglas!$I$5:$I$118,IF(K259&lt;&gt;"",K259,J259),Reglas!$J$5:$J$118,"Sí")=0,"BLOQUEADO: CASILLA NO DIRECTA",IF(O259="","EXCLUIDO (valor borrado por el usuario)",IF(_xlfn.ISFORMULA(O259),IF(W259&lt;&gt;"","BORRADOR — VALOR SUGERIDO DIAN ⚠ VER ALERTA","BORRADOR — VALOR SUGERIDO DIAN"),IF(W259&lt;&gt;"","ACEPTADO ⚠ VER ALERTA","ACEPTADO"))))))))</f>
        <v/>
      </c>
      <c r="R259" s="218" t="n"/>
      <c r="S259" s="58">
        <f>IF(A259="","",IFERROR(--ISNUMBER(SEARCH("R28",G259)),0)+IFERROR(--ISNUMBER(SEARCH("R29",G259)),0)+IFERROR(--ISNUMBER(SEARCH("R30",G259)),0)+IFERROR(--ISNUMBER(SEARCH("R31",G259)),0)+IFERROR(--ISNUMBER(SEARCH("R32",G259)),0)+IFERROR(--ISNUMBER(SEARCH("R33",G259)),0)+IFERROR(--ISNUMBER(SEARCH("R34",G259)),0)+IFERROR(--ISNUMBER(SEARCH("R35",G259)),0)+IFERROR(--ISNUMBER(SEARCH("R36",G259)),0)+IFERROR(--ISNUMBER(SEARCH("R37",G259)),0)+IFERROR(--ISNUMBER(SEARCH("R38",G259)),0)+IFERROR(--ISNUMBER(SEARCH("R39",G259)),0)+IFERROR(--ISNUMBER(SEARCH("R40",G259)),0)+IFERROR(--ISNUMBER(SEARCH("R41",G259)),0)+IFERROR(--ISNUMBER(SEARCH("R42",G259)),0)+IFERROR(--ISNUMBER(SEARCH("R43",G259)),0)+IFERROR(--ISNUMBER(SEARCH("R44",G259)),0)+IFERROR(--ISNUMBER(SEARCH("R45",G259)),0)+IFERROR(--ISNUMBER(SEARCH("R46",G259)),0)+IFERROR(--ISNUMBER(SEARCH("R47",G259)),0)+IFERROR(--ISNUMBER(SEARCH("R48",G259)),0)+IFERROR(--ISNUMBER(SEARCH("R49",G259)),0)+IFERROR(--ISNUMBER(SEARCH("R50",G259)),0)+IFERROR(--ISNUMBER(SEARCH("R51",G259)),0)+IFERROR(--ISNUMBER(SEARCH("R52",G259)),0)+IFERROR(--ISNUMBER(SEARCH("R53",G259)),0)+IFERROR(--ISNUMBER(SEARCH("R54",G259)),0)+IFERROR(--ISNUMBER(SEARCH("R55",G259)),0)+IFERROR(--ISNUMBER(SEARCH("R56",G259)),0)+IFERROR(--ISNUMBER(SEARCH("R57",G259)),0)+IFERROR(--ISNUMBER(SEARCH("R58",G259)),0)+IFERROR(--ISNUMBER(SEARCH("R59",G259)),0)+IFERROR(--ISNUMBER(SEARCH("R60",G259)),0)+IFERROR(--ISNUMBER(SEARCH("R61",G259)),0)+IFERROR(--ISNUMBER(SEARCH("R62",G259)),0)+IFERROR(--ISNUMBER(SEARCH("R63",G259)),0)+IFERROR(--ISNUMBER(SEARCH("R64",G259)),0)+IFERROR(--ISNUMBER(SEARCH("R65",G259)),0)+IFERROR(--ISNUMBER(SEARCH("R66",G259)),0)+IFERROR(--ISNUMBER(SEARCH("R67",G259)),0)+IFERROR(--ISNUMBER(SEARCH("R68",G259)),0)+IFERROR(--ISNUMBER(SEARCH("R69",G259)),0)+IFERROR(--ISNUMBER(SEARCH("R70",G259)),0)+IFERROR(--ISNUMBER(SEARCH("R71",G259)),0)+IFERROR(--ISNUMBER(SEARCH("R72",G259)),0)+IFERROR(--ISNUMBER(SEARCH("R73",G259)),0)+IFERROR(--ISNUMBER(SEARCH("R74",G259)),0)+IFERROR(--ISNUMBER(SEARCH("R75",G259)),0)+IFERROR(--ISNUMBER(SEARCH("R76",G259)),0)+IFERROR(--ISNUMBER(SEARCH("R77",G259)),0)+IFERROR(--ISNUMBER(SEARCH("R78",G259)),0)+IFERROR(--ISNUMBER(SEARCH("R79",G259)),0)+IFERROR(--ISNUMBER(SEARCH("R80",G259)),0)+IFERROR(--ISNUMBER(SEARCH("R81",G259)),0)+IFERROR(--ISNUMBER(SEARCH("R82",G259)),0)+IFERROR(--ISNUMBER(SEARCH("R83",G259)),0)+IFERROR(--ISNUMBER(SEARCH("R84",G259)),0)+IFERROR(--ISNUMBER(SEARCH("R85",G259)),0)+IFERROR(--ISNUMBER(SEARCH("R86",G259)),0)+IFERROR(--ISNUMBER(SEARCH("R87",G259)),0)+IFERROR(--ISNUMBER(SEARCH("R88",G259)),0)+IFERROR(--ISNUMBER(SEARCH("R89",G259)),0)+IFERROR(--ISNUMBER(SEARCH("R90",G259)),0)+IFERROR(--ISNUMBER(SEARCH("R91",G259)),0)+IFERROR(--ISNUMBER(SEARCH("R92",G259)),0)+IFERROR(--ISNUMBER(SEARCH("R93",G259)),0)+IFERROR(--ISNUMBER(SEARCH("R94",G259)),0)+IFERROR(--ISNUMBER(SEARCH("R95",G259)),0)+IFERROR(--ISNUMBER(SEARCH("R96",G259)),0)+IFERROR(--ISNUMBER(SEARCH("R97",G259)),0)+IFERROR(--ISNUMBER(SEARCH("R98",G259)),0)+IFERROR(--ISNUMBER(SEARCH("R99",G259)),0)+IFERROR(--ISNUMBER(SEARCH("R100",G259)),0)+IFERROR(--ISNUMBER(SEARCH("R101",G259)),0)+IFERROR(--ISNUMBER(SEARCH("R102",G259)),0)+IFERROR(--ISNUMBER(SEARCH("R103",G259)),0)+IFERROR(--ISNUMBER(SEARCH("R104",G259)),0)+IFERROR(--ISNUMBER(SEARCH("R105",G259)),0)+IFERROR(--ISNUMBER(SEARCH("R106",G259)),0)+IFERROR(--ISNUMBER(SEARCH("R107",G259)),0)+IFERROR(--ISNUMBER(SEARCH("R108",G259)),0)+IFERROR(--ISNUMBER(SEARCH("R109",G259)),0)+IFERROR(--ISNUMBER(SEARCH("R110",G259)),0)+IFERROR(--ISNUMBER(SEARCH("R111",G259)),0)+IFERROR(--ISNUMBER(SEARCH("R112",G259)),0)+IFERROR(--ISNUMBER(SEARCH("R113",G259)),0)+IFERROR(--ISNUMBER(SEARCH("R114",G259)),0)+IFERROR(--ISNUMBER(SEARCH("R115",G259)),0)+IFERROR(--ISNUMBER(SEARCH("R116",G259)),0)+IFERROR(--ISNUMBER(SEARCH("R117",G259)),0)+IFERROR(--ISNUMBER(SEARCH("R118",G259)),0)+IFERROR(--ISNUMBER(SEARCH("R119",G259)),0)+IFERROR(--ISNUMBER(SEARCH("R120",G259)),0)+IFERROR(--ISNUMBER(SEARCH("R121",G259)),0)+IFERROR(--ISNUMBER(SEARCH("R122",G259)),0)+IFERROR(--ISNUMBER(SEARCH("R123",G259)),0)+IFERROR(--ISNUMBER(SEARCH("R124",G259)),0)+IFERROR(--ISNUMBER(SEARCH("R125",G259)),0)+IFERROR(--ISNUMBER(SEARCH("R126",G259)),0)+IFERROR(--ISNUMBER(SEARCH("R127",G259)),0)+IFERROR(--ISNUMBER(SEARCH("R128",G259)),0)+IFERROR(--ISNUMBER(SEARCH("R129",G259)),0)+IFERROR(--ISNUMBER(SEARCH("R130",G259)),0)+IFERROR(--ISNUMBER(SEARCH("R131",G259)),0)+IFERROR(--ISNUMBER(SEARCH("R132",G259)),0)+IFERROR(--ISNUMBER(SEARCH("R133",G259)),0)+IFERROR(--ISNUMBER(SEARCH("R134",G259)),0)+IFERROR(--ISNUMBER(SEARCH("R135",G259)),0)+IFERROR(--ISNUMBER(SEARCH("R136",G259)),0)+IFERROR(--ISNUMBER(SEARCH("R137",G259)),0)+IFERROR(--ISNUMBER(SEARCH("R138",G259)),0)+IFERROR(--ISNUMBER(SEARCH("R139",G259)),0)+IFERROR(--ISNUMBER(SEARCH("R140",G259)),0)+IFERROR(--ISNUMBER(SEARCH("R141",G259)),0))</f>
        <v/>
      </c>
      <c r="T259" s="58">
        <f>IF(A259="","",IFERROR(--ISNUMBER(SEARCH("R28",G259)),0)+IFERROR(--ISNUMBER(SEARCH("R29",G259)),0)+IFERROR(--ISNUMBER(SEARCH("R30",G259)),0)+IFERROR(--ISNUMBER(SEARCH("R32",G259)),0)+IFERROR(--ISNUMBER(SEARCH("R33",G259)),0)+IFERROR(--ISNUMBER(SEARCH("R35",G259)),0)+IFERROR(--ISNUMBER(SEARCH("R36",G259)),0)+IFERROR(--ISNUMBER(SEARCH("R38",G259)),0)+IFERROR(--ISNUMBER(SEARCH("R39",G259)),0)+IFERROR(--ISNUMBER(SEARCH("R43",G259)),0)+IFERROR(--ISNUMBER(SEARCH("R44",G259)),0)+IFERROR(--ISNUMBER(SEARCH("R45",G259)),0)+IFERROR(--ISNUMBER(SEARCH("R47",G259)),0)+IFERROR(--ISNUMBER(SEARCH("R48",G259)),0)+IFERROR(--ISNUMBER(SEARCH("R50",G259)),0)+IFERROR(--ISNUMBER(SEARCH("R51",G259)),0)+IFERROR(--ISNUMBER(SEARCH("R56",G259)),0)+IFERROR(--ISNUMBER(SEARCH("R58",G259)),0)+IFERROR(--ISNUMBER(SEARCH("R59",G259)),0)+IFERROR(--ISNUMBER(SEARCH("R60",G259)),0)+IFERROR(--ISNUMBER(SEARCH("R62",G259)),0)+IFERROR(--ISNUMBER(SEARCH("R63",G259)),0)+IFERROR(--ISNUMBER(SEARCH("R64",G259)),0)+IFERROR(--ISNUMBER(SEARCH("R66",G259)),0)+IFERROR(--ISNUMBER(SEARCH("R67",G259)),0)+IFERROR(--ISNUMBER(SEARCH("R72",G259)),0)+IFERROR(--ISNUMBER(SEARCH("R74",G259)),0)+IFERROR(--ISNUMBER(SEARCH("R75",G259)),0)+IFERROR(--ISNUMBER(SEARCH("R76",G259)),0)+IFERROR(--ISNUMBER(SEARCH("R77",G259)),0)+IFERROR(--ISNUMBER(SEARCH("R79",G259)),0)+IFERROR(--ISNUMBER(SEARCH("R80",G259)),0)+IFERROR(--ISNUMBER(SEARCH("R81",G259)),0)+IFERROR(--ISNUMBER(SEARCH("R83",G259)),0)+IFERROR(--ISNUMBER(SEARCH("R84",G259)),0)+IFERROR(--ISNUMBER(SEARCH("R89",G259)),0)+IFERROR(--ISNUMBER(SEARCH("R94",G259)),0)+IFERROR(--ISNUMBER(SEARCH("R95",G259)),0)+IFERROR(--ISNUMBER(SEARCH("R96",G259)),0)+IFERROR(--ISNUMBER(SEARCH("R98",G259)),0)+IFERROR(--ISNUMBER(SEARCH("R99",G259)),0)+IFERROR(--ISNUMBER(SEARCH("R100",G259)),0)+IFERROR(--ISNUMBER(SEARCH("R104",G259)),0)+IFERROR(--ISNUMBER(SEARCH("R105",G259)),0)+IFERROR(--ISNUMBER(SEARCH("R107",G259)),0)+IFERROR(--ISNUMBER(SEARCH("R108",G259)),0)+IFERROR(--ISNUMBER(SEARCH("R109",G259)),0)+IFERROR(--ISNUMBER(SEARCH("R110",G259)),0)+IFERROR(--ISNUMBER(SEARCH("R112",G259)),0)+IFERROR(--ISNUMBER(SEARCH("R113",G259)),0)+IFERROR(--ISNUMBER(SEARCH("R114",G259)),0)+IFERROR(--ISNUMBER(SEARCH("R118",G259)),0)+IFERROR(--ISNUMBER(SEARCH("R119",G259)),0)+IFERROR(--ISNUMBER(SEARCH("R120",G259)),0)+IFERROR(--ISNUMBER(SEARCH("R122",G259)),0)+IFERROR(--ISNUMBER(SEARCH("R123",G259)),0)+IFERROR(--ISNUMBER(SEARCH("R124",G259)),0)+IFERROR(--ISNUMBER(SEARCH("R128",G259)),0)+IFERROR(--ISNUMBER(SEARCH("R130",G259)),0)+IFERROR(--ISNUMBER(SEARCH("R131",G259)),0)+IFERROR(--ISNUMBER(SEARCH("R132",G259)),0)+IFERROR(--ISNUMBER(SEARCH("R135",G259)),0)+IFERROR(--ISNUMBER(SEARCH("R138",G259)),0)+IFERROR(--ISNUMBER(SEARCH("R141",G259)),0))</f>
        <v/>
      </c>
      <c r="U259" s="58">
        <f>IF(A259="","",IFERROR(--ISNUMBER(SEARCH("R28",G259))*28,0)+IFERROR(--ISNUMBER(SEARCH("R29",G259))*29,0)+IFERROR(--ISNUMBER(SEARCH("R30",G259))*30,0)+IFERROR(--ISNUMBER(SEARCH("R31",G259))*31,0)+IFERROR(--ISNUMBER(SEARCH("R32",G259))*32,0)+IFERROR(--ISNUMBER(SEARCH("R33",G259))*33,0)+IFERROR(--ISNUMBER(SEARCH("R34",G259))*34,0)+IFERROR(--ISNUMBER(SEARCH("R35",G259))*35,0)+IFERROR(--ISNUMBER(SEARCH("R36",G259))*36,0)+IFERROR(--ISNUMBER(SEARCH("R37",G259))*37,0)+IFERROR(--ISNUMBER(SEARCH("R38",G259))*38,0)+IFERROR(--ISNUMBER(SEARCH("R39",G259))*39,0)+IFERROR(--ISNUMBER(SEARCH("R40",G259))*40,0)+IFERROR(--ISNUMBER(SEARCH("R41",G259))*41,0)+IFERROR(--ISNUMBER(SEARCH("R42",G259))*42,0)+IFERROR(--ISNUMBER(SEARCH("R43",G259))*43,0)+IFERROR(--ISNUMBER(SEARCH("R44",G259))*44,0)+IFERROR(--ISNUMBER(SEARCH("R45",G259))*45,0)+IFERROR(--ISNUMBER(SEARCH("R46",G259))*46,0)+IFERROR(--ISNUMBER(SEARCH("R47",G259))*47,0)+IFERROR(--ISNUMBER(SEARCH("R48",G259))*48,0)+IFERROR(--ISNUMBER(SEARCH("R49",G259))*49,0)+IFERROR(--ISNUMBER(SEARCH("R50",G259))*50,0)+IFERROR(--ISNUMBER(SEARCH("R51",G259))*51,0)+IFERROR(--ISNUMBER(SEARCH("R52",G259))*52,0)+IFERROR(--ISNUMBER(SEARCH("R53",G259))*53,0)+IFERROR(--ISNUMBER(SEARCH("R54",G259))*54,0)+IFERROR(--ISNUMBER(SEARCH("R55",G259))*55,0)+IFERROR(--ISNUMBER(SEARCH("R56",G259))*56,0)+IFERROR(--ISNUMBER(SEARCH("R57",G259))*57,0)+IFERROR(--ISNUMBER(SEARCH("R58",G259))*58,0)+IFERROR(--ISNUMBER(SEARCH("R59",G259))*59,0)+IFERROR(--ISNUMBER(SEARCH("R60",G259))*60,0)+IFERROR(--ISNUMBER(SEARCH("R61",G259))*61,0)+IFERROR(--ISNUMBER(SEARCH("R62",G259))*62,0)+IFERROR(--ISNUMBER(SEARCH("R63",G259))*63,0)+IFERROR(--ISNUMBER(SEARCH("R64",G259))*64,0)+IFERROR(--ISNUMBER(SEARCH("R65",G259))*65,0)+IFERROR(--ISNUMBER(SEARCH("R66",G259))*66,0)+IFERROR(--ISNUMBER(SEARCH("R67",G259))*67,0)+IFERROR(--ISNUMBER(SEARCH("R68",G259))*68,0)+IFERROR(--ISNUMBER(SEARCH("R69",G259))*69,0)+IFERROR(--ISNUMBER(SEARCH("R70",G259))*70,0)+IFERROR(--ISNUMBER(SEARCH("R71",G259))*71,0)+IFERROR(--ISNUMBER(SEARCH("R72",G259))*72,0)+IFERROR(--ISNUMBER(SEARCH("R73",G259))*73,0)+IFERROR(--ISNUMBER(SEARCH("R74",G259))*74,0)+IFERROR(--ISNUMBER(SEARCH("R75",G259))*75,0)+IFERROR(--ISNUMBER(SEARCH("R76",G259))*76,0)+IFERROR(--ISNUMBER(SEARCH("R77",G259))*77,0)+IFERROR(--ISNUMBER(SEARCH("R78",G259))*78,0)+IFERROR(--ISNUMBER(SEARCH("R79",G259))*79,0)+IFERROR(--ISNUMBER(SEARCH("R80",G259))*80,0)+IFERROR(--ISNUMBER(SEARCH("R81",G259))*81,0)+IFERROR(--ISNUMBER(SEARCH("R82",G259))*82,0)+IFERROR(--ISNUMBER(SEARCH("R83",G259))*83,0)+IFERROR(--ISNUMBER(SEARCH("R84",G259))*84,0)+IFERROR(--ISNUMBER(SEARCH("R85",G259))*85,0)+IFERROR(--ISNUMBER(SEARCH("R86",G259))*86,0)+IFERROR(--ISNUMBER(SEARCH("R87",G259))*87,0)+IFERROR(--ISNUMBER(SEARCH("R88",G259))*88,0)+IFERROR(--ISNUMBER(SEARCH("R89",G259))*89,0)+IFERROR(--ISNUMBER(SEARCH("R90",G259))*90,0)+IFERROR(--ISNUMBER(SEARCH("R91",G259))*91,0)+IFERROR(--ISNUMBER(SEARCH("R92",G259))*92,0)+IFERROR(--ISNUMBER(SEARCH("R93",G259))*93,0)+IFERROR(--ISNUMBER(SEARCH("R94",G259))*94,0)+IFERROR(--ISNUMBER(SEARCH("R95",G259))*95,0)+IFERROR(--ISNUMBER(SEARCH("R96",G259))*96,0)+IFERROR(--ISNUMBER(SEARCH("R97",G259))*97,0)+IFERROR(--ISNUMBER(SEARCH("R98",G259))*98,0)+IFERROR(--ISNUMBER(SEARCH("R99",G259))*99,0)+IFERROR(--ISNUMBER(SEARCH("R100",G259))*100,0)+IFERROR(--ISNUMBER(SEARCH("R101",G259))*101,0)+IFERROR(--ISNUMBER(SEARCH("R102",G259))*102,0)+IFERROR(--ISNUMBER(SEARCH("R103",G259))*103,0)+IFERROR(--ISNUMBER(SEARCH("R104",G259))*104,0)+IFERROR(--ISNUMBER(SEARCH("R105",G259))*105,0)+IFERROR(--ISNUMBER(SEARCH("R106",G259))*106,0)+IFERROR(--ISNUMBER(SEARCH("R107",G259))*107,0)+IFERROR(--ISNUMBER(SEARCH("R108",G259))*108,0)+IFERROR(--ISNUMBER(SEARCH("R109",G259))*109,0)+IFERROR(--ISNUMBER(SEARCH("R110",G259))*110,0)+IFERROR(--ISNUMBER(SEARCH("R111",G259))*111,0)+IFERROR(--ISNUMBER(SEARCH("R112",G259))*112,0)+IFERROR(--ISNUMBER(SEARCH("R113",G259))*113,0)+IFERROR(--ISNUMBER(SEARCH("R114",G259))*114,0)+IFERROR(--ISNUMBER(SEARCH("R115",G259))*115,0)+IFERROR(--ISNUMBER(SEARCH("R116",G259))*116,0)+IFERROR(--ISNUMBER(SEARCH("R117",G259))*117,0)+IFERROR(--ISNUMBER(SEARCH("R118",G259))*118,0)+IFERROR(--ISNUMBER(SEARCH("R119",G259))*119,0)+IFERROR(--ISNUMBER(SEARCH("R120",G259))*120,0)+IFERROR(--ISNUMBER(SEARCH("R121",G259))*121,0)+IFERROR(--ISNUMBER(SEARCH("R122",G259))*122,0)+IFERROR(--ISNUMBER(SEARCH("R123",G259))*123,0)+IFERROR(--ISNUMBER(SEARCH("R124",G259))*124,0)+IFERROR(--ISNUMBER(SEARCH("R125",G259))*125,0)+IFERROR(--ISNUMBER(SEARCH("R126",G259))*126,0)+IFERROR(--ISNUMBER(SEARCH("R127",G259))*127,0)+IFERROR(--ISNUMBER(SEARCH("R128",G259))*128,0)+IFERROR(--ISNUMBER(SEARCH("R129",G259))*129,0)+IFERROR(--ISNUMBER(SEARCH("R130",G259))*130,0)+IFERROR(--ISNUMBER(SEARCH("R131",G259))*131,0)+IFERROR(--ISNUMBER(SEARCH("R132",G259))*132,0)+IFERROR(--ISNUMBER(SEARCH("R133",G259))*133,0)+IFERROR(--ISNUMBER(SEARCH("R134",G259))*134,0)+IFERROR(--ISNUMBER(SEARCH("R135",G259))*135,0)+IFERROR(--ISNUMBER(SEARCH("R136",G259))*136,0)+IFERROR(--ISNUMBER(SEARCH("R137",G259))*137,0)+IFERROR(--ISNUMBER(SEARCH("R138",G259))*138,0)+IFERROR(--ISNUMBER(SEARCH("R139",G259))*139,0)+IFERROR(--ISNUMBER(SEARCH("R140",G259))*140,0)+IFERROR(--ISNUMBER(SEARCH("R141",G259))*141,0))</f>
        <v/>
      </c>
      <c r="V259" s="59">
        <f>IF(A259="","",IF(K259&lt;&gt;"",K259,J259))</f>
        <v/>
      </c>
      <c r="W259" s="59">
        <f>IF(A259="","",IF(AND(V259=29,O259&lt;&gt;"",COUNTIFS($V$6:$V$505,29,$F$6:$F$505,F259,$C$6:$C$505,C259,$O$6:$O$505,"&lt;&gt;")&gt;1),IF(COUNTIFS($V$6:V259,29,$F$6:F259,F259,$C$6:C259,C259,$O$6:O259,"&lt;&gt;")=1,"Esta es la fila que se debe CONSERVAR (aparición 1 de "&amp;COUNTIFS($V$6:$V$505,29,$F$6:$F$505,F259,$C$6:$C$505,C259,$O$6:$O$505,"&lt;&gt;")&amp;" con el mismo tercero y valor, casilla 29). Si hay más filas iguales, bórreles el valor a ELLAS, no a esta.","DUPLICADO — ya existe otra fila con el mismo tercero y valor para casilla 29 (aparición "&amp;COUNTIFS($V$6:V259,29,$F$6:F259,F259,$C$6:C259,C259,$O$6:O259,"&lt;&gt;")&amp;" de "&amp;COUNTIFS($V$6:$V$505,29,$F$6:$F$505,F259,$C$6:$C$505,C259,$O$6:$O$505,"&lt;&gt;")&amp;"). Para resolverlo: seleccione la celda O"&amp;ROW()&amp;" (columna Valor a declarar de ESTA fila) y presione Supr."),""))</f>
        <v/>
      </c>
      <c r="X259" s="463">
        <f>IF(A259="","",F259)</f>
        <v/>
      </c>
      <c r="Y259" s="463">
        <f>IF(A259="","",SUMIF(Entrada_Manual!$I$88:$I$187,A259,Entrada_Manual!$F$88:$F$187))</f>
        <v/>
      </c>
      <c r="Z259" s="463">
        <f>IF(A259="","",X259-Y259)</f>
        <v/>
      </c>
      <c r="AA259">
        <f>IF(A259="","",SUMPRODUCT((Entrada_Manual!$I$88:$I$187=A259)*1))</f>
        <v/>
      </c>
      <c r="AB259">
        <f>IF(A259="","",IF(S259&lt;=1,"",IF(AA259=0,"PENDIENTE — SIN ASIGNAR",IF(Z259=0,"RESUELTO","PARCIAL — DIFERENCIA "&amp;TEXT(Z259,"#,##0")))))</f>
        <v/>
      </c>
    </row>
    <row r="260" ht="14.25" customHeight="1" s="235">
      <c r="A260" s="47">
        <f>IF(Exogena_RAW!E269&lt;&gt;"",ROW()-5,"")</f>
        <v/>
      </c>
      <c r="B260" s="48">
        <f>IF(A260="","",269)</f>
        <v/>
      </c>
      <c r="C260" s="48">
        <f>IF(A260="","",IFERROR(Exogena_RAW!A269,""))</f>
        <v/>
      </c>
      <c r="D260" s="48">
        <f>IF(A260="","",IFERROR(Exogena_RAW!B269,""))</f>
        <v/>
      </c>
      <c r="E260" s="48">
        <f>IF(A260="","",Exogena_RAW!E269)</f>
        <v/>
      </c>
      <c r="F260" s="461">
        <f>IF(A260="","",Exogena_RAW!F269)</f>
        <v/>
      </c>
      <c r="G260" s="48">
        <f>IF(A260="","",IFERROR(Exogena_RAW!G269,""))</f>
        <v/>
      </c>
      <c r="H260" s="48">
        <f>IF(A260="","",IFERROR(Exogena_RAW!H269,""))</f>
        <v/>
      </c>
      <c r="I260" s="48">
        <f>IF(A260="","",IFERROR(IF(S260&gt;1,"VARIAS CASILLAS",IF(S260=1,IF(T260=1,"PROPUESTA DE CASILLA","REVISIÓN: CASILLA NO DIRECTA"),IF(OR(ISNUMBER(SEARCH("TOPE",UPPER(E260))),ISNUMBER(SEARCH("TOPE",UPPER(G260)))),"SOLO CONTROL",IF(ISNUMBER(SEARCH("RETEN",UPPER(E260))),"RETENCIÓN","REVISAR")))),"REVISAR"))</f>
        <v/>
      </c>
      <c r="J260" s="48">
        <f>IF(A260="","",IF(ISNUMBER(SEARCH("ingreso laboral promedio de los últimos seis meses",E260)),"",IFERROR(IF(AND(S260=1,T260=1),U260,""),"")))</f>
        <v/>
      </c>
      <c r="K260" s="216" t="n"/>
      <c r="L260" s="48">
        <f>IF(A260="","",IFERROR(IF(K260&lt;&gt;"","Casilla elegida por usuario",IF(S260&gt;1,"Varias casillas — elegir en K",IF(J260&lt;&gt;"","Sugerencia directa",IF(S260=1,"No trasladar directo — revisar",IF(OR(ISNUMBER(SEARCH("TOPE",UPPER(E260))),ISNUMBER(SEARCH("TOPE",UPPER(G260)))),"Solo control","Revisar manualmente"))))),"Revisar manualmente"))</f>
        <v/>
      </c>
      <c r="M260" s="461">
        <f>IF(A260="","",IF(IF(K260&lt;&gt;"",K260,J260)="",0,IF(COUNTIFS(Reglas!$I$5:$I$118,IF(K260&lt;&gt;"",K260,J260),Reglas!$J$5:$J$118,"Sí")=1,F260,0)))</f>
        <v/>
      </c>
      <c r="N260" s="56" t="n"/>
      <c r="O260" s="462">
        <f>IF(A260="","",IF(M260=0,"",M260))</f>
        <v/>
      </c>
      <c r="P260" s="461">
        <f>IF(A260="","",IF(O260="",0,IF(ISNUMBER(O260),O260,0)))</f>
        <v/>
      </c>
      <c r="Q260" s="48">
        <f>IF(A260="","",IF(Exogena_RAW!$C$4="","BLOQUEADO: FALTA AÑO",IF(Exogena_RAW!$K$10&lt;&gt;Reglas!$B$5,"BLOQUEADO: AÑO",IF(IF(K260&lt;&gt;"",K260,J260)="",IF(S260&gt;1,"REQUIERE ASIGNACIÓN MANUAL (VARIAS CASILLAS)","INFORMATIVO (sin casilla — no se declara)"),IF(COUNTIFS(Reglas!$I$5:$I$118,IF(K260&lt;&gt;"",K260,J260),Reglas!$J$5:$J$118,"Sí")=0,"BLOQUEADO: CASILLA NO DIRECTA",IF(O260="","EXCLUIDO (valor borrado por el usuario)",IF(_xlfn.ISFORMULA(O260),IF(W260&lt;&gt;"","BORRADOR — VALOR SUGERIDO DIAN ⚠ VER ALERTA","BORRADOR — VALOR SUGERIDO DIAN"),IF(W260&lt;&gt;"","ACEPTADO ⚠ VER ALERTA","ACEPTADO"))))))))</f>
        <v/>
      </c>
      <c r="R260" s="218" t="n"/>
      <c r="S260" s="58">
        <f>IF(A260="","",IFERROR(--ISNUMBER(SEARCH("R28",G260)),0)+IFERROR(--ISNUMBER(SEARCH("R29",G260)),0)+IFERROR(--ISNUMBER(SEARCH("R30",G260)),0)+IFERROR(--ISNUMBER(SEARCH("R31",G260)),0)+IFERROR(--ISNUMBER(SEARCH("R32",G260)),0)+IFERROR(--ISNUMBER(SEARCH("R33",G260)),0)+IFERROR(--ISNUMBER(SEARCH("R34",G260)),0)+IFERROR(--ISNUMBER(SEARCH("R35",G260)),0)+IFERROR(--ISNUMBER(SEARCH("R36",G260)),0)+IFERROR(--ISNUMBER(SEARCH("R37",G260)),0)+IFERROR(--ISNUMBER(SEARCH("R38",G260)),0)+IFERROR(--ISNUMBER(SEARCH("R39",G260)),0)+IFERROR(--ISNUMBER(SEARCH("R40",G260)),0)+IFERROR(--ISNUMBER(SEARCH("R41",G260)),0)+IFERROR(--ISNUMBER(SEARCH("R42",G260)),0)+IFERROR(--ISNUMBER(SEARCH("R43",G260)),0)+IFERROR(--ISNUMBER(SEARCH("R44",G260)),0)+IFERROR(--ISNUMBER(SEARCH("R45",G260)),0)+IFERROR(--ISNUMBER(SEARCH("R46",G260)),0)+IFERROR(--ISNUMBER(SEARCH("R47",G260)),0)+IFERROR(--ISNUMBER(SEARCH("R48",G260)),0)+IFERROR(--ISNUMBER(SEARCH("R49",G260)),0)+IFERROR(--ISNUMBER(SEARCH("R50",G260)),0)+IFERROR(--ISNUMBER(SEARCH("R51",G260)),0)+IFERROR(--ISNUMBER(SEARCH("R52",G260)),0)+IFERROR(--ISNUMBER(SEARCH("R53",G260)),0)+IFERROR(--ISNUMBER(SEARCH("R54",G260)),0)+IFERROR(--ISNUMBER(SEARCH("R55",G260)),0)+IFERROR(--ISNUMBER(SEARCH("R56",G260)),0)+IFERROR(--ISNUMBER(SEARCH("R57",G260)),0)+IFERROR(--ISNUMBER(SEARCH("R58",G260)),0)+IFERROR(--ISNUMBER(SEARCH("R59",G260)),0)+IFERROR(--ISNUMBER(SEARCH("R60",G260)),0)+IFERROR(--ISNUMBER(SEARCH("R61",G260)),0)+IFERROR(--ISNUMBER(SEARCH("R62",G260)),0)+IFERROR(--ISNUMBER(SEARCH("R63",G260)),0)+IFERROR(--ISNUMBER(SEARCH("R64",G260)),0)+IFERROR(--ISNUMBER(SEARCH("R65",G260)),0)+IFERROR(--ISNUMBER(SEARCH("R66",G260)),0)+IFERROR(--ISNUMBER(SEARCH("R67",G260)),0)+IFERROR(--ISNUMBER(SEARCH("R68",G260)),0)+IFERROR(--ISNUMBER(SEARCH("R69",G260)),0)+IFERROR(--ISNUMBER(SEARCH("R70",G260)),0)+IFERROR(--ISNUMBER(SEARCH("R71",G260)),0)+IFERROR(--ISNUMBER(SEARCH("R72",G260)),0)+IFERROR(--ISNUMBER(SEARCH("R73",G260)),0)+IFERROR(--ISNUMBER(SEARCH("R74",G260)),0)+IFERROR(--ISNUMBER(SEARCH("R75",G260)),0)+IFERROR(--ISNUMBER(SEARCH("R76",G260)),0)+IFERROR(--ISNUMBER(SEARCH("R77",G260)),0)+IFERROR(--ISNUMBER(SEARCH("R78",G260)),0)+IFERROR(--ISNUMBER(SEARCH("R79",G260)),0)+IFERROR(--ISNUMBER(SEARCH("R80",G260)),0)+IFERROR(--ISNUMBER(SEARCH("R81",G260)),0)+IFERROR(--ISNUMBER(SEARCH("R82",G260)),0)+IFERROR(--ISNUMBER(SEARCH("R83",G260)),0)+IFERROR(--ISNUMBER(SEARCH("R84",G260)),0)+IFERROR(--ISNUMBER(SEARCH("R85",G260)),0)+IFERROR(--ISNUMBER(SEARCH("R86",G260)),0)+IFERROR(--ISNUMBER(SEARCH("R87",G260)),0)+IFERROR(--ISNUMBER(SEARCH("R88",G260)),0)+IFERROR(--ISNUMBER(SEARCH("R89",G260)),0)+IFERROR(--ISNUMBER(SEARCH("R90",G260)),0)+IFERROR(--ISNUMBER(SEARCH("R91",G260)),0)+IFERROR(--ISNUMBER(SEARCH("R92",G260)),0)+IFERROR(--ISNUMBER(SEARCH("R93",G260)),0)+IFERROR(--ISNUMBER(SEARCH("R94",G260)),0)+IFERROR(--ISNUMBER(SEARCH("R95",G260)),0)+IFERROR(--ISNUMBER(SEARCH("R96",G260)),0)+IFERROR(--ISNUMBER(SEARCH("R97",G260)),0)+IFERROR(--ISNUMBER(SEARCH("R98",G260)),0)+IFERROR(--ISNUMBER(SEARCH("R99",G260)),0)+IFERROR(--ISNUMBER(SEARCH("R100",G260)),0)+IFERROR(--ISNUMBER(SEARCH("R101",G260)),0)+IFERROR(--ISNUMBER(SEARCH("R102",G260)),0)+IFERROR(--ISNUMBER(SEARCH("R103",G260)),0)+IFERROR(--ISNUMBER(SEARCH("R104",G260)),0)+IFERROR(--ISNUMBER(SEARCH("R105",G260)),0)+IFERROR(--ISNUMBER(SEARCH("R106",G260)),0)+IFERROR(--ISNUMBER(SEARCH("R107",G260)),0)+IFERROR(--ISNUMBER(SEARCH("R108",G260)),0)+IFERROR(--ISNUMBER(SEARCH("R109",G260)),0)+IFERROR(--ISNUMBER(SEARCH("R110",G260)),0)+IFERROR(--ISNUMBER(SEARCH("R111",G260)),0)+IFERROR(--ISNUMBER(SEARCH("R112",G260)),0)+IFERROR(--ISNUMBER(SEARCH("R113",G260)),0)+IFERROR(--ISNUMBER(SEARCH("R114",G260)),0)+IFERROR(--ISNUMBER(SEARCH("R115",G260)),0)+IFERROR(--ISNUMBER(SEARCH("R116",G260)),0)+IFERROR(--ISNUMBER(SEARCH("R117",G260)),0)+IFERROR(--ISNUMBER(SEARCH("R118",G260)),0)+IFERROR(--ISNUMBER(SEARCH("R119",G260)),0)+IFERROR(--ISNUMBER(SEARCH("R120",G260)),0)+IFERROR(--ISNUMBER(SEARCH("R121",G260)),0)+IFERROR(--ISNUMBER(SEARCH("R122",G260)),0)+IFERROR(--ISNUMBER(SEARCH("R123",G260)),0)+IFERROR(--ISNUMBER(SEARCH("R124",G260)),0)+IFERROR(--ISNUMBER(SEARCH("R125",G260)),0)+IFERROR(--ISNUMBER(SEARCH("R126",G260)),0)+IFERROR(--ISNUMBER(SEARCH("R127",G260)),0)+IFERROR(--ISNUMBER(SEARCH("R128",G260)),0)+IFERROR(--ISNUMBER(SEARCH("R129",G260)),0)+IFERROR(--ISNUMBER(SEARCH("R130",G260)),0)+IFERROR(--ISNUMBER(SEARCH("R131",G260)),0)+IFERROR(--ISNUMBER(SEARCH("R132",G260)),0)+IFERROR(--ISNUMBER(SEARCH("R133",G260)),0)+IFERROR(--ISNUMBER(SEARCH("R134",G260)),0)+IFERROR(--ISNUMBER(SEARCH("R135",G260)),0)+IFERROR(--ISNUMBER(SEARCH("R136",G260)),0)+IFERROR(--ISNUMBER(SEARCH("R137",G260)),0)+IFERROR(--ISNUMBER(SEARCH("R138",G260)),0)+IFERROR(--ISNUMBER(SEARCH("R139",G260)),0)+IFERROR(--ISNUMBER(SEARCH("R140",G260)),0)+IFERROR(--ISNUMBER(SEARCH("R141",G260)),0))</f>
        <v/>
      </c>
      <c r="T260" s="58">
        <f>IF(A260="","",IFERROR(--ISNUMBER(SEARCH("R28",G260)),0)+IFERROR(--ISNUMBER(SEARCH("R29",G260)),0)+IFERROR(--ISNUMBER(SEARCH("R30",G260)),0)+IFERROR(--ISNUMBER(SEARCH("R32",G260)),0)+IFERROR(--ISNUMBER(SEARCH("R33",G260)),0)+IFERROR(--ISNUMBER(SEARCH("R35",G260)),0)+IFERROR(--ISNUMBER(SEARCH("R36",G260)),0)+IFERROR(--ISNUMBER(SEARCH("R38",G260)),0)+IFERROR(--ISNUMBER(SEARCH("R39",G260)),0)+IFERROR(--ISNUMBER(SEARCH("R43",G260)),0)+IFERROR(--ISNUMBER(SEARCH("R44",G260)),0)+IFERROR(--ISNUMBER(SEARCH("R45",G260)),0)+IFERROR(--ISNUMBER(SEARCH("R47",G260)),0)+IFERROR(--ISNUMBER(SEARCH("R48",G260)),0)+IFERROR(--ISNUMBER(SEARCH("R50",G260)),0)+IFERROR(--ISNUMBER(SEARCH("R51",G260)),0)+IFERROR(--ISNUMBER(SEARCH("R56",G260)),0)+IFERROR(--ISNUMBER(SEARCH("R58",G260)),0)+IFERROR(--ISNUMBER(SEARCH("R59",G260)),0)+IFERROR(--ISNUMBER(SEARCH("R60",G260)),0)+IFERROR(--ISNUMBER(SEARCH("R62",G260)),0)+IFERROR(--ISNUMBER(SEARCH("R63",G260)),0)+IFERROR(--ISNUMBER(SEARCH("R64",G260)),0)+IFERROR(--ISNUMBER(SEARCH("R66",G260)),0)+IFERROR(--ISNUMBER(SEARCH("R67",G260)),0)+IFERROR(--ISNUMBER(SEARCH("R72",G260)),0)+IFERROR(--ISNUMBER(SEARCH("R74",G260)),0)+IFERROR(--ISNUMBER(SEARCH("R75",G260)),0)+IFERROR(--ISNUMBER(SEARCH("R76",G260)),0)+IFERROR(--ISNUMBER(SEARCH("R77",G260)),0)+IFERROR(--ISNUMBER(SEARCH("R79",G260)),0)+IFERROR(--ISNUMBER(SEARCH("R80",G260)),0)+IFERROR(--ISNUMBER(SEARCH("R81",G260)),0)+IFERROR(--ISNUMBER(SEARCH("R83",G260)),0)+IFERROR(--ISNUMBER(SEARCH("R84",G260)),0)+IFERROR(--ISNUMBER(SEARCH("R89",G260)),0)+IFERROR(--ISNUMBER(SEARCH("R94",G260)),0)+IFERROR(--ISNUMBER(SEARCH("R95",G260)),0)+IFERROR(--ISNUMBER(SEARCH("R96",G260)),0)+IFERROR(--ISNUMBER(SEARCH("R98",G260)),0)+IFERROR(--ISNUMBER(SEARCH("R99",G260)),0)+IFERROR(--ISNUMBER(SEARCH("R100",G260)),0)+IFERROR(--ISNUMBER(SEARCH("R104",G260)),0)+IFERROR(--ISNUMBER(SEARCH("R105",G260)),0)+IFERROR(--ISNUMBER(SEARCH("R107",G260)),0)+IFERROR(--ISNUMBER(SEARCH("R108",G260)),0)+IFERROR(--ISNUMBER(SEARCH("R109",G260)),0)+IFERROR(--ISNUMBER(SEARCH("R110",G260)),0)+IFERROR(--ISNUMBER(SEARCH("R112",G260)),0)+IFERROR(--ISNUMBER(SEARCH("R113",G260)),0)+IFERROR(--ISNUMBER(SEARCH("R114",G260)),0)+IFERROR(--ISNUMBER(SEARCH("R118",G260)),0)+IFERROR(--ISNUMBER(SEARCH("R119",G260)),0)+IFERROR(--ISNUMBER(SEARCH("R120",G260)),0)+IFERROR(--ISNUMBER(SEARCH("R122",G260)),0)+IFERROR(--ISNUMBER(SEARCH("R123",G260)),0)+IFERROR(--ISNUMBER(SEARCH("R124",G260)),0)+IFERROR(--ISNUMBER(SEARCH("R128",G260)),0)+IFERROR(--ISNUMBER(SEARCH("R130",G260)),0)+IFERROR(--ISNUMBER(SEARCH("R131",G260)),0)+IFERROR(--ISNUMBER(SEARCH("R132",G260)),0)+IFERROR(--ISNUMBER(SEARCH("R135",G260)),0)+IFERROR(--ISNUMBER(SEARCH("R138",G260)),0)+IFERROR(--ISNUMBER(SEARCH("R141",G260)),0))</f>
        <v/>
      </c>
      <c r="U260" s="58">
        <f>IF(A260="","",IFERROR(--ISNUMBER(SEARCH("R28",G260))*28,0)+IFERROR(--ISNUMBER(SEARCH("R29",G260))*29,0)+IFERROR(--ISNUMBER(SEARCH("R30",G260))*30,0)+IFERROR(--ISNUMBER(SEARCH("R31",G260))*31,0)+IFERROR(--ISNUMBER(SEARCH("R32",G260))*32,0)+IFERROR(--ISNUMBER(SEARCH("R33",G260))*33,0)+IFERROR(--ISNUMBER(SEARCH("R34",G260))*34,0)+IFERROR(--ISNUMBER(SEARCH("R35",G260))*35,0)+IFERROR(--ISNUMBER(SEARCH("R36",G260))*36,0)+IFERROR(--ISNUMBER(SEARCH("R37",G260))*37,0)+IFERROR(--ISNUMBER(SEARCH("R38",G260))*38,0)+IFERROR(--ISNUMBER(SEARCH("R39",G260))*39,0)+IFERROR(--ISNUMBER(SEARCH("R40",G260))*40,0)+IFERROR(--ISNUMBER(SEARCH("R41",G260))*41,0)+IFERROR(--ISNUMBER(SEARCH("R42",G260))*42,0)+IFERROR(--ISNUMBER(SEARCH("R43",G260))*43,0)+IFERROR(--ISNUMBER(SEARCH("R44",G260))*44,0)+IFERROR(--ISNUMBER(SEARCH("R45",G260))*45,0)+IFERROR(--ISNUMBER(SEARCH("R46",G260))*46,0)+IFERROR(--ISNUMBER(SEARCH("R47",G260))*47,0)+IFERROR(--ISNUMBER(SEARCH("R48",G260))*48,0)+IFERROR(--ISNUMBER(SEARCH("R49",G260))*49,0)+IFERROR(--ISNUMBER(SEARCH("R50",G260))*50,0)+IFERROR(--ISNUMBER(SEARCH("R51",G260))*51,0)+IFERROR(--ISNUMBER(SEARCH("R52",G260))*52,0)+IFERROR(--ISNUMBER(SEARCH("R53",G260))*53,0)+IFERROR(--ISNUMBER(SEARCH("R54",G260))*54,0)+IFERROR(--ISNUMBER(SEARCH("R55",G260))*55,0)+IFERROR(--ISNUMBER(SEARCH("R56",G260))*56,0)+IFERROR(--ISNUMBER(SEARCH("R57",G260))*57,0)+IFERROR(--ISNUMBER(SEARCH("R58",G260))*58,0)+IFERROR(--ISNUMBER(SEARCH("R59",G260))*59,0)+IFERROR(--ISNUMBER(SEARCH("R60",G260))*60,0)+IFERROR(--ISNUMBER(SEARCH("R61",G260))*61,0)+IFERROR(--ISNUMBER(SEARCH("R62",G260))*62,0)+IFERROR(--ISNUMBER(SEARCH("R63",G260))*63,0)+IFERROR(--ISNUMBER(SEARCH("R64",G260))*64,0)+IFERROR(--ISNUMBER(SEARCH("R65",G260))*65,0)+IFERROR(--ISNUMBER(SEARCH("R66",G260))*66,0)+IFERROR(--ISNUMBER(SEARCH("R67",G260))*67,0)+IFERROR(--ISNUMBER(SEARCH("R68",G260))*68,0)+IFERROR(--ISNUMBER(SEARCH("R69",G260))*69,0)+IFERROR(--ISNUMBER(SEARCH("R70",G260))*70,0)+IFERROR(--ISNUMBER(SEARCH("R71",G260))*71,0)+IFERROR(--ISNUMBER(SEARCH("R72",G260))*72,0)+IFERROR(--ISNUMBER(SEARCH("R73",G260))*73,0)+IFERROR(--ISNUMBER(SEARCH("R74",G260))*74,0)+IFERROR(--ISNUMBER(SEARCH("R75",G260))*75,0)+IFERROR(--ISNUMBER(SEARCH("R76",G260))*76,0)+IFERROR(--ISNUMBER(SEARCH("R77",G260))*77,0)+IFERROR(--ISNUMBER(SEARCH("R78",G260))*78,0)+IFERROR(--ISNUMBER(SEARCH("R79",G260))*79,0)+IFERROR(--ISNUMBER(SEARCH("R80",G260))*80,0)+IFERROR(--ISNUMBER(SEARCH("R81",G260))*81,0)+IFERROR(--ISNUMBER(SEARCH("R82",G260))*82,0)+IFERROR(--ISNUMBER(SEARCH("R83",G260))*83,0)+IFERROR(--ISNUMBER(SEARCH("R84",G260))*84,0)+IFERROR(--ISNUMBER(SEARCH("R85",G260))*85,0)+IFERROR(--ISNUMBER(SEARCH("R86",G260))*86,0)+IFERROR(--ISNUMBER(SEARCH("R87",G260))*87,0)+IFERROR(--ISNUMBER(SEARCH("R88",G260))*88,0)+IFERROR(--ISNUMBER(SEARCH("R89",G260))*89,0)+IFERROR(--ISNUMBER(SEARCH("R90",G260))*90,0)+IFERROR(--ISNUMBER(SEARCH("R91",G260))*91,0)+IFERROR(--ISNUMBER(SEARCH("R92",G260))*92,0)+IFERROR(--ISNUMBER(SEARCH("R93",G260))*93,0)+IFERROR(--ISNUMBER(SEARCH("R94",G260))*94,0)+IFERROR(--ISNUMBER(SEARCH("R95",G260))*95,0)+IFERROR(--ISNUMBER(SEARCH("R96",G260))*96,0)+IFERROR(--ISNUMBER(SEARCH("R97",G260))*97,0)+IFERROR(--ISNUMBER(SEARCH("R98",G260))*98,0)+IFERROR(--ISNUMBER(SEARCH("R99",G260))*99,0)+IFERROR(--ISNUMBER(SEARCH("R100",G260))*100,0)+IFERROR(--ISNUMBER(SEARCH("R101",G260))*101,0)+IFERROR(--ISNUMBER(SEARCH("R102",G260))*102,0)+IFERROR(--ISNUMBER(SEARCH("R103",G260))*103,0)+IFERROR(--ISNUMBER(SEARCH("R104",G260))*104,0)+IFERROR(--ISNUMBER(SEARCH("R105",G260))*105,0)+IFERROR(--ISNUMBER(SEARCH("R106",G260))*106,0)+IFERROR(--ISNUMBER(SEARCH("R107",G260))*107,0)+IFERROR(--ISNUMBER(SEARCH("R108",G260))*108,0)+IFERROR(--ISNUMBER(SEARCH("R109",G260))*109,0)+IFERROR(--ISNUMBER(SEARCH("R110",G260))*110,0)+IFERROR(--ISNUMBER(SEARCH("R111",G260))*111,0)+IFERROR(--ISNUMBER(SEARCH("R112",G260))*112,0)+IFERROR(--ISNUMBER(SEARCH("R113",G260))*113,0)+IFERROR(--ISNUMBER(SEARCH("R114",G260))*114,0)+IFERROR(--ISNUMBER(SEARCH("R115",G260))*115,0)+IFERROR(--ISNUMBER(SEARCH("R116",G260))*116,0)+IFERROR(--ISNUMBER(SEARCH("R117",G260))*117,0)+IFERROR(--ISNUMBER(SEARCH("R118",G260))*118,0)+IFERROR(--ISNUMBER(SEARCH("R119",G260))*119,0)+IFERROR(--ISNUMBER(SEARCH("R120",G260))*120,0)+IFERROR(--ISNUMBER(SEARCH("R121",G260))*121,0)+IFERROR(--ISNUMBER(SEARCH("R122",G260))*122,0)+IFERROR(--ISNUMBER(SEARCH("R123",G260))*123,0)+IFERROR(--ISNUMBER(SEARCH("R124",G260))*124,0)+IFERROR(--ISNUMBER(SEARCH("R125",G260))*125,0)+IFERROR(--ISNUMBER(SEARCH("R126",G260))*126,0)+IFERROR(--ISNUMBER(SEARCH("R127",G260))*127,0)+IFERROR(--ISNUMBER(SEARCH("R128",G260))*128,0)+IFERROR(--ISNUMBER(SEARCH("R129",G260))*129,0)+IFERROR(--ISNUMBER(SEARCH("R130",G260))*130,0)+IFERROR(--ISNUMBER(SEARCH("R131",G260))*131,0)+IFERROR(--ISNUMBER(SEARCH("R132",G260))*132,0)+IFERROR(--ISNUMBER(SEARCH("R133",G260))*133,0)+IFERROR(--ISNUMBER(SEARCH("R134",G260))*134,0)+IFERROR(--ISNUMBER(SEARCH("R135",G260))*135,0)+IFERROR(--ISNUMBER(SEARCH("R136",G260))*136,0)+IFERROR(--ISNUMBER(SEARCH("R137",G260))*137,0)+IFERROR(--ISNUMBER(SEARCH("R138",G260))*138,0)+IFERROR(--ISNUMBER(SEARCH("R139",G260))*139,0)+IFERROR(--ISNUMBER(SEARCH("R140",G260))*140,0)+IFERROR(--ISNUMBER(SEARCH("R141",G260))*141,0))</f>
        <v/>
      </c>
      <c r="V260" s="59">
        <f>IF(A260="","",IF(K260&lt;&gt;"",K260,J260))</f>
        <v/>
      </c>
      <c r="W260" s="59">
        <f>IF(A260="","",IF(AND(V260=29,O260&lt;&gt;"",COUNTIFS($V$6:$V$505,29,$F$6:$F$505,F260,$C$6:$C$505,C260,$O$6:$O$505,"&lt;&gt;")&gt;1),IF(COUNTIFS($V$6:V260,29,$F$6:F260,F260,$C$6:C260,C260,$O$6:O260,"&lt;&gt;")=1,"Esta es la fila que se debe CONSERVAR (aparición 1 de "&amp;COUNTIFS($V$6:$V$505,29,$F$6:$F$505,F260,$C$6:$C$505,C260,$O$6:$O$505,"&lt;&gt;")&amp;" con el mismo tercero y valor, casilla 29). Si hay más filas iguales, bórreles el valor a ELLAS, no a esta.","DUPLICADO — ya existe otra fila con el mismo tercero y valor para casilla 29 (aparición "&amp;COUNTIFS($V$6:V260,29,$F$6:F260,F260,$C$6:C260,C260,$O$6:O260,"&lt;&gt;")&amp;" de "&amp;COUNTIFS($V$6:$V$505,29,$F$6:$F$505,F260,$C$6:$C$505,C260,$O$6:$O$505,"&lt;&gt;")&amp;"). Para resolverlo: seleccione la celda O"&amp;ROW()&amp;" (columna Valor a declarar de ESTA fila) y presione Supr."),""))</f>
        <v/>
      </c>
      <c r="X260" s="463">
        <f>IF(A260="","",F260)</f>
        <v/>
      </c>
      <c r="Y260" s="463">
        <f>IF(A260="","",SUMIF(Entrada_Manual!$I$88:$I$187,A260,Entrada_Manual!$F$88:$F$187))</f>
        <v/>
      </c>
      <c r="Z260" s="463">
        <f>IF(A260="","",X260-Y260)</f>
        <v/>
      </c>
      <c r="AA260">
        <f>IF(A260="","",SUMPRODUCT((Entrada_Manual!$I$88:$I$187=A260)*1))</f>
        <v/>
      </c>
      <c r="AB260">
        <f>IF(A260="","",IF(S260&lt;=1,"",IF(AA260=0,"PENDIENTE — SIN ASIGNAR",IF(Z260=0,"RESUELTO","PARCIAL — DIFERENCIA "&amp;TEXT(Z260,"#,##0")))))</f>
        <v/>
      </c>
    </row>
    <row r="261" ht="14.25" customHeight="1" s="235">
      <c r="A261" s="47">
        <f>IF(Exogena_RAW!E270&lt;&gt;"",ROW()-5,"")</f>
        <v/>
      </c>
      <c r="B261" s="48">
        <f>IF(A261="","",270)</f>
        <v/>
      </c>
      <c r="C261" s="48">
        <f>IF(A261="","",IFERROR(Exogena_RAW!A270,""))</f>
        <v/>
      </c>
      <c r="D261" s="48">
        <f>IF(A261="","",IFERROR(Exogena_RAW!B270,""))</f>
        <v/>
      </c>
      <c r="E261" s="48">
        <f>IF(A261="","",Exogena_RAW!E270)</f>
        <v/>
      </c>
      <c r="F261" s="461">
        <f>IF(A261="","",Exogena_RAW!F270)</f>
        <v/>
      </c>
      <c r="G261" s="48">
        <f>IF(A261="","",IFERROR(Exogena_RAW!G270,""))</f>
        <v/>
      </c>
      <c r="H261" s="48">
        <f>IF(A261="","",IFERROR(Exogena_RAW!H270,""))</f>
        <v/>
      </c>
      <c r="I261" s="48">
        <f>IF(A261="","",IFERROR(IF(S261&gt;1,"VARIAS CASILLAS",IF(S261=1,IF(T261=1,"PROPUESTA DE CASILLA","REVISIÓN: CASILLA NO DIRECTA"),IF(OR(ISNUMBER(SEARCH("TOPE",UPPER(E261))),ISNUMBER(SEARCH("TOPE",UPPER(G261)))),"SOLO CONTROL",IF(ISNUMBER(SEARCH("RETEN",UPPER(E261))),"RETENCIÓN","REVISAR")))),"REVISAR"))</f>
        <v/>
      </c>
      <c r="J261" s="48">
        <f>IF(A261="","",IF(ISNUMBER(SEARCH("ingreso laboral promedio de los últimos seis meses",E261)),"",IFERROR(IF(AND(S261=1,T261=1),U261,""),"")))</f>
        <v/>
      </c>
      <c r="K261" s="216" t="n"/>
      <c r="L261" s="48">
        <f>IF(A261="","",IFERROR(IF(K261&lt;&gt;"","Casilla elegida por usuario",IF(S261&gt;1,"Varias casillas — elegir en K",IF(J261&lt;&gt;"","Sugerencia directa",IF(S261=1,"No trasladar directo — revisar",IF(OR(ISNUMBER(SEARCH("TOPE",UPPER(E261))),ISNUMBER(SEARCH("TOPE",UPPER(G261)))),"Solo control","Revisar manualmente"))))),"Revisar manualmente"))</f>
        <v/>
      </c>
      <c r="M261" s="461">
        <f>IF(A261="","",IF(IF(K261&lt;&gt;"",K261,J261)="",0,IF(COUNTIFS(Reglas!$I$5:$I$118,IF(K261&lt;&gt;"",K261,J261),Reglas!$J$5:$J$118,"Sí")=1,F261,0)))</f>
        <v/>
      </c>
      <c r="N261" s="56" t="n"/>
      <c r="O261" s="462">
        <f>IF(A261="","",IF(M261=0,"",M261))</f>
        <v/>
      </c>
      <c r="P261" s="461">
        <f>IF(A261="","",IF(O261="",0,IF(ISNUMBER(O261),O261,0)))</f>
        <v/>
      </c>
      <c r="Q261" s="48">
        <f>IF(A261="","",IF(Exogena_RAW!$C$4="","BLOQUEADO: FALTA AÑO",IF(Exogena_RAW!$K$10&lt;&gt;Reglas!$B$5,"BLOQUEADO: AÑO",IF(IF(K261&lt;&gt;"",K261,J261)="",IF(S261&gt;1,"REQUIERE ASIGNACIÓN MANUAL (VARIAS CASILLAS)","INFORMATIVO (sin casilla — no se declara)"),IF(COUNTIFS(Reglas!$I$5:$I$118,IF(K261&lt;&gt;"",K261,J261),Reglas!$J$5:$J$118,"Sí")=0,"BLOQUEADO: CASILLA NO DIRECTA",IF(O261="","EXCLUIDO (valor borrado por el usuario)",IF(_xlfn.ISFORMULA(O261),IF(W261&lt;&gt;"","BORRADOR — VALOR SUGERIDO DIAN ⚠ VER ALERTA","BORRADOR — VALOR SUGERIDO DIAN"),IF(W261&lt;&gt;"","ACEPTADO ⚠ VER ALERTA","ACEPTADO"))))))))</f>
        <v/>
      </c>
      <c r="R261" s="218" t="n"/>
      <c r="S261" s="58">
        <f>IF(A261="","",IFERROR(--ISNUMBER(SEARCH("R28",G261)),0)+IFERROR(--ISNUMBER(SEARCH("R29",G261)),0)+IFERROR(--ISNUMBER(SEARCH("R30",G261)),0)+IFERROR(--ISNUMBER(SEARCH("R31",G261)),0)+IFERROR(--ISNUMBER(SEARCH("R32",G261)),0)+IFERROR(--ISNUMBER(SEARCH("R33",G261)),0)+IFERROR(--ISNUMBER(SEARCH("R34",G261)),0)+IFERROR(--ISNUMBER(SEARCH("R35",G261)),0)+IFERROR(--ISNUMBER(SEARCH("R36",G261)),0)+IFERROR(--ISNUMBER(SEARCH("R37",G261)),0)+IFERROR(--ISNUMBER(SEARCH("R38",G261)),0)+IFERROR(--ISNUMBER(SEARCH("R39",G261)),0)+IFERROR(--ISNUMBER(SEARCH("R40",G261)),0)+IFERROR(--ISNUMBER(SEARCH("R41",G261)),0)+IFERROR(--ISNUMBER(SEARCH("R42",G261)),0)+IFERROR(--ISNUMBER(SEARCH("R43",G261)),0)+IFERROR(--ISNUMBER(SEARCH("R44",G261)),0)+IFERROR(--ISNUMBER(SEARCH("R45",G261)),0)+IFERROR(--ISNUMBER(SEARCH("R46",G261)),0)+IFERROR(--ISNUMBER(SEARCH("R47",G261)),0)+IFERROR(--ISNUMBER(SEARCH("R48",G261)),0)+IFERROR(--ISNUMBER(SEARCH("R49",G261)),0)+IFERROR(--ISNUMBER(SEARCH("R50",G261)),0)+IFERROR(--ISNUMBER(SEARCH("R51",G261)),0)+IFERROR(--ISNUMBER(SEARCH("R52",G261)),0)+IFERROR(--ISNUMBER(SEARCH("R53",G261)),0)+IFERROR(--ISNUMBER(SEARCH("R54",G261)),0)+IFERROR(--ISNUMBER(SEARCH("R55",G261)),0)+IFERROR(--ISNUMBER(SEARCH("R56",G261)),0)+IFERROR(--ISNUMBER(SEARCH("R57",G261)),0)+IFERROR(--ISNUMBER(SEARCH("R58",G261)),0)+IFERROR(--ISNUMBER(SEARCH("R59",G261)),0)+IFERROR(--ISNUMBER(SEARCH("R60",G261)),0)+IFERROR(--ISNUMBER(SEARCH("R61",G261)),0)+IFERROR(--ISNUMBER(SEARCH("R62",G261)),0)+IFERROR(--ISNUMBER(SEARCH("R63",G261)),0)+IFERROR(--ISNUMBER(SEARCH("R64",G261)),0)+IFERROR(--ISNUMBER(SEARCH("R65",G261)),0)+IFERROR(--ISNUMBER(SEARCH("R66",G261)),0)+IFERROR(--ISNUMBER(SEARCH("R67",G261)),0)+IFERROR(--ISNUMBER(SEARCH("R68",G261)),0)+IFERROR(--ISNUMBER(SEARCH("R69",G261)),0)+IFERROR(--ISNUMBER(SEARCH("R70",G261)),0)+IFERROR(--ISNUMBER(SEARCH("R71",G261)),0)+IFERROR(--ISNUMBER(SEARCH("R72",G261)),0)+IFERROR(--ISNUMBER(SEARCH("R73",G261)),0)+IFERROR(--ISNUMBER(SEARCH("R74",G261)),0)+IFERROR(--ISNUMBER(SEARCH("R75",G261)),0)+IFERROR(--ISNUMBER(SEARCH("R76",G261)),0)+IFERROR(--ISNUMBER(SEARCH("R77",G261)),0)+IFERROR(--ISNUMBER(SEARCH("R78",G261)),0)+IFERROR(--ISNUMBER(SEARCH("R79",G261)),0)+IFERROR(--ISNUMBER(SEARCH("R80",G261)),0)+IFERROR(--ISNUMBER(SEARCH("R81",G261)),0)+IFERROR(--ISNUMBER(SEARCH("R82",G261)),0)+IFERROR(--ISNUMBER(SEARCH("R83",G261)),0)+IFERROR(--ISNUMBER(SEARCH("R84",G261)),0)+IFERROR(--ISNUMBER(SEARCH("R85",G261)),0)+IFERROR(--ISNUMBER(SEARCH("R86",G261)),0)+IFERROR(--ISNUMBER(SEARCH("R87",G261)),0)+IFERROR(--ISNUMBER(SEARCH("R88",G261)),0)+IFERROR(--ISNUMBER(SEARCH("R89",G261)),0)+IFERROR(--ISNUMBER(SEARCH("R90",G261)),0)+IFERROR(--ISNUMBER(SEARCH("R91",G261)),0)+IFERROR(--ISNUMBER(SEARCH("R92",G261)),0)+IFERROR(--ISNUMBER(SEARCH("R93",G261)),0)+IFERROR(--ISNUMBER(SEARCH("R94",G261)),0)+IFERROR(--ISNUMBER(SEARCH("R95",G261)),0)+IFERROR(--ISNUMBER(SEARCH("R96",G261)),0)+IFERROR(--ISNUMBER(SEARCH("R97",G261)),0)+IFERROR(--ISNUMBER(SEARCH("R98",G261)),0)+IFERROR(--ISNUMBER(SEARCH("R99",G261)),0)+IFERROR(--ISNUMBER(SEARCH("R100",G261)),0)+IFERROR(--ISNUMBER(SEARCH("R101",G261)),0)+IFERROR(--ISNUMBER(SEARCH("R102",G261)),0)+IFERROR(--ISNUMBER(SEARCH("R103",G261)),0)+IFERROR(--ISNUMBER(SEARCH("R104",G261)),0)+IFERROR(--ISNUMBER(SEARCH("R105",G261)),0)+IFERROR(--ISNUMBER(SEARCH("R106",G261)),0)+IFERROR(--ISNUMBER(SEARCH("R107",G261)),0)+IFERROR(--ISNUMBER(SEARCH("R108",G261)),0)+IFERROR(--ISNUMBER(SEARCH("R109",G261)),0)+IFERROR(--ISNUMBER(SEARCH("R110",G261)),0)+IFERROR(--ISNUMBER(SEARCH("R111",G261)),0)+IFERROR(--ISNUMBER(SEARCH("R112",G261)),0)+IFERROR(--ISNUMBER(SEARCH("R113",G261)),0)+IFERROR(--ISNUMBER(SEARCH("R114",G261)),0)+IFERROR(--ISNUMBER(SEARCH("R115",G261)),0)+IFERROR(--ISNUMBER(SEARCH("R116",G261)),0)+IFERROR(--ISNUMBER(SEARCH("R117",G261)),0)+IFERROR(--ISNUMBER(SEARCH("R118",G261)),0)+IFERROR(--ISNUMBER(SEARCH("R119",G261)),0)+IFERROR(--ISNUMBER(SEARCH("R120",G261)),0)+IFERROR(--ISNUMBER(SEARCH("R121",G261)),0)+IFERROR(--ISNUMBER(SEARCH("R122",G261)),0)+IFERROR(--ISNUMBER(SEARCH("R123",G261)),0)+IFERROR(--ISNUMBER(SEARCH("R124",G261)),0)+IFERROR(--ISNUMBER(SEARCH("R125",G261)),0)+IFERROR(--ISNUMBER(SEARCH("R126",G261)),0)+IFERROR(--ISNUMBER(SEARCH("R127",G261)),0)+IFERROR(--ISNUMBER(SEARCH("R128",G261)),0)+IFERROR(--ISNUMBER(SEARCH("R129",G261)),0)+IFERROR(--ISNUMBER(SEARCH("R130",G261)),0)+IFERROR(--ISNUMBER(SEARCH("R131",G261)),0)+IFERROR(--ISNUMBER(SEARCH("R132",G261)),0)+IFERROR(--ISNUMBER(SEARCH("R133",G261)),0)+IFERROR(--ISNUMBER(SEARCH("R134",G261)),0)+IFERROR(--ISNUMBER(SEARCH("R135",G261)),0)+IFERROR(--ISNUMBER(SEARCH("R136",G261)),0)+IFERROR(--ISNUMBER(SEARCH("R137",G261)),0)+IFERROR(--ISNUMBER(SEARCH("R138",G261)),0)+IFERROR(--ISNUMBER(SEARCH("R139",G261)),0)+IFERROR(--ISNUMBER(SEARCH("R140",G261)),0)+IFERROR(--ISNUMBER(SEARCH("R141",G261)),0))</f>
        <v/>
      </c>
      <c r="T261" s="58">
        <f>IF(A261="","",IFERROR(--ISNUMBER(SEARCH("R28",G261)),0)+IFERROR(--ISNUMBER(SEARCH("R29",G261)),0)+IFERROR(--ISNUMBER(SEARCH("R30",G261)),0)+IFERROR(--ISNUMBER(SEARCH("R32",G261)),0)+IFERROR(--ISNUMBER(SEARCH("R33",G261)),0)+IFERROR(--ISNUMBER(SEARCH("R35",G261)),0)+IFERROR(--ISNUMBER(SEARCH("R36",G261)),0)+IFERROR(--ISNUMBER(SEARCH("R38",G261)),0)+IFERROR(--ISNUMBER(SEARCH("R39",G261)),0)+IFERROR(--ISNUMBER(SEARCH("R43",G261)),0)+IFERROR(--ISNUMBER(SEARCH("R44",G261)),0)+IFERROR(--ISNUMBER(SEARCH("R45",G261)),0)+IFERROR(--ISNUMBER(SEARCH("R47",G261)),0)+IFERROR(--ISNUMBER(SEARCH("R48",G261)),0)+IFERROR(--ISNUMBER(SEARCH("R50",G261)),0)+IFERROR(--ISNUMBER(SEARCH("R51",G261)),0)+IFERROR(--ISNUMBER(SEARCH("R56",G261)),0)+IFERROR(--ISNUMBER(SEARCH("R58",G261)),0)+IFERROR(--ISNUMBER(SEARCH("R59",G261)),0)+IFERROR(--ISNUMBER(SEARCH("R60",G261)),0)+IFERROR(--ISNUMBER(SEARCH("R62",G261)),0)+IFERROR(--ISNUMBER(SEARCH("R63",G261)),0)+IFERROR(--ISNUMBER(SEARCH("R64",G261)),0)+IFERROR(--ISNUMBER(SEARCH("R66",G261)),0)+IFERROR(--ISNUMBER(SEARCH("R67",G261)),0)+IFERROR(--ISNUMBER(SEARCH("R72",G261)),0)+IFERROR(--ISNUMBER(SEARCH("R74",G261)),0)+IFERROR(--ISNUMBER(SEARCH("R75",G261)),0)+IFERROR(--ISNUMBER(SEARCH("R76",G261)),0)+IFERROR(--ISNUMBER(SEARCH("R77",G261)),0)+IFERROR(--ISNUMBER(SEARCH("R79",G261)),0)+IFERROR(--ISNUMBER(SEARCH("R80",G261)),0)+IFERROR(--ISNUMBER(SEARCH("R81",G261)),0)+IFERROR(--ISNUMBER(SEARCH("R83",G261)),0)+IFERROR(--ISNUMBER(SEARCH("R84",G261)),0)+IFERROR(--ISNUMBER(SEARCH("R89",G261)),0)+IFERROR(--ISNUMBER(SEARCH("R94",G261)),0)+IFERROR(--ISNUMBER(SEARCH("R95",G261)),0)+IFERROR(--ISNUMBER(SEARCH("R96",G261)),0)+IFERROR(--ISNUMBER(SEARCH("R98",G261)),0)+IFERROR(--ISNUMBER(SEARCH("R99",G261)),0)+IFERROR(--ISNUMBER(SEARCH("R100",G261)),0)+IFERROR(--ISNUMBER(SEARCH("R104",G261)),0)+IFERROR(--ISNUMBER(SEARCH("R105",G261)),0)+IFERROR(--ISNUMBER(SEARCH("R107",G261)),0)+IFERROR(--ISNUMBER(SEARCH("R108",G261)),0)+IFERROR(--ISNUMBER(SEARCH("R109",G261)),0)+IFERROR(--ISNUMBER(SEARCH("R110",G261)),0)+IFERROR(--ISNUMBER(SEARCH("R112",G261)),0)+IFERROR(--ISNUMBER(SEARCH("R113",G261)),0)+IFERROR(--ISNUMBER(SEARCH("R114",G261)),0)+IFERROR(--ISNUMBER(SEARCH("R118",G261)),0)+IFERROR(--ISNUMBER(SEARCH("R119",G261)),0)+IFERROR(--ISNUMBER(SEARCH("R120",G261)),0)+IFERROR(--ISNUMBER(SEARCH("R122",G261)),0)+IFERROR(--ISNUMBER(SEARCH("R123",G261)),0)+IFERROR(--ISNUMBER(SEARCH("R124",G261)),0)+IFERROR(--ISNUMBER(SEARCH("R128",G261)),0)+IFERROR(--ISNUMBER(SEARCH("R130",G261)),0)+IFERROR(--ISNUMBER(SEARCH("R131",G261)),0)+IFERROR(--ISNUMBER(SEARCH("R132",G261)),0)+IFERROR(--ISNUMBER(SEARCH("R135",G261)),0)+IFERROR(--ISNUMBER(SEARCH("R138",G261)),0)+IFERROR(--ISNUMBER(SEARCH("R141",G261)),0))</f>
        <v/>
      </c>
      <c r="U261" s="58">
        <f>IF(A261="","",IFERROR(--ISNUMBER(SEARCH("R28",G261))*28,0)+IFERROR(--ISNUMBER(SEARCH("R29",G261))*29,0)+IFERROR(--ISNUMBER(SEARCH("R30",G261))*30,0)+IFERROR(--ISNUMBER(SEARCH("R31",G261))*31,0)+IFERROR(--ISNUMBER(SEARCH("R32",G261))*32,0)+IFERROR(--ISNUMBER(SEARCH("R33",G261))*33,0)+IFERROR(--ISNUMBER(SEARCH("R34",G261))*34,0)+IFERROR(--ISNUMBER(SEARCH("R35",G261))*35,0)+IFERROR(--ISNUMBER(SEARCH("R36",G261))*36,0)+IFERROR(--ISNUMBER(SEARCH("R37",G261))*37,0)+IFERROR(--ISNUMBER(SEARCH("R38",G261))*38,0)+IFERROR(--ISNUMBER(SEARCH("R39",G261))*39,0)+IFERROR(--ISNUMBER(SEARCH("R40",G261))*40,0)+IFERROR(--ISNUMBER(SEARCH("R41",G261))*41,0)+IFERROR(--ISNUMBER(SEARCH("R42",G261))*42,0)+IFERROR(--ISNUMBER(SEARCH("R43",G261))*43,0)+IFERROR(--ISNUMBER(SEARCH("R44",G261))*44,0)+IFERROR(--ISNUMBER(SEARCH("R45",G261))*45,0)+IFERROR(--ISNUMBER(SEARCH("R46",G261))*46,0)+IFERROR(--ISNUMBER(SEARCH("R47",G261))*47,0)+IFERROR(--ISNUMBER(SEARCH("R48",G261))*48,0)+IFERROR(--ISNUMBER(SEARCH("R49",G261))*49,0)+IFERROR(--ISNUMBER(SEARCH("R50",G261))*50,0)+IFERROR(--ISNUMBER(SEARCH("R51",G261))*51,0)+IFERROR(--ISNUMBER(SEARCH("R52",G261))*52,0)+IFERROR(--ISNUMBER(SEARCH("R53",G261))*53,0)+IFERROR(--ISNUMBER(SEARCH("R54",G261))*54,0)+IFERROR(--ISNUMBER(SEARCH("R55",G261))*55,0)+IFERROR(--ISNUMBER(SEARCH("R56",G261))*56,0)+IFERROR(--ISNUMBER(SEARCH("R57",G261))*57,0)+IFERROR(--ISNUMBER(SEARCH("R58",G261))*58,0)+IFERROR(--ISNUMBER(SEARCH("R59",G261))*59,0)+IFERROR(--ISNUMBER(SEARCH("R60",G261))*60,0)+IFERROR(--ISNUMBER(SEARCH("R61",G261))*61,0)+IFERROR(--ISNUMBER(SEARCH("R62",G261))*62,0)+IFERROR(--ISNUMBER(SEARCH("R63",G261))*63,0)+IFERROR(--ISNUMBER(SEARCH("R64",G261))*64,0)+IFERROR(--ISNUMBER(SEARCH("R65",G261))*65,0)+IFERROR(--ISNUMBER(SEARCH("R66",G261))*66,0)+IFERROR(--ISNUMBER(SEARCH("R67",G261))*67,0)+IFERROR(--ISNUMBER(SEARCH("R68",G261))*68,0)+IFERROR(--ISNUMBER(SEARCH("R69",G261))*69,0)+IFERROR(--ISNUMBER(SEARCH("R70",G261))*70,0)+IFERROR(--ISNUMBER(SEARCH("R71",G261))*71,0)+IFERROR(--ISNUMBER(SEARCH("R72",G261))*72,0)+IFERROR(--ISNUMBER(SEARCH("R73",G261))*73,0)+IFERROR(--ISNUMBER(SEARCH("R74",G261))*74,0)+IFERROR(--ISNUMBER(SEARCH("R75",G261))*75,0)+IFERROR(--ISNUMBER(SEARCH("R76",G261))*76,0)+IFERROR(--ISNUMBER(SEARCH("R77",G261))*77,0)+IFERROR(--ISNUMBER(SEARCH("R78",G261))*78,0)+IFERROR(--ISNUMBER(SEARCH("R79",G261))*79,0)+IFERROR(--ISNUMBER(SEARCH("R80",G261))*80,0)+IFERROR(--ISNUMBER(SEARCH("R81",G261))*81,0)+IFERROR(--ISNUMBER(SEARCH("R82",G261))*82,0)+IFERROR(--ISNUMBER(SEARCH("R83",G261))*83,0)+IFERROR(--ISNUMBER(SEARCH("R84",G261))*84,0)+IFERROR(--ISNUMBER(SEARCH("R85",G261))*85,0)+IFERROR(--ISNUMBER(SEARCH("R86",G261))*86,0)+IFERROR(--ISNUMBER(SEARCH("R87",G261))*87,0)+IFERROR(--ISNUMBER(SEARCH("R88",G261))*88,0)+IFERROR(--ISNUMBER(SEARCH("R89",G261))*89,0)+IFERROR(--ISNUMBER(SEARCH("R90",G261))*90,0)+IFERROR(--ISNUMBER(SEARCH("R91",G261))*91,0)+IFERROR(--ISNUMBER(SEARCH("R92",G261))*92,0)+IFERROR(--ISNUMBER(SEARCH("R93",G261))*93,0)+IFERROR(--ISNUMBER(SEARCH("R94",G261))*94,0)+IFERROR(--ISNUMBER(SEARCH("R95",G261))*95,0)+IFERROR(--ISNUMBER(SEARCH("R96",G261))*96,0)+IFERROR(--ISNUMBER(SEARCH("R97",G261))*97,0)+IFERROR(--ISNUMBER(SEARCH("R98",G261))*98,0)+IFERROR(--ISNUMBER(SEARCH("R99",G261))*99,0)+IFERROR(--ISNUMBER(SEARCH("R100",G261))*100,0)+IFERROR(--ISNUMBER(SEARCH("R101",G261))*101,0)+IFERROR(--ISNUMBER(SEARCH("R102",G261))*102,0)+IFERROR(--ISNUMBER(SEARCH("R103",G261))*103,0)+IFERROR(--ISNUMBER(SEARCH("R104",G261))*104,0)+IFERROR(--ISNUMBER(SEARCH("R105",G261))*105,0)+IFERROR(--ISNUMBER(SEARCH("R106",G261))*106,0)+IFERROR(--ISNUMBER(SEARCH("R107",G261))*107,0)+IFERROR(--ISNUMBER(SEARCH("R108",G261))*108,0)+IFERROR(--ISNUMBER(SEARCH("R109",G261))*109,0)+IFERROR(--ISNUMBER(SEARCH("R110",G261))*110,0)+IFERROR(--ISNUMBER(SEARCH("R111",G261))*111,0)+IFERROR(--ISNUMBER(SEARCH("R112",G261))*112,0)+IFERROR(--ISNUMBER(SEARCH("R113",G261))*113,0)+IFERROR(--ISNUMBER(SEARCH("R114",G261))*114,0)+IFERROR(--ISNUMBER(SEARCH("R115",G261))*115,0)+IFERROR(--ISNUMBER(SEARCH("R116",G261))*116,0)+IFERROR(--ISNUMBER(SEARCH("R117",G261))*117,0)+IFERROR(--ISNUMBER(SEARCH("R118",G261))*118,0)+IFERROR(--ISNUMBER(SEARCH("R119",G261))*119,0)+IFERROR(--ISNUMBER(SEARCH("R120",G261))*120,0)+IFERROR(--ISNUMBER(SEARCH("R121",G261))*121,0)+IFERROR(--ISNUMBER(SEARCH("R122",G261))*122,0)+IFERROR(--ISNUMBER(SEARCH("R123",G261))*123,0)+IFERROR(--ISNUMBER(SEARCH("R124",G261))*124,0)+IFERROR(--ISNUMBER(SEARCH("R125",G261))*125,0)+IFERROR(--ISNUMBER(SEARCH("R126",G261))*126,0)+IFERROR(--ISNUMBER(SEARCH("R127",G261))*127,0)+IFERROR(--ISNUMBER(SEARCH("R128",G261))*128,0)+IFERROR(--ISNUMBER(SEARCH("R129",G261))*129,0)+IFERROR(--ISNUMBER(SEARCH("R130",G261))*130,0)+IFERROR(--ISNUMBER(SEARCH("R131",G261))*131,0)+IFERROR(--ISNUMBER(SEARCH("R132",G261))*132,0)+IFERROR(--ISNUMBER(SEARCH("R133",G261))*133,0)+IFERROR(--ISNUMBER(SEARCH("R134",G261))*134,0)+IFERROR(--ISNUMBER(SEARCH("R135",G261))*135,0)+IFERROR(--ISNUMBER(SEARCH("R136",G261))*136,0)+IFERROR(--ISNUMBER(SEARCH("R137",G261))*137,0)+IFERROR(--ISNUMBER(SEARCH("R138",G261))*138,0)+IFERROR(--ISNUMBER(SEARCH("R139",G261))*139,0)+IFERROR(--ISNUMBER(SEARCH("R140",G261))*140,0)+IFERROR(--ISNUMBER(SEARCH("R141",G261))*141,0))</f>
        <v/>
      </c>
      <c r="V261" s="59">
        <f>IF(A261="","",IF(K261&lt;&gt;"",K261,J261))</f>
        <v/>
      </c>
      <c r="W261" s="59">
        <f>IF(A261="","",IF(AND(V261=29,O261&lt;&gt;"",COUNTIFS($V$6:$V$505,29,$F$6:$F$505,F261,$C$6:$C$505,C261,$O$6:$O$505,"&lt;&gt;")&gt;1),IF(COUNTIFS($V$6:V261,29,$F$6:F261,F261,$C$6:C261,C261,$O$6:O261,"&lt;&gt;")=1,"Esta es la fila que se debe CONSERVAR (aparición 1 de "&amp;COUNTIFS($V$6:$V$505,29,$F$6:$F$505,F261,$C$6:$C$505,C261,$O$6:$O$505,"&lt;&gt;")&amp;" con el mismo tercero y valor, casilla 29). Si hay más filas iguales, bórreles el valor a ELLAS, no a esta.","DUPLICADO — ya existe otra fila con el mismo tercero y valor para casilla 29 (aparición "&amp;COUNTIFS($V$6:V261,29,$F$6:F261,F261,$C$6:C261,C261,$O$6:O261,"&lt;&gt;")&amp;" de "&amp;COUNTIFS($V$6:$V$505,29,$F$6:$F$505,F261,$C$6:$C$505,C261,$O$6:$O$505,"&lt;&gt;")&amp;"). Para resolverlo: seleccione la celda O"&amp;ROW()&amp;" (columna Valor a declarar de ESTA fila) y presione Supr."),""))</f>
        <v/>
      </c>
      <c r="X261" s="463">
        <f>IF(A261="","",F261)</f>
        <v/>
      </c>
      <c r="Y261" s="463">
        <f>IF(A261="","",SUMIF(Entrada_Manual!$I$88:$I$187,A261,Entrada_Manual!$F$88:$F$187))</f>
        <v/>
      </c>
      <c r="Z261" s="463">
        <f>IF(A261="","",X261-Y261)</f>
        <v/>
      </c>
      <c r="AA261">
        <f>IF(A261="","",SUMPRODUCT((Entrada_Manual!$I$88:$I$187=A261)*1))</f>
        <v/>
      </c>
      <c r="AB261">
        <f>IF(A261="","",IF(S261&lt;=1,"",IF(AA261=0,"PENDIENTE — SIN ASIGNAR",IF(Z261=0,"RESUELTO","PARCIAL — DIFERENCIA "&amp;TEXT(Z261,"#,##0")))))</f>
        <v/>
      </c>
    </row>
    <row r="262" ht="14.25" customHeight="1" s="235">
      <c r="A262" s="47">
        <f>IF(Exogena_RAW!E271&lt;&gt;"",ROW()-5,"")</f>
        <v/>
      </c>
      <c r="B262" s="48">
        <f>IF(A262="","",271)</f>
        <v/>
      </c>
      <c r="C262" s="48">
        <f>IF(A262="","",IFERROR(Exogena_RAW!A271,""))</f>
        <v/>
      </c>
      <c r="D262" s="48">
        <f>IF(A262="","",IFERROR(Exogena_RAW!B271,""))</f>
        <v/>
      </c>
      <c r="E262" s="48">
        <f>IF(A262="","",Exogena_RAW!E271)</f>
        <v/>
      </c>
      <c r="F262" s="461">
        <f>IF(A262="","",Exogena_RAW!F271)</f>
        <v/>
      </c>
      <c r="G262" s="48">
        <f>IF(A262="","",IFERROR(Exogena_RAW!G271,""))</f>
        <v/>
      </c>
      <c r="H262" s="48">
        <f>IF(A262="","",IFERROR(Exogena_RAW!H271,""))</f>
        <v/>
      </c>
      <c r="I262" s="48">
        <f>IF(A262="","",IFERROR(IF(S262&gt;1,"VARIAS CASILLAS",IF(S262=1,IF(T262=1,"PROPUESTA DE CASILLA","REVISIÓN: CASILLA NO DIRECTA"),IF(OR(ISNUMBER(SEARCH("TOPE",UPPER(E262))),ISNUMBER(SEARCH("TOPE",UPPER(G262)))),"SOLO CONTROL",IF(ISNUMBER(SEARCH("RETEN",UPPER(E262))),"RETENCIÓN","REVISAR")))),"REVISAR"))</f>
        <v/>
      </c>
      <c r="J262" s="48">
        <f>IF(A262="","",IF(ISNUMBER(SEARCH("ingreso laboral promedio de los últimos seis meses",E262)),"",IFERROR(IF(AND(S262=1,T262=1),U262,""),"")))</f>
        <v/>
      </c>
      <c r="K262" s="216" t="n"/>
      <c r="L262" s="48">
        <f>IF(A262="","",IFERROR(IF(K262&lt;&gt;"","Casilla elegida por usuario",IF(S262&gt;1,"Varias casillas — elegir en K",IF(J262&lt;&gt;"","Sugerencia directa",IF(S262=1,"No trasladar directo — revisar",IF(OR(ISNUMBER(SEARCH("TOPE",UPPER(E262))),ISNUMBER(SEARCH("TOPE",UPPER(G262)))),"Solo control","Revisar manualmente"))))),"Revisar manualmente"))</f>
        <v/>
      </c>
      <c r="M262" s="461">
        <f>IF(A262="","",IF(IF(K262&lt;&gt;"",K262,J262)="",0,IF(COUNTIFS(Reglas!$I$5:$I$118,IF(K262&lt;&gt;"",K262,J262),Reglas!$J$5:$J$118,"Sí")=1,F262,0)))</f>
        <v/>
      </c>
      <c r="N262" s="56" t="n"/>
      <c r="O262" s="462">
        <f>IF(A262="","",IF(M262=0,"",M262))</f>
        <v/>
      </c>
      <c r="P262" s="461">
        <f>IF(A262="","",IF(O262="",0,IF(ISNUMBER(O262),O262,0)))</f>
        <v/>
      </c>
      <c r="Q262" s="48">
        <f>IF(A262="","",IF(Exogena_RAW!$C$4="","BLOQUEADO: FALTA AÑO",IF(Exogena_RAW!$K$10&lt;&gt;Reglas!$B$5,"BLOQUEADO: AÑO",IF(IF(K262&lt;&gt;"",K262,J262)="",IF(S262&gt;1,"REQUIERE ASIGNACIÓN MANUAL (VARIAS CASILLAS)","INFORMATIVO (sin casilla — no se declara)"),IF(COUNTIFS(Reglas!$I$5:$I$118,IF(K262&lt;&gt;"",K262,J262),Reglas!$J$5:$J$118,"Sí")=0,"BLOQUEADO: CASILLA NO DIRECTA",IF(O262="","EXCLUIDO (valor borrado por el usuario)",IF(_xlfn.ISFORMULA(O262),IF(W262&lt;&gt;"","BORRADOR — VALOR SUGERIDO DIAN ⚠ VER ALERTA","BORRADOR — VALOR SUGERIDO DIAN"),IF(W262&lt;&gt;"","ACEPTADO ⚠ VER ALERTA","ACEPTADO"))))))))</f>
        <v/>
      </c>
      <c r="R262" s="218" t="n"/>
      <c r="S262" s="58">
        <f>IF(A262="","",IFERROR(--ISNUMBER(SEARCH("R28",G262)),0)+IFERROR(--ISNUMBER(SEARCH("R29",G262)),0)+IFERROR(--ISNUMBER(SEARCH("R30",G262)),0)+IFERROR(--ISNUMBER(SEARCH("R31",G262)),0)+IFERROR(--ISNUMBER(SEARCH("R32",G262)),0)+IFERROR(--ISNUMBER(SEARCH("R33",G262)),0)+IFERROR(--ISNUMBER(SEARCH("R34",G262)),0)+IFERROR(--ISNUMBER(SEARCH("R35",G262)),0)+IFERROR(--ISNUMBER(SEARCH("R36",G262)),0)+IFERROR(--ISNUMBER(SEARCH("R37",G262)),0)+IFERROR(--ISNUMBER(SEARCH("R38",G262)),0)+IFERROR(--ISNUMBER(SEARCH("R39",G262)),0)+IFERROR(--ISNUMBER(SEARCH("R40",G262)),0)+IFERROR(--ISNUMBER(SEARCH("R41",G262)),0)+IFERROR(--ISNUMBER(SEARCH("R42",G262)),0)+IFERROR(--ISNUMBER(SEARCH("R43",G262)),0)+IFERROR(--ISNUMBER(SEARCH("R44",G262)),0)+IFERROR(--ISNUMBER(SEARCH("R45",G262)),0)+IFERROR(--ISNUMBER(SEARCH("R46",G262)),0)+IFERROR(--ISNUMBER(SEARCH("R47",G262)),0)+IFERROR(--ISNUMBER(SEARCH("R48",G262)),0)+IFERROR(--ISNUMBER(SEARCH("R49",G262)),0)+IFERROR(--ISNUMBER(SEARCH("R50",G262)),0)+IFERROR(--ISNUMBER(SEARCH("R51",G262)),0)+IFERROR(--ISNUMBER(SEARCH("R52",G262)),0)+IFERROR(--ISNUMBER(SEARCH("R53",G262)),0)+IFERROR(--ISNUMBER(SEARCH("R54",G262)),0)+IFERROR(--ISNUMBER(SEARCH("R55",G262)),0)+IFERROR(--ISNUMBER(SEARCH("R56",G262)),0)+IFERROR(--ISNUMBER(SEARCH("R57",G262)),0)+IFERROR(--ISNUMBER(SEARCH("R58",G262)),0)+IFERROR(--ISNUMBER(SEARCH("R59",G262)),0)+IFERROR(--ISNUMBER(SEARCH("R60",G262)),0)+IFERROR(--ISNUMBER(SEARCH("R61",G262)),0)+IFERROR(--ISNUMBER(SEARCH("R62",G262)),0)+IFERROR(--ISNUMBER(SEARCH("R63",G262)),0)+IFERROR(--ISNUMBER(SEARCH("R64",G262)),0)+IFERROR(--ISNUMBER(SEARCH("R65",G262)),0)+IFERROR(--ISNUMBER(SEARCH("R66",G262)),0)+IFERROR(--ISNUMBER(SEARCH("R67",G262)),0)+IFERROR(--ISNUMBER(SEARCH("R68",G262)),0)+IFERROR(--ISNUMBER(SEARCH("R69",G262)),0)+IFERROR(--ISNUMBER(SEARCH("R70",G262)),0)+IFERROR(--ISNUMBER(SEARCH("R71",G262)),0)+IFERROR(--ISNUMBER(SEARCH("R72",G262)),0)+IFERROR(--ISNUMBER(SEARCH("R73",G262)),0)+IFERROR(--ISNUMBER(SEARCH("R74",G262)),0)+IFERROR(--ISNUMBER(SEARCH("R75",G262)),0)+IFERROR(--ISNUMBER(SEARCH("R76",G262)),0)+IFERROR(--ISNUMBER(SEARCH("R77",G262)),0)+IFERROR(--ISNUMBER(SEARCH("R78",G262)),0)+IFERROR(--ISNUMBER(SEARCH("R79",G262)),0)+IFERROR(--ISNUMBER(SEARCH("R80",G262)),0)+IFERROR(--ISNUMBER(SEARCH("R81",G262)),0)+IFERROR(--ISNUMBER(SEARCH("R82",G262)),0)+IFERROR(--ISNUMBER(SEARCH("R83",G262)),0)+IFERROR(--ISNUMBER(SEARCH("R84",G262)),0)+IFERROR(--ISNUMBER(SEARCH("R85",G262)),0)+IFERROR(--ISNUMBER(SEARCH("R86",G262)),0)+IFERROR(--ISNUMBER(SEARCH("R87",G262)),0)+IFERROR(--ISNUMBER(SEARCH("R88",G262)),0)+IFERROR(--ISNUMBER(SEARCH("R89",G262)),0)+IFERROR(--ISNUMBER(SEARCH("R90",G262)),0)+IFERROR(--ISNUMBER(SEARCH("R91",G262)),0)+IFERROR(--ISNUMBER(SEARCH("R92",G262)),0)+IFERROR(--ISNUMBER(SEARCH("R93",G262)),0)+IFERROR(--ISNUMBER(SEARCH("R94",G262)),0)+IFERROR(--ISNUMBER(SEARCH("R95",G262)),0)+IFERROR(--ISNUMBER(SEARCH("R96",G262)),0)+IFERROR(--ISNUMBER(SEARCH("R97",G262)),0)+IFERROR(--ISNUMBER(SEARCH("R98",G262)),0)+IFERROR(--ISNUMBER(SEARCH("R99",G262)),0)+IFERROR(--ISNUMBER(SEARCH("R100",G262)),0)+IFERROR(--ISNUMBER(SEARCH("R101",G262)),0)+IFERROR(--ISNUMBER(SEARCH("R102",G262)),0)+IFERROR(--ISNUMBER(SEARCH("R103",G262)),0)+IFERROR(--ISNUMBER(SEARCH("R104",G262)),0)+IFERROR(--ISNUMBER(SEARCH("R105",G262)),0)+IFERROR(--ISNUMBER(SEARCH("R106",G262)),0)+IFERROR(--ISNUMBER(SEARCH("R107",G262)),0)+IFERROR(--ISNUMBER(SEARCH("R108",G262)),0)+IFERROR(--ISNUMBER(SEARCH("R109",G262)),0)+IFERROR(--ISNUMBER(SEARCH("R110",G262)),0)+IFERROR(--ISNUMBER(SEARCH("R111",G262)),0)+IFERROR(--ISNUMBER(SEARCH("R112",G262)),0)+IFERROR(--ISNUMBER(SEARCH("R113",G262)),0)+IFERROR(--ISNUMBER(SEARCH("R114",G262)),0)+IFERROR(--ISNUMBER(SEARCH("R115",G262)),0)+IFERROR(--ISNUMBER(SEARCH("R116",G262)),0)+IFERROR(--ISNUMBER(SEARCH("R117",G262)),0)+IFERROR(--ISNUMBER(SEARCH("R118",G262)),0)+IFERROR(--ISNUMBER(SEARCH("R119",G262)),0)+IFERROR(--ISNUMBER(SEARCH("R120",G262)),0)+IFERROR(--ISNUMBER(SEARCH("R121",G262)),0)+IFERROR(--ISNUMBER(SEARCH("R122",G262)),0)+IFERROR(--ISNUMBER(SEARCH("R123",G262)),0)+IFERROR(--ISNUMBER(SEARCH("R124",G262)),0)+IFERROR(--ISNUMBER(SEARCH("R125",G262)),0)+IFERROR(--ISNUMBER(SEARCH("R126",G262)),0)+IFERROR(--ISNUMBER(SEARCH("R127",G262)),0)+IFERROR(--ISNUMBER(SEARCH("R128",G262)),0)+IFERROR(--ISNUMBER(SEARCH("R129",G262)),0)+IFERROR(--ISNUMBER(SEARCH("R130",G262)),0)+IFERROR(--ISNUMBER(SEARCH("R131",G262)),0)+IFERROR(--ISNUMBER(SEARCH("R132",G262)),0)+IFERROR(--ISNUMBER(SEARCH("R133",G262)),0)+IFERROR(--ISNUMBER(SEARCH("R134",G262)),0)+IFERROR(--ISNUMBER(SEARCH("R135",G262)),0)+IFERROR(--ISNUMBER(SEARCH("R136",G262)),0)+IFERROR(--ISNUMBER(SEARCH("R137",G262)),0)+IFERROR(--ISNUMBER(SEARCH("R138",G262)),0)+IFERROR(--ISNUMBER(SEARCH("R139",G262)),0)+IFERROR(--ISNUMBER(SEARCH("R140",G262)),0)+IFERROR(--ISNUMBER(SEARCH("R141",G262)),0))</f>
        <v/>
      </c>
      <c r="T262" s="58">
        <f>IF(A262="","",IFERROR(--ISNUMBER(SEARCH("R28",G262)),0)+IFERROR(--ISNUMBER(SEARCH("R29",G262)),0)+IFERROR(--ISNUMBER(SEARCH("R30",G262)),0)+IFERROR(--ISNUMBER(SEARCH("R32",G262)),0)+IFERROR(--ISNUMBER(SEARCH("R33",G262)),0)+IFERROR(--ISNUMBER(SEARCH("R35",G262)),0)+IFERROR(--ISNUMBER(SEARCH("R36",G262)),0)+IFERROR(--ISNUMBER(SEARCH("R38",G262)),0)+IFERROR(--ISNUMBER(SEARCH("R39",G262)),0)+IFERROR(--ISNUMBER(SEARCH("R43",G262)),0)+IFERROR(--ISNUMBER(SEARCH("R44",G262)),0)+IFERROR(--ISNUMBER(SEARCH("R45",G262)),0)+IFERROR(--ISNUMBER(SEARCH("R47",G262)),0)+IFERROR(--ISNUMBER(SEARCH("R48",G262)),0)+IFERROR(--ISNUMBER(SEARCH("R50",G262)),0)+IFERROR(--ISNUMBER(SEARCH("R51",G262)),0)+IFERROR(--ISNUMBER(SEARCH("R56",G262)),0)+IFERROR(--ISNUMBER(SEARCH("R58",G262)),0)+IFERROR(--ISNUMBER(SEARCH("R59",G262)),0)+IFERROR(--ISNUMBER(SEARCH("R60",G262)),0)+IFERROR(--ISNUMBER(SEARCH("R62",G262)),0)+IFERROR(--ISNUMBER(SEARCH("R63",G262)),0)+IFERROR(--ISNUMBER(SEARCH("R64",G262)),0)+IFERROR(--ISNUMBER(SEARCH("R66",G262)),0)+IFERROR(--ISNUMBER(SEARCH("R67",G262)),0)+IFERROR(--ISNUMBER(SEARCH("R72",G262)),0)+IFERROR(--ISNUMBER(SEARCH("R74",G262)),0)+IFERROR(--ISNUMBER(SEARCH("R75",G262)),0)+IFERROR(--ISNUMBER(SEARCH("R76",G262)),0)+IFERROR(--ISNUMBER(SEARCH("R77",G262)),0)+IFERROR(--ISNUMBER(SEARCH("R79",G262)),0)+IFERROR(--ISNUMBER(SEARCH("R80",G262)),0)+IFERROR(--ISNUMBER(SEARCH("R81",G262)),0)+IFERROR(--ISNUMBER(SEARCH("R83",G262)),0)+IFERROR(--ISNUMBER(SEARCH("R84",G262)),0)+IFERROR(--ISNUMBER(SEARCH("R89",G262)),0)+IFERROR(--ISNUMBER(SEARCH("R94",G262)),0)+IFERROR(--ISNUMBER(SEARCH("R95",G262)),0)+IFERROR(--ISNUMBER(SEARCH("R96",G262)),0)+IFERROR(--ISNUMBER(SEARCH("R98",G262)),0)+IFERROR(--ISNUMBER(SEARCH("R99",G262)),0)+IFERROR(--ISNUMBER(SEARCH("R100",G262)),0)+IFERROR(--ISNUMBER(SEARCH("R104",G262)),0)+IFERROR(--ISNUMBER(SEARCH("R105",G262)),0)+IFERROR(--ISNUMBER(SEARCH("R107",G262)),0)+IFERROR(--ISNUMBER(SEARCH("R108",G262)),0)+IFERROR(--ISNUMBER(SEARCH("R109",G262)),0)+IFERROR(--ISNUMBER(SEARCH("R110",G262)),0)+IFERROR(--ISNUMBER(SEARCH("R112",G262)),0)+IFERROR(--ISNUMBER(SEARCH("R113",G262)),0)+IFERROR(--ISNUMBER(SEARCH("R114",G262)),0)+IFERROR(--ISNUMBER(SEARCH("R118",G262)),0)+IFERROR(--ISNUMBER(SEARCH("R119",G262)),0)+IFERROR(--ISNUMBER(SEARCH("R120",G262)),0)+IFERROR(--ISNUMBER(SEARCH("R122",G262)),0)+IFERROR(--ISNUMBER(SEARCH("R123",G262)),0)+IFERROR(--ISNUMBER(SEARCH("R124",G262)),0)+IFERROR(--ISNUMBER(SEARCH("R128",G262)),0)+IFERROR(--ISNUMBER(SEARCH("R130",G262)),0)+IFERROR(--ISNUMBER(SEARCH("R131",G262)),0)+IFERROR(--ISNUMBER(SEARCH("R132",G262)),0)+IFERROR(--ISNUMBER(SEARCH("R135",G262)),0)+IFERROR(--ISNUMBER(SEARCH("R138",G262)),0)+IFERROR(--ISNUMBER(SEARCH("R141",G262)),0))</f>
        <v/>
      </c>
      <c r="U262" s="58">
        <f>IF(A262="","",IFERROR(--ISNUMBER(SEARCH("R28",G262))*28,0)+IFERROR(--ISNUMBER(SEARCH("R29",G262))*29,0)+IFERROR(--ISNUMBER(SEARCH("R30",G262))*30,0)+IFERROR(--ISNUMBER(SEARCH("R31",G262))*31,0)+IFERROR(--ISNUMBER(SEARCH("R32",G262))*32,0)+IFERROR(--ISNUMBER(SEARCH("R33",G262))*33,0)+IFERROR(--ISNUMBER(SEARCH("R34",G262))*34,0)+IFERROR(--ISNUMBER(SEARCH("R35",G262))*35,0)+IFERROR(--ISNUMBER(SEARCH("R36",G262))*36,0)+IFERROR(--ISNUMBER(SEARCH("R37",G262))*37,0)+IFERROR(--ISNUMBER(SEARCH("R38",G262))*38,0)+IFERROR(--ISNUMBER(SEARCH("R39",G262))*39,0)+IFERROR(--ISNUMBER(SEARCH("R40",G262))*40,0)+IFERROR(--ISNUMBER(SEARCH("R41",G262))*41,0)+IFERROR(--ISNUMBER(SEARCH("R42",G262))*42,0)+IFERROR(--ISNUMBER(SEARCH("R43",G262))*43,0)+IFERROR(--ISNUMBER(SEARCH("R44",G262))*44,0)+IFERROR(--ISNUMBER(SEARCH("R45",G262))*45,0)+IFERROR(--ISNUMBER(SEARCH("R46",G262))*46,0)+IFERROR(--ISNUMBER(SEARCH("R47",G262))*47,0)+IFERROR(--ISNUMBER(SEARCH("R48",G262))*48,0)+IFERROR(--ISNUMBER(SEARCH("R49",G262))*49,0)+IFERROR(--ISNUMBER(SEARCH("R50",G262))*50,0)+IFERROR(--ISNUMBER(SEARCH("R51",G262))*51,0)+IFERROR(--ISNUMBER(SEARCH("R52",G262))*52,0)+IFERROR(--ISNUMBER(SEARCH("R53",G262))*53,0)+IFERROR(--ISNUMBER(SEARCH("R54",G262))*54,0)+IFERROR(--ISNUMBER(SEARCH("R55",G262))*55,0)+IFERROR(--ISNUMBER(SEARCH("R56",G262))*56,0)+IFERROR(--ISNUMBER(SEARCH("R57",G262))*57,0)+IFERROR(--ISNUMBER(SEARCH("R58",G262))*58,0)+IFERROR(--ISNUMBER(SEARCH("R59",G262))*59,0)+IFERROR(--ISNUMBER(SEARCH("R60",G262))*60,0)+IFERROR(--ISNUMBER(SEARCH("R61",G262))*61,0)+IFERROR(--ISNUMBER(SEARCH("R62",G262))*62,0)+IFERROR(--ISNUMBER(SEARCH("R63",G262))*63,0)+IFERROR(--ISNUMBER(SEARCH("R64",G262))*64,0)+IFERROR(--ISNUMBER(SEARCH("R65",G262))*65,0)+IFERROR(--ISNUMBER(SEARCH("R66",G262))*66,0)+IFERROR(--ISNUMBER(SEARCH("R67",G262))*67,0)+IFERROR(--ISNUMBER(SEARCH("R68",G262))*68,0)+IFERROR(--ISNUMBER(SEARCH("R69",G262))*69,0)+IFERROR(--ISNUMBER(SEARCH("R70",G262))*70,0)+IFERROR(--ISNUMBER(SEARCH("R71",G262))*71,0)+IFERROR(--ISNUMBER(SEARCH("R72",G262))*72,0)+IFERROR(--ISNUMBER(SEARCH("R73",G262))*73,0)+IFERROR(--ISNUMBER(SEARCH("R74",G262))*74,0)+IFERROR(--ISNUMBER(SEARCH("R75",G262))*75,0)+IFERROR(--ISNUMBER(SEARCH("R76",G262))*76,0)+IFERROR(--ISNUMBER(SEARCH("R77",G262))*77,0)+IFERROR(--ISNUMBER(SEARCH("R78",G262))*78,0)+IFERROR(--ISNUMBER(SEARCH("R79",G262))*79,0)+IFERROR(--ISNUMBER(SEARCH("R80",G262))*80,0)+IFERROR(--ISNUMBER(SEARCH("R81",G262))*81,0)+IFERROR(--ISNUMBER(SEARCH("R82",G262))*82,0)+IFERROR(--ISNUMBER(SEARCH("R83",G262))*83,0)+IFERROR(--ISNUMBER(SEARCH("R84",G262))*84,0)+IFERROR(--ISNUMBER(SEARCH("R85",G262))*85,0)+IFERROR(--ISNUMBER(SEARCH("R86",G262))*86,0)+IFERROR(--ISNUMBER(SEARCH("R87",G262))*87,0)+IFERROR(--ISNUMBER(SEARCH("R88",G262))*88,0)+IFERROR(--ISNUMBER(SEARCH("R89",G262))*89,0)+IFERROR(--ISNUMBER(SEARCH("R90",G262))*90,0)+IFERROR(--ISNUMBER(SEARCH("R91",G262))*91,0)+IFERROR(--ISNUMBER(SEARCH("R92",G262))*92,0)+IFERROR(--ISNUMBER(SEARCH("R93",G262))*93,0)+IFERROR(--ISNUMBER(SEARCH("R94",G262))*94,0)+IFERROR(--ISNUMBER(SEARCH("R95",G262))*95,0)+IFERROR(--ISNUMBER(SEARCH("R96",G262))*96,0)+IFERROR(--ISNUMBER(SEARCH("R97",G262))*97,0)+IFERROR(--ISNUMBER(SEARCH("R98",G262))*98,0)+IFERROR(--ISNUMBER(SEARCH("R99",G262))*99,0)+IFERROR(--ISNUMBER(SEARCH("R100",G262))*100,0)+IFERROR(--ISNUMBER(SEARCH("R101",G262))*101,0)+IFERROR(--ISNUMBER(SEARCH("R102",G262))*102,0)+IFERROR(--ISNUMBER(SEARCH("R103",G262))*103,0)+IFERROR(--ISNUMBER(SEARCH("R104",G262))*104,0)+IFERROR(--ISNUMBER(SEARCH("R105",G262))*105,0)+IFERROR(--ISNUMBER(SEARCH("R106",G262))*106,0)+IFERROR(--ISNUMBER(SEARCH("R107",G262))*107,0)+IFERROR(--ISNUMBER(SEARCH("R108",G262))*108,0)+IFERROR(--ISNUMBER(SEARCH("R109",G262))*109,0)+IFERROR(--ISNUMBER(SEARCH("R110",G262))*110,0)+IFERROR(--ISNUMBER(SEARCH("R111",G262))*111,0)+IFERROR(--ISNUMBER(SEARCH("R112",G262))*112,0)+IFERROR(--ISNUMBER(SEARCH("R113",G262))*113,0)+IFERROR(--ISNUMBER(SEARCH("R114",G262))*114,0)+IFERROR(--ISNUMBER(SEARCH("R115",G262))*115,0)+IFERROR(--ISNUMBER(SEARCH("R116",G262))*116,0)+IFERROR(--ISNUMBER(SEARCH("R117",G262))*117,0)+IFERROR(--ISNUMBER(SEARCH("R118",G262))*118,0)+IFERROR(--ISNUMBER(SEARCH("R119",G262))*119,0)+IFERROR(--ISNUMBER(SEARCH("R120",G262))*120,0)+IFERROR(--ISNUMBER(SEARCH("R121",G262))*121,0)+IFERROR(--ISNUMBER(SEARCH("R122",G262))*122,0)+IFERROR(--ISNUMBER(SEARCH("R123",G262))*123,0)+IFERROR(--ISNUMBER(SEARCH("R124",G262))*124,0)+IFERROR(--ISNUMBER(SEARCH("R125",G262))*125,0)+IFERROR(--ISNUMBER(SEARCH("R126",G262))*126,0)+IFERROR(--ISNUMBER(SEARCH("R127",G262))*127,0)+IFERROR(--ISNUMBER(SEARCH("R128",G262))*128,0)+IFERROR(--ISNUMBER(SEARCH("R129",G262))*129,0)+IFERROR(--ISNUMBER(SEARCH("R130",G262))*130,0)+IFERROR(--ISNUMBER(SEARCH("R131",G262))*131,0)+IFERROR(--ISNUMBER(SEARCH("R132",G262))*132,0)+IFERROR(--ISNUMBER(SEARCH("R133",G262))*133,0)+IFERROR(--ISNUMBER(SEARCH("R134",G262))*134,0)+IFERROR(--ISNUMBER(SEARCH("R135",G262))*135,0)+IFERROR(--ISNUMBER(SEARCH("R136",G262))*136,0)+IFERROR(--ISNUMBER(SEARCH("R137",G262))*137,0)+IFERROR(--ISNUMBER(SEARCH("R138",G262))*138,0)+IFERROR(--ISNUMBER(SEARCH("R139",G262))*139,0)+IFERROR(--ISNUMBER(SEARCH("R140",G262))*140,0)+IFERROR(--ISNUMBER(SEARCH("R141",G262))*141,0))</f>
        <v/>
      </c>
      <c r="V262" s="59">
        <f>IF(A262="","",IF(K262&lt;&gt;"",K262,J262))</f>
        <v/>
      </c>
      <c r="W262" s="59">
        <f>IF(A262="","",IF(AND(V262=29,O262&lt;&gt;"",COUNTIFS($V$6:$V$505,29,$F$6:$F$505,F262,$C$6:$C$505,C262,$O$6:$O$505,"&lt;&gt;")&gt;1),IF(COUNTIFS($V$6:V262,29,$F$6:F262,F262,$C$6:C262,C262,$O$6:O262,"&lt;&gt;")=1,"Esta es la fila que se debe CONSERVAR (aparición 1 de "&amp;COUNTIFS($V$6:$V$505,29,$F$6:$F$505,F262,$C$6:$C$505,C262,$O$6:$O$505,"&lt;&gt;")&amp;" con el mismo tercero y valor, casilla 29). Si hay más filas iguales, bórreles el valor a ELLAS, no a esta.","DUPLICADO — ya existe otra fila con el mismo tercero y valor para casilla 29 (aparición "&amp;COUNTIFS($V$6:V262,29,$F$6:F262,F262,$C$6:C262,C262,$O$6:O262,"&lt;&gt;")&amp;" de "&amp;COUNTIFS($V$6:$V$505,29,$F$6:$F$505,F262,$C$6:$C$505,C262,$O$6:$O$505,"&lt;&gt;")&amp;"). Para resolverlo: seleccione la celda O"&amp;ROW()&amp;" (columna Valor a declarar de ESTA fila) y presione Supr."),""))</f>
        <v/>
      </c>
      <c r="X262" s="463">
        <f>IF(A262="","",F262)</f>
        <v/>
      </c>
      <c r="Y262" s="463">
        <f>IF(A262="","",SUMIF(Entrada_Manual!$I$88:$I$187,A262,Entrada_Manual!$F$88:$F$187))</f>
        <v/>
      </c>
      <c r="Z262" s="463">
        <f>IF(A262="","",X262-Y262)</f>
        <v/>
      </c>
      <c r="AA262">
        <f>IF(A262="","",SUMPRODUCT((Entrada_Manual!$I$88:$I$187=A262)*1))</f>
        <v/>
      </c>
      <c r="AB262">
        <f>IF(A262="","",IF(S262&lt;=1,"",IF(AA262=0,"PENDIENTE — SIN ASIGNAR",IF(Z262=0,"RESUELTO","PARCIAL — DIFERENCIA "&amp;TEXT(Z262,"#,##0")))))</f>
        <v/>
      </c>
    </row>
    <row r="263" ht="14.25" customHeight="1" s="235">
      <c r="A263" s="47">
        <f>IF(Exogena_RAW!E272&lt;&gt;"",ROW()-5,"")</f>
        <v/>
      </c>
      <c r="B263" s="48">
        <f>IF(A263="","",272)</f>
        <v/>
      </c>
      <c r="C263" s="48">
        <f>IF(A263="","",IFERROR(Exogena_RAW!A272,""))</f>
        <v/>
      </c>
      <c r="D263" s="48">
        <f>IF(A263="","",IFERROR(Exogena_RAW!B272,""))</f>
        <v/>
      </c>
      <c r="E263" s="48">
        <f>IF(A263="","",Exogena_RAW!E272)</f>
        <v/>
      </c>
      <c r="F263" s="461">
        <f>IF(A263="","",Exogena_RAW!F272)</f>
        <v/>
      </c>
      <c r="G263" s="48">
        <f>IF(A263="","",IFERROR(Exogena_RAW!G272,""))</f>
        <v/>
      </c>
      <c r="H263" s="48">
        <f>IF(A263="","",IFERROR(Exogena_RAW!H272,""))</f>
        <v/>
      </c>
      <c r="I263" s="48">
        <f>IF(A263="","",IFERROR(IF(S263&gt;1,"VARIAS CASILLAS",IF(S263=1,IF(T263=1,"PROPUESTA DE CASILLA","REVISIÓN: CASILLA NO DIRECTA"),IF(OR(ISNUMBER(SEARCH("TOPE",UPPER(E263))),ISNUMBER(SEARCH("TOPE",UPPER(G263)))),"SOLO CONTROL",IF(ISNUMBER(SEARCH("RETEN",UPPER(E263))),"RETENCIÓN","REVISAR")))),"REVISAR"))</f>
        <v/>
      </c>
      <c r="J263" s="48">
        <f>IF(A263="","",IF(ISNUMBER(SEARCH("ingreso laboral promedio de los últimos seis meses",E263)),"",IFERROR(IF(AND(S263=1,T263=1),U263,""),"")))</f>
        <v/>
      </c>
      <c r="K263" s="216" t="n"/>
      <c r="L263" s="48">
        <f>IF(A263="","",IFERROR(IF(K263&lt;&gt;"","Casilla elegida por usuario",IF(S263&gt;1,"Varias casillas — elegir en K",IF(J263&lt;&gt;"","Sugerencia directa",IF(S263=1,"No trasladar directo — revisar",IF(OR(ISNUMBER(SEARCH("TOPE",UPPER(E263))),ISNUMBER(SEARCH("TOPE",UPPER(G263)))),"Solo control","Revisar manualmente"))))),"Revisar manualmente"))</f>
        <v/>
      </c>
      <c r="M263" s="461">
        <f>IF(A263="","",IF(IF(K263&lt;&gt;"",K263,J263)="",0,IF(COUNTIFS(Reglas!$I$5:$I$118,IF(K263&lt;&gt;"",K263,J263),Reglas!$J$5:$J$118,"Sí")=1,F263,0)))</f>
        <v/>
      </c>
      <c r="N263" s="56" t="n"/>
      <c r="O263" s="462">
        <f>IF(A263="","",IF(M263=0,"",M263))</f>
        <v/>
      </c>
      <c r="P263" s="461">
        <f>IF(A263="","",IF(O263="",0,IF(ISNUMBER(O263),O263,0)))</f>
        <v/>
      </c>
      <c r="Q263" s="48">
        <f>IF(A263="","",IF(Exogena_RAW!$C$4="","BLOQUEADO: FALTA AÑO",IF(Exogena_RAW!$K$10&lt;&gt;Reglas!$B$5,"BLOQUEADO: AÑO",IF(IF(K263&lt;&gt;"",K263,J263)="",IF(S263&gt;1,"REQUIERE ASIGNACIÓN MANUAL (VARIAS CASILLAS)","INFORMATIVO (sin casilla — no se declara)"),IF(COUNTIFS(Reglas!$I$5:$I$118,IF(K263&lt;&gt;"",K263,J263),Reglas!$J$5:$J$118,"Sí")=0,"BLOQUEADO: CASILLA NO DIRECTA",IF(O263="","EXCLUIDO (valor borrado por el usuario)",IF(_xlfn.ISFORMULA(O263),IF(W263&lt;&gt;"","BORRADOR — VALOR SUGERIDO DIAN ⚠ VER ALERTA","BORRADOR — VALOR SUGERIDO DIAN"),IF(W263&lt;&gt;"","ACEPTADO ⚠ VER ALERTA","ACEPTADO"))))))))</f>
        <v/>
      </c>
      <c r="R263" s="218" t="n"/>
      <c r="S263" s="58">
        <f>IF(A263="","",IFERROR(--ISNUMBER(SEARCH("R28",G263)),0)+IFERROR(--ISNUMBER(SEARCH("R29",G263)),0)+IFERROR(--ISNUMBER(SEARCH("R30",G263)),0)+IFERROR(--ISNUMBER(SEARCH("R31",G263)),0)+IFERROR(--ISNUMBER(SEARCH("R32",G263)),0)+IFERROR(--ISNUMBER(SEARCH("R33",G263)),0)+IFERROR(--ISNUMBER(SEARCH("R34",G263)),0)+IFERROR(--ISNUMBER(SEARCH("R35",G263)),0)+IFERROR(--ISNUMBER(SEARCH("R36",G263)),0)+IFERROR(--ISNUMBER(SEARCH("R37",G263)),0)+IFERROR(--ISNUMBER(SEARCH("R38",G263)),0)+IFERROR(--ISNUMBER(SEARCH("R39",G263)),0)+IFERROR(--ISNUMBER(SEARCH("R40",G263)),0)+IFERROR(--ISNUMBER(SEARCH("R41",G263)),0)+IFERROR(--ISNUMBER(SEARCH("R42",G263)),0)+IFERROR(--ISNUMBER(SEARCH("R43",G263)),0)+IFERROR(--ISNUMBER(SEARCH("R44",G263)),0)+IFERROR(--ISNUMBER(SEARCH("R45",G263)),0)+IFERROR(--ISNUMBER(SEARCH("R46",G263)),0)+IFERROR(--ISNUMBER(SEARCH("R47",G263)),0)+IFERROR(--ISNUMBER(SEARCH("R48",G263)),0)+IFERROR(--ISNUMBER(SEARCH("R49",G263)),0)+IFERROR(--ISNUMBER(SEARCH("R50",G263)),0)+IFERROR(--ISNUMBER(SEARCH("R51",G263)),0)+IFERROR(--ISNUMBER(SEARCH("R52",G263)),0)+IFERROR(--ISNUMBER(SEARCH("R53",G263)),0)+IFERROR(--ISNUMBER(SEARCH("R54",G263)),0)+IFERROR(--ISNUMBER(SEARCH("R55",G263)),0)+IFERROR(--ISNUMBER(SEARCH("R56",G263)),0)+IFERROR(--ISNUMBER(SEARCH("R57",G263)),0)+IFERROR(--ISNUMBER(SEARCH("R58",G263)),0)+IFERROR(--ISNUMBER(SEARCH("R59",G263)),0)+IFERROR(--ISNUMBER(SEARCH("R60",G263)),0)+IFERROR(--ISNUMBER(SEARCH("R61",G263)),0)+IFERROR(--ISNUMBER(SEARCH("R62",G263)),0)+IFERROR(--ISNUMBER(SEARCH("R63",G263)),0)+IFERROR(--ISNUMBER(SEARCH("R64",G263)),0)+IFERROR(--ISNUMBER(SEARCH("R65",G263)),0)+IFERROR(--ISNUMBER(SEARCH("R66",G263)),0)+IFERROR(--ISNUMBER(SEARCH("R67",G263)),0)+IFERROR(--ISNUMBER(SEARCH("R68",G263)),0)+IFERROR(--ISNUMBER(SEARCH("R69",G263)),0)+IFERROR(--ISNUMBER(SEARCH("R70",G263)),0)+IFERROR(--ISNUMBER(SEARCH("R71",G263)),0)+IFERROR(--ISNUMBER(SEARCH("R72",G263)),0)+IFERROR(--ISNUMBER(SEARCH("R73",G263)),0)+IFERROR(--ISNUMBER(SEARCH("R74",G263)),0)+IFERROR(--ISNUMBER(SEARCH("R75",G263)),0)+IFERROR(--ISNUMBER(SEARCH("R76",G263)),0)+IFERROR(--ISNUMBER(SEARCH("R77",G263)),0)+IFERROR(--ISNUMBER(SEARCH("R78",G263)),0)+IFERROR(--ISNUMBER(SEARCH("R79",G263)),0)+IFERROR(--ISNUMBER(SEARCH("R80",G263)),0)+IFERROR(--ISNUMBER(SEARCH("R81",G263)),0)+IFERROR(--ISNUMBER(SEARCH("R82",G263)),0)+IFERROR(--ISNUMBER(SEARCH("R83",G263)),0)+IFERROR(--ISNUMBER(SEARCH("R84",G263)),0)+IFERROR(--ISNUMBER(SEARCH("R85",G263)),0)+IFERROR(--ISNUMBER(SEARCH("R86",G263)),0)+IFERROR(--ISNUMBER(SEARCH("R87",G263)),0)+IFERROR(--ISNUMBER(SEARCH("R88",G263)),0)+IFERROR(--ISNUMBER(SEARCH("R89",G263)),0)+IFERROR(--ISNUMBER(SEARCH("R90",G263)),0)+IFERROR(--ISNUMBER(SEARCH("R91",G263)),0)+IFERROR(--ISNUMBER(SEARCH("R92",G263)),0)+IFERROR(--ISNUMBER(SEARCH("R93",G263)),0)+IFERROR(--ISNUMBER(SEARCH("R94",G263)),0)+IFERROR(--ISNUMBER(SEARCH("R95",G263)),0)+IFERROR(--ISNUMBER(SEARCH("R96",G263)),0)+IFERROR(--ISNUMBER(SEARCH("R97",G263)),0)+IFERROR(--ISNUMBER(SEARCH("R98",G263)),0)+IFERROR(--ISNUMBER(SEARCH("R99",G263)),0)+IFERROR(--ISNUMBER(SEARCH("R100",G263)),0)+IFERROR(--ISNUMBER(SEARCH("R101",G263)),0)+IFERROR(--ISNUMBER(SEARCH("R102",G263)),0)+IFERROR(--ISNUMBER(SEARCH("R103",G263)),0)+IFERROR(--ISNUMBER(SEARCH("R104",G263)),0)+IFERROR(--ISNUMBER(SEARCH("R105",G263)),0)+IFERROR(--ISNUMBER(SEARCH("R106",G263)),0)+IFERROR(--ISNUMBER(SEARCH("R107",G263)),0)+IFERROR(--ISNUMBER(SEARCH("R108",G263)),0)+IFERROR(--ISNUMBER(SEARCH("R109",G263)),0)+IFERROR(--ISNUMBER(SEARCH("R110",G263)),0)+IFERROR(--ISNUMBER(SEARCH("R111",G263)),0)+IFERROR(--ISNUMBER(SEARCH("R112",G263)),0)+IFERROR(--ISNUMBER(SEARCH("R113",G263)),0)+IFERROR(--ISNUMBER(SEARCH("R114",G263)),0)+IFERROR(--ISNUMBER(SEARCH("R115",G263)),0)+IFERROR(--ISNUMBER(SEARCH("R116",G263)),0)+IFERROR(--ISNUMBER(SEARCH("R117",G263)),0)+IFERROR(--ISNUMBER(SEARCH("R118",G263)),0)+IFERROR(--ISNUMBER(SEARCH("R119",G263)),0)+IFERROR(--ISNUMBER(SEARCH("R120",G263)),0)+IFERROR(--ISNUMBER(SEARCH("R121",G263)),0)+IFERROR(--ISNUMBER(SEARCH("R122",G263)),0)+IFERROR(--ISNUMBER(SEARCH("R123",G263)),0)+IFERROR(--ISNUMBER(SEARCH("R124",G263)),0)+IFERROR(--ISNUMBER(SEARCH("R125",G263)),0)+IFERROR(--ISNUMBER(SEARCH("R126",G263)),0)+IFERROR(--ISNUMBER(SEARCH("R127",G263)),0)+IFERROR(--ISNUMBER(SEARCH("R128",G263)),0)+IFERROR(--ISNUMBER(SEARCH("R129",G263)),0)+IFERROR(--ISNUMBER(SEARCH("R130",G263)),0)+IFERROR(--ISNUMBER(SEARCH("R131",G263)),0)+IFERROR(--ISNUMBER(SEARCH("R132",G263)),0)+IFERROR(--ISNUMBER(SEARCH("R133",G263)),0)+IFERROR(--ISNUMBER(SEARCH("R134",G263)),0)+IFERROR(--ISNUMBER(SEARCH("R135",G263)),0)+IFERROR(--ISNUMBER(SEARCH("R136",G263)),0)+IFERROR(--ISNUMBER(SEARCH("R137",G263)),0)+IFERROR(--ISNUMBER(SEARCH("R138",G263)),0)+IFERROR(--ISNUMBER(SEARCH("R139",G263)),0)+IFERROR(--ISNUMBER(SEARCH("R140",G263)),0)+IFERROR(--ISNUMBER(SEARCH("R141",G263)),0))</f>
        <v/>
      </c>
      <c r="T263" s="58">
        <f>IF(A263="","",IFERROR(--ISNUMBER(SEARCH("R28",G263)),0)+IFERROR(--ISNUMBER(SEARCH("R29",G263)),0)+IFERROR(--ISNUMBER(SEARCH("R30",G263)),0)+IFERROR(--ISNUMBER(SEARCH("R32",G263)),0)+IFERROR(--ISNUMBER(SEARCH("R33",G263)),0)+IFERROR(--ISNUMBER(SEARCH("R35",G263)),0)+IFERROR(--ISNUMBER(SEARCH("R36",G263)),0)+IFERROR(--ISNUMBER(SEARCH("R38",G263)),0)+IFERROR(--ISNUMBER(SEARCH("R39",G263)),0)+IFERROR(--ISNUMBER(SEARCH("R43",G263)),0)+IFERROR(--ISNUMBER(SEARCH("R44",G263)),0)+IFERROR(--ISNUMBER(SEARCH("R45",G263)),0)+IFERROR(--ISNUMBER(SEARCH("R47",G263)),0)+IFERROR(--ISNUMBER(SEARCH("R48",G263)),0)+IFERROR(--ISNUMBER(SEARCH("R50",G263)),0)+IFERROR(--ISNUMBER(SEARCH("R51",G263)),0)+IFERROR(--ISNUMBER(SEARCH("R56",G263)),0)+IFERROR(--ISNUMBER(SEARCH("R58",G263)),0)+IFERROR(--ISNUMBER(SEARCH("R59",G263)),0)+IFERROR(--ISNUMBER(SEARCH("R60",G263)),0)+IFERROR(--ISNUMBER(SEARCH("R62",G263)),0)+IFERROR(--ISNUMBER(SEARCH("R63",G263)),0)+IFERROR(--ISNUMBER(SEARCH("R64",G263)),0)+IFERROR(--ISNUMBER(SEARCH("R66",G263)),0)+IFERROR(--ISNUMBER(SEARCH("R67",G263)),0)+IFERROR(--ISNUMBER(SEARCH("R72",G263)),0)+IFERROR(--ISNUMBER(SEARCH("R74",G263)),0)+IFERROR(--ISNUMBER(SEARCH("R75",G263)),0)+IFERROR(--ISNUMBER(SEARCH("R76",G263)),0)+IFERROR(--ISNUMBER(SEARCH("R77",G263)),0)+IFERROR(--ISNUMBER(SEARCH("R79",G263)),0)+IFERROR(--ISNUMBER(SEARCH("R80",G263)),0)+IFERROR(--ISNUMBER(SEARCH("R81",G263)),0)+IFERROR(--ISNUMBER(SEARCH("R83",G263)),0)+IFERROR(--ISNUMBER(SEARCH("R84",G263)),0)+IFERROR(--ISNUMBER(SEARCH("R89",G263)),0)+IFERROR(--ISNUMBER(SEARCH("R94",G263)),0)+IFERROR(--ISNUMBER(SEARCH("R95",G263)),0)+IFERROR(--ISNUMBER(SEARCH("R96",G263)),0)+IFERROR(--ISNUMBER(SEARCH("R98",G263)),0)+IFERROR(--ISNUMBER(SEARCH("R99",G263)),0)+IFERROR(--ISNUMBER(SEARCH("R100",G263)),0)+IFERROR(--ISNUMBER(SEARCH("R104",G263)),0)+IFERROR(--ISNUMBER(SEARCH("R105",G263)),0)+IFERROR(--ISNUMBER(SEARCH("R107",G263)),0)+IFERROR(--ISNUMBER(SEARCH("R108",G263)),0)+IFERROR(--ISNUMBER(SEARCH("R109",G263)),0)+IFERROR(--ISNUMBER(SEARCH("R110",G263)),0)+IFERROR(--ISNUMBER(SEARCH("R112",G263)),0)+IFERROR(--ISNUMBER(SEARCH("R113",G263)),0)+IFERROR(--ISNUMBER(SEARCH("R114",G263)),0)+IFERROR(--ISNUMBER(SEARCH("R118",G263)),0)+IFERROR(--ISNUMBER(SEARCH("R119",G263)),0)+IFERROR(--ISNUMBER(SEARCH("R120",G263)),0)+IFERROR(--ISNUMBER(SEARCH("R122",G263)),0)+IFERROR(--ISNUMBER(SEARCH("R123",G263)),0)+IFERROR(--ISNUMBER(SEARCH("R124",G263)),0)+IFERROR(--ISNUMBER(SEARCH("R128",G263)),0)+IFERROR(--ISNUMBER(SEARCH("R130",G263)),0)+IFERROR(--ISNUMBER(SEARCH("R131",G263)),0)+IFERROR(--ISNUMBER(SEARCH("R132",G263)),0)+IFERROR(--ISNUMBER(SEARCH("R135",G263)),0)+IFERROR(--ISNUMBER(SEARCH("R138",G263)),0)+IFERROR(--ISNUMBER(SEARCH("R141",G263)),0))</f>
        <v/>
      </c>
      <c r="U263" s="58">
        <f>IF(A263="","",IFERROR(--ISNUMBER(SEARCH("R28",G263))*28,0)+IFERROR(--ISNUMBER(SEARCH("R29",G263))*29,0)+IFERROR(--ISNUMBER(SEARCH("R30",G263))*30,0)+IFERROR(--ISNUMBER(SEARCH("R31",G263))*31,0)+IFERROR(--ISNUMBER(SEARCH("R32",G263))*32,0)+IFERROR(--ISNUMBER(SEARCH("R33",G263))*33,0)+IFERROR(--ISNUMBER(SEARCH("R34",G263))*34,0)+IFERROR(--ISNUMBER(SEARCH("R35",G263))*35,0)+IFERROR(--ISNUMBER(SEARCH("R36",G263))*36,0)+IFERROR(--ISNUMBER(SEARCH("R37",G263))*37,0)+IFERROR(--ISNUMBER(SEARCH("R38",G263))*38,0)+IFERROR(--ISNUMBER(SEARCH("R39",G263))*39,0)+IFERROR(--ISNUMBER(SEARCH("R40",G263))*40,0)+IFERROR(--ISNUMBER(SEARCH("R41",G263))*41,0)+IFERROR(--ISNUMBER(SEARCH("R42",G263))*42,0)+IFERROR(--ISNUMBER(SEARCH("R43",G263))*43,0)+IFERROR(--ISNUMBER(SEARCH("R44",G263))*44,0)+IFERROR(--ISNUMBER(SEARCH("R45",G263))*45,0)+IFERROR(--ISNUMBER(SEARCH("R46",G263))*46,0)+IFERROR(--ISNUMBER(SEARCH("R47",G263))*47,0)+IFERROR(--ISNUMBER(SEARCH("R48",G263))*48,0)+IFERROR(--ISNUMBER(SEARCH("R49",G263))*49,0)+IFERROR(--ISNUMBER(SEARCH("R50",G263))*50,0)+IFERROR(--ISNUMBER(SEARCH("R51",G263))*51,0)+IFERROR(--ISNUMBER(SEARCH("R52",G263))*52,0)+IFERROR(--ISNUMBER(SEARCH("R53",G263))*53,0)+IFERROR(--ISNUMBER(SEARCH("R54",G263))*54,0)+IFERROR(--ISNUMBER(SEARCH("R55",G263))*55,0)+IFERROR(--ISNUMBER(SEARCH("R56",G263))*56,0)+IFERROR(--ISNUMBER(SEARCH("R57",G263))*57,0)+IFERROR(--ISNUMBER(SEARCH("R58",G263))*58,0)+IFERROR(--ISNUMBER(SEARCH("R59",G263))*59,0)+IFERROR(--ISNUMBER(SEARCH("R60",G263))*60,0)+IFERROR(--ISNUMBER(SEARCH("R61",G263))*61,0)+IFERROR(--ISNUMBER(SEARCH("R62",G263))*62,0)+IFERROR(--ISNUMBER(SEARCH("R63",G263))*63,0)+IFERROR(--ISNUMBER(SEARCH("R64",G263))*64,0)+IFERROR(--ISNUMBER(SEARCH("R65",G263))*65,0)+IFERROR(--ISNUMBER(SEARCH("R66",G263))*66,0)+IFERROR(--ISNUMBER(SEARCH("R67",G263))*67,0)+IFERROR(--ISNUMBER(SEARCH("R68",G263))*68,0)+IFERROR(--ISNUMBER(SEARCH("R69",G263))*69,0)+IFERROR(--ISNUMBER(SEARCH("R70",G263))*70,0)+IFERROR(--ISNUMBER(SEARCH("R71",G263))*71,0)+IFERROR(--ISNUMBER(SEARCH("R72",G263))*72,0)+IFERROR(--ISNUMBER(SEARCH("R73",G263))*73,0)+IFERROR(--ISNUMBER(SEARCH("R74",G263))*74,0)+IFERROR(--ISNUMBER(SEARCH("R75",G263))*75,0)+IFERROR(--ISNUMBER(SEARCH("R76",G263))*76,0)+IFERROR(--ISNUMBER(SEARCH("R77",G263))*77,0)+IFERROR(--ISNUMBER(SEARCH("R78",G263))*78,0)+IFERROR(--ISNUMBER(SEARCH("R79",G263))*79,0)+IFERROR(--ISNUMBER(SEARCH("R80",G263))*80,0)+IFERROR(--ISNUMBER(SEARCH("R81",G263))*81,0)+IFERROR(--ISNUMBER(SEARCH("R82",G263))*82,0)+IFERROR(--ISNUMBER(SEARCH("R83",G263))*83,0)+IFERROR(--ISNUMBER(SEARCH("R84",G263))*84,0)+IFERROR(--ISNUMBER(SEARCH("R85",G263))*85,0)+IFERROR(--ISNUMBER(SEARCH("R86",G263))*86,0)+IFERROR(--ISNUMBER(SEARCH("R87",G263))*87,0)+IFERROR(--ISNUMBER(SEARCH("R88",G263))*88,0)+IFERROR(--ISNUMBER(SEARCH("R89",G263))*89,0)+IFERROR(--ISNUMBER(SEARCH("R90",G263))*90,0)+IFERROR(--ISNUMBER(SEARCH("R91",G263))*91,0)+IFERROR(--ISNUMBER(SEARCH("R92",G263))*92,0)+IFERROR(--ISNUMBER(SEARCH("R93",G263))*93,0)+IFERROR(--ISNUMBER(SEARCH("R94",G263))*94,0)+IFERROR(--ISNUMBER(SEARCH("R95",G263))*95,0)+IFERROR(--ISNUMBER(SEARCH("R96",G263))*96,0)+IFERROR(--ISNUMBER(SEARCH("R97",G263))*97,0)+IFERROR(--ISNUMBER(SEARCH("R98",G263))*98,0)+IFERROR(--ISNUMBER(SEARCH("R99",G263))*99,0)+IFERROR(--ISNUMBER(SEARCH("R100",G263))*100,0)+IFERROR(--ISNUMBER(SEARCH("R101",G263))*101,0)+IFERROR(--ISNUMBER(SEARCH("R102",G263))*102,0)+IFERROR(--ISNUMBER(SEARCH("R103",G263))*103,0)+IFERROR(--ISNUMBER(SEARCH("R104",G263))*104,0)+IFERROR(--ISNUMBER(SEARCH("R105",G263))*105,0)+IFERROR(--ISNUMBER(SEARCH("R106",G263))*106,0)+IFERROR(--ISNUMBER(SEARCH("R107",G263))*107,0)+IFERROR(--ISNUMBER(SEARCH("R108",G263))*108,0)+IFERROR(--ISNUMBER(SEARCH("R109",G263))*109,0)+IFERROR(--ISNUMBER(SEARCH("R110",G263))*110,0)+IFERROR(--ISNUMBER(SEARCH("R111",G263))*111,0)+IFERROR(--ISNUMBER(SEARCH("R112",G263))*112,0)+IFERROR(--ISNUMBER(SEARCH("R113",G263))*113,0)+IFERROR(--ISNUMBER(SEARCH("R114",G263))*114,0)+IFERROR(--ISNUMBER(SEARCH("R115",G263))*115,0)+IFERROR(--ISNUMBER(SEARCH("R116",G263))*116,0)+IFERROR(--ISNUMBER(SEARCH("R117",G263))*117,0)+IFERROR(--ISNUMBER(SEARCH("R118",G263))*118,0)+IFERROR(--ISNUMBER(SEARCH("R119",G263))*119,0)+IFERROR(--ISNUMBER(SEARCH("R120",G263))*120,0)+IFERROR(--ISNUMBER(SEARCH("R121",G263))*121,0)+IFERROR(--ISNUMBER(SEARCH("R122",G263))*122,0)+IFERROR(--ISNUMBER(SEARCH("R123",G263))*123,0)+IFERROR(--ISNUMBER(SEARCH("R124",G263))*124,0)+IFERROR(--ISNUMBER(SEARCH("R125",G263))*125,0)+IFERROR(--ISNUMBER(SEARCH("R126",G263))*126,0)+IFERROR(--ISNUMBER(SEARCH("R127",G263))*127,0)+IFERROR(--ISNUMBER(SEARCH("R128",G263))*128,0)+IFERROR(--ISNUMBER(SEARCH("R129",G263))*129,0)+IFERROR(--ISNUMBER(SEARCH("R130",G263))*130,0)+IFERROR(--ISNUMBER(SEARCH("R131",G263))*131,0)+IFERROR(--ISNUMBER(SEARCH("R132",G263))*132,0)+IFERROR(--ISNUMBER(SEARCH("R133",G263))*133,0)+IFERROR(--ISNUMBER(SEARCH("R134",G263))*134,0)+IFERROR(--ISNUMBER(SEARCH("R135",G263))*135,0)+IFERROR(--ISNUMBER(SEARCH("R136",G263))*136,0)+IFERROR(--ISNUMBER(SEARCH("R137",G263))*137,0)+IFERROR(--ISNUMBER(SEARCH("R138",G263))*138,0)+IFERROR(--ISNUMBER(SEARCH("R139",G263))*139,0)+IFERROR(--ISNUMBER(SEARCH("R140",G263))*140,0)+IFERROR(--ISNUMBER(SEARCH("R141",G263))*141,0))</f>
        <v/>
      </c>
      <c r="V263" s="59">
        <f>IF(A263="","",IF(K263&lt;&gt;"",K263,J263))</f>
        <v/>
      </c>
      <c r="W263" s="59">
        <f>IF(A263="","",IF(AND(V263=29,O263&lt;&gt;"",COUNTIFS($V$6:$V$505,29,$F$6:$F$505,F263,$C$6:$C$505,C263,$O$6:$O$505,"&lt;&gt;")&gt;1),IF(COUNTIFS($V$6:V263,29,$F$6:F263,F263,$C$6:C263,C263,$O$6:O263,"&lt;&gt;")=1,"Esta es la fila que se debe CONSERVAR (aparición 1 de "&amp;COUNTIFS($V$6:$V$505,29,$F$6:$F$505,F263,$C$6:$C$505,C263,$O$6:$O$505,"&lt;&gt;")&amp;" con el mismo tercero y valor, casilla 29). Si hay más filas iguales, bórreles el valor a ELLAS, no a esta.","DUPLICADO — ya existe otra fila con el mismo tercero y valor para casilla 29 (aparición "&amp;COUNTIFS($V$6:V263,29,$F$6:F263,F263,$C$6:C263,C263,$O$6:O263,"&lt;&gt;")&amp;" de "&amp;COUNTIFS($V$6:$V$505,29,$F$6:$F$505,F263,$C$6:$C$505,C263,$O$6:$O$505,"&lt;&gt;")&amp;"). Para resolverlo: seleccione la celda O"&amp;ROW()&amp;" (columna Valor a declarar de ESTA fila) y presione Supr."),""))</f>
        <v/>
      </c>
      <c r="X263" s="463">
        <f>IF(A263="","",F263)</f>
        <v/>
      </c>
      <c r="Y263" s="463">
        <f>IF(A263="","",SUMIF(Entrada_Manual!$I$88:$I$187,A263,Entrada_Manual!$F$88:$F$187))</f>
        <v/>
      </c>
      <c r="Z263" s="463">
        <f>IF(A263="","",X263-Y263)</f>
        <v/>
      </c>
      <c r="AA263">
        <f>IF(A263="","",SUMPRODUCT((Entrada_Manual!$I$88:$I$187=A263)*1))</f>
        <v/>
      </c>
      <c r="AB263">
        <f>IF(A263="","",IF(S263&lt;=1,"",IF(AA263=0,"PENDIENTE — SIN ASIGNAR",IF(Z263=0,"RESUELTO","PARCIAL — DIFERENCIA "&amp;TEXT(Z263,"#,##0")))))</f>
        <v/>
      </c>
    </row>
    <row r="264" ht="14.25" customHeight="1" s="235">
      <c r="A264" s="47">
        <f>IF(Exogena_RAW!E273&lt;&gt;"",ROW()-5,"")</f>
        <v/>
      </c>
      <c r="B264" s="48">
        <f>IF(A264="","",273)</f>
        <v/>
      </c>
      <c r="C264" s="48">
        <f>IF(A264="","",IFERROR(Exogena_RAW!A273,""))</f>
        <v/>
      </c>
      <c r="D264" s="48">
        <f>IF(A264="","",IFERROR(Exogena_RAW!B273,""))</f>
        <v/>
      </c>
      <c r="E264" s="48">
        <f>IF(A264="","",Exogena_RAW!E273)</f>
        <v/>
      </c>
      <c r="F264" s="461">
        <f>IF(A264="","",Exogena_RAW!F273)</f>
        <v/>
      </c>
      <c r="G264" s="48">
        <f>IF(A264="","",IFERROR(Exogena_RAW!G273,""))</f>
        <v/>
      </c>
      <c r="H264" s="48">
        <f>IF(A264="","",IFERROR(Exogena_RAW!H273,""))</f>
        <v/>
      </c>
      <c r="I264" s="48">
        <f>IF(A264="","",IFERROR(IF(S264&gt;1,"VARIAS CASILLAS",IF(S264=1,IF(T264=1,"PROPUESTA DE CASILLA","REVISIÓN: CASILLA NO DIRECTA"),IF(OR(ISNUMBER(SEARCH("TOPE",UPPER(E264))),ISNUMBER(SEARCH("TOPE",UPPER(G264)))),"SOLO CONTROL",IF(ISNUMBER(SEARCH("RETEN",UPPER(E264))),"RETENCIÓN","REVISAR")))),"REVISAR"))</f>
        <v/>
      </c>
      <c r="J264" s="48">
        <f>IF(A264="","",IF(ISNUMBER(SEARCH("ingreso laboral promedio de los últimos seis meses",E264)),"",IFERROR(IF(AND(S264=1,T264=1),U264,""),"")))</f>
        <v/>
      </c>
      <c r="K264" s="216" t="n"/>
      <c r="L264" s="48">
        <f>IF(A264="","",IFERROR(IF(K264&lt;&gt;"","Casilla elegida por usuario",IF(S264&gt;1,"Varias casillas — elegir en K",IF(J264&lt;&gt;"","Sugerencia directa",IF(S264=1,"No trasladar directo — revisar",IF(OR(ISNUMBER(SEARCH("TOPE",UPPER(E264))),ISNUMBER(SEARCH("TOPE",UPPER(G264)))),"Solo control","Revisar manualmente"))))),"Revisar manualmente"))</f>
        <v/>
      </c>
      <c r="M264" s="461">
        <f>IF(A264="","",IF(IF(K264&lt;&gt;"",K264,J264)="",0,IF(COUNTIFS(Reglas!$I$5:$I$118,IF(K264&lt;&gt;"",K264,J264),Reglas!$J$5:$J$118,"Sí")=1,F264,0)))</f>
        <v/>
      </c>
      <c r="N264" s="56" t="n"/>
      <c r="O264" s="462">
        <f>IF(A264="","",IF(M264=0,"",M264))</f>
        <v/>
      </c>
      <c r="P264" s="461">
        <f>IF(A264="","",IF(O264="",0,IF(ISNUMBER(O264),O264,0)))</f>
        <v/>
      </c>
      <c r="Q264" s="48">
        <f>IF(A264="","",IF(Exogena_RAW!$C$4="","BLOQUEADO: FALTA AÑO",IF(Exogena_RAW!$K$10&lt;&gt;Reglas!$B$5,"BLOQUEADO: AÑO",IF(IF(K264&lt;&gt;"",K264,J264)="",IF(S264&gt;1,"REQUIERE ASIGNACIÓN MANUAL (VARIAS CASILLAS)","INFORMATIVO (sin casilla — no se declara)"),IF(COUNTIFS(Reglas!$I$5:$I$118,IF(K264&lt;&gt;"",K264,J264),Reglas!$J$5:$J$118,"Sí")=0,"BLOQUEADO: CASILLA NO DIRECTA",IF(O264="","EXCLUIDO (valor borrado por el usuario)",IF(_xlfn.ISFORMULA(O264),IF(W264&lt;&gt;"","BORRADOR — VALOR SUGERIDO DIAN ⚠ VER ALERTA","BORRADOR — VALOR SUGERIDO DIAN"),IF(W264&lt;&gt;"","ACEPTADO ⚠ VER ALERTA","ACEPTADO"))))))))</f>
        <v/>
      </c>
      <c r="R264" s="218" t="n"/>
      <c r="S264" s="58">
        <f>IF(A264="","",IFERROR(--ISNUMBER(SEARCH("R28",G264)),0)+IFERROR(--ISNUMBER(SEARCH("R29",G264)),0)+IFERROR(--ISNUMBER(SEARCH("R30",G264)),0)+IFERROR(--ISNUMBER(SEARCH("R31",G264)),0)+IFERROR(--ISNUMBER(SEARCH("R32",G264)),0)+IFERROR(--ISNUMBER(SEARCH("R33",G264)),0)+IFERROR(--ISNUMBER(SEARCH("R34",G264)),0)+IFERROR(--ISNUMBER(SEARCH("R35",G264)),0)+IFERROR(--ISNUMBER(SEARCH("R36",G264)),0)+IFERROR(--ISNUMBER(SEARCH("R37",G264)),0)+IFERROR(--ISNUMBER(SEARCH("R38",G264)),0)+IFERROR(--ISNUMBER(SEARCH("R39",G264)),0)+IFERROR(--ISNUMBER(SEARCH("R40",G264)),0)+IFERROR(--ISNUMBER(SEARCH("R41",G264)),0)+IFERROR(--ISNUMBER(SEARCH("R42",G264)),0)+IFERROR(--ISNUMBER(SEARCH("R43",G264)),0)+IFERROR(--ISNUMBER(SEARCH("R44",G264)),0)+IFERROR(--ISNUMBER(SEARCH("R45",G264)),0)+IFERROR(--ISNUMBER(SEARCH("R46",G264)),0)+IFERROR(--ISNUMBER(SEARCH("R47",G264)),0)+IFERROR(--ISNUMBER(SEARCH("R48",G264)),0)+IFERROR(--ISNUMBER(SEARCH("R49",G264)),0)+IFERROR(--ISNUMBER(SEARCH("R50",G264)),0)+IFERROR(--ISNUMBER(SEARCH("R51",G264)),0)+IFERROR(--ISNUMBER(SEARCH("R52",G264)),0)+IFERROR(--ISNUMBER(SEARCH("R53",G264)),0)+IFERROR(--ISNUMBER(SEARCH("R54",G264)),0)+IFERROR(--ISNUMBER(SEARCH("R55",G264)),0)+IFERROR(--ISNUMBER(SEARCH("R56",G264)),0)+IFERROR(--ISNUMBER(SEARCH("R57",G264)),0)+IFERROR(--ISNUMBER(SEARCH("R58",G264)),0)+IFERROR(--ISNUMBER(SEARCH("R59",G264)),0)+IFERROR(--ISNUMBER(SEARCH("R60",G264)),0)+IFERROR(--ISNUMBER(SEARCH("R61",G264)),0)+IFERROR(--ISNUMBER(SEARCH("R62",G264)),0)+IFERROR(--ISNUMBER(SEARCH("R63",G264)),0)+IFERROR(--ISNUMBER(SEARCH("R64",G264)),0)+IFERROR(--ISNUMBER(SEARCH("R65",G264)),0)+IFERROR(--ISNUMBER(SEARCH("R66",G264)),0)+IFERROR(--ISNUMBER(SEARCH("R67",G264)),0)+IFERROR(--ISNUMBER(SEARCH("R68",G264)),0)+IFERROR(--ISNUMBER(SEARCH("R69",G264)),0)+IFERROR(--ISNUMBER(SEARCH("R70",G264)),0)+IFERROR(--ISNUMBER(SEARCH("R71",G264)),0)+IFERROR(--ISNUMBER(SEARCH("R72",G264)),0)+IFERROR(--ISNUMBER(SEARCH("R73",G264)),0)+IFERROR(--ISNUMBER(SEARCH("R74",G264)),0)+IFERROR(--ISNUMBER(SEARCH("R75",G264)),0)+IFERROR(--ISNUMBER(SEARCH("R76",G264)),0)+IFERROR(--ISNUMBER(SEARCH("R77",G264)),0)+IFERROR(--ISNUMBER(SEARCH("R78",G264)),0)+IFERROR(--ISNUMBER(SEARCH("R79",G264)),0)+IFERROR(--ISNUMBER(SEARCH("R80",G264)),0)+IFERROR(--ISNUMBER(SEARCH("R81",G264)),0)+IFERROR(--ISNUMBER(SEARCH("R82",G264)),0)+IFERROR(--ISNUMBER(SEARCH("R83",G264)),0)+IFERROR(--ISNUMBER(SEARCH("R84",G264)),0)+IFERROR(--ISNUMBER(SEARCH("R85",G264)),0)+IFERROR(--ISNUMBER(SEARCH("R86",G264)),0)+IFERROR(--ISNUMBER(SEARCH("R87",G264)),0)+IFERROR(--ISNUMBER(SEARCH("R88",G264)),0)+IFERROR(--ISNUMBER(SEARCH("R89",G264)),0)+IFERROR(--ISNUMBER(SEARCH("R90",G264)),0)+IFERROR(--ISNUMBER(SEARCH("R91",G264)),0)+IFERROR(--ISNUMBER(SEARCH("R92",G264)),0)+IFERROR(--ISNUMBER(SEARCH("R93",G264)),0)+IFERROR(--ISNUMBER(SEARCH("R94",G264)),0)+IFERROR(--ISNUMBER(SEARCH("R95",G264)),0)+IFERROR(--ISNUMBER(SEARCH("R96",G264)),0)+IFERROR(--ISNUMBER(SEARCH("R97",G264)),0)+IFERROR(--ISNUMBER(SEARCH("R98",G264)),0)+IFERROR(--ISNUMBER(SEARCH("R99",G264)),0)+IFERROR(--ISNUMBER(SEARCH("R100",G264)),0)+IFERROR(--ISNUMBER(SEARCH("R101",G264)),0)+IFERROR(--ISNUMBER(SEARCH("R102",G264)),0)+IFERROR(--ISNUMBER(SEARCH("R103",G264)),0)+IFERROR(--ISNUMBER(SEARCH("R104",G264)),0)+IFERROR(--ISNUMBER(SEARCH("R105",G264)),0)+IFERROR(--ISNUMBER(SEARCH("R106",G264)),0)+IFERROR(--ISNUMBER(SEARCH("R107",G264)),0)+IFERROR(--ISNUMBER(SEARCH("R108",G264)),0)+IFERROR(--ISNUMBER(SEARCH("R109",G264)),0)+IFERROR(--ISNUMBER(SEARCH("R110",G264)),0)+IFERROR(--ISNUMBER(SEARCH("R111",G264)),0)+IFERROR(--ISNUMBER(SEARCH("R112",G264)),0)+IFERROR(--ISNUMBER(SEARCH("R113",G264)),0)+IFERROR(--ISNUMBER(SEARCH("R114",G264)),0)+IFERROR(--ISNUMBER(SEARCH("R115",G264)),0)+IFERROR(--ISNUMBER(SEARCH("R116",G264)),0)+IFERROR(--ISNUMBER(SEARCH("R117",G264)),0)+IFERROR(--ISNUMBER(SEARCH("R118",G264)),0)+IFERROR(--ISNUMBER(SEARCH("R119",G264)),0)+IFERROR(--ISNUMBER(SEARCH("R120",G264)),0)+IFERROR(--ISNUMBER(SEARCH("R121",G264)),0)+IFERROR(--ISNUMBER(SEARCH("R122",G264)),0)+IFERROR(--ISNUMBER(SEARCH("R123",G264)),0)+IFERROR(--ISNUMBER(SEARCH("R124",G264)),0)+IFERROR(--ISNUMBER(SEARCH("R125",G264)),0)+IFERROR(--ISNUMBER(SEARCH("R126",G264)),0)+IFERROR(--ISNUMBER(SEARCH("R127",G264)),0)+IFERROR(--ISNUMBER(SEARCH("R128",G264)),0)+IFERROR(--ISNUMBER(SEARCH("R129",G264)),0)+IFERROR(--ISNUMBER(SEARCH("R130",G264)),0)+IFERROR(--ISNUMBER(SEARCH("R131",G264)),0)+IFERROR(--ISNUMBER(SEARCH("R132",G264)),0)+IFERROR(--ISNUMBER(SEARCH("R133",G264)),0)+IFERROR(--ISNUMBER(SEARCH("R134",G264)),0)+IFERROR(--ISNUMBER(SEARCH("R135",G264)),0)+IFERROR(--ISNUMBER(SEARCH("R136",G264)),0)+IFERROR(--ISNUMBER(SEARCH("R137",G264)),0)+IFERROR(--ISNUMBER(SEARCH("R138",G264)),0)+IFERROR(--ISNUMBER(SEARCH("R139",G264)),0)+IFERROR(--ISNUMBER(SEARCH("R140",G264)),0)+IFERROR(--ISNUMBER(SEARCH("R141",G264)),0))</f>
        <v/>
      </c>
      <c r="T264" s="58">
        <f>IF(A264="","",IFERROR(--ISNUMBER(SEARCH("R28",G264)),0)+IFERROR(--ISNUMBER(SEARCH("R29",G264)),0)+IFERROR(--ISNUMBER(SEARCH("R30",G264)),0)+IFERROR(--ISNUMBER(SEARCH("R32",G264)),0)+IFERROR(--ISNUMBER(SEARCH("R33",G264)),0)+IFERROR(--ISNUMBER(SEARCH("R35",G264)),0)+IFERROR(--ISNUMBER(SEARCH("R36",G264)),0)+IFERROR(--ISNUMBER(SEARCH("R38",G264)),0)+IFERROR(--ISNUMBER(SEARCH("R39",G264)),0)+IFERROR(--ISNUMBER(SEARCH("R43",G264)),0)+IFERROR(--ISNUMBER(SEARCH("R44",G264)),0)+IFERROR(--ISNUMBER(SEARCH("R45",G264)),0)+IFERROR(--ISNUMBER(SEARCH("R47",G264)),0)+IFERROR(--ISNUMBER(SEARCH("R48",G264)),0)+IFERROR(--ISNUMBER(SEARCH("R50",G264)),0)+IFERROR(--ISNUMBER(SEARCH("R51",G264)),0)+IFERROR(--ISNUMBER(SEARCH("R56",G264)),0)+IFERROR(--ISNUMBER(SEARCH("R58",G264)),0)+IFERROR(--ISNUMBER(SEARCH("R59",G264)),0)+IFERROR(--ISNUMBER(SEARCH("R60",G264)),0)+IFERROR(--ISNUMBER(SEARCH("R62",G264)),0)+IFERROR(--ISNUMBER(SEARCH("R63",G264)),0)+IFERROR(--ISNUMBER(SEARCH("R64",G264)),0)+IFERROR(--ISNUMBER(SEARCH("R66",G264)),0)+IFERROR(--ISNUMBER(SEARCH("R67",G264)),0)+IFERROR(--ISNUMBER(SEARCH("R72",G264)),0)+IFERROR(--ISNUMBER(SEARCH("R74",G264)),0)+IFERROR(--ISNUMBER(SEARCH("R75",G264)),0)+IFERROR(--ISNUMBER(SEARCH("R76",G264)),0)+IFERROR(--ISNUMBER(SEARCH("R77",G264)),0)+IFERROR(--ISNUMBER(SEARCH("R79",G264)),0)+IFERROR(--ISNUMBER(SEARCH("R80",G264)),0)+IFERROR(--ISNUMBER(SEARCH("R81",G264)),0)+IFERROR(--ISNUMBER(SEARCH("R83",G264)),0)+IFERROR(--ISNUMBER(SEARCH("R84",G264)),0)+IFERROR(--ISNUMBER(SEARCH("R89",G264)),0)+IFERROR(--ISNUMBER(SEARCH("R94",G264)),0)+IFERROR(--ISNUMBER(SEARCH("R95",G264)),0)+IFERROR(--ISNUMBER(SEARCH("R96",G264)),0)+IFERROR(--ISNUMBER(SEARCH("R98",G264)),0)+IFERROR(--ISNUMBER(SEARCH("R99",G264)),0)+IFERROR(--ISNUMBER(SEARCH("R100",G264)),0)+IFERROR(--ISNUMBER(SEARCH("R104",G264)),0)+IFERROR(--ISNUMBER(SEARCH("R105",G264)),0)+IFERROR(--ISNUMBER(SEARCH("R107",G264)),0)+IFERROR(--ISNUMBER(SEARCH("R108",G264)),0)+IFERROR(--ISNUMBER(SEARCH("R109",G264)),0)+IFERROR(--ISNUMBER(SEARCH("R110",G264)),0)+IFERROR(--ISNUMBER(SEARCH("R112",G264)),0)+IFERROR(--ISNUMBER(SEARCH("R113",G264)),0)+IFERROR(--ISNUMBER(SEARCH("R114",G264)),0)+IFERROR(--ISNUMBER(SEARCH("R118",G264)),0)+IFERROR(--ISNUMBER(SEARCH("R119",G264)),0)+IFERROR(--ISNUMBER(SEARCH("R120",G264)),0)+IFERROR(--ISNUMBER(SEARCH("R122",G264)),0)+IFERROR(--ISNUMBER(SEARCH("R123",G264)),0)+IFERROR(--ISNUMBER(SEARCH("R124",G264)),0)+IFERROR(--ISNUMBER(SEARCH("R128",G264)),0)+IFERROR(--ISNUMBER(SEARCH("R130",G264)),0)+IFERROR(--ISNUMBER(SEARCH("R131",G264)),0)+IFERROR(--ISNUMBER(SEARCH("R132",G264)),0)+IFERROR(--ISNUMBER(SEARCH("R135",G264)),0)+IFERROR(--ISNUMBER(SEARCH("R138",G264)),0)+IFERROR(--ISNUMBER(SEARCH("R141",G264)),0))</f>
        <v/>
      </c>
      <c r="U264" s="58">
        <f>IF(A264="","",IFERROR(--ISNUMBER(SEARCH("R28",G264))*28,0)+IFERROR(--ISNUMBER(SEARCH("R29",G264))*29,0)+IFERROR(--ISNUMBER(SEARCH("R30",G264))*30,0)+IFERROR(--ISNUMBER(SEARCH("R31",G264))*31,0)+IFERROR(--ISNUMBER(SEARCH("R32",G264))*32,0)+IFERROR(--ISNUMBER(SEARCH("R33",G264))*33,0)+IFERROR(--ISNUMBER(SEARCH("R34",G264))*34,0)+IFERROR(--ISNUMBER(SEARCH("R35",G264))*35,0)+IFERROR(--ISNUMBER(SEARCH("R36",G264))*36,0)+IFERROR(--ISNUMBER(SEARCH("R37",G264))*37,0)+IFERROR(--ISNUMBER(SEARCH("R38",G264))*38,0)+IFERROR(--ISNUMBER(SEARCH("R39",G264))*39,0)+IFERROR(--ISNUMBER(SEARCH("R40",G264))*40,0)+IFERROR(--ISNUMBER(SEARCH("R41",G264))*41,0)+IFERROR(--ISNUMBER(SEARCH("R42",G264))*42,0)+IFERROR(--ISNUMBER(SEARCH("R43",G264))*43,0)+IFERROR(--ISNUMBER(SEARCH("R44",G264))*44,0)+IFERROR(--ISNUMBER(SEARCH("R45",G264))*45,0)+IFERROR(--ISNUMBER(SEARCH("R46",G264))*46,0)+IFERROR(--ISNUMBER(SEARCH("R47",G264))*47,0)+IFERROR(--ISNUMBER(SEARCH("R48",G264))*48,0)+IFERROR(--ISNUMBER(SEARCH("R49",G264))*49,0)+IFERROR(--ISNUMBER(SEARCH("R50",G264))*50,0)+IFERROR(--ISNUMBER(SEARCH("R51",G264))*51,0)+IFERROR(--ISNUMBER(SEARCH("R52",G264))*52,0)+IFERROR(--ISNUMBER(SEARCH("R53",G264))*53,0)+IFERROR(--ISNUMBER(SEARCH("R54",G264))*54,0)+IFERROR(--ISNUMBER(SEARCH("R55",G264))*55,0)+IFERROR(--ISNUMBER(SEARCH("R56",G264))*56,0)+IFERROR(--ISNUMBER(SEARCH("R57",G264))*57,0)+IFERROR(--ISNUMBER(SEARCH("R58",G264))*58,0)+IFERROR(--ISNUMBER(SEARCH("R59",G264))*59,0)+IFERROR(--ISNUMBER(SEARCH("R60",G264))*60,0)+IFERROR(--ISNUMBER(SEARCH("R61",G264))*61,0)+IFERROR(--ISNUMBER(SEARCH("R62",G264))*62,0)+IFERROR(--ISNUMBER(SEARCH("R63",G264))*63,0)+IFERROR(--ISNUMBER(SEARCH("R64",G264))*64,0)+IFERROR(--ISNUMBER(SEARCH("R65",G264))*65,0)+IFERROR(--ISNUMBER(SEARCH("R66",G264))*66,0)+IFERROR(--ISNUMBER(SEARCH("R67",G264))*67,0)+IFERROR(--ISNUMBER(SEARCH("R68",G264))*68,0)+IFERROR(--ISNUMBER(SEARCH("R69",G264))*69,0)+IFERROR(--ISNUMBER(SEARCH("R70",G264))*70,0)+IFERROR(--ISNUMBER(SEARCH("R71",G264))*71,0)+IFERROR(--ISNUMBER(SEARCH("R72",G264))*72,0)+IFERROR(--ISNUMBER(SEARCH("R73",G264))*73,0)+IFERROR(--ISNUMBER(SEARCH("R74",G264))*74,0)+IFERROR(--ISNUMBER(SEARCH("R75",G264))*75,0)+IFERROR(--ISNUMBER(SEARCH("R76",G264))*76,0)+IFERROR(--ISNUMBER(SEARCH("R77",G264))*77,0)+IFERROR(--ISNUMBER(SEARCH("R78",G264))*78,0)+IFERROR(--ISNUMBER(SEARCH("R79",G264))*79,0)+IFERROR(--ISNUMBER(SEARCH("R80",G264))*80,0)+IFERROR(--ISNUMBER(SEARCH("R81",G264))*81,0)+IFERROR(--ISNUMBER(SEARCH("R82",G264))*82,0)+IFERROR(--ISNUMBER(SEARCH("R83",G264))*83,0)+IFERROR(--ISNUMBER(SEARCH("R84",G264))*84,0)+IFERROR(--ISNUMBER(SEARCH("R85",G264))*85,0)+IFERROR(--ISNUMBER(SEARCH("R86",G264))*86,0)+IFERROR(--ISNUMBER(SEARCH("R87",G264))*87,0)+IFERROR(--ISNUMBER(SEARCH("R88",G264))*88,0)+IFERROR(--ISNUMBER(SEARCH("R89",G264))*89,0)+IFERROR(--ISNUMBER(SEARCH("R90",G264))*90,0)+IFERROR(--ISNUMBER(SEARCH("R91",G264))*91,0)+IFERROR(--ISNUMBER(SEARCH("R92",G264))*92,0)+IFERROR(--ISNUMBER(SEARCH("R93",G264))*93,0)+IFERROR(--ISNUMBER(SEARCH("R94",G264))*94,0)+IFERROR(--ISNUMBER(SEARCH("R95",G264))*95,0)+IFERROR(--ISNUMBER(SEARCH("R96",G264))*96,0)+IFERROR(--ISNUMBER(SEARCH("R97",G264))*97,0)+IFERROR(--ISNUMBER(SEARCH("R98",G264))*98,0)+IFERROR(--ISNUMBER(SEARCH("R99",G264))*99,0)+IFERROR(--ISNUMBER(SEARCH("R100",G264))*100,0)+IFERROR(--ISNUMBER(SEARCH("R101",G264))*101,0)+IFERROR(--ISNUMBER(SEARCH("R102",G264))*102,0)+IFERROR(--ISNUMBER(SEARCH("R103",G264))*103,0)+IFERROR(--ISNUMBER(SEARCH("R104",G264))*104,0)+IFERROR(--ISNUMBER(SEARCH("R105",G264))*105,0)+IFERROR(--ISNUMBER(SEARCH("R106",G264))*106,0)+IFERROR(--ISNUMBER(SEARCH("R107",G264))*107,0)+IFERROR(--ISNUMBER(SEARCH("R108",G264))*108,0)+IFERROR(--ISNUMBER(SEARCH("R109",G264))*109,0)+IFERROR(--ISNUMBER(SEARCH("R110",G264))*110,0)+IFERROR(--ISNUMBER(SEARCH("R111",G264))*111,0)+IFERROR(--ISNUMBER(SEARCH("R112",G264))*112,0)+IFERROR(--ISNUMBER(SEARCH("R113",G264))*113,0)+IFERROR(--ISNUMBER(SEARCH("R114",G264))*114,0)+IFERROR(--ISNUMBER(SEARCH("R115",G264))*115,0)+IFERROR(--ISNUMBER(SEARCH("R116",G264))*116,0)+IFERROR(--ISNUMBER(SEARCH("R117",G264))*117,0)+IFERROR(--ISNUMBER(SEARCH("R118",G264))*118,0)+IFERROR(--ISNUMBER(SEARCH("R119",G264))*119,0)+IFERROR(--ISNUMBER(SEARCH("R120",G264))*120,0)+IFERROR(--ISNUMBER(SEARCH("R121",G264))*121,0)+IFERROR(--ISNUMBER(SEARCH("R122",G264))*122,0)+IFERROR(--ISNUMBER(SEARCH("R123",G264))*123,0)+IFERROR(--ISNUMBER(SEARCH("R124",G264))*124,0)+IFERROR(--ISNUMBER(SEARCH("R125",G264))*125,0)+IFERROR(--ISNUMBER(SEARCH("R126",G264))*126,0)+IFERROR(--ISNUMBER(SEARCH("R127",G264))*127,0)+IFERROR(--ISNUMBER(SEARCH("R128",G264))*128,0)+IFERROR(--ISNUMBER(SEARCH("R129",G264))*129,0)+IFERROR(--ISNUMBER(SEARCH("R130",G264))*130,0)+IFERROR(--ISNUMBER(SEARCH("R131",G264))*131,0)+IFERROR(--ISNUMBER(SEARCH("R132",G264))*132,0)+IFERROR(--ISNUMBER(SEARCH("R133",G264))*133,0)+IFERROR(--ISNUMBER(SEARCH("R134",G264))*134,0)+IFERROR(--ISNUMBER(SEARCH("R135",G264))*135,0)+IFERROR(--ISNUMBER(SEARCH("R136",G264))*136,0)+IFERROR(--ISNUMBER(SEARCH("R137",G264))*137,0)+IFERROR(--ISNUMBER(SEARCH("R138",G264))*138,0)+IFERROR(--ISNUMBER(SEARCH("R139",G264))*139,0)+IFERROR(--ISNUMBER(SEARCH("R140",G264))*140,0)+IFERROR(--ISNUMBER(SEARCH("R141",G264))*141,0))</f>
        <v/>
      </c>
      <c r="V264" s="59">
        <f>IF(A264="","",IF(K264&lt;&gt;"",K264,J264))</f>
        <v/>
      </c>
      <c r="W264" s="59">
        <f>IF(A264="","",IF(AND(V264=29,O264&lt;&gt;"",COUNTIFS($V$6:$V$505,29,$F$6:$F$505,F264,$C$6:$C$505,C264,$O$6:$O$505,"&lt;&gt;")&gt;1),IF(COUNTIFS($V$6:V264,29,$F$6:F264,F264,$C$6:C264,C264,$O$6:O264,"&lt;&gt;")=1,"Esta es la fila que se debe CONSERVAR (aparición 1 de "&amp;COUNTIFS($V$6:$V$505,29,$F$6:$F$505,F264,$C$6:$C$505,C264,$O$6:$O$505,"&lt;&gt;")&amp;" con el mismo tercero y valor, casilla 29). Si hay más filas iguales, bórreles el valor a ELLAS, no a esta.","DUPLICADO — ya existe otra fila con el mismo tercero y valor para casilla 29 (aparición "&amp;COUNTIFS($V$6:V264,29,$F$6:F264,F264,$C$6:C264,C264,$O$6:O264,"&lt;&gt;")&amp;" de "&amp;COUNTIFS($V$6:$V$505,29,$F$6:$F$505,F264,$C$6:$C$505,C264,$O$6:$O$505,"&lt;&gt;")&amp;"). Para resolverlo: seleccione la celda O"&amp;ROW()&amp;" (columna Valor a declarar de ESTA fila) y presione Supr."),""))</f>
        <v/>
      </c>
      <c r="X264" s="463">
        <f>IF(A264="","",F264)</f>
        <v/>
      </c>
      <c r="Y264" s="463">
        <f>IF(A264="","",SUMIF(Entrada_Manual!$I$88:$I$187,A264,Entrada_Manual!$F$88:$F$187))</f>
        <v/>
      </c>
      <c r="Z264" s="463">
        <f>IF(A264="","",X264-Y264)</f>
        <v/>
      </c>
      <c r="AA264">
        <f>IF(A264="","",SUMPRODUCT((Entrada_Manual!$I$88:$I$187=A264)*1))</f>
        <v/>
      </c>
      <c r="AB264">
        <f>IF(A264="","",IF(S264&lt;=1,"",IF(AA264=0,"PENDIENTE — SIN ASIGNAR",IF(Z264=0,"RESUELTO","PARCIAL — DIFERENCIA "&amp;TEXT(Z264,"#,##0")))))</f>
        <v/>
      </c>
    </row>
    <row r="265" ht="14.25" customHeight="1" s="235">
      <c r="A265" s="47">
        <f>IF(Exogena_RAW!E274&lt;&gt;"",ROW()-5,"")</f>
        <v/>
      </c>
      <c r="B265" s="48">
        <f>IF(A265="","",274)</f>
        <v/>
      </c>
      <c r="C265" s="48">
        <f>IF(A265="","",IFERROR(Exogena_RAW!A274,""))</f>
        <v/>
      </c>
      <c r="D265" s="48">
        <f>IF(A265="","",IFERROR(Exogena_RAW!B274,""))</f>
        <v/>
      </c>
      <c r="E265" s="48">
        <f>IF(A265="","",Exogena_RAW!E274)</f>
        <v/>
      </c>
      <c r="F265" s="461">
        <f>IF(A265="","",Exogena_RAW!F274)</f>
        <v/>
      </c>
      <c r="G265" s="48">
        <f>IF(A265="","",IFERROR(Exogena_RAW!G274,""))</f>
        <v/>
      </c>
      <c r="H265" s="48">
        <f>IF(A265="","",IFERROR(Exogena_RAW!H274,""))</f>
        <v/>
      </c>
      <c r="I265" s="48">
        <f>IF(A265="","",IFERROR(IF(S265&gt;1,"VARIAS CASILLAS",IF(S265=1,IF(T265=1,"PROPUESTA DE CASILLA","REVISIÓN: CASILLA NO DIRECTA"),IF(OR(ISNUMBER(SEARCH("TOPE",UPPER(E265))),ISNUMBER(SEARCH("TOPE",UPPER(G265)))),"SOLO CONTROL",IF(ISNUMBER(SEARCH("RETEN",UPPER(E265))),"RETENCIÓN","REVISAR")))),"REVISAR"))</f>
        <v/>
      </c>
      <c r="J265" s="48">
        <f>IF(A265="","",IF(ISNUMBER(SEARCH("ingreso laboral promedio de los últimos seis meses",E265)),"",IFERROR(IF(AND(S265=1,T265=1),U265,""),"")))</f>
        <v/>
      </c>
      <c r="K265" s="216" t="n"/>
      <c r="L265" s="48">
        <f>IF(A265="","",IFERROR(IF(K265&lt;&gt;"","Casilla elegida por usuario",IF(S265&gt;1,"Varias casillas — elegir en K",IF(J265&lt;&gt;"","Sugerencia directa",IF(S265=1,"No trasladar directo — revisar",IF(OR(ISNUMBER(SEARCH("TOPE",UPPER(E265))),ISNUMBER(SEARCH("TOPE",UPPER(G265)))),"Solo control","Revisar manualmente"))))),"Revisar manualmente"))</f>
        <v/>
      </c>
      <c r="M265" s="461">
        <f>IF(A265="","",IF(IF(K265&lt;&gt;"",K265,J265)="",0,IF(COUNTIFS(Reglas!$I$5:$I$118,IF(K265&lt;&gt;"",K265,J265),Reglas!$J$5:$J$118,"Sí")=1,F265,0)))</f>
        <v/>
      </c>
      <c r="N265" s="56" t="n"/>
      <c r="O265" s="462">
        <f>IF(A265="","",IF(M265=0,"",M265))</f>
        <v/>
      </c>
      <c r="P265" s="461">
        <f>IF(A265="","",IF(O265="",0,IF(ISNUMBER(O265),O265,0)))</f>
        <v/>
      </c>
      <c r="Q265" s="48">
        <f>IF(A265="","",IF(Exogena_RAW!$C$4="","BLOQUEADO: FALTA AÑO",IF(Exogena_RAW!$K$10&lt;&gt;Reglas!$B$5,"BLOQUEADO: AÑO",IF(IF(K265&lt;&gt;"",K265,J265)="",IF(S265&gt;1,"REQUIERE ASIGNACIÓN MANUAL (VARIAS CASILLAS)","INFORMATIVO (sin casilla — no se declara)"),IF(COUNTIFS(Reglas!$I$5:$I$118,IF(K265&lt;&gt;"",K265,J265),Reglas!$J$5:$J$118,"Sí")=0,"BLOQUEADO: CASILLA NO DIRECTA",IF(O265="","EXCLUIDO (valor borrado por el usuario)",IF(_xlfn.ISFORMULA(O265),IF(W265&lt;&gt;"","BORRADOR — VALOR SUGERIDO DIAN ⚠ VER ALERTA","BORRADOR — VALOR SUGERIDO DIAN"),IF(W265&lt;&gt;"","ACEPTADO ⚠ VER ALERTA","ACEPTADO"))))))))</f>
        <v/>
      </c>
      <c r="R265" s="218" t="n"/>
      <c r="S265" s="58">
        <f>IF(A265="","",IFERROR(--ISNUMBER(SEARCH("R28",G265)),0)+IFERROR(--ISNUMBER(SEARCH("R29",G265)),0)+IFERROR(--ISNUMBER(SEARCH("R30",G265)),0)+IFERROR(--ISNUMBER(SEARCH("R31",G265)),0)+IFERROR(--ISNUMBER(SEARCH("R32",G265)),0)+IFERROR(--ISNUMBER(SEARCH("R33",G265)),0)+IFERROR(--ISNUMBER(SEARCH("R34",G265)),0)+IFERROR(--ISNUMBER(SEARCH("R35",G265)),0)+IFERROR(--ISNUMBER(SEARCH("R36",G265)),0)+IFERROR(--ISNUMBER(SEARCH("R37",G265)),0)+IFERROR(--ISNUMBER(SEARCH("R38",G265)),0)+IFERROR(--ISNUMBER(SEARCH("R39",G265)),0)+IFERROR(--ISNUMBER(SEARCH("R40",G265)),0)+IFERROR(--ISNUMBER(SEARCH("R41",G265)),0)+IFERROR(--ISNUMBER(SEARCH("R42",G265)),0)+IFERROR(--ISNUMBER(SEARCH("R43",G265)),0)+IFERROR(--ISNUMBER(SEARCH("R44",G265)),0)+IFERROR(--ISNUMBER(SEARCH("R45",G265)),0)+IFERROR(--ISNUMBER(SEARCH("R46",G265)),0)+IFERROR(--ISNUMBER(SEARCH("R47",G265)),0)+IFERROR(--ISNUMBER(SEARCH("R48",G265)),0)+IFERROR(--ISNUMBER(SEARCH("R49",G265)),0)+IFERROR(--ISNUMBER(SEARCH("R50",G265)),0)+IFERROR(--ISNUMBER(SEARCH("R51",G265)),0)+IFERROR(--ISNUMBER(SEARCH("R52",G265)),0)+IFERROR(--ISNUMBER(SEARCH("R53",G265)),0)+IFERROR(--ISNUMBER(SEARCH("R54",G265)),0)+IFERROR(--ISNUMBER(SEARCH("R55",G265)),0)+IFERROR(--ISNUMBER(SEARCH("R56",G265)),0)+IFERROR(--ISNUMBER(SEARCH("R57",G265)),0)+IFERROR(--ISNUMBER(SEARCH("R58",G265)),0)+IFERROR(--ISNUMBER(SEARCH("R59",G265)),0)+IFERROR(--ISNUMBER(SEARCH("R60",G265)),0)+IFERROR(--ISNUMBER(SEARCH("R61",G265)),0)+IFERROR(--ISNUMBER(SEARCH("R62",G265)),0)+IFERROR(--ISNUMBER(SEARCH("R63",G265)),0)+IFERROR(--ISNUMBER(SEARCH("R64",G265)),0)+IFERROR(--ISNUMBER(SEARCH("R65",G265)),0)+IFERROR(--ISNUMBER(SEARCH("R66",G265)),0)+IFERROR(--ISNUMBER(SEARCH("R67",G265)),0)+IFERROR(--ISNUMBER(SEARCH("R68",G265)),0)+IFERROR(--ISNUMBER(SEARCH("R69",G265)),0)+IFERROR(--ISNUMBER(SEARCH("R70",G265)),0)+IFERROR(--ISNUMBER(SEARCH("R71",G265)),0)+IFERROR(--ISNUMBER(SEARCH("R72",G265)),0)+IFERROR(--ISNUMBER(SEARCH("R73",G265)),0)+IFERROR(--ISNUMBER(SEARCH("R74",G265)),0)+IFERROR(--ISNUMBER(SEARCH("R75",G265)),0)+IFERROR(--ISNUMBER(SEARCH("R76",G265)),0)+IFERROR(--ISNUMBER(SEARCH("R77",G265)),0)+IFERROR(--ISNUMBER(SEARCH("R78",G265)),0)+IFERROR(--ISNUMBER(SEARCH("R79",G265)),0)+IFERROR(--ISNUMBER(SEARCH("R80",G265)),0)+IFERROR(--ISNUMBER(SEARCH("R81",G265)),0)+IFERROR(--ISNUMBER(SEARCH("R82",G265)),0)+IFERROR(--ISNUMBER(SEARCH("R83",G265)),0)+IFERROR(--ISNUMBER(SEARCH("R84",G265)),0)+IFERROR(--ISNUMBER(SEARCH("R85",G265)),0)+IFERROR(--ISNUMBER(SEARCH("R86",G265)),0)+IFERROR(--ISNUMBER(SEARCH("R87",G265)),0)+IFERROR(--ISNUMBER(SEARCH("R88",G265)),0)+IFERROR(--ISNUMBER(SEARCH("R89",G265)),0)+IFERROR(--ISNUMBER(SEARCH("R90",G265)),0)+IFERROR(--ISNUMBER(SEARCH("R91",G265)),0)+IFERROR(--ISNUMBER(SEARCH("R92",G265)),0)+IFERROR(--ISNUMBER(SEARCH("R93",G265)),0)+IFERROR(--ISNUMBER(SEARCH("R94",G265)),0)+IFERROR(--ISNUMBER(SEARCH("R95",G265)),0)+IFERROR(--ISNUMBER(SEARCH("R96",G265)),0)+IFERROR(--ISNUMBER(SEARCH("R97",G265)),0)+IFERROR(--ISNUMBER(SEARCH("R98",G265)),0)+IFERROR(--ISNUMBER(SEARCH("R99",G265)),0)+IFERROR(--ISNUMBER(SEARCH("R100",G265)),0)+IFERROR(--ISNUMBER(SEARCH("R101",G265)),0)+IFERROR(--ISNUMBER(SEARCH("R102",G265)),0)+IFERROR(--ISNUMBER(SEARCH("R103",G265)),0)+IFERROR(--ISNUMBER(SEARCH("R104",G265)),0)+IFERROR(--ISNUMBER(SEARCH("R105",G265)),0)+IFERROR(--ISNUMBER(SEARCH("R106",G265)),0)+IFERROR(--ISNUMBER(SEARCH("R107",G265)),0)+IFERROR(--ISNUMBER(SEARCH("R108",G265)),0)+IFERROR(--ISNUMBER(SEARCH("R109",G265)),0)+IFERROR(--ISNUMBER(SEARCH("R110",G265)),0)+IFERROR(--ISNUMBER(SEARCH("R111",G265)),0)+IFERROR(--ISNUMBER(SEARCH("R112",G265)),0)+IFERROR(--ISNUMBER(SEARCH("R113",G265)),0)+IFERROR(--ISNUMBER(SEARCH("R114",G265)),0)+IFERROR(--ISNUMBER(SEARCH("R115",G265)),0)+IFERROR(--ISNUMBER(SEARCH("R116",G265)),0)+IFERROR(--ISNUMBER(SEARCH("R117",G265)),0)+IFERROR(--ISNUMBER(SEARCH("R118",G265)),0)+IFERROR(--ISNUMBER(SEARCH("R119",G265)),0)+IFERROR(--ISNUMBER(SEARCH("R120",G265)),0)+IFERROR(--ISNUMBER(SEARCH("R121",G265)),0)+IFERROR(--ISNUMBER(SEARCH("R122",G265)),0)+IFERROR(--ISNUMBER(SEARCH("R123",G265)),0)+IFERROR(--ISNUMBER(SEARCH("R124",G265)),0)+IFERROR(--ISNUMBER(SEARCH("R125",G265)),0)+IFERROR(--ISNUMBER(SEARCH("R126",G265)),0)+IFERROR(--ISNUMBER(SEARCH("R127",G265)),0)+IFERROR(--ISNUMBER(SEARCH("R128",G265)),0)+IFERROR(--ISNUMBER(SEARCH("R129",G265)),0)+IFERROR(--ISNUMBER(SEARCH("R130",G265)),0)+IFERROR(--ISNUMBER(SEARCH("R131",G265)),0)+IFERROR(--ISNUMBER(SEARCH("R132",G265)),0)+IFERROR(--ISNUMBER(SEARCH("R133",G265)),0)+IFERROR(--ISNUMBER(SEARCH("R134",G265)),0)+IFERROR(--ISNUMBER(SEARCH("R135",G265)),0)+IFERROR(--ISNUMBER(SEARCH("R136",G265)),0)+IFERROR(--ISNUMBER(SEARCH("R137",G265)),0)+IFERROR(--ISNUMBER(SEARCH("R138",G265)),0)+IFERROR(--ISNUMBER(SEARCH("R139",G265)),0)+IFERROR(--ISNUMBER(SEARCH("R140",G265)),0)+IFERROR(--ISNUMBER(SEARCH("R141",G265)),0))</f>
        <v/>
      </c>
      <c r="T265" s="58">
        <f>IF(A265="","",IFERROR(--ISNUMBER(SEARCH("R28",G265)),0)+IFERROR(--ISNUMBER(SEARCH("R29",G265)),0)+IFERROR(--ISNUMBER(SEARCH("R30",G265)),0)+IFERROR(--ISNUMBER(SEARCH("R32",G265)),0)+IFERROR(--ISNUMBER(SEARCH("R33",G265)),0)+IFERROR(--ISNUMBER(SEARCH("R35",G265)),0)+IFERROR(--ISNUMBER(SEARCH("R36",G265)),0)+IFERROR(--ISNUMBER(SEARCH("R38",G265)),0)+IFERROR(--ISNUMBER(SEARCH("R39",G265)),0)+IFERROR(--ISNUMBER(SEARCH("R43",G265)),0)+IFERROR(--ISNUMBER(SEARCH("R44",G265)),0)+IFERROR(--ISNUMBER(SEARCH("R45",G265)),0)+IFERROR(--ISNUMBER(SEARCH("R47",G265)),0)+IFERROR(--ISNUMBER(SEARCH("R48",G265)),0)+IFERROR(--ISNUMBER(SEARCH("R50",G265)),0)+IFERROR(--ISNUMBER(SEARCH("R51",G265)),0)+IFERROR(--ISNUMBER(SEARCH("R56",G265)),0)+IFERROR(--ISNUMBER(SEARCH("R58",G265)),0)+IFERROR(--ISNUMBER(SEARCH("R59",G265)),0)+IFERROR(--ISNUMBER(SEARCH("R60",G265)),0)+IFERROR(--ISNUMBER(SEARCH("R62",G265)),0)+IFERROR(--ISNUMBER(SEARCH("R63",G265)),0)+IFERROR(--ISNUMBER(SEARCH("R64",G265)),0)+IFERROR(--ISNUMBER(SEARCH("R66",G265)),0)+IFERROR(--ISNUMBER(SEARCH("R67",G265)),0)+IFERROR(--ISNUMBER(SEARCH("R72",G265)),0)+IFERROR(--ISNUMBER(SEARCH("R74",G265)),0)+IFERROR(--ISNUMBER(SEARCH("R75",G265)),0)+IFERROR(--ISNUMBER(SEARCH("R76",G265)),0)+IFERROR(--ISNUMBER(SEARCH("R77",G265)),0)+IFERROR(--ISNUMBER(SEARCH("R79",G265)),0)+IFERROR(--ISNUMBER(SEARCH("R80",G265)),0)+IFERROR(--ISNUMBER(SEARCH("R81",G265)),0)+IFERROR(--ISNUMBER(SEARCH("R83",G265)),0)+IFERROR(--ISNUMBER(SEARCH("R84",G265)),0)+IFERROR(--ISNUMBER(SEARCH("R89",G265)),0)+IFERROR(--ISNUMBER(SEARCH("R94",G265)),0)+IFERROR(--ISNUMBER(SEARCH("R95",G265)),0)+IFERROR(--ISNUMBER(SEARCH("R96",G265)),0)+IFERROR(--ISNUMBER(SEARCH("R98",G265)),0)+IFERROR(--ISNUMBER(SEARCH("R99",G265)),0)+IFERROR(--ISNUMBER(SEARCH("R100",G265)),0)+IFERROR(--ISNUMBER(SEARCH("R104",G265)),0)+IFERROR(--ISNUMBER(SEARCH("R105",G265)),0)+IFERROR(--ISNUMBER(SEARCH("R107",G265)),0)+IFERROR(--ISNUMBER(SEARCH("R108",G265)),0)+IFERROR(--ISNUMBER(SEARCH("R109",G265)),0)+IFERROR(--ISNUMBER(SEARCH("R110",G265)),0)+IFERROR(--ISNUMBER(SEARCH("R112",G265)),0)+IFERROR(--ISNUMBER(SEARCH("R113",G265)),0)+IFERROR(--ISNUMBER(SEARCH("R114",G265)),0)+IFERROR(--ISNUMBER(SEARCH("R118",G265)),0)+IFERROR(--ISNUMBER(SEARCH("R119",G265)),0)+IFERROR(--ISNUMBER(SEARCH("R120",G265)),0)+IFERROR(--ISNUMBER(SEARCH("R122",G265)),0)+IFERROR(--ISNUMBER(SEARCH("R123",G265)),0)+IFERROR(--ISNUMBER(SEARCH("R124",G265)),0)+IFERROR(--ISNUMBER(SEARCH("R128",G265)),0)+IFERROR(--ISNUMBER(SEARCH("R130",G265)),0)+IFERROR(--ISNUMBER(SEARCH("R131",G265)),0)+IFERROR(--ISNUMBER(SEARCH("R132",G265)),0)+IFERROR(--ISNUMBER(SEARCH("R135",G265)),0)+IFERROR(--ISNUMBER(SEARCH("R138",G265)),0)+IFERROR(--ISNUMBER(SEARCH("R141",G265)),0))</f>
        <v/>
      </c>
      <c r="U265" s="58">
        <f>IF(A265="","",IFERROR(--ISNUMBER(SEARCH("R28",G265))*28,0)+IFERROR(--ISNUMBER(SEARCH("R29",G265))*29,0)+IFERROR(--ISNUMBER(SEARCH("R30",G265))*30,0)+IFERROR(--ISNUMBER(SEARCH("R31",G265))*31,0)+IFERROR(--ISNUMBER(SEARCH("R32",G265))*32,0)+IFERROR(--ISNUMBER(SEARCH("R33",G265))*33,0)+IFERROR(--ISNUMBER(SEARCH("R34",G265))*34,0)+IFERROR(--ISNUMBER(SEARCH("R35",G265))*35,0)+IFERROR(--ISNUMBER(SEARCH("R36",G265))*36,0)+IFERROR(--ISNUMBER(SEARCH("R37",G265))*37,0)+IFERROR(--ISNUMBER(SEARCH("R38",G265))*38,0)+IFERROR(--ISNUMBER(SEARCH("R39",G265))*39,0)+IFERROR(--ISNUMBER(SEARCH("R40",G265))*40,0)+IFERROR(--ISNUMBER(SEARCH("R41",G265))*41,0)+IFERROR(--ISNUMBER(SEARCH("R42",G265))*42,0)+IFERROR(--ISNUMBER(SEARCH("R43",G265))*43,0)+IFERROR(--ISNUMBER(SEARCH("R44",G265))*44,0)+IFERROR(--ISNUMBER(SEARCH("R45",G265))*45,0)+IFERROR(--ISNUMBER(SEARCH("R46",G265))*46,0)+IFERROR(--ISNUMBER(SEARCH("R47",G265))*47,0)+IFERROR(--ISNUMBER(SEARCH("R48",G265))*48,0)+IFERROR(--ISNUMBER(SEARCH("R49",G265))*49,0)+IFERROR(--ISNUMBER(SEARCH("R50",G265))*50,0)+IFERROR(--ISNUMBER(SEARCH("R51",G265))*51,0)+IFERROR(--ISNUMBER(SEARCH("R52",G265))*52,0)+IFERROR(--ISNUMBER(SEARCH("R53",G265))*53,0)+IFERROR(--ISNUMBER(SEARCH("R54",G265))*54,0)+IFERROR(--ISNUMBER(SEARCH("R55",G265))*55,0)+IFERROR(--ISNUMBER(SEARCH("R56",G265))*56,0)+IFERROR(--ISNUMBER(SEARCH("R57",G265))*57,0)+IFERROR(--ISNUMBER(SEARCH("R58",G265))*58,0)+IFERROR(--ISNUMBER(SEARCH("R59",G265))*59,0)+IFERROR(--ISNUMBER(SEARCH("R60",G265))*60,0)+IFERROR(--ISNUMBER(SEARCH("R61",G265))*61,0)+IFERROR(--ISNUMBER(SEARCH("R62",G265))*62,0)+IFERROR(--ISNUMBER(SEARCH("R63",G265))*63,0)+IFERROR(--ISNUMBER(SEARCH("R64",G265))*64,0)+IFERROR(--ISNUMBER(SEARCH("R65",G265))*65,0)+IFERROR(--ISNUMBER(SEARCH("R66",G265))*66,0)+IFERROR(--ISNUMBER(SEARCH("R67",G265))*67,0)+IFERROR(--ISNUMBER(SEARCH("R68",G265))*68,0)+IFERROR(--ISNUMBER(SEARCH("R69",G265))*69,0)+IFERROR(--ISNUMBER(SEARCH("R70",G265))*70,0)+IFERROR(--ISNUMBER(SEARCH("R71",G265))*71,0)+IFERROR(--ISNUMBER(SEARCH("R72",G265))*72,0)+IFERROR(--ISNUMBER(SEARCH("R73",G265))*73,0)+IFERROR(--ISNUMBER(SEARCH("R74",G265))*74,0)+IFERROR(--ISNUMBER(SEARCH("R75",G265))*75,0)+IFERROR(--ISNUMBER(SEARCH("R76",G265))*76,0)+IFERROR(--ISNUMBER(SEARCH("R77",G265))*77,0)+IFERROR(--ISNUMBER(SEARCH("R78",G265))*78,0)+IFERROR(--ISNUMBER(SEARCH("R79",G265))*79,0)+IFERROR(--ISNUMBER(SEARCH("R80",G265))*80,0)+IFERROR(--ISNUMBER(SEARCH("R81",G265))*81,0)+IFERROR(--ISNUMBER(SEARCH("R82",G265))*82,0)+IFERROR(--ISNUMBER(SEARCH("R83",G265))*83,0)+IFERROR(--ISNUMBER(SEARCH("R84",G265))*84,0)+IFERROR(--ISNUMBER(SEARCH("R85",G265))*85,0)+IFERROR(--ISNUMBER(SEARCH("R86",G265))*86,0)+IFERROR(--ISNUMBER(SEARCH("R87",G265))*87,0)+IFERROR(--ISNUMBER(SEARCH("R88",G265))*88,0)+IFERROR(--ISNUMBER(SEARCH("R89",G265))*89,0)+IFERROR(--ISNUMBER(SEARCH("R90",G265))*90,0)+IFERROR(--ISNUMBER(SEARCH("R91",G265))*91,0)+IFERROR(--ISNUMBER(SEARCH("R92",G265))*92,0)+IFERROR(--ISNUMBER(SEARCH("R93",G265))*93,0)+IFERROR(--ISNUMBER(SEARCH("R94",G265))*94,0)+IFERROR(--ISNUMBER(SEARCH("R95",G265))*95,0)+IFERROR(--ISNUMBER(SEARCH("R96",G265))*96,0)+IFERROR(--ISNUMBER(SEARCH("R97",G265))*97,0)+IFERROR(--ISNUMBER(SEARCH("R98",G265))*98,0)+IFERROR(--ISNUMBER(SEARCH("R99",G265))*99,0)+IFERROR(--ISNUMBER(SEARCH("R100",G265))*100,0)+IFERROR(--ISNUMBER(SEARCH("R101",G265))*101,0)+IFERROR(--ISNUMBER(SEARCH("R102",G265))*102,0)+IFERROR(--ISNUMBER(SEARCH("R103",G265))*103,0)+IFERROR(--ISNUMBER(SEARCH("R104",G265))*104,0)+IFERROR(--ISNUMBER(SEARCH("R105",G265))*105,0)+IFERROR(--ISNUMBER(SEARCH("R106",G265))*106,0)+IFERROR(--ISNUMBER(SEARCH("R107",G265))*107,0)+IFERROR(--ISNUMBER(SEARCH("R108",G265))*108,0)+IFERROR(--ISNUMBER(SEARCH("R109",G265))*109,0)+IFERROR(--ISNUMBER(SEARCH("R110",G265))*110,0)+IFERROR(--ISNUMBER(SEARCH("R111",G265))*111,0)+IFERROR(--ISNUMBER(SEARCH("R112",G265))*112,0)+IFERROR(--ISNUMBER(SEARCH("R113",G265))*113,0)+IFERROR(--ISNUMBER(SEARCH("R114",G265))*114,0)+IFERROR(--ISNUMBER(SEARCH("R115",G265))*115,0)+IFERROR(--ISNUMBER(SEARCH("R116",G265))*116,0)+IFERROR(--ISNUMBER(SEARCH("R117",G265))*117,0)+IFERROR(--ISNUMBER(SEARCH("R118",G265))*118,0)+IFERROR(--ISNUMBER(SEARCH("R119",G265))*119,0)+IFERROR(--ISNUMBER(SEARCH("R120",G265))*120,0)+IFERROR(--ISNUMBER(SEARCH("R121",G265))*121,0)+IFERROR(--ISNUMBER(SEARCH("R122",G265))*122,0)+IFERROR(--ISNUMBER(SEARCH("R123",G265))*123,0)+IFERROR(--ISNUMBER(SEARCH("R124",G265))*124,0)+IFERROR(--ISNUMBER(SEARCH("R125",G265))*125,0)+IFERROR(--ISNUMBER(SEARCH("R126",G265))*126,0)+IFERROR(--ISNUMBER(SEARCH("R127",G265))*127,0)+IFERROR(--ISNUMBER(SEARCH("R128",G265))*128,0)+IFERROR(--ISNUMBER(SEARCH("R129",G265))*129,0)+IFERROR(--ISNUMBER(SEARCH("R130",G265))*130,0)+IFERROR(--ISNUMBER(SEARCH("R131",G265))*131,0)+IFERROR(--ISNUMBER(SEARCH("R132",G265))*132,0)+IFERROR(--ISNUMBER(SEARCH("R133",G265))*133,0)+IFERROR(--ISNUMBER(SEARCH("R134",G265))*134,0)+IFERROR(--ISNUMBER(SEARCH("R135",G265))*135,0)+IFERROR(--ISNUMBER(SEARCH("R136",G265))*136,0)+IFERROR(--ISNUMBER(SEARCH("R137",G265))*137,0)+IFERROR(--ISNUMBER(SEARCH("R138",G265))*138,0)+IFERROR(--ISNUMBER(SEARCH("R139",G265))*139,0)+IFERROR(--ISNUMBER(SEARCH("R140",G265))*140,0)+IFERROR(--ISNUMBER(SEARCH("R141",G265))*141,0))</f>
        <v/>
      </c>
      <c r="V265" s="59">
        <f>IF(A265="","",IF(K265&lt;&gt;"",K265,J265))</f>
        <v/>
      </c>
      <c r="W265" s="59">
        <f>IF(A265="","",IF(AND(V265=29,O265&lt;&gt;"",COUNTIFS($V$6:$V$505,29,$F$6:$F$505,F265,$C$6:$C$505,C265,$O$6:$O$505,"&lt;&gt;")&gt;1),IF(COUNTIFS($V$6:V265,29,$F$6:F265,F265,$C$6:C265,C265,$O$6:O265,"&lt;&gt;")=1,"Esta es la fila que se debe CONSERVAR (aparición 1 de "&amp;COUNTIFS($V$6:$V$505,29,$F$6:$F$505,F265,$C$6:$C$505,C265,$O$6:$O$505,"&lt;&gt;")&amp;" con el mismo tercero y valor, casilla 29). Si hay más filas iguales, bórreles el valor a ELLAS, no a esta.","DUPLICADO — ya existe otra fila con el mismo tercero y valor para casilla 29 (aparición "&amp;COUNTIFS($V$6:V265,29,$F$6:F265,F265,$C$6:C265,C265,$O$6:O265,"&lt;&gt;")&amp;" de "&amp;COUNTIFS($V$6:$V$505,29,$F$6:$F$505,F265,$C$6:$C$505,C265,$O$6:$O$505,"&lt;&gt;")&amp;"). Para resolverlo: seleccione la celda O"&amp;ROW()&amp;" (columna Valor a declarar de ESTA fila) y presione Supr."),""))</f>
        <v/>
      </c>
      <c r="X265" s="463">
        <f>IF(A265="","",F265)</f>
        <v/>
      </c>
      <c r="Y265" s="463">
        <f>IF(A265="","",SUMIF(Entrada_Manual!$I$88:$I$187,A265,Entrada_Manual!$F$88:$F$187))</f>
        <v/>
      </c>
      <c r="Z265" s="463">
        <f>IF(A265="","",X265-Y265)</f>
        <v/>
      </c>
      <c r="AA265">
        <f>IF(A265="","",SUMPRODUCT((Entrada_Manual!$I$88:$I$187=A265)*1))</f>
        <v/>
      </c>
      <c r="AB265">
        <f>IF(A265="","",IF(S265&lt;=1,"",IF(AA265=0,"PENDIENTE — SIN ASIGNAR",IF(Z265=0,"RESUELTO","PARCIAL — DIFERENCIA "&amp;TEXT(Z265,"#,##0")))))</f>
        <v/>
      </c>
    </row>
    <row r="266" ht="14.25" customHeight="1" s="235">
      <c r="A266" s="47">
        <f>IF(Exogena_RAW!E275&lt;&gt;"",ROW()-5,"")</f>
        <v/>
      </c>
      <c r="B266" s="48">
        <f>IF(A266="","",275)</f>
        <v/>
      </c>
      <c r="C266" s="48">
        <f>IF(A266="","",IFERROR(Exogena_RAW!A275,""))</f>
        <v/>
      </c>
      <c r="D266" s="48">
        <f>IF(A266="","",IFERROR(Exogena_RAW!B275,""))</f>
        <v/>
      </c>
      <c r="E266" s="48">
        <f>IF(A266="","",Exogena_RAW!E275)</f>
        <v/>
      </c>
      <c r="F266" s="461">
        <f>IF(A266="","",Exogena_RAW!F275)</f>
        <v/>
      </c>
      <c r="G266" s="48">
        <f>IF(A266="","",IFERROR(Exogena_RAW!G275,""))</f>
        <v/>
      </c>
      <c r="H266" s="48">
        <f>IF(A266="","",IFERROR(Exogena_RAW!H275,""))</f>
        <v/>
      </c>
      <c r="I266" s="48">
        <f>IF(A266="","",IFERROR(IF(S266&gt;1,"VARIAS CASILLAS",IF(S266=1,IF(T266=1,"PROPUESTA DE CASILLA","REVISIÓN: CASILLA NO DIRECTA"),IF(OR(ISNUMBER(SEARCH("TOPE",UPPER(E266))),ISNUMBER(SEARCH("TOPE",UPPER(G266)))),"SOLO CONTROL",IF(ISNUMBER(SEARCH("RETEN",UPPER(E266))),"RETENCIÓN","REVISAR")))),"REVISAR"))</f>
        <v/>
      </c>
      <c r="J266" s="48">
        <f>IF(A266="","",IF(ISNUMBER(SEARCH("ingreso laboral promedio de los últimos seis meses",E266)),"",IFERROR(IF(AND(S266=1,T266=1),U266,""),"")))</f>
        <v/>
      </c>
      <c r="K266" s="216" t="n"/>
      <c r="L266" s="48">
        <f>IF(A266="","",IFERROR(IF(K266&lt;&gt;"","Casilla elegida por usuario",IF(S266&gt;1,"Varias casillas — elegir en K",IF(J266&lt;&gt;"","Sugerencia directa",IF(S266=1,"No trasladar directo — revisar",IF(OR(ISNUMBER(SEARCH("TOPE",UPPER(E266))),ISNUMBER(SEARCH("TOPE",UPPER(G266)))),"Solo control","Revisar manualmente"))))),"Revisar manualmente"))</f>
        <v/>
      </c>
      <c r="M266" s="461">
        <f>IF(A266="","",IF(IF(K266&lt;&gt;"",K266,J266)="",0,IF(COUNTIFS(Reglas!$I$5:$I$118,IF(K266&lt;&gt;"",K266,J266),Reglas!$J$5:$J$118,"Sí")=1,F266,0)))</f>
        <v/>
      </c>
      <c r="N266" s="56" t="n"/>
      <c r="O266" s="462">
        <f>IF(A266="","",IF(M266=0,"",M266))</f>
        <v/>
      </c>
      <c r="P266" s="461">
        <f>IF(A266="","",IF(O266="",0,IF(ISNUMBER(O266),O266,0)))</f>
        <v/>
      </c>
      <c r="Q266" s="48">
        <f>IF(A266="","",IF(Exogena_RAW!$C$4="","BLOQUEADO: FALTA AÑO",IF(Exogena_RAW!$K$10&lt;&gt;Reglas!$B$5,"BLOQUEADO: AÑO",IF(IF(K266&lt;&gt;"",K266,J266)="",IF(S266&gt;1,"REQUIERE ASIGNACIÓN MANUAL (VARIAS CASILLAS)","INFORMATIVO (sin casilla — no se declara)"),IF(COUNTIFS(Reglas!$I$5:$I$118,IF(K266&lt;&gt;"",K266,J266),Reglas!$J$5:$J$118,"Sí")=0,"BLOQUEADO: CASILLA NO DIRECTA",IF(O266="","EXCLUIDO (valor borrado por el usuario)",IF(_xlfn.ISFORMULA(O266),IF(W266&lt;&gt;"","BORRADOR — VALOR SUGERIDO DIAN ⚠ VER ALERTA","BORRADOR — VALOR SUGERIDO DIAN"),IF(W266&lt;&gt;"","ACEPTADO ⚠ VER ALERTA","ACEPTADO"))))))))</f>
        <v/>
      </c>
      <c r="R266" s="218" t="n"/>
      <c r="S266" s="58">
        <f>IF(A266="","",IFERROR(--ISNUMBER(SEARCH("R28",G266)),0)+IFERROR(--ISNUMBER(SEARCH("R29",G266)),0)+IFERROR(--ISNUMBER(SEARCH("R30",G266)),0)+IFERROR(--ISNUMBER(SEARCH("R31",G266)),0)+IFERROR(--ISNUMBER(SEARCH("R32",G266)),0)+IFERROR(--ISNUMBER(SEARCH("R33",G266)),0)+IFERROR(--ISNUMBER(SEARCH("R34",G266)),0)+IFERROR(--ISNUMBER(SEARCH("R35",G266)),0)+IFERROR(--ISNUMBER(SEARCH("R36",G266)),0)+IFERROR(--ISNUMBER(SEARCH("R37",G266)),0)+IFERROR(--ISNUMBER(SEARCH("R38",G266)),0)+IFERROR(--ISNUMBER(SEARCH("R39",G266)),0)+IFERROR(--ISNUMBER(SEARCH("R40",G266)),0)+IFERROR(--ISNUMBER(SEARCH("R41",G266)),0)+IFERROR(--ISNUMBER(SEARCH("R42",G266)),0)+IFERROR(--ISNUMBER(SEARCH("R43",G266)),0)+IFERROR(--ISNUMBER(SEARCH("R44",G266)),0)+IFERROR(--ISNUMBER(SEARCH("R45",G266)),0)+IFERROR(--ISNUMBER(SEARCH("R46",G266)),0)+IFERROR(--ISNUMBER(SEARCH("R47",G266)),0)+IFERROR(--ISNUMBER(SEARCH("R48",G266)),0)+IFERROR(--ISNUMBER(SEARCH("R49",G266)),0)+IFERROR(--ISNUMBER(SEARCH("R50",G266)),0)+IFERROR(--ISNUMBER(SEARCH("R51",G266)),0)+IFERROR(--ISNUMBER(SEARCH("R52",G266)),0)+IFERROR(--ISNUMBER(SEARCH("R53",G266)),0)+IFERROR(--ISNUMBER(SEARCH("R54",G266)),0)+IFERROR(--ISNUMBER(SEARCH("R55",G266)),0)+IFERROR(--ISNUMBER(SEARCH("R56",G266)),0)+IFERROR(--ISNUMBER(SEARCH("R57",G266)),0)+IFERROR(--ISNUMBER(SEARCH("R58",G266)),0)+IFERROR(--ISNUMBER(SEARCH("R59",G266)),0)+IFERROR(--ISNUMBER(SEARCH("R60",G266)),0)+IFERROR(--ISNUMBER(SEARCH("R61",G266)),0)+IFERROR(--ISNUMBER(SEARCH("R62",G266)),0)+IFERROR(--ISNUMBER(SEARCH("R63",G266)),0)+IFERROR(--ISNUMBER(SEARCH("R64",G266)),0)+IFERROR(--ISNUMBER(SEARCH("R65",G266)),0)+IFERROR(--ISNUMBER(SEARCH("R66",G266)),0)+IFERROR(--ISNUMBER(SEARCH("R67",G266)),0)+IFERROR(--ISNUMBER(SEARCH("R68",G266)),0)+IFERROR(--ISNUMBER(SEARCH("R69",G266)),0)+IFERROR(--ISNUMBER(SEARCH("R70",G266)),0)+IFERROR(--ISNUMBER(SEARCH("R71",G266)),0)+IFERROR(--ISNUMBER(SEARCH("R72",G266)),0)+IFERROR(--ISNUMBER(SEARCH("R73",G266)),0)+IFERROR(--ISNUMBER(SEARCH("R74",G266)),0)+IFERROR(--ISNUMBER(SEARCH("R75",G266)),0)+IFERROR(--ISNUMBER(SEARCH("R76",G266)),0)+IFERROR(--ISNUMBER(SEARCH("R77",G266)),0)+IFERROR(--ISNUMBER(SEARCH("R78",G266)),0)+IFERROR(--ISNUMBER(SEARCH("R79",G266)),0)+IFERROR(--ISNUMBER(SEARCH("R80",G266)),0)+IFERROR(--ISNUMBER(SEARCH("R81",G266)),0)+IFERROR(--ISNUMBER(SEARCH("R82",G266)),0)+IFERROR(--ISNUMBER(SEARCH("R83",G266)),0)+IFERROR(--ISNUMBER(SEARCH("R84",G266)),0)+IFERROR(--ISNUMBER(SEARCH("R85",G266)),0)+IFERROR(--ISNUMBER(SEARCH("R86",G266)),0)+IFERROR(--ISNUMBER(SEARCH("R87",G266)),0)+IFERROR(--ISNUMBER(SEARCH("R88",G266)),0)+IFERROR(--ISNUMBER(SEARCH("R89",G266)),0)+IFERROR(--ISNUMBER(SEARCH("R90",G266)),0)+IFERROR(--ISNUMBER(SEARCH("R91",G266)),0)+IFERROR(--ISNUMBER(SEARCH("R92",G266)),0)+IFERROR(--ISNUMBER(SEARCH("R93",G266)),0)+IFERROR(--ISNUMBER(SEARCH("R94",G266)),0)+IFERROR(--ISNUMBER(SEARCH("R95",G266)),0)+IFERROR(--ISNUMBER(SEARCH("R96",G266)),0)+IFERROR(--ISNUMBER(SEARCH("R97",G266)),0)+IFERROR(--ISNUMBER(SEARCH("R98",G266)),0)+IFERROR(--ISNUMBER(SEARCH("R99",G266)),0)+IFERROR(--ISNUMBER(SEARCH("R100",G266)),0)+IFERROR(--ISNUMBER(SEARCH("R101",G266)),0)+IFERROR(--ISNUMBER(SEARCH("R102",G266)),0)+IFERROR(--ISNUMBER(SEARCH("R103",G266)),0)+IFERROR(--ISNUMBER(SEARCH("R104",G266)),0)+IFERROR(--ISNUMBER(SEARCH("R105",G266)),0)+IFERROR(--ISNUMBER(SEARCH("R106",G266)),0)+IFERROR(--ISNUMBER(SEARCH("R107",G266)),0)+IFERROR(--ISNUMBER(SEARCH("R108",G266)),0)+IFERROR(--ISNUMBER(SEARCH("R109",G266)),0)+IFERROR(--ISNUMBER(SEARCH("R110",G266)),0)+IFERROR(--ISNUMBER(SEARCH("R111",G266)),0)+IFERROR(--ISNUMBER(SEARCH("R112",G266)),0)+IFERROR(--ISNUMBER(SEARCH("R113",G266)),0)+IFERROR(--ISNUMBER(SEARCH("R114",G266)),0)+IFERROR(--ISNUMBER(SEARCH("R115",G266)),0)+IFERROR(--ISNUMBER(SEARCH("R116",G266)),0)+IFERROR(--ISNUMBER(SEARCH("R117",G266)),0)+IFERROR(--ISNUMBER(SEARCH("R118",G266)),0)+IFERROR(--ISNUMBER(SEARCH("R119",G266)),0)+IFERROR(--ISNUMBER(SEARCH("R120",G266)),0)+IFERROR(--ISNUMBER(SEARCH("R121",G266)),0)+IFERROR(--ISNUMBER(SEARCH("R122",G266)),0)+IFERROR(--ISNUMBER(SEARCH("R123",G266)),0)+IFERROR(--ISNUMBER(SEARCH("R124",G266)),0)+IFERROR(--ISNUMBER(SEARCH("R125",G266)),0)+IFERROR(--ISNUMBER(SEARCH("R126",G266)),0)+IFERROR(--ISNUMBER(SEARCH("R127",G266)),0)+IFERROR(--ISNUMBER(SEARCH("R128",G266)),0)+IFERROR(--ISNUMBER(SEARCH("R129",G266)),0)+IFERROR(--ISNUMBER(SEARCH("R130",G266)),0)+IFERROR(--ISNUMBER(SEARCH("R131",G266)),0)+IFERROR(--ISNUMBER(SEARCH("R132",G266)),0)+IFERROR(--ISNUMBER(SEARCH("R133",G266)),0)+IFERROR(--ISNUMBER(SEARCH("R134",G266)),0)+IFERROR(--ISNUMBER(SEARCH("R135",G266)),0)+IFERROR(--ISNUMBER(SEARCH("R136",G266)),0)+IFERROR(--ISNUMBER(SEARCH("R137",G266)),0)+IFERROR(--ISNUMBER(SEARCH("R138",G266)),0)+IFERROR(--ISNUMBER(SEARCH("R139",G266)),0)+IFERROR(--ISNUMBER(SEARCH("R140",G266)),0)+IFERROR(--ISNUMBER(SEARCH("R141",G266)),0))</f>
        <v/>
      </c>
      <c r="T266" s="58">
        <f>IF(A266="","",IFERROR(--ISNUMBER(SEARCH("R28",G266)),0)+IFERROR(--ISNUMBER(SEARCH("R29",G266)),0)+IFERROR(--ISNUMBER(SEARCH("R30",G266)),0)+IFERROR(--ISNUMBER(SEARCH("R32",G266)),0)+IFERROR(--ISNUMBER(SEARCH("R33",G266)),0)+IFERROR(--ISNUMBER(SEARCH("R35",G266)),0)+IFERROR(--ISNUMBER(SEARCH("R36",G266)),0)+IFERROR(--ISNUMBER(SEARCH("R38",G266)),0)+IFERROR(--ISNUMBER(SEARCH("R39",G266)),0)+IFERROR(--ISNUMBER(SEARCH("R43",G266)),0)+IFERROR(--ISNUMBER(SEARCH("R44",G266)),0)+IFERROR(--ISNUMBER(SEARCH("R45",G266)),0)+IFERROR(--ISNUMBER(SEARCH("R47",G266)),0)+IFERROR(--ISNUMBER(SEARCH("R48",G266)),0)+IFERROR(--ISNUMBER(SEARCH("R50",G266)),0)+IFERROR(--ISNUMBER(SEARCH("R51",G266)),0)+IFERROR(--ISNUMBER(SEARCH("R56",G266)),0)+IFERROR(--ISNUMBER(SEARCH("R58",G266)),0)+IFERROR(--ISNUMBER(SEARCH("R59",G266)),0)+IFERROR(--ISNUMBER(SEARCH("R60",G266)),0)+IFERROR(--ISNUMBER(SEARCH("R62",G266)),0)+IFERROR(--ISNUMBER(SEARCH("R63",G266)),0)+IFERROR(--ISNUMBER(SEARCH("R64",G266)),0)+IFERROR(--ISNUMBER(SEARCH("R66",G266)),0)+IFERROR(--ISNUMBER(SEARCH("R67",G266)),0)+IFERROR(--ISNUMBER(SEARCH("R72",G266)),0)+IFERROR(--ISNUMBER(SEARCH("R74",G266)),0)+IFERROR(--ISNUMBER(SEARCH("R75",G266)),0)+IFERROR(--ISNUMBER(SEARCH("R76",G266)),0)+IFERROR(--ISNUMBER(SEARCH("R77",G266)),0)+IFERROR(--ISNUMBER(SEARCH("R79",G266)),0)+IFERROR(--ISNUMBER(SEARCH("R80",G266)),0)+IFERROR(--ISNUMBER(SEARCH("R81",G266)),0)+IFERROR(--ISNUMBER(SEARCH("R83",G266)),0)+IFERROR(--ISNUMBER(SEARCH("R84",G266)),0)+IFERROR(--ISNUMBER(SEARCH("R89",G266)),0)+IFERROR(--ISNUMBER(SEARCH("R94",G266)),0)+IFERROR(--ISNUMBER(SEARCH("R95",G266)),0)+IFERROR(--ISNUMBER(SEARCH("R96",G266)),0)+IFERROR(--ISNUMBER(SEARCH("R98",G266)),0)+IFERROR(--ISNUMBER(SEARCH("R99",G266)),0)+IFERROR(--ISNUMBER(SEARCH("R100",G266)),0)+IFERROR(--ISNUMBER(SEARCH("R104",G266)),0)+IFERROR(--ISNUMBER(SEARCH("R105",G266)),0)+IFERROR(--ISNUMBER(SEARCH("R107",G266)),0)+IFERROR(--ISNUMBER(SEARCH("R108",G266)),0)+IFERROR(--ISNUMBER(SEARCH("R109",G266)),0)+IFERROR(--ISNUMBER(SEARCH("R110",G266)),0)+IFERROR(--ISNUMBER(SEARCH("R112",G266)),0)+IFERROR(--ISNUMBER(SEARCH("R113",G266)),0)+IFERROR(--ISNUMBER(SEARCH("R114",G266)),0)+IFERROR(--ISNUMBER(SEARCH("R118",G266)),0)+IFERROR(--ISNUMBER(SEARCH("R119",G266)),0)+IFERROR(--ISNUMBER(SEARCH("R120",G266)),0)+IFERROR(--ISNUMBER(SEARCH("R122",G266)),0)+IFERROR(--ISNUMBER(SEARCH("R123",G266)),0)+IFERROR(--ISNUMBER(SEARCH("R124",G266)),0)+IFERROR(--ISNUMBER(SEARCH("R128",G266)),0)+IFERROR(--ISNUMBER(SEARCH("R130",G266)),0)+IFERROR(--ISNUMBER(SEARCH("R131",G266)),0)+IFERROR(--ISNUMBER(SEARCH("R132",G266)),0)+IFERROR(--ISNUMBER(SEARCH("R135",G266)),0)+IFERROR(--ISNUMBER(SEARCH("R138",G266)),0)+IFERROR(--ISNUMBER(SEARCH("R141",G266)),0))</f>
        <v/>
      </c>
      <c r="U266" s="58">
        <f>IF(A266="","",IFERROR(--ISNUMBER(SEARCH("R28",G266))*28,0)+IFERROR(--ISNUMBER(SEARCH("R29",G266))*29,0)+IFERROR(--ISNUMBER(SEARCH("R30",G266))*30,0)+IFERROR(--ISNUMBER(SEARCH("R31",G266))*31,0)+IFERROR(--ISNUMBER(SEARCH("R32",G266))*32,0)+IFERROR(--ISNUMBER(SEARCH("R33",G266))*33,0)+IFERROR(--ISNUMBER(SEARCH("R34",G266))*34,0)+IFERROR(--ISNUMBER(SEARCH("R35",G266))*35,0)+IFERROR(--ISNUMBER(SEARCH("R36",G266))*36,0)+IFERROR(--ISNUMBER(SEARCH("R37",G266))*37,0)+IFERROR(--ISNUMBER(SEARCH("R38",G266))*38,0)+IFERROR(--ISNUMBER(SEARCH("R39",G266))*39,0)+IFERROR(--ISNUMBER(SEARCH("R40",G266))*40,0)+IFERROR(--ISNUMBER(SEARCH("R41",G266))*41,0)+IFERROR(--ISNUMBER(SEARCH("R42",G266))*42,0)+IFERROR(--ISNUMBER(SEARCH("R43",G266))*43,0)+IFERROR(--ISNUMBER(SEARCH("R44",G266))*44,0)+IFERROR(--ISNUMBER(SEARCH("R45",G266))*45,0)+IFERROR(--ISNUMBER(SEARCH("R46",G266))*46,0)+IFERROR(--ISNUMBER(SEARCH("R47",G266))*47,0)+IFERROR(--ISNUMBER(SEARCH("R48",G266))*48,0)+IFERROR(--ISNUMBER(SEARCH("R49",G266))*49,0)+IFERROR(--ISNUMBER(SEARCH("R50",G266))*50,0)+IFERROR(--ISNUMBER(SEARCH("R51",G266))*51,0)+IFERROR(--ISNUMBER(SEARCH("R52",G266))*52,0)+IFERROR(--ISNUMBER(SEARCH("R53",G266))*53,0)+IFERROR(--ISNUMBER(SEARCH("R54",G266))*54,0)+IFERROR(--ISNUMBER(SEARCH("R55",G266))*55,0)+IFERROR(--ISNUMBER(SEARCH("R56",G266))*56,0)+IFERROR(--ISNUMBER(SEARCH("R57",G266))*57,0)+IFERROR(--ISNUMBER(SEARCH("R58",G266))*58,0)+IFERROR(--ISNUMBER(SEARCH("R59",G266))*59,0)+IFERROR(--ISNUMBER(SEARCH("R60",G266))*60,0)+IFERROR(--ISNUMBER(SEARCH("R61",G266))*61,0)+IFERROR(--ISNUMBER(SEARCH("R62",G266))*62,0)+IFERROR(--ISNUMBER(SEARCH("R63",G266))*63,0)+IFERROR(--ISNUMBER(SEARCH("R64",G266))*64,0)+IFERROR(--ISNUMBER(SEARCH("R65",G266))*65,0)+IFERROR(--ISNUMBER(SEARCH("R66",G266))*66,0)+IFERROR(--ISNUMBER(SEARCH("R67",G266))*67,0)+IFERROR(--ISNUMBER(SEARCH("R68",G266))*68,0)+IFERROR(--ISNUMBER(SEARCH("R69",G266))*69,0)+IFERROR(--ISNUMBER(SEARCH("R70",G266))*70,0)+IFERROR(--ISNUMBER(SEARCH("R71",G266))*71,0)+IFERROR(--ISNUMBER(SEARCH("R72",G266))*72,0)+IFERROR(--ISNUMBER(SEARCH("R73",G266))*73,0)+IFERROR(--ISNUMBER(SEARCH("R74",G266))*74,0)+IFERROR(--ISNUMBER(SEARCH("R75",G266))*75,0)+IFERROR(--ISNUMBER(SEARCH("R76",G266))*76,0)+IFERROR(--ISNUMBER(SEARCH("R77",G266))*77,0)+IFERROR(--ISNUMBER(SEARCH("R78",G266))*78,0)+IFERROR(--ISNUMBER(SEARCH("R79",G266))*79,0)+IFERROR(--ISNUMBER(SEARCH("R80",G266))*80,0)+IFERROR(--ISNUMBER(SEARCH("R81",G266))*81,0)+IFERROR(--ISNUMBER(SEARCH("R82",G266))*82,0)+IFERROR(--ISNUMBER(SEARCH("R83",G266))*83,0)+IFERROR(--ISNUMBER(SEARCH("R84",G266))*84,0)+IFERROR(--ISNUMBER(SEARCH("R85",G266))*85,0)+IFERROR(--ISNUMBER(SEARCH("R86",G266))*86,0)+IFERROR(--ISNUMBER(SEARCH("R87",G266))*87,0)+IFERROR(--ISNUMBER(SEARCH("R88",G266))*88,0)+IFERROR(--ISNUMBER(SEARCH("R89",G266))*89,0)+IFERROR(--ISNUMBER(SEARCH("R90",G266))*90,0)+IFERROR(--ISNUMBER(SEARCH("R91",G266))*91,0)+IFERROR(--ISNUMBER(SEARCH("R92",G266))*92,0)+IFERROR(--ISNUMBER(SEARCH("R93",G266))*93,0)+IFERROR(--ISNUMBER(SEARCH("R94",G266))*94,0)+IFERROR(--ISNUMBER(SEARCH("R95",G266))*95,0)+IFERROR(--ISNUMBER(SEARCH("R96",G266))*96,0)+IFERROR(--ISNUMBER(SEARCH("R97",G266))*97,0)+IFERROR(--ISNUMBER(SEARCH("R98",G266))*98,0)+IFERROR(--ISNUMBER(SEARCH("R99",G266))*99,0)+IFERROR(--ISNUMBER(SEARCH("R100",G266))*100,0)+IFERROR(--ISNUMBER(SEARCH("R101",G266))*101,0)+IFERROR(--ISNUMBER(SEARCH("R102",G266))*102,0)+IFERROR(--ISNUMBER(SEARCH("R103",G266))*103,0)+IFERROR(--ISNUMBER(SEARCH("R104",G266))*104,0)+IFERROR(--ISNUMBER(SEARCH("R105",G266))*105,0)+IFERROR(--ISNUMBER(SEARCH("R106",G266))*106,0)+IFERROR(--ISNUMBER(SEARCH("R107",G266))*107,0)+IFERROR(--ISNUMBER(SEARCH("R108",G266))*108,0)+IFERROR(--ISNUMBER(SEARCH("R109",G266))*109,0)+IFERROR(--ISNUMBER(SEARCH("R110",G266))*110,0)+IFERROR(--ISNUMBER(SEARCH("R111",G266))*111,0)+IFERROR(--ISNUMBER(SEARCH("R112",G266))*112,0)+IFERROR(--ISNUMBER(SEARCH("R113",G266))*113,0)+IFERROR(--ISNUMBER(SEARCH("R114",G266))*114,0)+IFERROR(--ISNUMBER(SEARCH("R115",G266))*115,0)+IFERROR(--ISNUMBER(SEARCH("R116",G266))*116,0)+IFERROR(--ISNUMBER(SEARCH("R117",G266))*117,0)+IFERROR(--ISNUMBER(SEARCH("R118",G266))*118,0)+IFERROR(--ISNUMBER(SEARCH("R119",G266))*119,0)+IFERROR(--ISNUMBER(SEARCH("R120",G266))*120,0)+IFERROR(--ISNUMBER(SEARCH("R121",G266))*121,0)+IFERROR(--ISNUMBER(SEARCH("R122",G266))*122,0)+IFERROR(--ISNUMBER(SEARCH("R123",G266))*123,0)+IFERROR(--ISNUMBER(SEARCH("R124",G266))*124,0)+IFERROR(--ISNUMBER(SEARCH("R125",G266))*125,0)+IFERROR(--ISNUMBER(SEARCH("R126",G266))*126,0)+IFERROR(--ISNUMBER(SEARCH("R127",G266))*127,0)+IFERROR(--ISNUMBER(SEARCH("R128",G266))*128,0)+IFERROR(--ISNUMBER(SEARCH("R129",G266))*129,0)+IFERROR(--ISNUMBER(SEARCH("R130",G266))*130,0)+IFERROR(--ISNUMBER(SEARCH("R131",G266))*131,0)+IFERROR(--ISNUMBER(SEARCH("R132",G266))*132,0)+IFERROR(--ISNUMBER(SEARCH("R133",G266))*133,0)+IFERROR(--ISNUMBER(SEARCH("R134",G266))*134,0)+IFERROR(--ISNUMBER(SEARCH("R135",G266))*135,0)+IFERROR(--ISNUMBER(SEARCH("R136",G266))*136,0)+IFERROR(--ISNUMBER(SEARCH("R137",G266))*137,0)+IFERROR(--ISNUMBER(SEARCH("R138",G266))*138,0)+IFERROR(--ISNUMBER(SEARCH("R139",G266))*139,0)+IFERROR(--ISNUMBER(SEARCH("R140",G266))*140,0)+IFERROR(--ISNUMBER(SEARCH("R141",G266))*141,0))</f>
        <v/>
      </c>
      <c r="V266" s="59">
        <f>IF(A266="","",IF(K266&lt;&gt;"",K266,J266))</f>
        <v/>
      </c>
      <c r="W266" s="59">
        <f>IF(A266="","",IF(AND(V266=29,O266&lt;&gt;"",COUNTIFS($V$6:$V$505,29,$F$6:$F$505,F266,$C$6:$C$505,C266,$O$6:$O$505,"&lt;&gt;")&gt;1),IF(COUNTIFS($V$6:V266,29,$F$6:F266,F266,$C$6:C266,C266,$O$6:O266,"&lt;&gt;")=1,"Esta es la fila que se debe CONSERVAR (aparición 1 de "&amp;COUNTIFS($V$6:$V$505,29,$F$6:$F$505,F266,$C$6:$C$505,C266,$O$6:$O$505,"&lt;&gt;")&amp;" con el mismo tercero y valor, casilla 29). Si hay más filas iguales, bórreles el valor a ELLAS, no a esta.","DUPLICADO — ya existe otra fila con el mismo tercero y valor para casilla 29 (aparición "&amp;COUNTIFS($V$6:V266,29,$F$6:F266,F266,$C$6:C266,C266,$O$6:O266,"&lt;&gt;")&amp;" de "&amp;COUNTIFS($V$6:$V$505,29,$F$6:$F$505,F266,$C$6:$C$505,C266,$O$6:$O$505,"&lt;&gt;")&amp;"). Para resolverlo: seleccione la celda O"&amp;ROW()&amp;" (columna Valor a declarar de ESTA fila) y presione Supr."),""))</f>
        <v/>
      </c>
      <c r="X266" s="463">
        <f>IF(A266="","",F266)</f>
        <v/>
      </c>
      <c r="Y266" s="463">
        <f>IF(A266="","",SUMIF(Entrada_Manual!$I$88:$I$187,A266,Entrada_Manual!$F$88:$F$187))</f>
        <v/>
      </c>
      <c r="Z266" s="463">
        <f>IF(A266="","",X266-Y266)</f>
        <v/>
      </c>
      <c r="AA266">
        <f>IF(A266="","",SUMPRODUCT((Entrada_Manual!$I$88:$I$187=A266)*1))</f>
        <v/>
      </c>
      <c r="AB266">
        <f>IF(A266="","",IF(S266&lt;=1,"",IF(AA266=0,"PENDIENTE — SIN ASIGNAR",IF(Z266=0,"RESUELTO","PARCIAL — DIFERENCIA "&amp;TEXT(Z266,"#,##0")))))</f>
        <v/>
      </c>
    </row>
    <row r="267" ht="14.25" customHeight="1" s="235">
      <c r="A267" s="47">
        <f>IF(Exogena_RAW!E276&lt;&gt;"",ROW()-5,"")</f>
        <v/>
      </c>
      <c r="B267" s="48">
        <f>IF(A267="","",276)</f>
        <v/>
      </c>
      <c r="C267" s="48">
        <f>IF(A267="","",IFERROR(Exogena_RAW!A276,""))</f>
        <v/>
      </c>
      <c r="D267" s="48">
        <f>IF(A267="","",IFERROR(Exogena_RAW!B276,""))</f>
        <v/>
      </c>
      <c r="E267" s="48">
        <f>IF(A267="","",Exogena_RAW!E276)</f>
        <v/>
      </c>
      <c r="F267" s="461">
        <f>IF(A267="","",Exogena_RAW!F276)</f>
        <v/>
      </c>
      <c r="G267" s="48">
        <f>IF(A267="","",IFERROR(Exogena_RAW!G276,""))</f>
        <v/>
      </c>
      <c r="H267" s="48">
        <f>IF(A267="","",IFERROR(Exogena_RAW!H276,""))</f>
        <v/>
      </c>
      <c r="I267" s="48">
        <f>IF(A267="","",IFERROR(IF(S267&gt;1,"VARIAS CASILLAS",IF(S267=1,IF(T267=1,"PROPUESTA DE CASILLA","REVISIÓN: CASILLA NO DIRECTA"),IF(OR(ISNUMBER(SEARCH("TOPE",UPPER(E267))),ISNUMBER(SEARCH("TOPE",UPPER(G267)))),"SOLO CONTROL",IF(ISNUMBER(SEARCH("RETEN",UPPER(E267))),"RETENCIÓN","REVISAR")))),"REVISAR"))</f>
        <v/>
      </c>
      <c r="J267" s="48">
        <f>IF(A267="","",IF(ISNUMBER(SEARCH("ingreso laboral promedio de los últimos seis meses",E267)),"",IFERROR(IF(AND(S267=1,T267=1),U267,""),"")))</f>
        <v/>
      </c>
      <c r="K267" s="216" t="n"/>
      <c r="L267" s="48">
        <f>IF(A267="","",IFERROR(IF(K267&lt;&gt;"","Casilla elegida por usuario",IF(S267&gt;1,"Varias casillas — elegir en K",IF(J267&lt;&gt;"","Sugerencia directa",IF(S267=1,"No trasladar directo — revisar",IF(OR(ISNUMBER(SEARCH("TOPE",UPPER(E267))),ISNUMBER(SEARCH("TOPE",UPPER(G267)))),"Solo control","Revisar manualmente"))))),"Revisar manualmente"))</f>
        <v/>
      </c>
      <c r="M267" s="461">
        <f>IF(A267="","",IF(IF(K267&lt;&gt;"",K267,J267)="",0,IF(COUNTIFS(Reglas!$I$5:$I$118,IF(K267&lt;&gt;"",K267,J267),Reglas!$J$5:$J$118,"Sí")=1,F267,0)))</f>
        <v/>
      </c>
      <c r="N267" s="56" t="n"/>
      <c r="O267" s="462">
        <f>IF(A267="","",IF(M267=0,"",M267))</f>
        <v/>
      </c>
      <c r="P267" s="461">
        <f>IF(A267="","",IF(O267="",0,IF(ISNUMBER(O267),O267,0)))</f>
        <v/>
      </c>
      <c r="Q267" s="48">
        <f>IF(A267="","",IF(Exogena_RAW!$C$4="","BLOQUEADO: FALTA AÑO",IF(Exogena_RAW!$K$10&lt;&gt;Reglas!$B$5,"BLOQUEADO: AÑO",IF(IF(K267&lt;&gt;"",K267,J267)="",IF(S267&gt;1,"REQUIERE ASIGNACIÓN MANUAL (VARIAS CASILLAS)","INFORMATIVO (sin casilla — no se declara)"),IF(COUNTIFS(Reglas!$I$5:$I$118,IF(K267&lt;&gt;"",K267,J267),Reglas!$J$5:$J$118,"Sí")=0,"BLOQUEADO: CASILLA NO DIRECTA",IF(O267="","EXCLUIDO (valor borrado por el usuario)",IF(_xlfn.ISFORMULA(O267),IF(W267&lt;&gt;"","BORRADOR — VALOR SUGERIDO DIAN ⚠ VER ALERTA","BORRADOR — VALOR SUGERIDO DIAN"),IF(W267&lt;&gt;"","ACEPTADO ⚠ VER ALERTA","ACEPTADO"))))))))</f>
        <v/>
      </c>
      <c r="R267" s="218" t="n"/>
      <c r="S267" s="58">
        <f>IF(A267="","",IFERROR(--ISNUMBER(SEARCH("R28",G267)),0)+IFERROR(--ISNUMBER(SEARCH("R29",G267)),0)+IFERROR(--ISNUMBER(SEARCH("R30",G267)),0)+IFERROR(--ISNUMBER(SEARCH("R31",G267)),0)+IFERROR(--ISNUMBER(SEARCH("R32",G267)),0)+IFERROR(--ISNUMBER(SEARCH("R33",G267)),0)+IFERROR(--ISNUMBER(SEARCH("R34",G267)),0)+IFERROR(--ISNUMBER(SEARCH("R35",G267)),0)+IFERROR(--ISNUMBER(SEARCH("R36",G267)),0)+IFERROR(--ISNUMBER(SEARCH("R37",G267)),0)+IFERROR(--ISNUMBER(SEARCH("R38",G267)),0)+IFERROR(--ISNUMBER(SEARCH("R39",G267)),0)+IFERROR(--ISNUMBER(SEARCH("R40",G267)),0)+IFERROR(--ISNUMBER(SEARCH("R41",G267)),0)+IFERROR(--ISNUMBER(SEARCH("R42",G267)),0)+IFERROR(--ISNUMBER(SEARCH("R43",G267)),0)+IFERROR(--ISNUMBER(SEARCH("R44",G267)),0)+IFERROR(--ISNUMBER(SEARCH("R45",G267)),0)+IFERROR(--ISNUMBER(SEARCH("R46",G267)),0)+IFERROR(--ISNUMBER(SEARCH("R47",G267)),0)+IFERROR(--ISNUMBER(SEARCH("R48",G267)),0)+IFERROR(--ISNUMBER(SEARCH("R49",G267)),0)+IFERROR(--ISNUMBER(SEARCH("R50",G267)),0)+IFERROR(--ISNUMBER(SEARCH("R51",G267)),0)+IFERROR(--ISNUMBER(SEARCH("R52",G267)),0)+IFERROR(--ISNUMBER(SEARCH("R53",G267)),0)+IFERROR(--ISNUMBER(SEARCH("R54",G267)),0)+IFERROR(--ISNUMBER(SEARCH("R55",G267)),0)+IFERROR(--ISNUMBER(SEARCH("R56",G267)),0)+IFERROR(--ISNUMBER(SEARCH("R57",G267)),0)+IFERROR(--ISNUMBER(SEARCH("R58",G267)),0)+IFERROR(--ISNUMBER(SEARCH("R59",G267)),0)+IFERROR(--ISNUMBER(SEARCH("R60",G267)),0)+IFERROR(--ISNUMBER(SEARCH("R61",G267)),0)+IFERROR(--ISNUMBER(SEARCH("R62",G267)),0)+IFERROR(--ISNUMBER(SEARCH("R63",G267)),0)+IFERROR(--ISNUMBER(SEARCH("R64",G267)),0)+IFERROR(--ISNUMBER(SEARCH("R65",G267)),0)+IFERROR(--ISNUMBER(SEARCH("R66",G267)),0)+IFERROR(--ISNUMBER(SEARCH("R67",G267)),0)+IFERROR(--ISNUMBER(SEARCH("R68",G267)),0)+IFERROR(--ISNUMBER(SEARCH("R69",G267)),0)+IFERROR(--ISNUMBER(SEARCH("R70",G267)),0)+IFERROR(--ISNUMBER(SEARCH("R71",G267)),0)+IFERROR(--ISNUMBER(SEARCH("R72",G267)),0)+IFERROR(--ISNUMBER(SEARCH("R73",G267)),0)+IFERROR(--ISNUMBER(SEARCH("R74",G267)),0)+IFERROR(--ISNUMBER(SEARCH("R75",G267)),0)+IFERROR(--ISNUMBER(SEARCH("R76",G267)),0)+IFERROR(--ISNUMBER(SEARCH("R77",G267)),0)+IFERROR(--ISNUMBER(SEARCH("R78",G267)),0)+IFERROR(--ISNUMBER(SEARCH("R79",G267)),0)+IFERROR(--ISNUMBER(SEARCH("R80",G267)),0)+IFERROR(--ISNUMBER(SEARCH("R81",G267)),0)+IFERROR(--ISNUMBER(SEARCH("R82",G267)),0)+IFERROR(--ISNUMBER(SEARCH("R83",G267)),0)+IFERROR(--ISNUMBER(SEARCH("R84",G267)),0)+IFERROR(--ISNUMBER(SEARCH("R85",G267)),0)+IFERROR(--ISNUMBER(SEARCH("R86",G267)),0)+IFERROR(--ISNUMBER(SEARCH("R87",G267)),0)+IFERROR(--ISNUMBER(SEARCH("R88",G267)),0)+IFERROR(--ISNUMBER(SEARCH("R89",G267)),0)+IFERROR(--ISNUMBER(SEARCH("R90",G267)),0)+IFERROR(--ISNUMBER(SEARCH("R91",G267)),0)+IFERROR(--ISNUMBER(SEARCH("R92",G267)),0)+IFERROR(--ISNUMBER(SEARCH("R93",G267)),0)+IFERROR(--ISNUMBER(SEARCH("R94",G267)),0)+IFERROR(--ISNUMBER(SEARCH("R95",G267)),0)+IFERROR(--ISNUMBER(SEARCH("R96",G267)),0)+IFERROR(--ISNUMBER(SEARCH("R97",G267)),0)+IFERROR(--ISNUMBER(SEARCH("R98",G267)),0)+IFERROR(--ISNUMBER(SEARCH("R99",G267)),0)+IFERROR(--ISNUMBER(SEARCH("R100",G267)),0)+IFERROR(--ISNUMBER(SEARCH("R101",G267)),0)+IFERROR(--ISNUMBER(SEARCH("R102",G267)),0)+IFERROR(--ISNUMBER(SEARCH("R103",G267)),0)+IFERROR(--ISNUMBER(SEARCH("R104",G267)),0)+IFERROR(--ISNUMBER(SEARCH("R105",G267)),0)+IFERROR(--ISNUMBER(SEARCH("R106",G267)),0)+IFERROR(--ISNUMBER(SEARCH("R107",G267)),0)+IFERROR(--ISNUMBER(SEARCH("R108",G267)),0)+IFERROR(--ISNUMBER(SEARCH("R109",G267)),0)+IFERROR(--ISNUMBER(SEARCH("R110",G267)),0)+IFERROR(--ISNUMBER(SEARCH("R111",G267)),0)+IFERROR(--ISNUMBER(SEARCH("R112",G267)),0)+IFERROR(--ISNUMBER(SEARCH("R113",G267)),0)+IFERROR(--ISNUMBER(SEARCH("R114",G267)),0)+IFERROR(--ISNUMBER(SEARCH("R115",G267)),0)+IFERROR(--ISNUMBER(SEARCH("R116",G267)),0)+IFERROR(--ISNUMBER(SEARCH("R117",G267)),0)+IFERROR(--ISNUMBER(SEARCH("R118",G267)),0)+IFERROR(--ISNUMBER(SEARCH("R119",G267)),0)+IFERROR(--ISNUMBER(SEARCH("R120",G267)),0)+IFERROR(--ISNUMBER(SEARCH("R121",G267)),0)+IFERROR(--ISNUMBER(SEARCH("R122",G267)),0)+IFERROR(--ISNUMBER(SEARCH("R123",G267)),0)+IFERROR(--ISNUMBER(SEARCH("R124",G267)),0)+IFERROR(--ISNUMBER(SEARCH("R125",G267)),0)+IFERROR(--ISNUMBER(SEARCH("R126",G267)),0)+IFERROR(--ISNUMBER(SEARCH("R127",G267)),0)+IFERROR(--ISNUMBER(SEARCH("R128",G267)),0)+IFERROR(--ISNUMBER(SEARCH("R129",G267)),0)+IFERROR(--ISNUMBER(SEARCH("R130",G267)),0)+IFERROR(--ISNUMBER(SEARCH("R131",G267)),0)+IFERROR(--ISNUMBER(SEARCH("R132",G267)),0)+IFERROR(--ISNUMBER(SEARCH("R133",G267)),0)+IFERROR(--ISNUMBER(SEARCH("R134",G267)),0)+IFERROR(--ISNUMBER(SEARCH("R135",G267)),0)+IFERROR(--ISNUMBER(SEARCH("R136",G267)),0)+IFERROR(--ISNUMBER(SEARCH("R137",G267)),0)+IFERROR(--ISNUMBER(SEARCH("R138",G267)),0)+IFERROR(--ISNUMBER(SEARCH("R139",G267)),0)+IFERROR(--ISNUMBER(SEARCH("R140",G267)),0)+IFERROR(--ISNUMBER(SEARCH("R141",G267)),0))</f>
        <v/>
      </c>
      <c r="T267" s="58">
        <f>IF(A267="","",IFERROR(--ISNUMBER(SEARCH("R28",G267)),0)+IFERROR(--ISNUMBER(SEARCH("R29",G267)),0)+IFERROR(--ISNUMBER(SEARCH("R30",G267)),0)+IFERROR(--ISNUMBER(SEARCH("R32",G267)),0)+IFERROR(--ISNUMBER(SEARCH("R33",G267)),0)+IFERROR(--ISNUMBER(SEARCH("R35",G267)),0)+IFERROR(--ISNUMBER(SEARCH("R36",G267)),0)+IFERROR(--ISNUMBER(SEARCH("R38",G267)),0)+IFERROR(--ISNUMBER(SEARCH("R39",G267)),0)+IFERROR(--ISNUMBER(SEARCH("R43",G267)),0)+IFERROR(--ISNUMBER(SEARCH("R44",G267)),0)+IFERROR(--ISNUMBER(SEARCH("R45",G267)),0)+IFERROR(--ISNUMBER(SEARCH("R47",G267)),0)+IFERROR(--ISNUMBER(SEARCH("R48",G267)),0)+IFERROR(--ISNUMBER(SEARCH("R50",G267)),0)+IFERROR(--ISNUMBER(SEARCH("R51",G267)),0)+IFERROR(--ISNUMBER(SEARCH("R56",G267)),0)+IFERROR(--ISNUMBER(SEARCH("R58",G267)),0)+IFERROR(--ISNUMBER(SEARCH("R59",G267)),0)+IFERROR(--ISNUMBER(SEARCH("R60",G267)),0)+IFERROR(--ISNUMBER(SEARCH("R62",G267)),0)+IFERROR(--ISNUMBER(SEARCH("R63",G267)),0)+IFERROR(--ISNUMBER(SEARCH("R64",G267)),0)+IFERROR(--ISNUMBER(SEARCH("R66",G267)),0)+IFERROR(--ISNUMBER(SEARCH("R67",G267)),0)+IFERROR(--ISNUMBER(SEARCH("R72",G267)),0)+IFERROR(--ISNUMBER(SEARCH("R74",G267)),0)+IFERROR(--ISNUMBER(SEARCH("R75",G267)),0)+IFERROR(--ISNUMBER(SEARCH("R76",G267)),0)+IFERROR(--ISNUMBER(SEARCH("R77",G267)),0)+IFERROR(--ISNUMBER(SEARCH("R79",G267)),0)+IFERROR(--ISNUMBER(SEARCH("R80",G267)),0)+IFERROR(--ISNUMBER(SEARCH("R81",G267)),0)+IFERROR(--ISNUMBER(SEARCH("R83",G267)),0)+IFERROR(--ISNUMBER(SEARCH("R84",G267)),0)+IFERROR(--ISNUMBER(SEARCH("R89",G267)),0)+IFERROR(--ISNUMBER(SEARCH("R94",G267)),0)+IFERROR(--ISNUMBER(SEARCH("R95",G267)),0)+IFERROR(--ISNUMBER(SEARCH("R96",G267)),0)+IFERROR(--ISNUMBER(SEARCH("R98",G267)),0)+IFERROR(--ISNUMBER(SEARCH("R99",G267)),0)+IFERROR(--ISNUMBER(SEARCH("R100",G267)),0)+IFERROR(--ISNUMBER(SEARCH("R104",G267)),0)+IFERROR(--ISNUMBER(SEARCH("R105",G267)),0)+IFERROR(--ISNUMBER(SEARCH("R107",G267)),0)+IFERROR(--ISNUMBER(SEARCH("R108",G267)),0)+IFERROR(--ISNUMBER(SEARCH("R109",G267)),0)+IFERROR(--ISNUMBER(SEARCH("R110",G267)),0)+IFERROR(--ISNUMBER(SEARCH("R112",G267)),0)+IFERROR(--ISNUMBER(SEARCH("R113",G267)),0)+IFERROR(--ISNUMBER(SEARCH("R114",G267)),0)+IFERROR(--ISNUMBER(SEARCH("R118",G267)),0)+IFERROR(--ISNUMBER(SEARCH("R119",G267)),0)+IFERROR(--ISNUMBER(SEARCH("R120",G267)),0)+IFERROR(--ISNUMBER(SEARCH("R122",G267)),0)+IFERROR(--ISNUMBER(SEARCH("R123",G267)),0)+IFERROR(--ISNUMBER(SEARCH("R124",G267)),0)+IFERROR(--ISNUMBER(SEARCH("R128",G267)),0)+IFERROR(--ISNUMBER(SEARCH("R130",G267)),0)+IFERROR(--ISNUMBER(SEARCH("R131",G267)),0)+IFERROR(--ISNUMBER(SEARCH("R132",G267)),0)+IFERROR(--ISNUMBER(SEARCH("R135",G267)),0)+IFERROR(--ISNUMBER(SEARCH("R138",G267)),0)+IFERROR(--ISNUMBER(SEARCH("R141",G267)),0))</f>
        <v/>
      </c>
      <c r="U267" s="58">
        <f>IF(A267="","",IFERROR(--ISNUMBER(SEARCH("R28",G267))*28,0)+IFERROR(--ISNUMBER(SEARCH("R29",G267))*29,0)+IFERROR(--ISNUMBER(SEARCH("R30",G267))*30,0)+IFERROR(--ISNUMBER(SEARCH("R31",G267))*31,0)+IFERROR(--ISNUMBER(SEARCH("R32",G267))*32,0)+IFERROR(--ISNUMBER(SEARCH("R33",G267))*33,0)+IFERROR(--ISNUMBER(SEARCH("R34",G267))*34,0)+IFERROR(--ISNUMBER(SEARCH("R35",G267))*35,0)+IFERROR(--ISNUMBER(SEARCH("R36",G267))*36,0)+IFERROR(--ISNUMBER(SEARCH("R37",G267))*37,0)+IFERROR(--ISNUMBER(SEARCH("R38",G267))*38,0)+IFERROR(--ISNUMBER(SEARCH("R39",G267))*39,0)+IFERROR(--ISNUMBER(SEARCH("R40",G267))*40,0)+IFERROR(--ISNUMBER(SEARCH("R41",G267))*41,0)+IFERROR(--ISNUMBER(SEARCH("R42",G267))*42,0)+IFERROR(--ISNUMBER(SEARCH("R43",G267))*43,0)+IFERROR(--ISNUMBER(SEARCH("R44",G267))*44,0)+IFERROR(--ISNUMBER(SEARCH("R45",G267))*45,0)+IFERROR(--ISNUMBER(SEARCH("R46",G267))*46,0)+IFERROR(--ISNUMBER(SEARCH("R47",G267))*47,0)+IFERROR(--ISNUMBER(SEARCH("R48",G267))*48,0)+IFERROR(--ISNUMBER(SEARCH("R49",G267))*49,0)+IFERROR(--ISNUMBER(SEARCH("R50",G267))*50,0)+IFERROR(--ISNUMBER(SEARCH("R51",G267))*51,0)+IFERROR(--ISNUMBER(SEARCH("R52",G267))*52,0)+IFERROR(--ISNUMBER(SEARCH("R53",G267))*53,0)+IFERROR(--ISNUMBER(SEARCH("R54",G267))*54,0)+IFERROR(--ISNUMBER(SEARCH("R55",G267))*55,0)+IFERROR(--ISNUMBER(SEARCH("R56",G267))*56,0)+IFERROR(--ISNUMBER(SEARCH("R57",G267))*57,0)+IFERROR(--ISNUMBER(SEARCH("R58",G267))*58,0)+IFERROR(--ISNUMBER(SEARCH("R59",G267))*59,0)+IFERROR(--ISNUMBER(SEARCH("R60",G267))*60,0)+IFERROR(--ISNUMBER(SEARCH("R61",G267))*61,0)+IFERROR(--ISNUMBER(SEARCH("R62",G267))*62,0)+IFERROR(--ISNUMBER(SEARCH("R63",G267))*63,0)+IFERROR(--ISNUMBER(SEARCH("R64",G267))*64,0)+IFERROR(--ISNUMBER(SEARCH("R65",G267))*65,0)+IFERROR(--ISNUMBER(SEARCH("R66",G267))*66,0)+IFERROR(--ISNUMBER(SEARCH("R67",G267))*67,0)+IFERROR(--ISNUMBER(SEARCH("R68",G267))*68,0)+IFERROR(--ISNUMBER(SEARCH("R69",G267))*69,0)+IFERROR(--ISNUMBER(SEARCH("R70",G267))*70,0)+IFERROR(--ISNUMBER(SEARCH("R71",G267))*71,0)+IFERROR(--ISNUMBER(SEARCH("R72",G267))*72,0)+IFERROR(--ISNUMBER(SEARCH("R73",G267))*73,0)+IFERROR(--ISNUMBER(SEARCH("R74",G267))*74,0)+IFERROR(--ISNUMBER(SEARCH("R75",G267))*75,0)+IFERROR(--ISNUMBER(SEARCH("R76",G267))*76,0)+IFERROR(--ISNUMBER(SEARCH("R77",G267))*77,0)+IFERROR(--ISNUMBER(SEARCH("R78",G267))*78,0)+IFERROR(--ISNUMBER(SEARCH("R79",G267))*79,0)+IFERROR(--ISNUMBER(SEARCH("R80",G267))*80,0)+IFERROR(--ISNUMBER(SEARCH("R81",G267))*81,0)+IFERROR(--ISNUMBER(SEARCH("R82",G267))*82,0)+IFERROR(--ISNUMBER(SEARCH("R83",G267))*83,0)+IFERROR(--ISNUMBER(SEARCH("R84",G267))*84,0)+IFERROR(--ISNUMBER(SEARCH("R85",G267))*85,0)+IFERROR(--ISNUMBER(SEARCH("R86",G267))*86,0)+IFERROR(--ISNUMBER(SEARCH("R87",G267))*87,0)+IFERROR(--ISNUMBER(SEARCH("R88",G267))*88,0)+IFERROR(--ISNUMBER(SEARCH("R89",G267))*89,0)+IFERROR(--ISNUMBER(SEARCH("R90",G267))*90,0)+IFERROR(--ISNUMBER(SEARCH("R91",G267))*91,0)+IFERROR(--ISNUMBER(SEARCH("R92",G267))*92,0)+IFERROR(--ISNUMBER(SEARCH("R93",G267))*93,0)+IFERROR(--ISNUMBER(SEARCH("R94",G267))*94,0)+IFERROR(--ISNUMBER(SEARCH("R95",G267))*95,0)+IFERROR(--ISNUMBER(SEARCH("R96",G267))*96,0)+IFERROR(--ISNUMBER(SEARCH("R97",G267))*97,0)+IFERROR(--ISNUMBER(SEARCH("R98",G267))*98,0)+IFERROR(--ISNUMBER(SEARCH("R99",G267))*99,0)+IFERROR(--ISNUMBER(SEARCH("R100",G267))*100,0)+IFERROR(--ISNUMBER(SEARCH("R101",G267))*101,0)+IFERROR(--ISNUMBER(SEARCH("R102",G267))*102,0)+IFERROR(--ISNUMBER(SEARCH("R103",G267))*103,0)+IFERROR(--ISNUMBER(SEARCH("R104",G267))*104,0)+IFERROR(--ISNUMBER(SEARCH("R105",G267))*105,0)+IFERROR(--ISNUMBER(SEARCH("R106",G267))*106,0)+IFERROR(--ISNUMBER(SEARCH("R107",G267))*107,0)+IFERROR(--ISNUMBER(SEARCH("R108",G267))*108,0)+IFERROR(--ISNUMBER(SEARCH("R109",G267))*109,0)+IFERROR(--ISNUMBER(SEARCH("R110",G267))*110,0)+IFERROR(--ISNUMBER(SEARCH("R111",G267))*111,0)+IFERROR(--ISNUMBER(SEARCH("R112",G267))*112,0)+IFERROR(--ISNUMBER(SEARCH("R113",G267))*113,0)+IFERROR(--ISNUMBER(SEARCH("R114",G267))*114,0)+IFERROR(--ISNUMBER(SEARCH("R115",G267))*115,0)+IFERROR(--ISNUMBER(SEARCH("R116",G267))*116,0)+IFERROR(--ISNUMBER(SEARCH("R117",G267))*117,0)+IFERROR(--ISNUMBER(SEARCH("R118",G267))*118,0)+IFERROR(--ISNUMBER(SEARCH("R119",G267))*119,0)+IFERROR(--ISNUMBER(SEARCH("R120",G267))*120,0)+IFERROR(--ISNUMBER(SEARCH("R121",G267))*121,0)+IFERROR(--ISNUMBER(SEARCH("R122",G267))*122,0)+IFERROR(--ISNUMBER(SEARCH("R123",G267))*123,0)+IFERROR(--ISNUMBER(SEARCH("R124",G267))*124,0)+IFERROR(--ISNUMBER(SEARCH("R125",G267))*125,0)+IFERROR(--ISNUMBER(SEARCH("R126",G267))*126,0)+IFERROR(--ISNUMBER(SEARCH("R127",G267))*127,0)+IFERROR(--ISNUMBER(SEARCH("R128",G267))*128,0)+IFERROR(--ISNUMBER(SEARCH("R129",G267))*129,0)+IFERROR(--ISNUMBER(SEARCH("R130",G267))*130,0)+IFERROR(--ISNUMBER(SEARCH("R131",G267))*131,0)+IFERROR(--ISNUMBER(SEARCH("R132",G267))*132,0)+IFERROR(--ISNUMBER(SEARCH("R133",G267))*133,0)+IFERROR(--ISNUMBER(SEARCH("R134",G267))*134,0)+IFERROR(--ISNUMBER(SEARCH("R135",G267))*135,0)+IFERROR(--ISNUMBER(SEARCH("R136",G267))*136,0)+IFERROR(--ISNUMBER(SEARCH("R137",G267))*137,0)+IFERROR(--ISNUMBER(SEARCH("R138",G267))*138,0)+IFERROR(--ISNUMBER(SEARCH("R139",G267))*139,0)+IFERROR(--ISNUMBER(SEARCH("R140",G267))*140,0)+IFERROR(--ISNUMBER(SEARCH("R141",G267))*141,0))</f>
        <v/>
      </c>
      <c r="V267" s="59">
        <f>IF(A267="","",IF(K267&lt;&gt;"",K267,J267))</f>
        <v/>
      </c>
      <c r="W267" s="59">
        <f>IF(A267="","",IF(AND(V267=29,O267&lt;&gt;"",COUNTIFS($V$6:$V$505,29,$F$6:$F$505,F267,$C$6:$C$505,C267,$O$6:$O$505,"&lt;&gt;")&gt;1),IF(COUNTIFS($V$6:V267,29,$F$6:F267,F267,$C$6:C267,C267,$O$6:O267,"&lt;&gt;")=1,"Esta es la fila que se debe CONSERVAR (aparición 1 de "&amp;COUNTIFS($V$6:$V$505,29,$F$6:$F$505,F267,$C$6:$C$505,C267,$O$6:$O$505,"&lt;&gt;")&amp;" con el mismo tercero y valor, casilla 29). Si hay más filas iguales, bórreles el valor a ELLAS, no a esta.","DUPLICADO — ya existe otra fila con el mismo tercero y valor para casilla 29 (aparición "&amp;COUNTIFS($V$6:V267,29,$F$6:F267,F267,$C$6:C267,C267,$O$6:O267,"&lt;&gt;")&amp;" de "&amp;COUNTIFS($V$6:$V$505,29,$F$6:$F$505,F267,$C$6:$C$505,C267,$O$6:$O$505,"&lt;&gt;")&amp;"). Para resolverlo: seleccione la celda O"&amp;ROW()&amp;" (columna Valor a declarar de ESTA fila) y presione Supr."),""))</f>
        <v/>
      </c>
      <c r="X267" s="463">
        <f>IF(A267="","",F267)</f>
        <v/>
      </c>
      <c r="Y267" s="463">
        <f>IF(A267="","",SUMIF(Entrada_Manual!$I$88:$I$187,A267,Entrada_Manual!$F$88:$F$187))</f>
        <v/>
      </c>
      <c r="Z267" s="463">
        <f>IF(A267="","",X267-Y267)</f>
        <v/>
      </c>
      <c r="AA267">
        <f>IF(A267="","",SUMPRODUCT((Entrada_Manual!$I$88:$I$187=A267)*1))</f>
        <v/>
      </c>
      <c r="AB267">
        <f>IF(A267="","",IF(S267&lt;=1,"",IF(AA267=0,"PENDIENTE — SIN ASIGNAR",IF(Z267=0,"RESUELTO","PARCIAL — DIFERENCIA "&amp;TEXT(Z267,"#,##0")))))</f>
        <v/>
      </c>
    </row>
    <row r="268" ht="14.25" customHeight="1" s="235">
      <c r="A268" s="47">
        <f>IF(Exogena_RAW!E277&lt;&gt;"",ROW()-5,"")</f>
        <v/>
      </c>
      <c r="B268" s="48">
        <f>IF(A268="","",277)</f>
        <v/>
      </c>
      <c r="C268" s="48">
        <f>IF(A268="","",IFERROR(Exogena_RAW!A277,""))</f>
        <v/>
      </c>
      <c r="D268" s="48">
        <f>IF(A268="","",IFERROR(Exogena_RAW!B277,""))</f>
        <v/>
      </c>
      <c r="E268" s="48">
        <f>IF(A268="","",Exogena_RAW!E277)</f>
        <v/>
      </c>
      <c r="F268" s="461">
        <f>IF(A268="","",Exogena_RAW!F277)</f>
        <v/>
      </c>
      <c r="G268" s="48">
        <f>IF(A268="","",IFERROR(Exogena_RAW!G277,""))</f>
        <v/>
      </c>
      <c r="H268" s="48">
        <f>IF(A268="","",IFERROR(Exogena_RAW!H277,""))</f>
        <v/>
      </c>
      <c r="I268" s="48">
        <f>IF(A268="","",IFERROR(IF(S268&gt;1,"VARIAS CASILLAS",IF(S268=1,IF(T268=1,"PROPUESTA DE CASILLA","REVISIÓN: CASILLA NO DIRECTA"),IF(OR(ISNUMBER(SEARCH("TOPE",UPPER(E268))),ISNUMBER(SEARCH("TOPE",UPPER(G268)))),"SOLO CONTROL",IF(ISNUMBER(SEARCH("RETEN",UPPER(E268))),"RETENCIÓN","REVISAR")))),"REVISAR"))</f>
        <v/>
      </c>
      <c r="J268" s="48">
        <f>IF(A268="","",IF(ISNUMBER(SEARCH("ingreso laboral promedio de los últimos seis meses",E268)),"",IFERROR(IF(AND(S268=1,T268=1),U268,""),"")))</f>
        <v/>
      </c>
      <c r="K268" s="216" t="n"/>
      <c r="L268" s="48">
        <f>IF(A268="","",IFERROR(IF(K268&lt;&gt;"","Casilla elegida por usuario",IF(S268&gt;1,"Varias casillas — elegir en K",IF(J268&lt;&gt;"","Sugerencia directa",IF(S268=1,"No trasladar directo — revisar",IF(OR(ISNUMBER(SEARCH("TOPE",UPPER(E268))),ISNUMBER(SEARCH("TOPE",UPPER(G268)))),"Solo control","Revisar manualmente"))))),"Revisar manualmente"))</f>
        <v/>
      </c>
      <c r="M268" s="461">
        <f>IF(A268="","",IF(IF(K268&lt;&gt;"",K268,J268)="",0,IF(COUNTIFS(Reglas!$I$5:$I$118,IF(K268&lt;&gt;"",K268,J268),Reglas!$J$5:$J$118,"Sí")=1,F268,0)))</f>
        <v/>
      </c>
      <c r="N268" s="56" t="n"/>
      <c r="O268" s="462">
        <f>IF(A268="","",IF(M268=0,"",M268))</f>
        <v/>
      </c>
      <c r="P268" s="461">
        <f>IF(A268="","",IF(O268="",0,IF(ISNUMBER(O268),O268,0)))</f>
        <v/>
      </c>
      <c r="Q268" s="48">
        <f>IF(A268="","",IF(Exogena_RAW!$C$4="","BLOQUEADO: FALTA AÑO",IF(Exogena_RAW!$K$10&lt;&gt;Reglas!$B$5,"BLOQUEADO: AÑO",IF(IF(K268&lt;&gt;"",K268,J268)="",IF(S268&gt;1,"REQUIERE ASIGNACIÓN MANUAL (VARIAS CASILLAS)","INFORMATIVO (sin casilla — no se declara)"),IF(COUNTIFS(Reglas!$I$5:$I$118,IF(K268&lt;&gt;"",K268,J268),Reglas!$J$5:$J$118,"Sí")=0,"BLOQUEADO: CASILLA NO DIRECTA",IF(O268="","EXCLUIDO (valor borrado por el usuario)",IF(_xlfn.ISFORMULA(O268),IF(W268&lt;&gt;"","BORRADOR — VALOR SUGERIDO DIAN ⚠ VER ALERTA","BORRADOR — VALOR SUGERIDO DIAN"),IF(W268&lt;&gt;"","ACEPTADO ⚠ VER ALERTA","ACEPTADO"))))))))</f>
        <v/>
      </c>
      <c r="R268" s="218" t="n"/>
      <c r="S268" s="58">
        <f>IF(A268="","",IFERROR(--ISNUMBER(SEARCH("R28",G268)),0)+IFERROR(--ISNUMBER(SEARCH("R29",G268)),0)+IFERROR(--ISNUMBER(SEARCH("R30",G268)),0)+IFERROR(--ISNUMBER(SEARCH("R31",G268)),0)+IFERROR(--ISNUMBER(SEARCH("R32",G268)),0)+IFERROR(--ISNUMBER(SEARCH("R33",G268)),0)+IFERROR(--ISNUMBER(SEARCH("R34",G268)),0)+IFERROR(--ISNUMBER(SEARCH("R35",G268)),0)+IFERROR(--ISNUMBER(SEARCH("R36",G268)),0)+IFERROR(--ISNUMBER(SEARCH("R37",G268)),0)+IFERROR(--ISNUMBER(SEARCH("R38",G268)),0)+IFERROR(--ISNUMBER(SEARCH("R39",G268)),0)+IFERROR(--ISNUMBER(SEARCH("R40",G268)),0)+IFERROR(--ISNUMBER(SEARCH("R41",G268)),0)+IFERROR(--ISNUMBER(SEARCH("R42",G268)),0)+IFERROR(--ISNUMBER(SEARCH("R43",G268)),0)+IFERROR(--ISNUMBER(SEARCH("R44",G268)),0)+IFERROR(--ISNUMBER(SEARCH("R45",G268)),0)+IFERROR(--ISNUMBER(SEARCH("R46",G268)),0)+IFERROR(--ISNUMBER(SEARCH("R47",G268)),0)+IFERROR(--ISNUMBER(SEARCH("R48",G268)),0)+IFERROR(--ISNUMBER(SEARCH("R49",G268)),0)+IFERROR(--ISNUMBER(SEARCH("R50",G268)),0)+IFERROR(--ISNUMBER(SEARCH("R51",G268)),0)+IFERROR(--ISNUMBER(SEARCH("R52",G268)),0)+IFERROR(--ISNUMBER(SEARCH("R53",G268)),0)+IFERROR(--ISNUMBER(SEARCH("R54",G268)),0)+IFERROR(--ISNUMBER(SEARCH("R55",G268)),0)+IFERROR(--ISNUMBER(SEARCH("R56",G268)),0)+IFERROR(--ISNUMBER(SEARCH("R57",G268)),0)+IFERROR(--ISNUMBER(SEARCH("R58",G268)),0)+IFERROR(--ISNUMBER(SEARCH("R59",G268)),0)+IFERROR(--ISNUMBER(SEARCH("R60",G268)),0)+IFERROR(--ISNUMBER(SEARCH("R61",G268)),0)+IFERROR(--ISNUMBER(SEARCH("R62",G268)),0)+IFERROR(--ISNUMBER(SEARCH("R63",G268)),0)+IFERROR(--ISNUMBER(SEARCH("R64",G268)),0)+IFERROR(--ISNUMBER(SEARCH("R65",G268)),0)+IFERROR(--ISNUMBER(SEARCH("R66",G268)),0)+IFERROR(--ISNUMBER(SEARCH("R67",G268)),0)+IFERROR(--ISNUMBER(SEARCH("R68",G268)),0)+IFERROR(--ISNUMBER(SEARCH("R69",G268)),0)+IFERROR(--ISNUMBER(SEARCH("R70",G268)),0)+IFERROR(--ISNUMBER(SEARCH("R71",G268)),0)+IFERROR(--ISNUMBER(SEARCH("R72",G268)),0)+IFERROR(--ISNUMBER(SEARCH("R73",G268)),0)+IFERROR(--ISNUMBER(SEARCH("R74",G268)),0)+IFERROR(--ISNUMBER(SEARCH("R75",G268)),0)+IFERROR(--ISNUMBER(SEARCH("R76",G268)),0)+IFERROR(--ISNUMBER(SEARCH("R77",G268)),0)+IFERROR(--ISNUMBER(SEARCH("R78",G268)),0)+IFERROR(--ISNUMBER(SEARCH("R79",G268)),0)+IFERROR(--ISNUMBER(SEARCH("R80",G268)),0)+IFERROR(--ISNUMBER(SEARCH("R81",G268)),0)+IFERROR(--ISNUMBER(SEARCH("R82",G268)),0)+IFERROR(--ISNUMBER(SEARCH("R83",G268)),0)+IFERROR(--ISNUMBER(SEARCH("R84",G268)),0)+IFERROR(--ISNUMBER(SEARCH("R85",G268)),0)+IFERROR(--ISNUMBER(SEARCH("R86",G268)),0)+IFERROR(--ISNUMBER(SEARCH("R87",G268)),0)+IFERROR(--ISNUMBER(SEARCH("R88",G268)),0)+IFERROR(--ISNUMBER(SEARCH("R89",G268)),0)+IFERROR(--ISNUMBER(SEARCH("R90",G268)),0)+IFERROR(--ISNUMBER(SEARCH("R91",G268)),0)+IFERROR(--ISNUMBER(SEARCH("R92",G268)),0)+IFERROR(--ISNUMBER(SEARCH("R93",G268)),0)+IFERROR(--ISNUMBER(SEARCH("R94",G268)),0)+IFERROR(--ISNUMBER(SEARCH("R95",G268)),0)+IFERROR(--ISNUMBER(SEARCH("R96",G268)),0)+IFERROR(--ISNUMBER(SEARCH("R97",G268)),0)+IFERROR(--ISNUMBER(SEARCH("R98",G268)),0)+IFERROR(--ISNUMBER(SEARCH("R99",G268)),0)+IFERROR(--ISNUMBER(SEARCH("R100",G268)),0)+IFERROR(--ISNUMBER(SEARCH("R101",G268)),0)+IFERROR(--ISNUMBER(SEARCH("R102",G268)),0)+IFERROR(--ISNUMBER(SEARCH("R103",G268)),0)+IFERROR(--ISNUMBER(SEARCH("R104",G268)),0)+IFERROR(--ISNUMBER(SEARCH("R105",G268)),0)+IFERROR(--ISNUMBER(SEARCH("R106",G268)),0)+IFERROR(--ISNUMBER(SEARCH("R107",G268)),0)+IFERROR(--ISNUMBER(SEARCH("R108",G268)),0)+IFERROR(--ISNUMBER(SEARCH("R109",G268)),0)+IFERROR(--ISNUMBER(SEARCH("R110",G268)),0)+IFERROR(--ISNUMBER(SEARCH("R111",G268)),0)+IFERROR(--ISNUMBER(SEARCH("R112",G268)),0)+IFERROR(--ISNUMBER(SEARCH("R113",G268)),0)+IFERROR(--ISNUMBER(SEARCH("R114",G268)),0)+IFERROR(--ISNUMBER(SEARCH("R115",G268)),0)+IFERROR(--ISNUMBER(SEARCH("R116",G268)),0)+IFERROR(--ISNUMBER(SEARCH("R117",G268)),0)+IFERROR(--ISNUMBER(SEARCH("R118",G268)),0)+IFERROR(--ISNUMBER(SEARCH("R119",G268)),0)+IFERROR(--ISNUMBER(SEARCH("R120",G268)),0)+IFERROR(--ISNUMBER(SEARCH("R121",G268)),0)+IFERROR(--ISNUMBER(SEARCH("R122",G268)),0)+IFERROR(--ISNUMBER(SEARCH("R123",G268)),0)+IFERROR(--ISNUMBER(SEARCH("R124",G268)),0)+IFERROR(--ISNUMBER(SEARCH("R125",G268)),0)+IFERROR(--ISNUMBER(SEARCH("R126",G268)),0)+IFERROR(--ISNUMBER(SEARCH("R127",G268)),0)+IFERROR(--ISNUMBER(SEARCH("R128",G268)),0)+IFERROR(--ISNUMBER(SEARCH("R129",G268)),0)+IFERROR(--ISNUMBER(SEARCH("R130",G268)),0)+IFERROR(--ISNUMBER(SEARCH("R131",G268)),0)+IFERROR(--ISNUMBER(SEARCH("R132",G268)),0)+IFERROR(--ISNUMBER(SEARCH("R133",G268)),0)+IFERROR(--ISNUMBER(SEARCH("R134",G268)),0)+IFERROR(--ISNUMBER(SEARCH("R135",G268)),0)+IFERROR(--ISNUMBER(SEARCH("R136",G268)),0)+IFERROR(--ISNUMBER(SEARCH("R137",G268)),0)+IFERROR(--ISNUMBER(SEARCH("R138",G268)),0)+IFERROR(--ISNUMBER(SEARCH("R139",G268)),0)+IFERROR(--ISNUMBER(SEARCH("R140",G268)),0)+IFERROR(--ISNUMBER(SEARCH("R141",G268)),0))</f>
        <v/>
      </c>
      <c r="T268" s="58">
        <f>IF(A268="","",IFERROR(--ISNUMBER(SEARCH("R28",G268)),0)+IFERROR(--ISNUMBER(SEARCH("R29",G268)),0)+IFERROR(--ISNUMBER(SEARCH("R30",G268)),0)+IFERROR(--ISNUMBER(SEARCH("R32",G268)),0)+IFERROR(--ISNUMBER(SEARCH("R33",G268)),0)+IFERROR(--ISNUMBER(SEARCH("R35",G268)),0)+IFERROR(--ISNUMBER(SEARCH("R36",G268)),0)+IFERROR(--ISNUMBER(SEARCH("R38",G268)),0)+IFERROR(--ISNUMBER(SEARCH("R39",G268)),0)+IFERROR(--ISNUMBER(SEARCH("R43",G268)),0)+IFERROR(--ISNUMBER(SEARCH("R44",G268)),0)+IFERROR(--ISNUMBER(SEARCH("R45",G268)),0)+IFERROR(--ISNUMBER(SEARCH("R47",G268)),0)+IFERROR(--ISNUMBER(SEARCH("R48",G268)),0)+IFERROR(--ISNUMBER(SEARCH("R50",G268)),0)+IFERROR(--ISNUMBER(SEARCH("R51",G268)),0)+IFERROR(--ISNUMBER(SEARCH("R56",G268)),0)+IFERROR(--ISNUMBER(SEARCH("R58",G268)),0)+IFERROR(--ISNUMBER(SEARCH("R59",G268)),0)+IFERROR(--ISNUMBER(SEARCH("R60",G268)),0)+IFERROR(--ISNUMBER(SEARCH("R62",G268)),0)+IFERROR(--ISNUMBER(SEARCH("R63",G268)),0)+IFERROR(--ISNUMBER(SEARCH("R64",G268)),0)+IFERROR(--ISNUMBER(SEARCH("R66",G268)),0)+IFERROR(--ISNUMBER(SEARCH("R67",G268)),0)+IFERROR(--ISNUMBER(SEARCH("R72",G268)),0)+IFERROR(--ISNUMBER(SEARCH("R74",G268)),0)+IFERROR(--ISNUMBER(SEARCH("R75",G268)),0)+IFERROR(--ISNUMBER(SEARCH("R76",G268)),0)+IFERROR(--ISNUMBER(SEARCH("R77",G268)),0)+IFERROR(--ISNUMBER(SEARCH("R79",G268)),0)+IFERROR(--ISNUMBER(SEARCH("R80",G268)),0)+IFERROR(--ISNUMBER(SEARCH("R81",G268)),0)+IFERROR(--ISNUMBER(SEARCH("R83",G268)),0)+IFERROR(--ISNUMBER(SEARCH("R84",G268)),0)+IFERROR(--ISNUMBER(SEARCH("R89",G268)),0)+IFERROR(--ISNUMBER(SEARCH("R94",G268)),0)+IFERROR(--ISNUMBER(SEARCH("R95",G268)),0)+IFERROR(--ISNUMBER(SEARCH("R96",G268)),0)+IFERROR(--ISNUMBER(SEARCH("R98",G268)),0)+IFERROR(--ISNUMBER(SEARCH("R99",G268)),0)+IFERROR(--ISNUMBER(SEARCH("R100",G268)),0)+IFERROR(--ISNUMBER(SEARCH("R104",G268)),0)+IFERROR(--ISNUMBER(SEARCH("R105",G268)),0)+IFERROR(--ISNUMBER(SEARCH("R107",G268)),0)+IFERROR(--ISNUMBER(SEARCH("R108",G268)),0)+IFERROR(--ISNUMBER(SEARCH("R109",G268)),0)+IFERROR(--ISNUMBER(SEARCH("R110",G268)),0)+IFERROR(--ISNUMBER(SEARCH("R112",G268)),0)+IFERROR(--ISNUMBER(SEARCH("R113",G268)),0)+IFERROR(--ISNUMBER(SEARCH("R114",G268)),0)+IFERROR(--ISNUMBER(SEARCH("R118",G268)),0)+IFERROR(--ISNUMBER(SEARCH("R119",G268)),0)+IFERROR(--ISNUMBER(SEARCH("R120",G268)),0)+IFERROR(--ISNUMBER(SEARCH("R122",G268)),0)+IFERROR(--ISNUMBER(SEARCH("R123",G268)),0)+IFERROR(--ISNUMBER(SEARCH("R124",G268)),0)+IFERROR(--ISNUMBER(SEARCH("R128",G268)),0)+IFERROR(--ISNUMBER(SEARCH("R130",G268)),0)+IFERROR(--ISNUMBER(SEARCH("R131",G268)),0)+IFERROR(--ISNUMBER(SEARCH("R132",G268)),0)+IFERROR(--ISNUMBER(SEARCH("R135",G268)),0)+IFERROR(--ISNUMBER(SEARCH("R138",G268)),0)+IFERROR(--ISNUMBER(SEARCH("R141",G268)),0))</f>
        <v/>
      </c>
      <c r="U268" s="58">
        <f>IF(A268="","",IFERROR(--ISNUMBER(SEARCH("R28",G268))*28,0)+IFERROR(--ISNUMBER(SEARCH("R29",G268))*29,0)+IFERROR(--ISNUMBER(SEARCH("R30",G268))*30,0)+IFERROR(--ISNUMBER(SEARCH("R31",G268))*31,0)+IFERROR(--ISNUMBER(SEARCH("R32",G268))*32,0)+IFERROR(--ISNUMBER(SEARCH("R33",G268))*33,0)+IFERROR(--ISNUMBER(SEARCH("R34",G268))*34,0)+IFERROR(--ISNUMBER(SEARCH("R35",G268))*35,0)+IFERROR(--ISNUMBER(SEARCH("R36",G268))*36,0)+IFERROR(--ISNUMBER(SEARCH("R37",G268))*37,0)+IFERROR(--ISNUMBER(SEARCH("R38",G268))*38,0)+IFERROR(--ISNUMBER(SEARCH("R39",G268))*39,0)+IFERROR(--ISNUMBER(SEARCH("R40",G268))*40,0)+IFERROR(--ISNUMBER(SEARCH("R41",G268))*41,0)+IFERROR(--ISNUMBER(SEARCH("R42",G268))*42,0)+IFERROR(--ISNUMBER(SEARCH("R43",G268))*43,0)+IFERROR(--ISNUMBER(SEARCH("R44",G268))*44,0)+IFERROR(--ISNUMBER(SEARCH("R45",G268))*45,0)+IFERROR(--ISNUMBER(SEARCH("R46",G268))*46,0)+IFERROR(--ISNUMBER(SEARCH("R47",G268))*47,0)+IFERROR(--ISNUMBER(SEARCH("R48",G268))*48,0)+IFERROR(--ISNUMBER(SEARCH("R49",G268))*49,0)+IFERROR(--ISNUMBER(SEARCH("R50",G268))*50,0)+IFERROR(--ISNUMBER(SEARCH("R51",G268))*51,0)+IFERROR(--ISNUMBER(SEARCH("R52",G268))*52,0)+IFERROR(--ISNUMBER(SEARCH("R53",G268))*53,0)+IFERROR(--ISNUMBER(SEARCH("R54",G268))*54,0)+IFERROR(--ISNUMBER(SEARCH("R55",G268))*55,0)+IFERROR(--ISNUMBER(SEARCH("R56",G268))*56,0)+IFERROR(--ISNUMBER(SEARCH("R57",G268))*57,0)+IFERROR(--ISNUMBER(SEARCH("R58",G268))*58,0)+IFERROR(--ISNUMBER(SEARCH("R59",G268))*59,0)+IFERROR(--ISNUMBER(SEARCH("R60",G268))*60,0)+IFERROR(--ISNUMBER(SEARCH("R61",G268))*61,0)+IFERROR(--ISNUMBER(SEARCH("R62",G268))*62,0)+IFERROR(--ISNUMBER(SEARCH("R63",G268))*63,0)+IFERROR(--ISNUMBER(SEARCH("R64",G268))*64,0)+IFERROR(--ISNUMBER(SEARCH("R65",G268))*65,0)+IFERROR(--ISNUMBER(SEARCH("R66",G268))*66,0)+IFERROR(--ISNUMBER(SEARCH("R67",G268))*67,0)+IFERROR(--ISNUMBER(SEARCH("R68",G268))*68,0)+IFERROR(--ISNUMBER(SEARCH("R69",G268))*69,0)+IFERROR(--ISNUMBER(SEARCH("R70",G268))*70,0)+IFERROR(--ISNUMBER(SEARCH("R71",G268))*71,0)+IFERROR(--ISNUMBER(SEARCH("R72",G268))*72,0)+IFERROR(--ISNUMBER(SEARCH("R73",G268))*73,0)+IFERROR(--ISNUMBER(SEARCH("R74",G268))*74,0)+IFERROR(--ISNUMBER(SEARCH("R75",G268))*75,0)+IFERROR(--ISNUMBER(SEARCH("R76",G268))*76,0)+IFERROR(--ISNUMBER(SEARCH("R77",G268))*77,0)+IFERROR(--ISNUMBER(SEARCH("R78",G268))*78,0)+IFERROR(--ISNUMBER(SEARCH("R79",G268))*79,0)+IFERROR(--ISNUMBER(SEARCH("R80",G268))*80,0)+IFERROR(--ISNUMBER(SEARCH("R81",G268))*81,0)+IFERROR(--ISNUMBER(SEARCH("R82",G268))*82,0)+IFERROR(--ISNUMBER(SEARCH("R83",G268))*83,0)+IFERROR(--ISNUMBER(SEARCH("R84",G268))*84,0)+IFERROR(--ISNUMBER(SEARCH("R85",G268))*85,0)+IFERROR(--ISNUMBER(SEARCH("R86",G268))*86,0)+IFERROR(--ISNUMBER(SEARCH("R87",G268))*87,0)+IFERROR(--ISNUMBER(SEARCH("R88",G268))*88,0)+IFERROR(--ISNUMBER(SEARCH("R89",G268))*89,0)+IFERROR(--ISNUMBER(SEARCH("R90",G268))*90,0)+IFERROR(--ISNUMBER(SEARCH("R91",G268))*91,0)+IFERROR(--ISNUMBER(SEARCH("R92",G268))*92,0)+IFERROR(--ISNUMBER(SEARCH("R93",G268))*93,0)+IFERROR(--ISNUMBER(SEARCH("R94",G268))*94,0)+IFERROR(--ISNUMBER(SEARCH("R95",G268))*95,0)+IFERROR(--ISNUMBER(SEARCH("R96",G268))*96,0)+IFERROR(--ISNUMBER(SEARCH("R97",G268))*97,0)+IFERROR(--ISNUMBER(SEARCH("R98",G268))*98,0)+IFERROR(--ISNUMBER(SEARCH("R99",G268))*99,0)+IFERROR(--ISNUMBER(SEARCH("R100",G268))*100,0)+IFERROR(--ISNUMBER(SEARCH("R101",G268))*101,0)+IFERROR(--ISNUMBER(SEARCH("R102",G268))*102,0)+IFERROR(--ISNUMBER(SEARCH("R103",G268))*103,0)+IFERROR(--ISNUMBER(SEARCH("R104",G268))*104,0)+IFERROR(--ISNUMBER(SEARCH("R105",G268))*105,0)+IFERROR(--ISNUMBER(SEARCH("R106",G268))*106,0)+IFERROR(--ISNUMBER(SEARCH("R107",G268))*107,0)+IFERROR(--ISNUMBER(SEARCH("R108",G268))*108,0)+IFERROR(--ISNUMBER(SEARCH("R109",G268))*109,0)+IFERROR(--ISNUMBER(SEARCH("R110",G268))*110,0)+IFERROR(--ISNUMBER(SEARCH("R111",G268))*111,0)+IFERROR(--ISNUMBER(SEARCH("R112",G268))*112,0)+IFERROR(--ISNUMBER(SEARCH("R113",G268))*113,0)+IFERROR(--ISNUMBER(SEARCH("R114",G268))*114,0)+IFERROR(--ISNUMBER(SEARCH("R115",G268))*115,0)+IFERROR(--ISNUMBER(SEARCH("R116",G268))*116,0)+IFERROR(--ISNUMBER(SEARCH("R117",G268))*117,0)+IFERROR(--ISNUMBER(SEARCH("R118",G268))*118,0)+IFERROR(--ISNUMBER(SEARCH("R119",G268))*119,0)+IFERROR(--ISNUMBER(SEARCH("R120",G268))*120,0)+IFERROR(--ISNUMBER(SEARCH("R121",G268))*121,0)+IFERROR(--ISNUMBER(SEARCH("R122",G268))*122,0)+IFERROR(--ISNUMBER(SEARCH("R123",G268))*123,0)+IFERROR(--ISNUMBER(SEARCH("R124",G268))*124,0)+IFERROR(--ISNUMBER(SEARCH("R125",G268))*125,0)+IFERROR(--ISNUMBER(SEARCH("R126",G268))*126,0)+IFERROR(--ISNUMBER(SEARCH("R127",G268))*127,0)+IFERROR(--ISNUMBER(SEARCH("R128",G268))*128,0)+IFERROR(--ISNUMBER(SEARCH("R129",G268))*129,0)+IFERROR(--ISNUMBER(SEARCH("R130",G268))*130,0)+IFERROR(--ISNUMBER(SEARCH("R131",G268))*131,0)+IFERROR(--ISNUMBER(SEARCH("R132",G268))*132,0)+IFERROR(--ISNUMBER(SEARCH("R133",G268))*133,0)+IFERROR(--ISNUMBER(SEARCH("R134",G268))*134,0)+IFERROR(--ISNUMBER(SEARCH("R135",G268))*135,0)+IFERROR(--ISNUMBER(SEARCH("R136",G268))*136,0)+IFERROR(--ISNUMBER(SEARCH("R137",G268))*137,0)+IFERROR(--ISNUMBER(SEARCH("R138",G268))*138,0)+IFERROR(--ISNUMBER(SEARCH("R139",G268))*139,0)+IFERROR(--ISNUMBER(SEARCH("R140",G268))*140,0)+IFERROR(--ISNUMBER(SEARCH("R141",G268))*141,0))</f>
        <v/>
      </c>
      <c r="V268" s="59">
        <f>IF(A268="","",IF(K268&lt;&gt;"",K268,J268))</f>
        <v/>
      </c>
      <c r="W268" s="59">
        <f>IF(A268="","",IF(AND(V268=29,O268&lt;&gt;"",COUNTIFS($V$6:$V$505,29,$F$6:$F$505,F268,$C$6:$C$505,C268,$O$6:$O$505,"&lt;&gt;")&gt;1),IF(COUNTIFS($V$6:V268,29,$F$6:F268,F268,$C$6:C268,C268,$O$6:O268,"&lt;&gt;")=1,"Esta es la fila que se debe CONSERVAR (aparición 1 de "&amp;COUNTIFS($V$6:$V$505,29,$F$6:$F$505,F268,$C$6:$C$505,C268,$O$6:$O$505,"&lt;&gt;")&amp;" con el mismo tercero y valor, casilla 29). Si hay más filas iguales, bórreles el valor a ELLAS, no a esta.","DUPLICADO — ya existe otra fila con el mismo tercero y valor para casilla 29 (aparición "&amp;COUNTIFS($V$6:V268,29,$F$6:F268,F268,$C$6:C268,C268,$O$6:O268,"&lt;&gt;")&amp;" de "&amp;COUNTIFS($V$6:$V$505,29,$F$6:$F$505,F268,$C$6:$C$505,C268,$O$6:$O$505,"&lt;&gt;")&amp;"). Para resolverlo: seleccione la celda O"&amp;ROW()&amp;" (columna Valor a declarar de ESTA fila) y presione Supr."),""))</f>
        <v/>
      </c>
      <c r="X268" s="463">
        <f>IF(A268="","",F268)</f>
        <v/>
      </c>
      <c r="Y268" s="463">
        <f>IF(A268="","",SUMIF(Entrada_Manual!$I$88:$I$187,A268,Entrada_Manual!$F$88:$F$187))</f>
        <v/>
      </c>
      <c r="Z268" s="463">
        <f>IF(A268="","",X268-Y268)</f>
        <v/>
      </c>
      <c r="AA268">
        <f>IF(A268="","",SUMPRODUCT((Entrada_Manual!$I$88:$I$187=A268)*1))</f>
        <v/>
      </c>
      <c r="AB268">
        <f>IF(A268="","",IF(S268&lt;=1,"",IF(AA268=0,"PENDIENTE — SIN ASIGNAR",IF(Z268=0,"RESUELTO","PARCIAL — DIFERENCIA "&amp;TEXT(Z268,"#,##0")))))</f>
        <v/>
      </c>
    </row>
    <row r="269" ht="14.25" customHeight="1" s="235">
      <c r="A269" s="47">
        <f>IF(Exogena_RAW!E278&lt;&gt;"",ROW()-5,"")</f>
        <v/>
      </c>
      <c r="B269" s="48">
        <f>IF(A269="","",278)</f>
        <v/>
      </c>
      <c r="C269" s="48">
        <f>IF(A269="","",IFERROR(Exogena_RAW!A278,""))</f>
        <v/>
      </c>
      <c r="D269" s="48">
        <f>IF(A269="","",IFERROR(Exogena_RAW!B278,""))</f>
        <v/>
      </c>
      <c r="E269" s="48">
        <f>IF(A269="","",Exogena_RAW!E278)</f>
        <v/>
      </c>
      <c r="F269" s="461">
        <f>IF(A269="","",Exogena_RAW!F278)</f>
        <v/>
      </c>
      <c r="G269" s="48">
        <f>IF(A269="","",IFERROR(Exogena_RAW!G278,""))</f>
        <v/>
      </c>
      <c r="H269" s="48">
        <f>IF(A269="","",IFERROR(Exogena_RAW!H278,""))</f>
        <v/>
      </c>
      <c r="I269" s="48">
        <f>IF(A269="","",IFERROR(IF(S269&gt;1,"VARIAS CASILLAS",IF(S269=1,IF(T269=1,"PROPUESTA DE CASILLA","REVISIÓN: CASILLA NO DIRECTA"),IF(OR(ISNUMBER(SEARCH("TOPE",UPPER(E269))),ISNUMBER(SEARCH("TOPE",UPPER(G269)))),"SOLO CONTROL",IF(ISNUMBER(SEARCH("RETEN",UPPER(E269))),"RETENCIÓN","REVISAR")))),"REVISAR"))</f>
        <v/>
      </c>
      <c r="J269" s="48">
        <f>IF(A269="","",IF(ISNUMBER(SEARCH("ingreso laboral promedio de los últimos seis meses",E269)),"",IFERROR(IF(AND(S269=1,T269=1),U269,""),"")))</f>
        <v/>
      </c>
      <c r="K269" s="216" t="n"/>
      <c r="L269" s="48">
        <f>IF(A269="","",IFERROR(IF(K269&lt;&gt;"","Casilla elegida por usuario",IF(S269&gt;1,"Varias casillas — elegir en K",IF(J269&lt;&gt;"","Sugerencia directa",IF(S269=1,"No trasladar directo — revisar",IF(OR(ISNUMBER(SEARCH("TOPE",UPPER(E269))),ISNUMBER(SEARCH("TOPE",UPPER(G269)))),"Solo control","Revisar manualmente"))))),"Revisar manualmente"))</f>
        <v/>
      </c>
      <c r="M269" s="461">
        <f>IF(A269="","",IF(IF(K269&lt;&gt;"",K269,J269)="",0,IF(COUNTIFS(Reglas!$I$5:$I$118,IF(K269&lt;&gt;"",K269,J269),Reglas!$J$5:$J$118,"Sí")=1,F269,0)))</f>
        <v/>
      </c>
      <c r="N269" s="56" t="n"/>
      <c r="O269" s="462">
        <f>IF(A269="","",IF(M269=0,"",M269))</f>
        <v/>
      </c>
      <c r="P269" s="461">
        <f>IF(A269="","",IF(O269="",0,IF(ISNUMBER(O269),O269,0)))</f>
        <v/>
      </c>
      <c r="Q269" s="48">
        <f>IF(A269="","",IF(Exogena_RAW!$C$4="","BLOQUEADO: FALTA AÑO",IF(Exogena_RAW!$K$10&lt;&gt;Reglas!$B$5,"BLOQUEADO: AÑO",IF(IF(K269&lt;&gt;"",K269,J269)="",IF(S269&gt;1,"REQUIERE ASIGNACIÓN MANUAL (VARIAS CASILLAS)","INFORMATIVO (sin casilla — no se declara)"),IF(COUNTIFS(Reglas!$I$5:$I$118,IF(K269&lt;&gt;"",K269,J269),Reglas!$J$5:$J$118,"Sí")=0,"BLOQUEADO: CASILLA NO DIRECTA",IF(O269="","EXCLUIDO (valor borrado por el usuario)",IF(_xlfn.ISFORMULA(O269),IF(W269&lt;&gt;"","BORRADOR — VALOR SUGERIDO DIAN ⚠ VER ALERTA","BORRADOR — VALOR SUGERIDO DIAN"),IF(W269&lt;&gt;"","ACEPTADO ⚠ VER ALERTA","ACEPTADO"))))))))</f>
        <v/>
      </c>
      <c r="R269" s="218" t="n"/>
      <c r="S269" s="58">
        <f>IF(A269="","",IFERROR(--ISNUMBER(SEARCH("R28",G269)),0)+IFERROR(--ISNUMBER(SEARCH("R29",G269)),0)+IFERROR(--ISNUMBER(SEARCH("R30",G269)),0)+IFERROR(--ISNUMBER(SEARCH("R31",G269)),0)+IFERROR(--ISNUMBER(SEARCH("R32",G269)),0)+IFERROR(--ISNUMBER(SEARCH("R33",G269)),0)+IFERROR(--ISNUMBER(SEARCH("R34",G269)),0)+IFERROR(--ISNUMBER(SEARCH("R35",G269)),0)+IFERROR(--ISNUMBER(SEARCH("R36",G269)),0)+IFERROR(--ISNUMBER(SEARCH("R37",G269)),0)+IFERROR(--ISNUMBER(SEARCH("R38",G269)),0)+IFERROR(--ISNUMBER(SEARCH("R39",G269)),0)+IFERROR(--ISNUMBER(SEARCH("R40",G269)),0)+IFERROR(--ISNUMBER(SEARCH("R41",G269)),0)+IFERROR(--ISNUMBER(SEARCH("R42",G269)),0)+IFERROR(--ISNUMBER(SEARCH("R43",G269)),0)+IFERROR(--ISNUMBER(SEARCH("R44",G269)),0)+IFERROR(--ISNUMBER(SEARCH("R45",G269)),0)+IFERROR(--ISNUMBER(SEARCH("R46",G269)),0)+IFERROR(--ISNUMBER(SEARCH("R47",G269)),0)+IFERROR(--ISNUMBER(SEARCH("R48",G269)),0)+IFERROR(--ISNUMBER(SEARCH("R49",G269)),0)+IFERROR(--ISNUMBER(SEARCH("R50",G269)),0)+IFERROR(--ISNUMBER(SEARCH("R51",G269)),0)+IFERROR(--ISNUMBER(SEARCH("R52",G269)),0)+IFERROR(--ISNUMBER(SEARCH("R53",G269)),0)+IFERROR(--ISNUMBER(SEARCH("R54",G269)),0)+IFERROR(--ISNUMBER(SEARCH("R55",G269)),0)+IFERROR(--ISNUMBER(SEARCH("R56",G269)),0)+IFERROR(--ISNUMBER(SEARCH("R57",G269)),0)+IFERROR(--ISNUMBER(SEARCH("R58",G269)),0)+IFERROR(--ISNUMBER(SEARCH("R59",G269)),0)+IFERROR(--ISNUMBER(SEARCH("R60",G269)),0)+IFERROR(--ISNUMBER(SEARCH("R61",G269)),0)+IFERROR(--ISNUMBER(SEARCH("R62",G269)),0)+IFERROR(--ISNUMBER(SEARCH("R63",G269)),0)+IFERROR(--ISNUMBER(SEARCH("R64",G269)),0)+IFERROR(--ISNUMBER(SEARCH("R65",G269)),0)+IFERROR(--ISNUMBER(SEARCH("R66",G269)),0)+IFERROR(--ISNUMBER(SEARCH("R67",G269)),0)+IFERROR(--ISNUMBER(SEARCH("R68",G269)),0)+IFERROR(--ISNUMBER(SEARCH("R69",G269)),0)+IFERROR(--ISNUMBER(SEARCH("R70",G269)),0)+IFERROR(--ISNUMBER(SEARCH("R71",G269)),0)+IFERROR(--ISNUMBER(SEARCH("R72",G269)),0)+IFERROR(--ISNUMBER(SEARCH("R73",G269)),0)+IFERROR(--ISNUMBER(SEARCH("R74",G269)),0)+IFERROR(--ISNUMBER(SEARCH("R75",G269)),0)+IFERROR(--ISNUMBER(SEARCH("R76",G269)),0)+IFERROR(--ISNUMBER(SEARCH("R77",G269)),0)+IFERROR(--ISNUMBER(SEARCH("R78",G269)),0)+IFERROR(--ISNUMBER(SEARCH("R79",G269)),0)+IFERROR(--ISNUMBER(SEARCH("R80",G269)),0)+IFERROR(--ISNUMBER(SEARCH("R81",G269)),0)+IFERROR(--ISNUMBER(SEARCH("R82",G269)),0)+IFERROR(--ISNUMBER(SEARCH("R83",G269)),0)+IFERROR(--ISNUMBER(SEARCH("R84",G269)),0)+IFERROR(--ISNUMBER(SEARCH("R85",G269)),0)+IFERROR(--ISNUMBER(SEARCH("R86",G269)),0)+IFERROR(--ISNUMBER(SEARCH("R87",G269)),0)+IFERROR(--ISNUMBER(SEARCH("R88",G269)),0)+IFERROR(--ISNUMBER(SEARCH("R89",G269)),0)+IFERROR(--ISNUMBER(SEARCH("R90",G269)),0)+IFERROR(--ISNUMBER(SEARCH("R91",G269)),0)+IFERROR(--ISNUMBER(SEARCH("R92",G269)),0)+IFERROR(--ISNUMBER(SEARCH("R93",G269)),0)+IFERROR(--ISNUMBER(SEARCH("R94",G269)),0)+IFERROR(--ISNUMBER(SEARCH("R95",G269)),0)+IFERROR(--ISNUMBER(SEARCH("R96",G269)),0)+IFERROR(--ISNUMBER(SEARCH("R97",G269)),0)+IFERROR(--ISNUMBER(SEARCH("R98",G269)),0)+IFERROR(--ISNUMBER(SEARCH("R99",G269)),0)+IFERROR(--ISNUMBER(SEARCH("R100",G269)),0)+IFERROR(--ISNUMBER(SEARCH("R101",G269)),0)+IFERROR(--ISNUMBER(SEARCH("R102",G269)),0)+IFERROR(--ISNUMBER(SEARCH("R103",G269)),0)+IFERROR(--ISNUMBER(SEARCH("R104",G269)),0)+IFERROR(--ISNUMBER(SEARCH("R105",G269)),0)+IFERROR(--ISNUMBER(SEARCH("R106",G269)),0)+IFERROR(--ISNUMBER(SEARCH("R107",G269)),0)+IFERROR(--ISNUMBER(SEARCH("R108",G269)),0)+IFERROR(--ISNUMBER(SEARCH("R109",G269)),0)+IFERROR(--ISNUMBER(SEARCH("R110",G269)),0)+IFERROR(--ISNUMBER(SEARCH("R111",G269)),0)+IFERROR(--ISNUMBER(SEARCH("R112",G269)),0)+IFERROR(--ISNUMBER(SEARCH("R113",G269)),0)+IFERROR(--ISNUMBER(SEARCH("R114",G269)),0)+IFERROR(--ISNUMBER(SEARCH("R115",G269)),0)+IFERROR(--ISNUMBER(SEARCH("R116",G269)),0)+IFERROR(--ISNUMBER(SEARCH("R117",G269)),0)+IFERROR(--ISNUMBER(SEARCH("R118",G269)),0)+IFERROR(--ISNUMBER(SEARCH("R119",G269)),0)+IFERROR(--ISNUMBER(SEARCH("R120",G269)),0)+IFERROR(--ISNUMBER(SEARCH("R121",G269)),0)+IFERROR(--ISNUMBER(SEARCH("R122",G269)),0)+IFERROR(--ISNUMBER(SEARCH("R123",G269)),0)+IFERROR(--ISNUMBER(SEARCH("R124",G269)),0)+IFERROR(--ISNUMBER(SEARCH("R125",G269)),0)+IFERROR(--ISNUMBER(SEARCH("R126",G269)),0)+IFERROR(--ISNUMBER(SEARCH("R127",G269)),0)+IFERROR(--ISNUMBER(SEARCH("R128",G269)),0)+IFERROR(--ISNUMBER(SEARCH("R129",G269)),0)+IFERROR(--ISNUMBER(SEARCH("R130",G269)),0)+IFERROR(--ISNUMBER(SEARCH("R131",G269)),0)+IFERROR(--ISNUMBER(SEARCH("R132",G269)),0)+IFERROR(--ISNUMBER(SEARCH("R133",G269)),0)+IFERROR(--ISNUMBER(SEARCH("R134",G269)),0)+IFERROR(--ISNUMBER(SEARCH("R135",G269)),0)+IFERROR(--ISNUMBER(SEARCH("R136",G269)),0)+IFERROR(--ISNUMBER(SEARCH("R137",G269)),0)+IFERROR(--ISNUMBER(SEARCH("R138",G269)),0)+IFERROR(--ISNUMBER(SEARCH("R139",G269)),0)+IFERROR(--ISNUMBER(SEARCH("R140",G269)),0)+IFERROR(--ISNUMBER(SEARCH("R141",G269)),0))</f>
        <v/>
      </c>
      <c r="T269" s="58">
        <f>IF(A269="","",IFERROR(--ISNUMBER(SEARCH("R28",G269)),0)+IFERROR(--ISNUMBER(SEARCH("R29",G269)),0)+IFERROR(--ISNUMBER(SEARCH("R30",G269)),0)+IFERROR(--ISNUMBER(SEARCH("R32",G269)),0)+IFERROR(--ISNUMBER(SEARCH("R33",G269)),0)+IFERROR(--ISNUMBER(SEARCH("R35",G269)),0)+IFERROR(--ISNUMBER(SEARCH("R36",G269)),0)+IFERROR(--ISNUMBER(SEARCH("R38",G269)),0)+IFERROR(--ISNUMBER(SEARCH("R39",G269)),0)+IFERROR(--ISNUMBER(SEARCH("R43",G269)),0)+IFERROR(--ISNUMBER(SEARCH("R44",G269)),0)+IFERROR(--ISNUMBER(SEARCH("R45",G269)),0)+IFERROR(--ISNUMBER(SEARCH("R47",G269)),0)+IFERROR(--ISNUMBER(SEARCH("R48",G269)),0)+IFERROR(--ISNUMBER(SEARCH("R50",G269)),0)+IFERROR(--ISNUMBER(SEARCH("R51",G269)),0)+IFERROR(--ISNUMBER(SEARCH("R56",G269)),0)+IFERROR(--ISNUMBER(SEARCH("R58",G269)),0)+IFERROR(--ISNUMBER(SEARCH("R59",G269)),0)+IFERROR(--ISNUMBER(SEARCH("R60",G269)),0)+IFERROR(--ISNUMBER(SEARCH("R62",G269)),0)+IFERROR(--ISNUMBER(SEARCH("R63",G269)),0)+IFERROR(--ISNUMBER(SEARCH("R64",G269)),0)+IFERROR(--ISNUMBER(SEARCH("R66",G269)),0)+IFERROR(--ISNUMBER(SEARCH("R67",G269)),0)+IFERROR(--ISNUMBER(SEARCH("R72",G269)),0)+IFERROR(--ISNUMBER(SEARCH("R74",G269)),0)+IFERROR(--ISNUMBER(SEARCH("R75",G269)),0)+IFERROR(--ISNUMBER(SEARCH("R76",G269)),0)+IFERROR(--ISNUMBER(SEARCH("R77",G269)),0)+IFERROR(--ISNUMBER(SEARCH("R79",G269)),0)+IFERROR(--ISNUMBER(SEARCH("R80",G269)),0)+IFERROR(--ISNUMBER(SEARCH("R81",G269)),0)+IFERROR(--ISNUMBER(SEARCH("R83",G269)),0)+IFERROR(--ISNUMBER(SEARCH("R84",G269)),0)+IFERROR(--ISNUMBER(SEARCH("R89",G269)),0)+IFERROR(--ISNUMBER(SEARCH("R94",G269)),0)+IFERROR(--ISNUMBER(SEARCH("R95",G269)),0)+IFERROR(--ISNUMBER(SEARCH("R96",G269)),0)+IFERROR(--ISNUMBER(SEARCH("R98",G269)),0)+IFERROR(--ISNUMBER(SEARCH("R99",G269)),0)+IFERROR(--ISNUMBER(SEARCH("R100",G269)),0)+IFERROR(--ISNUMBER(SEARCH("R104",G269)),0)+IFERROR(--ISNUMBER(SEARCH("R105",G269)),0)+IFERROR(--ISNUMBER(SEARCH("R107",G269)),0)+IFERROR(--ISNUMBER(SEARCH("R108",G269)),0)+IFERROR(--ISNUMBER(SEARCH("R109",G269)),0)+IFERROR(--ISNUMBER(SEARCH("R110",G269)),0)+IFERROR(--ISNUMBER(SEARCH("R112",G269)),0)+IFERROR(--ISNUMBER(SEARCH("R113",G269)),0)+IFERROR(--ISNUMBER(SEARCH("R114",G269)),0)+IFERROR(--ISNUMBER(SEARCH("R118",G269)),0)+IFERROR(--ISNUMBER(SEARCH("R119",G269)),0)+IFERROR(--ISNUMBER(SEARCH("R120",G269)),0)+IFERROR(--ISNUMBER(SEARCH("R122",G269)),0)+IFERROR(--ISNUMBER(SEARCH("R123",G269)),0)+IFERROR(--ISNUMBER(SEARCH("R124",G269)),0)+IFERROR(--ISNUMBER(SEARCH("R128",G269)),0)+IFERROR(--ISNUMBER(SEARCH("R130",G269)),0)+IFERROR(--ISNUMBER(SEARCH("R131",G269)),0)+IFERROR(--ISNUMBER(SEARCH("R132",G269)),0)+IFERROR(--ISNUMBER(SEARCH("R135",G269)),0)+IFERROR(--ISNUMBER(SEARCH("R138",G269)),0)+IFERROR(--ISNUMBER(SEARCH("R141",G269)),0))</f>
        <v/>
      </c>
      <c r="U269" s="58">
        <f>IF(A269="","",IFERROR(--ISNUMBER(SEARCH("R28",G269))*28,0)+IFERROR(--ISNUMBER(SEARCH("R29",G269))*29,0)+IFERROR(--ISNUMBER(SEARCH("R30",G269))*30,0)+IFERROR(--ISNUMBER(SEARCH("R31",G269))*31,0)+IFERROR(--ISNUMBER(SEARCH("R32",G269))*32,0)+IFERROR(--ISNUMBER(SEARCH("R33",G269))*33,0)+IFERROR(--ISNUMBER(SEARCH("R34",G269))*34,0)+IFERROR(--ISNUMBER(SEARCH("R35",G269))*35,0)+IFERROR(--ISNUMBER(SEARCH("R36",G269))*36,0)+IFERROR(--ISNUMBER(SEARCH("R37",G269))*37,0)+IFERROR(--ISNUMBER(SEARCH("R38",G269))*38,0)+IFERROR(--ISNUMBER(SEARCH("R39",G269))*39,0)+IFERROR(--ISNUMBER(SEARCH("R40",G269))*40,0)+IFERROR(--ISNUMBER(SEARCH("R41",G269))*41,0)+IFERROR(--ISNUMBER(SEARCH("R42",G269))*42,0)+IFERROR(--ISNUMBER(SEARCH("R43",G269))*43,0)+IFERROR(--ISNUMBER(SEARCH("R44",G269))*44,0)+IFERROR(--ISNUMBER(SEARCH("R45",G269))*45,0)+IFERROR(--ISNUMBER(SEARCH("R46",G269))*46,0)+IFERROR(--ISNUMBER(SEARCH("R47",G269))*47,0)+IFERROR(--ISNUMBER(SEARCH("R48",G269))*48,0)+IFERROR(--ISNUMBER(SEARCH("R49",G269))*49,0)+IFERROR(--ISNUMBER(SEARCH("R50",G269))*50,0)+IFERROR(--ISNUMBER(SEARCH("R51",G269))*51,0)+IFERROR(--ISNUMBER(SEARCH("R52",G269))*52,0)+IFERROR(--ISNUMBER(SEARCH("R53",G269))*53,0)+IFERROR(--ISNUMBER(SEARCH("R54",G269))*54,0)+IFERROR(--ISNUMBER(SEARCH("R55",G269))*55,0)+IFERROR(--ISNUMBER(SEARCH("R56",G269))*56,0)+IFERROR(--ISNUMBER(SEARCH("R57",G269))*57,0)+IFERROR(--ISNUMBER(SEARCH("R58",G269))*58,0)+IFERROR(--ISNUMBER(SEARCH("R59",G269))*59,0)+IFERROR(--ISNUMBER(SEARCH("R60",G269))*60,0)+IFERROR(--ISNUMBER(SEARCH("R61",G269))*61,0)+IFERROR(--ISNUMBER(SEARCH("R62",G269))*62,0)+IFERROR(--ISNUMBER(SEARCH("R63",G269))*63,0)+IFERROR(--ISNUMBER(SEARCH("R64",G269))*64,0)+IFERROR(--ISNUMBER(SEARCH("R65",G269))*65,0)+IFERROR(--ISNUMBER(SEARCH("R66",G269))*66,0)+IFERROR(--ISNUMBER(SEARCH("R67",G269))*67,0)+IFERROR(--ISNUMBER(SEARCH("R68",G269))*68,0)+IFERROR(--ISNUMBER(SEARCH("R69",G269))*69,0)+IFERROR(--ISNUMBER(SEARCH("R70",G269))*70,0)+IFERROR(--ISNUMBER(SEARCH("R71",G269))*71,0)+IFERROR(--ISNUMBER(SEARCH("R72",G269))*72,0)+IFERROR(--ISNUMBER(SEARCH("R73",G269))*73,0)+IFERROR(--ISNUMBER(SEARCH("R74",G269))*74,0)+IFERROR(--ISNUMBER(SEARCH("R75",G269))*75,0)+IFERROR(--ISNUMBER(SEARCH("R76",G269))*76,0)+IFERROR(--ISNUMBER(SEARCH("R77",G269))*77,0)+IFERROR(--ISNUMBER(SEARCH("R78",G269))*78,0)+IFERROR(--ISNUMBER(SEARCH("R79",G269))*79,0)+IFERROR(--ISNUMBER(SEARCH("R80",G269))*80,0)+IFERROR(--ISNUMBER(SEARCH("R81",G269))*81,0)+IFERROR(--ISNUMBER(SEARCH("R82",G269))*82,0)+IFERROR(--ISNUMBER(SEARCH("R83",G269))*83,0)+IFERROR(--ISNUMBER(SEARCH("R84",G269))*84,0)+IFERROR(--ISNUMBER(SEARCH("R85",G269))*85,0)+IFERROR(--ISNUMBER(SEARCH("R86",G269))*86,0)+IFERROR(--ISNUMBER(SEARCH("R87",G269))*87,0)+IFERROR(--ISNUMBER(SEARCH("R88",G269))*88,0)+IFERROR(--ISNUMBER(SEARCH("R89",G269))*89,0)+IFERROR(--ISNUMBER(SEARCH("R90",G269))*90,0)+IFERROR(--ISNUMBER(SEARCH("R91",G269))*91,0)+IFERROR(--ISNUMBER(SEARCH("R92",G269))*92,0)+IFERROR(--ISNUMBER(SEARCH("R93",G269))*93,0)+IFERROR(--ISNUMBER(SEARCH("R94",G269))*94,0)+IFERROR(--ISNUMBER(SEARCH("R95",G269))*95,0)+IFERROR(--ISNUMBER(SEARCH("R96",G269))*96,0)+IFERROR(--ISNUMBER(SEARCH("R97",G269))*97,0)+IFERROR(--ISNUMBER(SEARCH("R98",G269))*98,0)+IFERROR(--ISNUMBER(SEARCH("R99",G269))*99,0)+IFERROR(--ISNUMBER(SEARCH("R100",G269))*100,0)+IFERROR(--ISNUMBER(SEARCH("R101",G269))*101,0)+IFERROR(--ISNUMBER(SEARCH("R102",G269))*102,0)+IFERROR(--ISNUMBER(SEARCH("R103",G269))*103,0)+IFERROR(--ISNUMBER(SEARCH("R104",G269))*104,0)+IFERROR(--ISNUMBER(SEARCH("R105",G269))*105,0)+IFERROR(--ISNUMBER(SEARCH("R106",G269))*106,0)+IFERROR(--ISNUMBER(SEARCH("R107",G269))*107,0)+IFERROR(--ISNUMBER(SEARCH("R108",G269))*108,0)+IFERROR(--ISNUMBER(SEARCH("R109",G269))*109,0)+IFERROR(--ISNUMBER(SEARCH("R110",G269))*110,0)+IFERROR(--ISNUMBER(SEARCH("R111",G269))*111,0)+IFERROR(--ISNUMBER(SEARCH("R112",G269))*112,0)+IFERROR(--ISNUMBER(SEARCH("R113",G269))*113,0)+IFERROR(--ISNUMBER(SEARCH("R114",G269))*114,0)+IFERROR(--ISNUMBER(SEARCH("R115",G269))*115,0)+IFERROR(--ISNUMBER(SEARCH("R116",G269))*116,0)+IFERROR(--ISNUMBER(SEARCH("R117",G269))*117,0)+IFERROR(--ISNUMBER(SEARCH("R118",G269))*118,0)+IFERROR(--ISNUMBER(SEARCH("R119",G269))*119,0)+IFERROR(--ISNUMBER(SEARCH("R120",G269))*120,0)+IFERROR(--ISNUMBER(SEARCH("R121",G269))*121,0)+IFERROR(--ISNUMBER(SEARCH("R122",G269))*122,0)+IFERROR(--ISNUMBER(SEARCH("R123",G269))*123,0)+IFERROR(--ISNUMBER(SEARCH("R124",G269))*124,0)+IFERROR(--ISNUMBER(SEARCH("R125",G269))*125,0)+IFERROR(--ISNUMBER(SEARCH("R126",G269))*126,0)+IFERROR(--ISNUMBER(SEARCH("R127",G269))*127,0)+IFERROR(--ISNUMBER(SEARCH("R128",G269))*128,0)+IFERROR(--ISNUMBER(SEARCH("R129",G269))*129,0)+IFERROR(--ISNUMBER(SEARCH("R130",G269))*130,0)+IFERROR(--ISNUMBER(SEARCH("R131",G269))*131,0)+IFERROR(--ISNUMBER(SEARCH("R132",G269))*132,0)+IFERROR(--ISNUMBER(SEARCH("R133",G269))*133,0)+IFERROR(--ISNUMBER(SEARCH("R134",G269))*134,0)+IFERROR(--ISNUMBER(SEARCH("R135",G269))*135,0)+IFERROR(--ISNUMBER(SEARCH("R136",G269))*136,0)+IFERROR(--ISNUMBER(SEARCH("R137",G269))*137,0)+IFERROR(--ISNUMBER(SEARCH("R138",G269))*138,0)+IFERROR(--ISNUMBER(SEARCH("R139",G269))*139,0)+IFERROR(--ISNUMBER(SEARCH("R140",G269))*140,0)+IFERROR(--ISNUMBER(SEARCH("R141",G269))*141,0))</f>
        <v/>
      </c>
      <c r="V269" s="59">
        <f>IF(A269="","",IF(K269&lt;&gt;"",K269,J269))</f>
        <v/>
      </c>
      <c r="W269" s="59">
        <f>IF(A269="","",IF(AND(V269=29,O269&lt;&gt;"",COUNTIFS($V$6:$V$505,29,$F$6:$F$505,F269,$C$6:$C$505,C269,$O$6:$O$505,"&lt;&gt;")&gt;1),IF(COUNTIFS($V$6:V269,29,$F$6:F269,F269,$C$6:C269,C269,$O$6:O269,"&lt;&gt;")=1,"Esta es la fila que se debe CONSERVAR (aparición 1 de "&amp;COUNTIFS($V$6:$V$505,29,$F$6:$F$505,F269,$C$6:$C$505,C269,$O$6:$O$505,"&lt;&gt;")&amp;" con el mismo tercero y valor, casilla 29). Si hay más filas iguales, bórreles el valor a ELLAS, no a esta.","DUPLICADO — ya existe otra fila con el mismo tercero y valor para casilla 29 (aparición "&amp;COUNTIFS($V$6:V269,29,$F$6:F269,F269,$C$6:C269,C269,$O$6:O269,"&lt;&gt;")&amp;" de "&amp;COUNTIFS($V$6:$V$505,29,$F$6:$F$505,F269,$C$6:$C$505,C269,$O$6:$O$505,"&lt;&gt;")&amp;"). Para resolverlo: seleccione la celda O"&amp;ROW()&amp;" (columna Valor a declarar de ESTA fila) y presione Supr."),""))</f>
        <v/>
      </c>
      <c r="X269" s="463">
        <f>IF(A269="","",F269)</f>
        <v/>
      </c>
      <c r="Y269" s="463">
        <f>IF(A269="","",SUMIF(Entrada_Manual!$I$88:$I$187,A269,Entrada_Manual!$F$88:$F$187))</f>
        <v/>
      </c>
      <c r="Z269" s="463">
        <f>IF(A269="","",X269-Y269)</f>
        <v/>
      </c>
      <c r="AA269">
        <f>IF(A269="","",SUMPRODUCT((Entrada_Manual!$I$88:$I$187=A269)*1))</f>
        <v/>
      </c>
      <c r="AB269">
        <f>IF(A269="","",IF(S269&lt;=1,"",IF(AA269=0,"PENDIENTE — SIN ASIGNAR",IF(Z269=0,"RESUELTO","PARCIAL — DIFERENCIA "&amp;TEXT(Z269,"#,##0")))))</f>
        <v/>
      </c>
    </row>
    <row r="270" ht="14.25" customHeight="1" s="235">
      <c r="A270" s="47">
        <f>IF(Exogena_RAW!E279&lt;&gt;"",ROW()-5,"")</f>
        <v/>
      </c>
      <c r="B270" s="48">
        <f>IF(A270="","",279)</f>
        <v/>
      </c>
      <c r="C270" s="48">
        <f>IF(A270="","",IFERROR(Exogena_RAW!A279,""))</f>
        <v/>
      </c>
      <c r="D270" s="48">
        <f>IF(A270="","",IFERROR(Exogena_RAW!B279,""))</f>
        <v/>
      </c>
      <c r="E270" s="48">
        <f>IF(A270="","",Exogena_RAW!E279)</f>
        <v/>
      </c>
      <c r="F270" s="461">
        <f>IF(A270="","",Exogena_RAW!F279)</f>
        <v/>
      </c>
      <c r="G270" s="48">
        <f>IF(A270="","",IFERROR(Exogena_RAW!G279,""))</f>
        <v/>
      </c>
      <c r="H270" s="48">
        <f>IF(A270="","",IFERROR(Exogena_RAW!H279,""))</f>
        <v/>
      </c>
      <c r="I270" s="48">
        <f>IF(A270="","",IFERROR(IF(S270&gt;1,"VARIAS CASILLAS",IF(S270=1,IF(T270=1,"PROPUESTA DE CASILLA","REVISIÓN: CASILLA NO DIRECTA"),IF(OR(ISNUMBER(SEARCH("TOPE",UPPER(E270))),ISNUMBER(SEARCH("TOPE",UPPER(G270)))),"SOLO CONTROL",IF(ISNUMBER(SEARCH("RETEN",UPPER(E270))),"RETENCIÓN","REVISAR")))),"REVISAR"))</f>
        <v/>
      </c>
      <c r="J270" s="48">
        <f>IF(A270="","",IF(ISNUMBER(SEARCH("ingreso laboral promedio de los últimos seis meses",E270)),"",IFERROR(IF(AND(S270=1,T270=1),U270,""),"")))</f>
        <v/>
      </c>
      <c r="K270" s="216" t="n"/>
      <c r="L270" s="48">
        <f>IF(A270="","",IFERROR(IF(K270&lt;&gt;"","Casilla elegida por usuario",IF(S270&gt;1,"Varias casillas — elegir en K",IF(J270&lt;&gt;"","Sugerencia directa",IF(S270=1,"No trasladar directo — revisar",IF(OR(ISNUMBER(SEARCH("TOPE",UPPER(E270))),ISNUMBER(SEARCH("TOPE",UPPER(G270)))),"Solo control","Revisar manualmente"))))),"Revisar manualmente"))</f>
        <v/>
      </c>
      <c r="M270" s="461">
        <f>IF(A270="","",IF(IF(K270&lt;&gt;"",K270,J270)="",0,IF(COUNTIFS(Reglas!$I$5:$I$118,IF(K270&lt;&gt;"",K270,J270),Reglas!$J$5:$J$118,"Sí")=1,F270,0)))</f>
        <v/>
      </c>
      <c r="N270" s="56" t="n"/>
      <c r="O270" s="462">
        <f>IF(A270="","",IF(M270=0,"",M270))</f>
        <v/>
      </c>
      <c r="P270" s="461">
        <f>IF(A270="","",IF(O270="",0,IF(ISNUMBER(O270),O270,0)))</f>
        <v/>
      </c>
      <c r="Q270" s="48">
        <f>IF(A270="","",IF(Exogena_RAW!$C$4="","BLOQUEADO: FALTA AÑO",IF(Exogena_RAW!$K$10&lt;&gt;Reglas!$B$5,"BLOQUEADO: AÑO",IF(IF(K270&lt;&gt;"",K270,J270)="",IF(S270&gt;1,"REQUIERE ASIGNACIÓN MANUAL (VARIAS CASILLAS)","INFORMATIVO (sin casilla — no se declara)"),IF(COUNTIFS(Reglas!$I$5:$I$118,IF(K270&lt;&gt;"",K270,J270),Reglas!$J$5:$J$118,"Sí")=0,"BLOQUEADO: CASILLA NO DIRECTA",IF(O270="","EXCLUIDO (valor borrado por el usuario)",IF(_xlfn.ISFORMULA(O270),IF(W270&lt;&gt;"","BORRADOR — VALOR SUGERIDO DIAN ⚠ VER ALERTA","BORRADOR — VALOR SUGERIDO DIAN"),IF(W270&lt;&gt;"","ACEPTADO ⚠ VER ALERTA","ACEPTADO"))))))))</f>
        <v/>
      </c>
      <c r="R270" s="218" t="n"/>
      <c r="S270" s="58">
        <f>IF(A270="","",IFERROR(--ISNUMBER(SEARCH("R28",G270)),0)+IFERROR(--ISNUMBER(SEARCH("R29",G270)),0)+IFERROR(--ISNUMBER(SEARCH("R30",G270)),0)+IFERROR(--ISNUMBER(SEARCH("R31",G270)),0)+IFERROR(--ISNUMBER(SEARCH("R32",G270)),0)+IFERROR(--ISNUMBER(SEARCH("R33",G270)),0)+IFERROR(--ISNUMBER(SEARCH("R34",G270)),0)+IFERROR(--ISNUMBER(SEARCH("R35",G270)),0)+IFERROR(--ISNUMBER(SEARCH("R36",G270)),0)+IFERROR(--ISNUMBER(SEARCH("R37",G270)),0)+IFERROR(--ISNUMBER(SEARCH("R38",G270)),0)+IFERROR(--ISNUMBER(SEARCH("R39",G270)),0)+IFERROR(--ISNUMBER(SEARCH("R40",G270)),0)+IFERROR(--ISNUMBER(SEARCH("R41",G270)),0)+IFERROR(--ISNUMBER(SEARCH("R42",G270)),0)+IFERROR(--ISNUMBER(SEARCH("R43",G270)),0)+IFERROR(--ISNUMBER(SEARCH("R44",G270)),0)+IFERROR(--ISNUMBER(SEARCH("R45",G270)),0)+IFERROR(--ISNUMBER(SEARCH("R46",G270)),0)+IFERROR(--ISNUMBER(SEARCH("R47",G270)),0)+IFERROR(--ISNUMBER(SEARCH("R48",G270)),0)+IFERROR(--ISNUMBER(SEARCH("R49",G270)),0)+IFERROR(--ISNUMBER(SEARCH("R50",G270)),0)+IFERROR(--ISNUMBER(SEARCH("R51",G270)),0)+IFERROR(--ISNUMBER(SEARCH("R52",G270)),0)+IFERROR(--ISNUMBER(SEARCH("R53",G270)),0)+IFERROR(--ISNUMBER(SEARCH("R54",G270)),0)+IFERROR(--ISNUMBER(SEARCH("R55",G270)),0)+IFERROR(--ISNUMBER(SEARCH("R56",G270)),0)+IFERROR(--ISNUMBER(SEARCH("R57",G270)),0)+IFERROR(--ISNUMBER(SEARCH("R58",G270)),0)+IFERROR(--ISNUMBER(SEARCH("R59",G270)),0)+IFERROR(--ISNUMBER(SEARCH("R60",G270)),0)+IFERROR(--ISNUMBER(SEARCH("R61",G270)),0)+IFERROR(--ISNUMBER(SEARCH("R62",G270)),0)+IFERROR(--ISNUMBER(SEARCH("R63",G270)),0)+IFERROR(--ISNUMBER(SEARCH("R64",G270)),0)+IFERROR(--ISNUMBER(SEARCH("R65",G270)),0)+IFERROR(--ISNUMBER(SEARCH("R66",G270)),0)+IFERROR(--ISNUMBER(SEARCH("R67",G270)),0)+IFERROR(--ISNUMBER(SEARCH("R68",G270)),0)+IFERROR(--ISNUMBER(SEARCH("R69",G270)),0)+IFERROR(--ISNUMBER(SEARCH("R70",G270)),0)+IFERROR(--ISNUMBER(SEARCH("R71",G270)),0)+IFERROR(--ISNUMBER(SEARCH("R72",G270)),0)+IFERROR(--ISNUMBER(SEARCH("R73",G270)),0)+IFERROR(--ISNUMBER(SEARCH("R74",G270)),0)+IFERROR(--ISNUMBER(SEARCH("R75",G270)),0)+IFERROR(--ISNUMBER(SEARCH("R76",G270)),0)+IFERROR(--ISNUMBER(SEARCH("R77",G270)),0)+IFERROR(--ISNUMBER(SEARCH("R78",G270)),0)+IFERROR(--ISNUMBER(SEARCH("R79",G270)),0)+IFERROR(--ISNUMBER(SEARCH("R80",G270)),0)+IFERROR(--ISNUMBER(SEARCH("R81",G270)),0)+IFERROR(--ISNUMBER(SEARCH("R82",G270)),0)+IFERROR(--ISNUMBER(SEARCH("R83",G270)),0)+IFERROR(--ISNUMBER(SEARCH("R84",G270)),0)+IFERROR(--ISNUMBER(SEARCH("R85",G270)),0)+IFERROR(--ISNUMBER(SEARCH("R86",G270)),0)+IFERROR(--ISNUMBER(SEARCH("R87",G270)),0)+IFERROR(--ISNUMBER(SEARCH("R88",G270)),0)+IFERROR(--ISNUMBER(SEARCH("R89",G270)),0)+IFERROR(--ISNUMBER(SEARCH("R90",G270)),0)+IFERROR(--ISNUMBER(SEARCH("R91",G270)),0)+IFERROR(--ISNUMBER(SEARCH("R92",G270)),0)+IFERROR(--ISNUMBER(SEARCH("R93",G270)),0)+IFERROR(--ISNUMBER(SEARCH("R94",G270)),0)+IFERROR(--ISNUMBER(SEARCH("R95",G270)),0)+IFERROR(--ISNUMBER(SEARCH("R96",G270)),0)+IFERROR(--ISNUMBER(SEARCH("R97",G270)),0)+IFERROR(--ISNUMBER(SEARCH("R98",G270)),0)+IFERROR(--ISNUMBER(SEARCH("R99",G270)),0)+IFERROR(--ISNUMBER(SEARCH("R100",G270)),0)+IFERROR(--ISNUMBER(SEARCH("R101",G270)),0)+IFERROR(--ISNUMBER(SEARCH("R102",G270)),0)+IFERROR(--ISNUMBER(SEARCH("R103",G270)),0)+IFERROR(--ISNUMBER(SEARCH("R104",G270)),0)+IFERROR(--ISNUMBER(SEARCH("R105",G270)),0)+IFERROR(--ISNUMBER(SEARCH("R106",G270)),0)+IFERROR(--ISNUMBER(SEARCH("R107",G270)),0)+IFERROR(--ISNUMBER(SEARCH("R108",G270)),0)+IFERROR(--ISNUMBER(SEARCH("R109",G270)),0)+IFERROR(--ISNUMBER(SEARCH("R110",G270)),0)+IFERROR(--ISNUMBER(SEARCH("R111",G270)),0)+IFERROR(--ISNUMBER(SEARCH("R112",G270)),0)+IFERROR(--ISNUMBER(SEARCH("R113",G270)),0)+IFERROR(--ISNUMBER(SEARCH("R114",G270)),0)+IFERROR(--ISNUMBER(SEARCH("R115",G270)),0)+IFERROR(--ISNUMBER(SEARCH("R116",G270)),0)+IFERROR(--ISNUMBER(SEARCH("R117",G270)),0)+IFERROR(--ISNUMBER(SEARCH("R118",G270)),0)+IFERROR(--ISNUMBER(SEARCH("R119",G270)),0)+IFERROR(--ISNUMBER(SEARCH("R120",G270)),0)+IFERROR(--ISNUMBER(SEARCH("R121",G270)),0)+IFERROR(--ISNUMBER(SEARCH("R122",G270)),0)+IFERROR(--ISNUMBER(SEARCH("R123",G270)),0)+IFERROR(--ISNUMBER(SEARCH("R124",G270)),0)+IFERROR(--ISNUMBER(SEARCH("R125",G270)),0)+IFERROR(--ISNUMBER(SEARCH("R126",G270)),0)+IFERROR(--ISNUMBER(SEARCH("R127",G270)),0)+IFERROR(--ISNUMBER(SEARCH("R128",G270)),0)+IFERROR(--ISNUMBER(SEARCH("R129",G270)),0)+IFERROR(--ISNUMBER(SEARCH("R130",G270)),0)+IFERROR(--ISNUMBER(SEARCH("R131",G270)),0)+IFERROR(--ISNUMBER(SEARCH("R132",G270)),0)+IFERROR(--ISNUMBER(SEARCH("R133",G270)),0)+IFERROR(--ISNUMBER(SEARCH("R134",G270)),0)+IFERROR(--ISNUMBER(SEARCH("R135",G270)),0)+IFERROR(--ISNUMBER(SEARCH("R136",G270)),0)+IFERROR(--ISNUMBER(SEARCH("R137",G270)),0)+IFERROR(--ISNUMBER(SEARCH("R138",G270)),0)+IFERROR(--ISNUMBER(SEARCH("R139",G270)),0)+IFERROR(--ISNUMBER(SEARCH("R140",G270)),0)+IFERROR(--ISNUMBER(SEARCH("R141",G270)),0))</f>
        <v/>
      </c>
      <c r="T270" s="58">
        <f>IF(A270="","",IFERROR(--ISNUMBER(SEARCH("R28",G270)),0)+IFERROR(--ISNUMBER(SEARCH("R29",G270)),0)+IFERROR(--ISNUMBER(SEARCH("R30",G270)),0)+IFERROR(--ISNUMBER(SEARCH("R32",G270)),0)+IFERROR(--ISNUMBER(SEARCH("R33",G270)),0)+IFERROR(--ISNUMBER(SEARCH("R35",G270)),0)+IFERROR(--ISNUMBER(SEARCH("R36",G270)),0)+IFERROR(--ISNUMBER(SEARCH("R38",G270)),0)+IFERROR(--ISNUMBER(SEARCH("R39",G270)),0)+IFERROR(--ISNUMBER(SEARCH("R43",G270)),0)+IFERROR(--ISNUMBER(SEARCH("R44",G270)),0)+IFERROR(--ISNUMBER(SEARCH("R45",G270)),0)+IFERROR(--ISNUMBER(SEARCH("R47",G270)),0)+IFERROR(--ISNUMBER(SEARCH("R48",G270)),0)+IFERROR(--ISNUMBER(SEARCH("R50",G270)),0)+IFERROR(--ISNUMBER(SEARCH("R51",G270)),0)+IFERROR(--ISNUMBER(SEARCH("R56",G270)),0)+IFERROR(--ISNUMBER(SEARCH("R58",G270)),0)+IFERROR(--ISNUMBER(SEARCH("R59",G270)),0)+IFERROR(--ISNUMBER(SEARCH("R60",G270)),0)+IFERROR(--ISNUMBER(SEARCH("R62",G270)),0)+IFERROR(--ISNUMBER(SEARCH("R63",G270)),0)+IFERROR(--ISNUMBER(SEARCH("R64",G270)),0)+IFERROR(--ISNUMBER(SEARCH("R66",G270)),0)+IFERROR(--ISNUMBER(SEARCH("R67",G270)),0)+IFERROR(--ISNUMBER(SEARCH("R72",G270)),0)+IFERROR(--ISNUMBER(SEARCH("R74",G270)),0)+IFERROR(--ISNUMBER(SEARCH("R75",G270)),0)+IFERROR(--ISNUMBER(SEARCH("R76",G270)),0)+IFERROR(--ISNUMBER(SEARCH("R77",G270)),0)+IFERROR(--ISNUMBER(SEARCH("R79",G270)),0)+IFERROR(--ISNUMBER(SEARCH("R80",G270)),0)+IFERROR(--ISNUMBER(SEARCH("R81",G270)),0)+IFERROR(--ISNUMBER(SEARCH("R83",G270)),0)+IFERROR(--ISNUMBER(SEARCH("R84",G270)),0)+IFERROR(--ISNUMBER(SEARCH("R89",G270)),0)+IFERROR(--ISNUMBER(SEARCH("R94",G270)),0)+IFERROR(--ISNUMBER(SEARCH("R95",G270)),0)+IFERROR(--ISNUMBER(SEARCH("R96",G270)),0)+IFERROR(--ISNUMBER(SEARCH("R98",G270)),0)+IFERROR(--ISNUMBER(SEARCH("R99",G270)),0)+IFERROR(--ISNUMBER(SEARCH("R100",G270)),0)+IFERROR(--ISNUMBER(SEARCH("R104",G270)),0)+IFERROR(--ISNUMBER(SEARCH("R105",G270)),0)+IFERROR(--ISNUMBER(SEARCH("R107",G270)),0)+IFERROR(--ISNUMBER(SEARCH("R108",G270)),0)+IFERROR(--ISNUMBER(SEARCH("R109",G270)),0)+IFERROR(--ISNUMBER(SEARCH("R110",G270)),0)+IFERROR(--ISNUMBER(SEARCH("R112",G270)),0)+IFERROR(--ISNUMBER(SEARCH("R113",G270)),0)+IFERROR(--ISNUMBER(SEARCH("R114",G270)),0)+IFERROR(--ISNUMBER(SEARCH("R118",G270)),0)+IFERROR(--ISNUMBER(SEARCH("R119",G270)),0)+IFERROR(--ISNUMBER(SEARCH("R120",G270)),0)+IFERROR(--ISNUMBER(SEARCH("R122",G270)),0)+IFERROR(--ISNUMBER(SEARCH("R123",G270)),0)+IFERROR(--ISNUMBER(SEARCH("R124",G270)),0)+IFERROR(--ISNUMBER(SEARCH("R128",G270)),0)+IFERROR(--ISNUMBER(SEARCH("R130",G270)),0)+IFERROR(--ISNUMBER(SEARCH("R131",G270)),0)+IFERROR(--ISNUMBER(SEARCH("R132",G270)),0)+IFERROR(--ISNUMBER(SEARCH("R135",G270)),0)+IFERROR(--ISNUMBER(SEARCH("R138",G270)),0)+IFERROR(--ISNUMBER(SEARCH("R141",G270)),0))</f>
        <v/>
      </c>
      <c r="U270" s="58">
        <f>IF(A270="","",IFERROR(--ISNUMBER(SEARCH("R28",G270))*28,0)+IFERROR(--ISNUMBER(SEARCH("R29",G270))*29,0)+IFERROR(--ISNUMBER(SEARCH("R30",G270))*30,0)+IFERROR(--ISNUMBER(SEARCH("R31",G270))*31,0)+IFERROR(--ISNUMBER(SEARCH("R32",G270))*32,0)+IFERROR(--ISNUMBER(SEARCH("R33",G270))*33,0)+IFERROR(--ISNUMBER(SEARCH("R34",G270))*34,0)+IFERROR(--ISNUMBER(SEARCH("R35",G270))*35,0)+IFERROR(--ISNUMBER(SEARCH("R36",G270))*36,0)+IFERROR(--ISNUMBER(SEARCH("R37",G270))*37,0)+IFERROR(--ISNUMBER(SEARCH("R38",G270))*38,0)+IFERROR(--ISNUMBER(SEARCH("R39",G270))*39,0)+IFERROR(--ISNUMBER(SEARCH("R40",G270))*40,0)+IFERROR(--ISNUMBER(SEARCH("R41",G270))*41,0)+IFERROR(--ISNUMBER(SEARCH("R42",G270))*42,0)+IFERROR(--ISNUMBER(SEARCH("R43",G270))*43,0)+IFERROR(--ISNUMBER(SEARCH("R44",G270))*44,0)+IFERROR(--ISNUMBER(SEARCH("R45",G270))*45,0)+IFERROR(--ISNUMBER(SEARCH("R46",G270))*46,0)+IFERROR(--ISNUMBER(SEARCH("R47",G270))*47,0)+IFERROR(--ISNUMBER(SEARCH("R48",G270))*48,0)+IFERROR(--ISNUMBER(SEARCH("R49",G270))*49,0)+IFERROR(--ISNUMBER(SEARCH("R50",G270))*50,0)+IFERROR(--ISNUMBER(SEARCH("R51",G270))*51,0)+IFERROR(--ISNUMBER(SEARCH("R52",G270))*52,0)+IFERROR(--ISNUMBER(SEARCH("R53",G270))*53,0)+IFERROR(--ISNUMBER(SEARCH("R54",G270))*54,0)+IFERROR(--ISNUMBER(SEARCH("R55",G270))*55,0)+IFERROR(--ISNUMBER(SEARCH("R56",G270))*56,0)+IFERROR(--ISNUMBER(SEARCH("R57",G270))*57,0)+IFERROR(--ISNUMBER(SEARCH("R58",G270))*58,0)+IFERROR(--ISNUMBER(SEARCH("R59",G270))*59,0)+IFERROR(--ISNUMBER(SEARCH("R60",G270))*60,0)+IFERROR(--ISNUMBER(SEARCH("R61",G270))*61,0)+IFERROR(--ISNUMBER(SEARCH("R62",G270))*62,0)+IFERROR(--ISNUMBER(SEARCH("R63",G270))*63,0)+IFERROR(--ISNUMBER(SEARCH("R64",G270))*64,0)+IFERROR(--ISNUMBER(SEARCH("R65",G270))*65,0)+IFERROR(--ISNUMBER(SEARCH("R66",G270))*66,0)+IFERROR(--ISNUMBER(SEARCH("R67",G270))*67,0)+IFERROR(--ISNUMBER(SEARCH("R68",G270))*68,0)+IFERROR(--ISNUMBER(SEARCH("R69",G270))*69,0)+IFERROR(--ISNUMBER(SEARCH("R70",G270))*70,0)+IFERROR(--ISNUMBER(SEARCH("R71",G270))*71,0)+IFERROR(--ISNUMBER(SEARCH("R72",G270))*72,0)+IFERROR(--ISNUMBER(SEARCH("R73",G270))*73,0)+IFERROR(--ISNUMBER(SEARCH("R74",G270))*74,0)+IFERROR(--ISNUMBER(SEARCH("R75",G270))*75,0)+IFERROR(--ISNUMBER(SEARCH("R76",G270))*76,0)+IFERROR(--ISNUMBER(SEARCH("R77",G270))*77,0)+IFERROR(--ISNUMBER(SEARCH("R78",G270))*78,0)+IFERROR(--ISNUMBER(SEARCH("R79",G270))*79,0)+IFERROR(--ISNUMBER(SEARCH("R80",G270))*80,0)+IFERROR(--ISNUMBER(SEARCH("R81",G270))*81,0)+IFERROR(--ISNUMBER(SEARCH("R82",G270))*82,0)+IFERROR(--ISNUMBER(SEARCH("R83",G270))*83,0)+IFERROR(--ISNUMBER(SEARCH("R84",G270))*84,0)+IFERROR(--ISNUMBER(SEARCH("R85",G270))*85,0)+IFERROR(--ISNUMBER(SEARCH("R86",G270))*86,0)+IFERROR(--ISNUMBER(SEARCH("R87",G270))*87,0)+IFERROR(--ISNUMBER(SEARCH("R88",G270))*88,0)+IFERROR(--ISNUMBER(SEARCH("R89",G270))*89,0)+IFERROR(--ISNUMBER(SEARCH("R90",G270))*90,0)+IFERROR(--ISNUMBER(SEARCH("R91",G270))*91,0)+IFERROR(--ISNUMBER(SEARCH("R92",G270))*92,0)+IFERROR(--ISNUMBER(SEARCH("R93",G270))*93,0)+IFERROR(--ISNUMBER(SEARCH("R94",G270))*94,0)+IFERROR(--ISNUMBER(SEARCH("R95",G270))*95,0)+IFERROR(--ISNUMBER(SEARCH("R96",G270))*96,0)+IFERROR(--ISNUMBER(SEARCH("R97",G270))*97,0)+IFERROR(--ISNUMBER(SEARCH("R98",G270))*98,0)+IFERROR(--ISNUMBER(SEARCH("R99",G270))*99,0)+IFERROR(--ISNUMBER(SEARCH("R100",G270))*100,0)+IFERROR(--ISNUMBER(SEARCH("R101",G270))*101,0)+IFERROR(--ISNUMBER(SEARCH("R102",G270))*102,0)+IFERROR(--ISNUMBER(SEARCH("R103",G270))*103,0)+IFERROR(--ISNUMBER(SEARCH("R104",G270))*104,0)+IFERROR(--ISNUMBER(SEARCH("R105",G270))*105,0)+IFERROR(--ISNUMBER(SEARCH("R106",G270))*106,0)+IFERROR(--ISNUMBER(SEARCH("R107",G270))*107,0)+IFERROR(--ISNUMBER(SEARCH("R108",G270))*108,0)+IFERROR(--ISNUMBER(SEARCH("R109",G270))*109,0)+IFERROR(--ISNUMBER(SEARCH("R110",G270))*110,0)+IFERROR(--ISNUMBER(SEARCH("R111",G270))*111,0)+IFERROR(--ISNUMBER(SEARCH("R112",G270))*112,0)+IFERROR(--ISNUMBER(SEARCH("R113",G270))*113,0)+IFERROR(--ISNUMBER(SEARCH("R114",G270))*114,0)+IFERROR(--ISNUMBER(SEARCH("R115",G270))*115,0)+IFERROR(--ISNUMBER(SEARCH("R116",G270))*116,0)+IFERROR(--ISNUMBER(SEARCH("R117",G270))*117,0)+IFERROR(--ISNUMBER(SEARCH("R118",G270))*118,0)+IFERROR(--ISNUMBER(SEARCH("R119",G270))*119,0)+IFERROR(--ISNUMBER(SEARCH("R120",G270))*120,0)+IFERROR(--ISNUMBER(SEARCH("R121",G270))*121,0)+IFERROR(--ISNUMBER(SEARCH("R122",G270))*122,0)+IFERROR(--ISNUMBER(SEARCH("R123",G270))*123,0)+IFERROR(--ISNUMBER(SEARCH("R124",G270))*124,0)+IFERROR(--ISNUMBER(SEARCH("R125",G270))*125,0)+IFERROR(--ISNUMBER(SEARCH("R126",G270))*126,0)+IFERROR(--ISNUMBER(SEARCH("R127",G270))*127,0)+IFERROR(--ISNUMBER(SEARCH("R128",G270))*128,0)+IFERROR(--ISNUMBER(SEARCH("R129",G270))*129,0)+IFERROR(--ISNUMBER(SEARCH("R130",G270))*130,0)+IFERROR(--ISNUMBER(SEARCH("R131",G270))*131,0)+IFERROR(--ISNUMBER(SEARCH("R132",G270))*132,0)+IFERROR(--ISNUMBER(SEARCH("R133",G270))*133,0)+IFERROR(--ISNUMBER(SEARCH("R134",G270))*134,0)+IFERROR(--ISNUMBER(SEARCH("R135",G270))*135,0)+IFERROR(--ISNUMBER(SEARCH("R136",G270))*136,0)+IFERROR(--ISNUMBER(SEARCH("R137",G270))*137,0)+IFERROR(--ISNUMBER(SEARCH("R138",G270))*138,0)+IFERROR(--ISNUMBER(SEARCH("R139",G270))*139,0)+IFERROR(--ISNUMBER(SEARCH("R140",G270))*140,0)+IFERROR(--ISNUMBER(SEARCH("R141",G270))*141,0))</f>
        <v/>
      </c>
      <c r="V270" s="59">
        <f>IF(A270="","",IF(K270&lt;&gt;"",K270,J270))</f>
        <v/>
      </c>
      <c r="W270" s="59">
        <f>IF(A270="","",IF(AND(V270=29,O270&lt;&gt;"",COUNTIFS($V$6:$V$505,29,$F$6:$F$505,F270,$C$6:$C$505,C270,$O$6:$O$505,"&lt;&gt;")&gt;1),IF(COUNTIFS($V$6:V270,29,$F$6:F270,F270,$C$6:C270,C270,$O$6:O270,"&lt;&gt;")=1,"Esta es la fila que se debe CONSERVAR (aparición 1 de "&amp;COUNTIFS($V$6:$V$505,29,$F$6:$F$505,F270,$C$6:$C$505,C270,$O$6:$O$505,"&lt;&gt;")&amp;" con el mismo tercero y valor, casilla 29). Si hay más filas iguales, bórreles el valor a ELLAS, no a esta.","DUPLICADO — ya existe otra fila con el mismo tercero y valor para casilla 29 (aparición "&amp;COUNTIFS($V$6:V270,29,$F$6:F270,F270,$C$6:C270,C270,$O$6:O270,"&lt;&gt;")&amp;" de "&amp;COUNTIFS($V$6:$V$505,29,$F$6:$F$505,F270,$C$6:$C$505,C270,$O$6:$O$505,"&lt;&gt;")&amp;"). Para resolverlo: seleccione la celda O"&amp;ROW()&amp;" (columna Valor a declarar de ESTA fila) y presione Supr."),""))</f>
        <v/>
      </c>
      <c r="X270" s="463">
        <f>IF(A270="","",F270)</f>
        <v/>
      </c>
      <c r="Y270" s="463">
        <f>IF(A270="","",SUMIF(Entrada_Manual!$I$88:$I$187,A270,Entrada_Manual!$F$88:$F$187))</f>
        <v/>
      </c>
      <c r="Z270" s="463">
        <f>IF(A270="","",X270-Y270)</f>
        <v/>
      </c>
      <c r="AA270">
        <f>IF(A270="","",SUMPRODUCT((Entrada_Manual!$I$88:$I$187=A270)*1))</f>
        <v/>
      </c>
      <c r="AB270">
        <f>IF(A270="","",IF(S270&lt;=1,"",IF(AA270=0,"PENDIENTE — SIN ASIGNAR",IF(Z270=0,"RESUELTO","PARCIAL — DIFERENCIA "&amp;TEXT(Z270,"#,##0")))))</f>
        <v/>
      </c>
    </row>
    <row r="271" ht="14.25" customHeight="1" s="235">
      <c r="A271" s="47">
        <f>IF(Exogena_RAW!E280&lt;&gt;"",ROW()-5,"")</f>
        <v/>
      </c>
      <c r="B271" s="48">
        <f>IF(A271="","",280)</f>
        <v/>
      </c>
      <c r="C271" s="48">
        <f>IF(A271="","",IFERROR(Exogena_RAW!A280,""))</f>
        <v/>
      </c>
      <c r="D271" s="48">
        <f>IF(A271="","",IFERROR(Exogena_RAW!B280,""))</f>
        <v/>
      </c>
      <c r="E271" s="48">
        <f>IF(A271="","",Exogena_RAW!E280)</f>
        <v/>
      </c>
      <c r="F271" s="461">
        <f>IF(A271="","",Exogena_RAW!F280)</f>
        <v/>
      </c>
      <c r="G271" s="48">
        <f>IF(A271="","",IFERROR(Exogena_RAW!G280,""))</f>
        <v/>
      </c>
      <c r="H271" s="48">
        <f>IF(A271="","",IFERROR(Exogena_RAW!H280,""))</f>
        <v/>
      </c>
      <c r="I271" s="48">
        <f>IF(A271="","",IFERROR(IF(S271&gt;1,"VARIAS CASILLAS",IF(S271=1,IF(T271=1,"PROPUESTA DE CASILLA","REVISIÓN: CASILLA NO DIRECTA"),IF(OR(ISNUMBER(SEARCH("TOPE",UPPER(E271))),ISNUMBER(SEARCH("TOPE",UPPER(G271)))),"SOLO CONTROL",IF(ISNUMBER(SEARCH("RETEN",UPPER(E271))),"RETENCIÓN","REVISAR")))),"REVISAR"))</f>
        <v/>
      </c>
      <c r="J271" s="48">
        <f>IF(A271="","",IF(ISNUMBER(SEARCH("ingreso laboral promedio de los últimos seis meses",E271)),"",IFERROR(IF(AND(S271=1,T271=1),U271,""),"")))</f>
        <v/>
      </c>
      <c r="K271" s="216" t="n"/>
      <c r="L271" s="48">
        <f>IF(A271="","",IFERROR(IF(K271&lt;&gt;"","Casilla elegida por usuario",IF(S271&gt;1,"Varias casillas — elegir en K",IF(J271&lt;&gt;"","Sugerencia directa",IF(S271=1,"No trasladar directo — revisar",IF(OR(ISNUMBER(SEARCH("TOPE",UPPER(E271))),ISNUMBER(SEARCH("TOPE",UPPER(G271)))),"Solo control","Revisar manualmente"))))),"Revisar manualmente"))</f>
        <v/>
      </c>
      <c r="M271" s="461">
        <f>IF(A271="","",IF(IF(K271&lt;&gt;"",K271,J271)="",0,IF(COUNTIFS(Reglas!$I$5:$I$118,IF(K271&lt;&gt;"",K271,J271),Reglas!$J$5:$J$118,"Sí")=1,F271,0)))</f>
        <v/>
      </c>
      <c r="N271" s="56" t="n"/>
      <c r="O271" s="462">
        <f>IF(A271="","",IF(M271=0,"",M271))</f>
        <v/>
      </c>
      <c r="P271" s="461">
        <f>IF(A271="","",IF(O271="",0,IF(ISNUMBER(O271),O271,0)))</f>
        <v/>
      </c>
      <c r="Q271" s="48">
        <f>IF(A271="","",IF(Exogena_RAW!$C$4="","BLOQUEADO: FALTA AÑO",IF(Exogena_RAW!$K$10&lt;&gt;Reglas!$B$5,"BLOQUEADO: AÑO",IF(IF(K271&lt;&gt;"",K271,J271)="",IF(S271&gt;1,"REQUIERE ASIGNACIÓN MANUAL (VARIAS CASILLAS)","INFORMATIVO (sin casilla — no se declara)"),IF(COUNTIFS(Reglas!$I$5:$I$118,IF(K271&lt;&gt;"",K271,J271),Reglas!$J$5:$J$118,"Sí")=0,"BLOQUEADO: CASILLA NO DIRECTA",IF(O271="","EXCLUIDO (valor borrado por el usuario)",IF(_xlfn.ISFORMULA(O271),IF(W271&lt;&gt;"","BORRADOR — VALOR SUGERIDO DIAN ⚠ VER ALERTA","BORRADOR — VALOR SUGERIDO DIAN"),IF(W271&lt;&gt;"","ACEPTADO ⚠ VER ALERTA","ACEPTADO"))))))))</f>
        <v/>
      </c>
      <c r="R271" s="218" t="n"/>
      <c r="S271" s="58">
        <f>IF(A271="","",IFERROR(--ISNUMBER(SEARCH("R28",G271)),0)+IFERROR(--ISNUMBER(SEARCH("R29",G271)),0)+IFERROR(--ISNUMBER(SEARCH("R30",G271)),0)+IFERROR(--ISNUMBER(SEARCH("R31",G271)),0)+IFERROR(--ISNUMBER(SEARCH("R32",G271)),0)+IFERROR(--ISNUMBER(SEARCH("R33",G271)),0)+IFERROR(--ISNUMBER(SEARCH("R34",G271)),0)+IFERROR(--ISNUMBER(SEARCH("R35",G271)),0)+IFERROR(--ISNUMBER(SEARCH("R36",G271)),0)+IFERROR(--ISNUMBER(SEARCH("R37",G271)),0)+IFERROR(--ISNUMBER(SEARCH("R38",G271)),0)+IFERROR(--ISNUMBER(SEARCH("R39",G271)),0)+IFERROR(--ISNUMBER(SEARCH("R40",G271)),0)+IFERROR(--ISNUMBER(SEARCH("R41",G271)),0)+IFERROR(--ISNUMBER(SEARCH("R42",G271)),0)+IFERROR(--ISNUMBER(SEARCH("R43",G271)),0)+IFERROR(--ISNUMBER(SEARCH("R44",G271)),0)+IFERROR(--ISNUMBER(SEARCH("R45",G271)),0)+IFERROR(--ISNUMBER(SEARCH("R46",G271)),0)+IFERROR(--ISNUMBER(SEARCH("R47",G271)),0)+IFERROR(--ISNUMBER(SEARCH("R48",G271)),0)+IFERROR(--ISNUMBER(SEARCH("R49",G271)),0)+IFERROR(--ISNUMBER(SEARCH("R50",G271)),0)+IFERROR(--ISNUMBER(SEARCH("R51",G271)),0)+IFERROR(--ISNUMBER(SEARCH("R52",G271)),0)+IFERROR(--ISNUMBER(SEARCH("R53",G271)),0)+IFERROR(--ISNUMBER(SEARCH("R54",G271)),0)+IFERROR(--ISNUMBER(SEARCH("R55",G271)),0)+IFERROR(--ISNUMBER(SEARCH("R56",G271)),0)+IFERROR(--ISNUMBER(SEARCH("R57",G271)),0)+IFERROR(--ISNUMBER(SEARCH("R58",G271)),0)+IFERROR(--ISNUMBER(SEARCH("R59",G271)),0)+IFERROR(--ISNUMBER(SEARCH("R60",G271)),0)+IFERROR(--ISNUMBER(SEARCH("R61",G271)),0)+IFERROR(--ISNUMBER(SEARCH("R62",G271)),0)+IFERROR(--ISNUMBER(SEARCH("R63",G271)),0)+IFERROR(--ISNUMBER(SEARCH("R64",G271)),0)+IFERROR(--ISNUMBER(SEARCH("R65",G271)),0)+IFERROR(--ISNUMBER(SEARCH("R66",G271)),0)+IFERROR(--ISNUMBER(SEARCH("R67",G271)),0)+IFERROR(--ISNUMBER(SEARCH("R68",G271)),0)+IFERROR(--ISNUMBER(SEARCH("R69",G271)),0)+IFERROR(--ISNUMBER(SEARCH("R70",G271)),0)+IFERROR(--ISNUMBER(SEARCH("R71",G271)),0)+IFERROR(--ISNUMBER(SEARCH("R72",G271)),0)+IFERROR(--ISNUMBER(SEARCH("R73",G271)),0)+IFERROR(--ISNUMBER(SEARCH("R74",G271)),0)+IFERROR(--ISNUMBER(SEARCH("R75",G271)),0)+IFERROR(--ISNUMBER(SEARCH("R76",G271)),0)+IFERROR(--ISNUMBER(SEARCH("R77",G271)),0)+IFERROR(--ISNUMBER(SEARCH("R78",G271)),0)+IFERROR(--ISNUMBER(SEARCH("R79",G271)),0)+IFERROR(--ISNUMBER(SEARCH("R80",G271)),0)+IFERROR(--ISNUMBER(SEARCH("R81",G271)),0)+IFERROR(--ISNUMBER(SEARCH("R82",G271)),0)+IFERROR(--ISNUMBER(SEARCH("R83",G271)),0)+IFERROR(--ISNUMBER(SEARCH("R84",G271)),0)+IFERROR(--ISNUMBER(SEARCH("R85",G271)),0)+IFERROR(--ISNUMBER(SEARCH("R86",G271)),0)+IFERROR(--ISNUMBER(SEARCH("R87",G271)),0)+IFERROR(--ISNUMBER(SEARCH("R88",G271)),0)+IFERROR(--ISNUMBER(SEARCH("R89",G271)),0)+IFERROR(--ISNUMBER(SEARCH("R90",G271)),0)+IFERROR(--ISNUMBER(SEARCH("R91",G271)),0)+IFERROR(--ISNUMBER(SEARCH("R92",G271)),0)+IFERROR(--ISNUMBER(SEARCH("R93",G271)),0)+IFERROR(--ISNUMBER(SEARCH("R94",G271)),0)+IFERROR(--ISNUMBER(SEARCH("R95",G271)),0)+IFERROR(--ISNUMBER(SEARCH("R96",G271)),0)+IFERROR(--ISNUMBER(SEARCH("R97",G271)),0)+IFERROR(--ISNUMBER(SEARCH("R98",G271)),0)+IFERROR(--ISNUMBER(SEARCH("R99",G271)),0)+IFERROR(--ISNUMBER(SEARCH("R100",G271)),0)+IFERROR(--ISNUMBER(SEARCH("R101",G271)),0)+IFERROR(--ISNUMBER(SEARCH("R102",G271)),0)+IFERROR(--ISNUMBER(SEARCH("R103",G271)),0)+IFERROR(--ISNUMBER(SEARCH("R104",G271)),0)+IFERROR(--ISNUMBER(SEARCH("R105",G271)),0)+IFERROR(--ISNUMBER(SEARCH("R106",G271)),0)+IFERROR(--ISNUMBER(SEARCH("R107",G271)),0)+IFERROR(--ISNUMBER(SEARCH("R108",G271)),0)+IFERROR(--ISNUMBER(SEARCH("R109",G271)),0)+IFERROR(--ISNUMBER(SEARCH("R110",G271)),0)+IFERROR(--ISNUMBER(SEARCH("R111",G271)),0)+IFERROR(--ISNUMBER(SEARCH("R112",G271)),0)+IFERROR(--ISNUMBER(SEARCH("R113",G271)),0)+IFERROR(--ISNUMBER(SEARCH("R114",G271)),0)+IFERROR(--ISNUMBER(SEARCH("R115",G271)),0)+IFERROR(--ISNUMBER(SEARCH("R116",G271)),0)+IFERROR(--ISNUMBER(SEARCH("R117",G271)),0)+IFERROR(--ISNUMBER(SEARCH("R118",G271)),0)+IFERROR(--ISNUMBER(SEARCH("R119",G271)),0)+IFERROR(--ISNUMBER(SEARCH("R120",G271)),0)+IFERROR(--ISNUMBER(SEARCH("R121",G271)),0)+IFERROR(--ISNUMBER(SEARCH("R122",G271)),0)+IFERROR(--ISNUMBER(SEARCH("R123",G271)),0)+IFERROR(--ISNUMBER(SEARCH("R124",G271)),0)+IFERROR(--ISNUMBER(SEARCH("R125",G271)),0)+IFERROR(--ISNUMBER(SEARCH("R126",G271)),0)+IFERROR(--ISNUMBER(SEARCH("R127",G271)),0)+IFERROR(--ISNUMBER(SEARCH("R128",G271)),0)+IFERROR(--ISNUMBER(SEARCH("R129",G271)),0)+IFERROR(--ISNUMBER(SEARCH("R130",G271)),0)+IFERROR(--ISNUMBER(SEARCH("R131",G271)),0)+IFERROR(--ISNUMBER(SEARCH("R132",G271)),0)+IFERROR(--ISNUMBER(SEARCH("R133",G271)),0)+IFERROR(--ISNUMBER(SEARCH("R134",G271)),0)+IFERROR(--ISNUMBER(SEARCH("R135",G271)),0)+IFERROR(--ISNUMBER(SEARCH("R136",G271)),0)+IFERROR(--ISNUMBER(SEARCH("R137",G271)),0)+IFERROR(--ISNUMBER(SEARCH("R138",G271)),0)+IFERROR(--ISNUMBER(SEARCH("R139",G271)),0)+IFERROR(--ISNUMBER(SEARCH("R140",G271)),0)+IFERROR(--ISNUMBER(SEARCH("R141",G271)),0))</f>
        <v/>
      </c>
      <c r="T271" s="58">
        <f>IF(A271="","",IFERROR(--ISNUMBER(SEARCH("R28",G271)),0)+IFERROR(--ISNUMBER(SEARCH("R29",G271)),0)+IFERROR(--ISNUMBER(SEARCH("R30",G271)),0)+IFERROR(--ISNUMBER(SEARCH("R32",G271)),0)+IFERROR(--ISNUMBER(SEARCH("R33",G271)),0)+IFERROR(--ISNUMBER(SEARCH("R35",G271)),0)+IFERROR(--ISNUMBER(SEARCH("R36",G271)),0)+IFERROR(--ISNUMBER(SEARCH("R38",G271)),0)+IFERROR(--ISNUMBER(SEARCH("R39",G271)),0)+IFERROR(--ISNUMBER(SEARCH("R43",G271)),0)+IFERROR(--ISNUMBER(SEARCH("R44",G271)),0)+IFERROR(--ISNUMBER(SEARCH("R45",G271)),0)+IFERROR(--ISNUMBER(SEARCH("R47",G271)),0)+IFERROR(--ISNUMBER(SEARCH("R48",G271)),0)+IFERROR(--ISNUMBER(SEARCH("R50",G271)),0)+IFERROR(--ISNUMBER(SEARCH("R51",G271)),0)+IFERROR(--ISNUMBER(SEARCH("R56",G271)),0)+IFERROR(--ISNUMBER(SEARCH("R58",G271)),0)+IFERROR(--ISNUMBER(SEARCH("R59",G271)),0)+IFERROR(--ISNUMBER(SEARCH("R60",G271)),0)+IFERROR(--ISNUMBER(SEARCH("R62",G271)),0)+IFERROR(--ISNUMBER(SEARCH("R63",G271)),0)+IFERROR(--ISNUMBER(SEARCH("R64",G271)),0)+IFERROR(--ISNUMBER(SEARCH("R66",G271)),0)+IFERROR(--ISNUMBER(SEARCH("R67",G271)),0)+IFERROR(--ISNUMBER(SEARCH("R72",G271)),0)+IFERROR(--ISNUMBER(SEARCH("R74",G271)),0)+IFERROR(--ISNUMBER(SEARCH("R75",G271)),0)+IFERROR(--ISNUMBER(SEARCH("R76",G271)),0)+IFERROR(--ISNUMBER(SEARCH("R77",G271)),0)+IFERROR(--ISNUMBER(SEARCH("R79",G271)),0)+IFERROR(--ISNUMBER(SEARCH("R80",G271)),0)+IFERROR(--ISNUMBER(SEARCH("R81",G271)),0)+IFERROR(--ISNUMBER(SEARCH("R83",G271)),0)+IFERROR(--ISNUMBER(SEARCH("R84",G271)),0)+IFERROR(--ISNUMBER(SEARCH("R89",G271)),0)+IFERROR(--ISNUMBER(SEARCH("R94",G271)),0)+IFERROR(--ISNUMBER(SEARCH("R95",G271)),0)+IFERROR(--ISNUMBER(SEARCH("R96",G271)),0)+IFERROR(--ISNUMBER(SEARCH("R98",G271)),0)+IFERROR(--ISNUMBER(SEARCH("R99",G271)),0)+IFERROR(--ISNUMBER(SEARCH("R100",G271)),0)+IFERROR(--ISNUMBER(SEARCH("R104",G271)),0)+IFERROR(--ISNUMBER(SEARCH("R105",G271)),0)+IFERROR(--ISNUMBER(SEARCH("R107",G271)),0)+IFERROR(--ISNUMBER(SEARCH("R108",G271)),0)+IFERROR(--ISNUMBER(SEARCH("R109",G271)),0)+IFERROR(--ISNUMBER(SEARCH("R110",G271)),0)+IFERROR(--ISNUMBER(SEARCH("R112",G271)),0)+IFERROR(--ISNUMBER(SEARCH("R113",G271)),0)+IFERROR(--ISNUMBER(SEARCH("R114",G271)),0)+IFERROR(--ISNUMBER(SEARCH("R118",G271)),0)+IFERROR(--ISNUMBER(SEARCH("R119",G271)),0)+IFERROR(--ISNUMBER(SEARCH("R120",G271)),0)+IFERROR(--ISNUMBER(SEARCH("R122",G271)),0)+IFERROR(--ISNUMBER(SEARCH("R123",G271)),0)+IFERROR(--ISNUMBER(SEARCH("R124",G271)),0)+IFERROR(--ISNUMBER(SEARCH("R128",G271)),0)+IFERROR(--ISNUMBER(SEARCH("R130",G271)),0)+IFERROR(--ISNUMBER(SEARCH("R131",G271)),0)+IFERROR(--ISNUMBER(SEARCH("R132",G271)),0)+IFERROR(--ISNUMBER(SEARCH("R135",G271)),0)+IFERROR(--ISNUMBER(SEARCH("R138",G271)),0)+IFERROR(--ISNUMBER(SEARCH("R141",G271)),0))</f>
        <v/>
      </c>
      <c r="U271" s="58">
        <f>IF(A271="","",IFERROR(--ISNUMBER(SEARCH("R28",G271))*28,0)+IFERROR(--ISNUMBER(SEARCH("R29",G271))*29,0)+IFERROR(--ISNUMBER(SEARCH("R30",G271))*30,0)+IFERROR(--ISNUMBER(SEARCH("R31",G271))*31,0)+IFERROR(--ISNUMBER(SEARCH("R32",G271))*32,0)+IFERROR(--ISNUMBER(SEARCH("R33",G271))*33,0)+IFERROR(--ISNUMBER(SEARCH("R34",G271))*34,0)+IFERROR(--ISNUMBER(SEARCH("R35",G271))*35,0)+IFERROR(--ISNUMBER(SEARCH("R36",G271))*36,0)+IFERROR(--ISNUMBER(SEARCH("R37",G271))*37,0)+IFERROR(--ISNUMBER(SEARCH("R38",G271))*38,0)+IFERROR(--ISNUMBER(SEARCH("R39",G271))*39,0)+IFERROR(--ISNUMBER(SEARCH("R40",G271))*40,0)+IFERROR(--ISNUMBER(SEARCH("R41",G271))*41,0)+IFERROR(--ISNUMBER(SEARCH("R42",G271))*42,0)+IFERROR(--ISNUMBER(SEARCH("R43",G271))*43,0)+IFERROR(--ISNUMBER(SEARCH("R44",G271))*44,0)+IFERROR(--ISNUMBER(SEARCH("R45",G271))*45,0)+IFERROR(--ISNUMBER(SEARCH("R46",G271))*46,0)+IFERROR(--ISNUMBER(SEARCH("R47",G271))*47,0)+IFERROR(--ISNUMBER(SEARCH("R48",G271))*48,0)+IFERROR(--ISNUMBER(SEARCH("R49",G271))*49,0)+IFERROR(--ISNUMBER(SEARCH("R50",G271))*50,0)+IFERROR(--ISNUMBER(SEARCH("R51",G271))*51,0)+IFERROR(--ISNUMBER(SEARCH("R52",G271))*52,0)+IFERROR(--ISNUMBER(SEARCH("R53",G271))*53,0)+IFERROR(--ISNUMBER(SEARCH("R54",G271))*54,0)+IFERROR(--ISNUMBER(SEARCH("R55",G271))*55,0)+IFERROR(--ISNUMBER(SEARCH("R56",G271))*56,0)+IFERROR(--ISNUMBER(SEARCH("R57",G271))*57,0)+IFERROR(--ISNUMBER(SEARCH("R58",G271))*58,0)+IFERROR(--ISNUMBER(SEARCH("R59",G271))*59,0)+IFERROR(--ISNUMBER(SEARCH("R60",G271))*60,0)+IFERROR(--ISNUMBER(SEARCH("R61",G271))*61,0)+IFERROR(--ISNUMBER(SEARCH("R62",G271))*62,0)+IFERROR(--ISNUMBER(SEARCH("R63",G271))*63,0)+IFERROR(--ISNUMBER(SEARCH("R64",G271))*64,0)+IFERROR(--ISNUMBER(SEARCH("R65",G271))*65,0)+IFERROR(--ISNUMBER(SEARCH("R66",G271))*66,0)+IFERROR(--ISNUMBER(SEARCH("R67",G271))*67,0)+IFERROR(--ISNUMBER(SEARCH("R68",G271))*68,0)+IFERROR(--ISNUMBER(SEARCH("R69",G271))*69,0)+IFERROR(--ISNUMBER(SEARCH("R70",G271))*70,0)+IFERROR(--ISNUMBER(SEARCH("R71",G271))*71,0)+IFERROR(--ISNUMBER(SEARCH("R72",G271))*72,0)+IFERROR(--ISNUMBER(SEARCH("R73",G271))*73,0)+IFERROR(--ISNUMBER(SEARCH("R74",G271))*74,0)+IFERROR(--ISNUMBER(SEARCH("R75",G271))*75,0)+IFERROR(--ISNUMBER(SEARCH("R76",G271))*76,0)+IFERROR(--ISNUMBER(SEARCH("R77",G271))*77,0)+IFERROR(--ISNUMBER(SEARCH("R78",G271))*78,0)+IFERROR(--ISNUMBER(SEARCH("R79",G271))*79,0)+IFERROR(--ISNUMBER(SEARCH("R80",G271))*80,0)+IFERROR(--ISNUMBER(SEARCH("R81",G271))*81,0)+IFERROR(--ISNUMBER(SEARCH("R82",G271))*82,0)+IFERROR(--ISNUMBER(SEARCH("R83",G271))*83,0)+IFERROR(--ISNUMBER(SEARCH("R84",G271))*84,0)+IFERROR(--ISNUMBER(SEARCH("R85",G271))*85,0)+IFERROR(--ISNUMBER(SEARCH("R86",G271))*86,0)+IFERROR(--ISNUMBER(SEARCH("R87",G271))*87,0)+IFERROR(--ISNUMBER(SEARCH("R88",G271))*88,0)+IFERROR(--ISNUMBER(SEARCH("R89",G271))*89,0)+IFERROR(--ISNUMBER(SEARCH("R90",G271))*90,0)+IFERROR(--ISNUMBER(SEARCH("R91",G271))*91,0)+IFERROR(--ISNUMBER(SEARCH("R92",G271))*92,0)+IFERROR(--ISNUMBER(SEARCH("R93",G271))*93,0)+IFERROR(--ISNUMBER(SEARCH("R94",G271))*94,0)+IFERROR(--ISNUMBER(SEARCH("R95",G271))*95,0)+IFERROR(--ISNUMBER(SEARCH("R96",G271))*96,0)+IFERROR(--ISNUMBER(SEARCH("R97",G271))*97,0)+IFERROR(--ISNUMBER(SEARCH("R98",G271))*98,0)+IFERROR(--ISNUMBER(SEARCH("R99",G271))*99,0)+IFERROR(--ISNUMBER(SEARCH("R100",G271))*100,0)+IFERROR(--ISNUMBER(SEARCH("R101",G271))*101,0)+IFERROR(--ISNUMBER(SEARCH("R102",G271))*102,0)+IFERROR(--ISNUMBER(SEARCH("R103",G271))*103,0)+IFERROR(--ISNUMBER(SEARCH("R104",G271))*104,0)+IFERROR(--ISNUMBER(SEARCH("R105",G271))*105,0)+IFERROR(--ISNUMBER(SEARCH("R106",G271))*106,0)+IFERROR(--ISNUMBER(SEARCH("R107",G271))*107,0)+IFERROR(--ISNUMBER(SEARCH("R108",G271))*108,0)+IFERROR(--ISNUMBER(SEARCH("R109",G271))*109,0)+IFERROR(--ISNUMBER(SEARCH("R110",G271))*110,0)+IFERROR(--ISNUMBER(SEARCH("R111",G271))*111,0)+IFERROR(--ISNUMBER(SEARCH("R112",G271))*112,0)+IFERROR(--ISNUMBER(SEARCH("R113",G271))*113,0)+IFERROR(--ISNUMBER(SEARCH("R114",G271))*114,0)+IFERROR(--ISNUMBER(SEARCH("R115",G271))*115,0)+IFERROR(--ISNUMBER(SEARCH("R116",G271))*116,0)+IFERROR(--ISNUMBER(SEARCH("R117",G271))*117,0)+IFERROR(--ISNUMBER(SEARCH("R118",G271))*118,0)+IFERROR(--ISNUMBER(SEARCH("R119",G271))*119,0)+IFERROR(--ISNUMBER(SEARCH("R120",G271))*120,0)+IFERROR(--ISNUMBER(SEARCH("R121",G271))*121,0)+IFERROR(--ISNUMBER(SEARCH("R122",G271))*122,0)+IFERROR(--ISNUMBER(SEARCH("R123",G271))*123,0)+IFERROR(--ISNUMBER(SEARCH("R124",G271))*124,0)+IFERROR(--ISNUMBER(SEARCH("R125",G271))*125,0)+IFERROR(--ISNUMBER(SEARCH("R126",G271))*126,0)+IFERROR(--ISNUMBER(SEARCH("R127",G271))*127,0)+IFERROR(--ISNUMBER(SEARCH("R128",G271))*128,0)+IFERROR(--ISNUMBER(SEARCH("R129",G271))*129,0)+IFERROR(--ISNUMBER(SEARCH("R130",G271))*130,0)+IFERROR(--ISNUMBER(SEARCH("R131",G271))*131,0)+IFERROR(--ISNUMBER(SEARCH("R132",G271))*132,0)+IFERROR(--ISNUMBER(SEARCH("R133",G271))*133,0)+IFERROR(--ISNUMBER(SEARCH("R134",G271))*134,0)+IFERROR(--ISNUMBER(SEARCH("R135",G271))*135,0)+IFERROR(--ISNUMBER(SEARCH("R136",G271))*136,0)+IFERROR(--ISNUMBER(SEARCH("R137",G271))*137,0)+IFERROR(--ISNUMBER(SEARCH("R138",G271))*138,0)+IFERROR(--ISNUMBER(SEARCH("R139",G271))*139,0)+IFERROR(--ISNUMBER(SEARCH("R140",G271))*140,0)+IFERROR(--ISNUMBER(SEARCH("R141",G271))*141,0))</f>
        <v/>
      </c>
      <c r="V271" s="59">
        <f>IF(A271="","",IF(K271&lt;&gt;"",K271,J271))</f>
        <v/>
      </c>
      <c r="W271" s="59">
        <f>IF(A271="","",IF(AND(V271=29,O271&lt;&gt;"",COUNTIFS($V$6:$V$505,29,$F$6:$F$505,F271,$C$6:$C$505,C271,$O$6:$O$505,"&lt;&gt;")&gt;1),IF(COUNTIFS($V$6:V271,29,$F$6:F271,F271,$C$6:C271,C271,$O$6:O271,"&lt;&gt;")=1,"Esta es la fila que se debe CONSERVAR (aparición 1 de "&amp;COUNTIFS($V$6:$V$505,29,$F$6:$F$505,F271,$C$6:$C$505,C271,$O$6:$O$505,"&lt;&gt;")&amp;" con el mismo tercero y valor, casilla 29). Si hay más filas iguales, bórreles el valor a ELLAS, no a esta.","DUPLICADO — ya existe otra fila con el mismo tercero y valor para casilla 29 (aparición "&amp;COUNTIFS($V$6:V271,29,$F$6:F271,F271,$C$6:C271,C271,$O$6:O271,"&lt;&gt;")&amp;" de "&amp;COUNTIFS($V$6:$V$505,29,$F$6:$F$505,F271,$C$6:$C$505,C271,$O$6:$O$505,"&lt;&gt;")&amp;"). Para resolverlo: seleccione la celda O"&amp;ROW()&amp;" (columna Valor a declarar de ESTA fila) y presione Supr."),""))</f>
        <v/>
      </c>
      <c r="X271" s="463">
        <f>IF(A271="","",F271)</f>
        <v/>
      </c>
      <c r="Y271" s="463">
        <f>IF(A271="","",SUMIF(Entrada_Manual!$I$88:$I$187,A271,Entrada_Manual!$F$88:$F$187))</f>
        <v/>
      </c>
      <c r="Z271" s="463">
        <f>IF(A271="","",X271-Y271)</f>
        <v/>
      </c>
      <c r="AA271">
        <f>IF(A271="","",SUMPRODUCT((Entrada_Manual!$I$88:$I$187=A271)*1))</f>
        <v/>
      </c>
      <c r="AB271">
        <f>IF(A271="","",IF(S271&lt;=1,"",IF(AA271=0,"PENDIENTE — SIN ASIGNAR",IF(Z271=0,"RESUELTO","PARCIAL — DIFERENCIA "&amp;TEXT(Z271,"#,##0")))))</f>
        <v/>
      </c>
    </row>
    <row r="272" ht="14.25" customHeight="1" s="235">
      <c r="A272" s="47">
        <f>IF(Exogena_RAW!E281&lt;&gt;"",ROW()-5,"")</f>
        <v/>
      </c>
      <c r="B272" s="48">
        <f>IF(A272="","",281)</f>
        <v/>
      </c>
      <c r="C272" s="48">
        <f>IF(A272="","",IFERROR(Exogena_RAW!A281,""))</f>
        <v/>
      </c>
      <c r="D272" s="48">
        <f>IF(A272="","",IFERROR(Exogena_RAW!B281,""))</f>
        <v/>
      </c>
      <c r="E272" s="48">
        <f>IF(A272="","",Exogena_RAW!E281)</f>
        <v/>
      </c>
      <c r="F272" s="461">
        <f>IF(A272="","",Exogena_RAW!F281)</f>
        <v/>
      </c>
      <c r="G272" s="48">
        <f>IF(A272="","",IFERROR(Exogena_RAW!G281,""))</f>
        <v/>
      </c>
      <c r="H272" s="48">
        <f>IF(A272="","",IFERROR(Exogena_RAW!H281,""))</f>
        <v/>
      </c>
      <c r="I272" s="48">
        <f>IF(A272="","",IFERROR(IF(S272&gt;1,"VARIAS CASILLAS",IF(S272=1,IF(T272=1,"PROPUESTA DE CASILLA","REVISIÓN: CASILLA NO DIRECTA"),IF(OR(ISNUMBER(SEARCH("TOPE",UPPER(E272))),ISNUMBER(SEARCH("TOPE",UPPER(G272)))),"SOLO CONTROL",IF(ISNUMBER(SEARCH("RETEN",UPPER(E272))),"RETENCIÓN","REVISAR")))),"REVISAR"))</f>
        <v/>
      </c>
      <c r="J272" s="48">
        <f>IF(A272="","",IF(ISNUMBER(SEARCH("ingreso laboral promedio de los últimos seis meses",E272)),"",IFERROR(IF(AND(S272=1,T272=1),U272,""),"")))</f>
        <v/>
      </c>
      <c r="K272" s="216" t="n"/>
      <c r="L272" s="48">
        <f>IF(A272="","",IFERROR(IF(K272&lt;&gt;"","Casilla elegida por usuario",IF(S272&gt;1,"Varias casillas — elegir en K",IF(J272&lt;&gt;"","Sugerencia directa",IF(S272=1,"No trasladar directo — revisar",IF(OR(ISNUMBER(SEARCH("TOPE",UPPER(E272))),ISNUMBER(SEARCH("TOPE",UPPER(G272)))),"Solo control","Revisar manualmente"))))),"Revisar manualmente"))</f>
        <v/>
      </c>
      <c r="M272" s="461">
        <f>IF(A272="","",IF(IF(K272&lt;&gt;"",K272,J272)="",0,IF(COUNTIFS(Reglas!$I$5:$I$118,IF(K272&lt;&gt;"",K272,J272),Reglas!$J$5:$J$118,"Sí")=1,F272,0)))</f>
        <v/>
      </c>
      <c r="N272" s="56" t="n"/>
      <c r="O272" s="462">
        <f>IF(A272="","",IF(M272=0,"",M272))</f>
        <v/>
      </c>
      <c r="P272" s="461">
        <f>IF(A272="","",IF(O272="",0,IF(ISNUMBER(O272),O272,0)))</f>
        <v/>
      </c>
      <c r="Q272" s="48">
        <f>IF(A272="","",IF(Exogena_RAW!$C$4="","BLOQUEADO: FALTA AÑO",IF(Exogena_RAW!$K$10&lt;&gt;Reglas!$B$5,"BLOQUEADO: AÑO",IF(IF(K272&lt;&gt;"",K272,J272)="",IF(S272&gt;1,"REQUIERE ASIGNACIÓN MANUAL (VARIAS CASILLAS)","INFORMATIVO (sin casilla — no se declara)"),IF(COUNTIFS(Reglas!$I$5:$I$118,IF(K272&lt;&gt;"",K272,J272),Reglas!$J$5:$J$118,"Sí")=0,"BLOQUEADO: CASILLA NO DIRECTA",IF(O272="","EXCLUIDO (valor borrado por el usuario)",IF(_xlfn.ISFORMULA(O272),IF(W272&lt;&gt;"","BORRADOR — VALOR SUGERIDO DIAN ⚠ VER ALERTA","BORRADOR — VALOR SUGERIDO DIAN"),IF(W272&lt;&gt;"","ACEPTADO ⚠ VER ALERTA","ACEPTADO"))))))))</f>
        <v/>
      </c>
      <c r="R272" s="218" t="n"/>
      <c r="S272" s="58">
        <f>IF(A272="","",IFERROR(--ISNUMBER(SEARCH("R28",G272)),0)+IFERROR(--ISNUMBER(SEARCH("R29",G272)),0)+IFERROR(--ISNUMBER(SEARCH("R30",G272)),0)+IFERROR(--ISNUMBER(SEARCH("R31",G272)),0)+IFERROR(--ISNUMBER(SEARCH("R32",G272)),0)+IFERROR(--ISNUMBER(SEARCH("R33",G272)),0)+IFERROR(--ISNUMBER(SEARCH("R34",G272)),0)+IFERROR(--ISNUMBER(SEARCH("R35",G272)),0)+IFERROR(--ISNUMBER(SEARCH("R36",G272)),0)+IFERROR(--ISNUMBER(SEARCH("R37",G272)),0)+IFERROR(--ISNUMBER(SEARCH("R38",G272)),0)+IFERROR(--ISNUMBER(SEARCH("R39",G272)),0)+IFERROR(--ISNUMBER(SEARCH("R40",G272)),0)+IFERROR(--ISNUMBER(SEARCH("R41",G272)),0)+IFERROR(--ISNUMBER(SEARCH("R42",G272)),0)+IFERROR(--ISNUMBER(SEARCH("R43",G272)),0)+IFERROR(--ISNUMBER(SEARCH("R44",G272)),0)+IFERROR(--ISNUMBER(SEARCH("R45",G272)),0)+IFERROR(--ISNUMBER(SEARCH("R46",G272)),0)+IFERROR(--ISNUMBER(SEARCH("R47",G272)),0)+IFERROR(--ISNUMBER(SEARCH("R48",G272)),0)+IFERROR(--ISNUMBER(SEARCH("R49",G272)),0)+IFERROR(--ISNUMBER(SEARCH("R50",G272)),0)+IFERROR(--ISNUMBER(SEARCH("R51",G272)),0)+IFERROR(--ISNUMBER(SEARCH("R52",G272)),0)+IFERROR(--ISNUMBER(SEARCH("R53",G272)),0)+IFERROR(--ISNUMBER(SEARCH("R54",G272)),0)+IFERROR(--ISNUMBER(SEARCH("R55",G272)),0)+IFERROR(--ISNUMBER(SEARCH("R56",G272)),0)+IFERROR(--ISNUMBER(SEARCH("R57",G272)),0)+IFERROR(--ISNUMBER(SEARCH("R58",G272)),0)+IFERROR(--ISNUMBER(SEARCH("R59",G272)),0)+IFERROR(--ISNUMBER(SEARCH("R60",G272)),0)+IFERROR(--ISNUMBER(SEARCH("R61",G272)),0)+IFERROR(--ISNUMBER(SEARCH("R62",G272)),0)+IFERROR(--ISNUMBER(SEARCH("R63",G272)),0)+IFERROR(--ISNUMBER(SEARCH("R64",G272)),0)+IFERROR(--ISNUMBER(SEARCH("R65",G272)),0)+IFERROR(--ISNUMBER(SEARCH("R66",G272)),0)+IFERROR(--ISNUMBER(SEARCH("R67",G272)),0)+IFERROR(--ISNUMBER(SEARCH("R68",G272)),0)+IFERROR(--ISNUMBER(SEARCH("R69",G272)),0)+IFERROR(--ISNUMBER(SEARCH("R70",G272)),0)+IFERROR(--ISNUMBER(SEARCH("R71",G272)),0)+IFERROR(--ISNUMBER(SEARCH("R72",G272)),0)+IFERROR(--ISNUMBER(SEARCH("R73",G272)),0)+IFERROR(--ISNUMBER(SEARCH("R74",G272)),0)+IFERROR(--ISNUMBER(SEARCH("R75",G272)),0)+IFERROR(--ISNUMBER(SEARCH("R76",G272)),0)+IFERROR(--ISNUMBER(SEARCH("R77",G272)),0)+IFERROR(--ISNUMBER(SEARCH("R78",G272)),0)+IFERROR(--ISNUMBER(SEARCH("R79",G272)),0)+IFERROR(--ISNUMBER(SEARCH("R80",G272)),0)+IFERROR(--ISNUMBER(SEARCH("R81",G272)),0)+IFERROR(--ISNUMBER(SEARCH("R82",G272)),0)+IFERROR(--ISNUMBER(SEARCH("R83",G272)),0)+IFERROR(--ISNUMBER(SEARCH("R84",G272)),0)+IFERROR(--ISNUMBER(SEARCH("R85",G272)),0)+IFERROR(--ISNUMBER(SEARCH("R86",G272)),0)+IFERROR(--ISNUMBER(SEARCH("R87",G272)),0)+IFERROR(--ISNUMBER(SEARCH("R88",G272)),0)+IFERROR(--ISNUMBER(SEARCH("R89",G272)),0)+IFERROR(--ISNUMBER(SEARCH("R90",G272)),0)+IFERROR(--ISNUMBER(SEARCH("R91",G272)),0)+IFERROR(--ISNUMBER(SEARCH("R92",G272)),0)+IFERROR(--ISNUMBER(SEARCH("R93",G272)),0)+IFERROR(--ISNUMBER(SEARCH("R94",G272)),0)+IFERROR(--ISNUMBER(SEARCH("R95",G272)),0)+IFERROR(--ISNUMBER(SEARCH("R96",G272)),0)+IFERROR(--ISNUMBER(SEARCH("R97",G272)),0)+IFERROR(--ISNUMBER(SEARCH("R98",G272)),0)+IFERROR(--ISNUMBER(SEARCH("R99",G272)),0)+IFERROR(--ISNUMBER(SEARCH("R100",G272)),0)+IFERROR(--ISNUMBER(SEARCH("R101",G272)),0)+IFERROR(--ISNUMBER(SEARCH("R102",G272)),0)+IFERROR(--ISNUMBER(SEARCH("R103",G272)),0)+IFERROR(--ISNUMBER(SEARCH("R104",G272)),0)+IFERROR(--ISNUMBER(SEARCH("R105",G272)),0)+IFERROR(--ISNUMBER(SEARCH("R106",G272)),0)+IFERROR(--ISNUMBER(SEARCH("R107",G272)),0)+IFERROR(--ISNUMBER(SEARCH("R108",G272)),0)+IFERROR(--ISNUMBER(SEARCH("R109",G272)),0)+IFERROR(--ISNUMBER(SEARCH("R110",G272)),0)+IFERROR(--ISNUMBER(SEARCH("R111",G272)),0)+IFERROR(--ISNUMBER(SEARCH("R112",G272)),0)+IFERROR(--ISNUMBER(SEARCH("R113",G272)),0)+IFERROR(--ISNUMBER(SEARCH("R114",G272)),0)+IFERROR(--ISNUMBER(SEARCH("R115",G272)),0)+IFERROR(--ISNUMBER(SEARCH("R116",G272)),0)+IFERROR(--ISNUMBER(SEARCH("R117",G272)),0)+IFERROR(--ISNUMBER(SEARCH("R118",G272)),0)+IFERROR(--ISNUMBER(SEARCH("R119",G272)),0)+IFERROR(--ISNUMBER(SEARCH("R120",G272)),0)+IFERROR(--ISNUMBER(SEARCH("R121",G272)),0)+IFERROR(--ISNUMBER(SEARCH("R122",G272)),0)+IFERROR(--ISNUMBER(SEARCH("R123",G272)),0)+IFERROR(--ISNUMBER(SEARCH("R124",G272)),0)+IFERROR(--ISNUMBER(SEARCH("R125",G272)),0)+IFERROR(--ISNUMBER(SEARCH("R126",G272)),0)+IFERROR(--ISNUMBER(SEARCH("R127",G272)),0)+IFERROR(--ISNUMBER(SEARCH("R128",G272)),0)+IFERROR(--ISNUMBER(SEARCH("R129",G272)),0)+IFERROR(--ISNUMBER(SEARCH("R130",G272)),0)+IFERROR(--ISNUMBER(SEARCH("R131",G272)),0)+IFERROR(--ISNUMBER(SEARCH("R132",G272)),0)+IFERROR(--ISNUMBER(SEARCH("R133",G272)),0)+IFERROR(--ISNUMBER(SEARCH("R134",G272)),0)+IFERROR(--ISNUMBER(SEARCH("R135",G272)),0)+IFERROR(--ISNUMBER(SEARCH("R136",G272)),0)+IFERROR(--ISNUMBER(SEARCH("R137",G272)),0)+IFERROR(--ISNUMBER(SEARCH("R138",G272)),0)+IFERROR(--ISNUMBER(SEARCH("R139",G272)),0)+IFERROR(--ISNUMBER(SEARCH("R140",G272)),0)+IFERROR(--ISNUMBER(SEARCH("R141",G272)),0))</f>
        <v/>
      </c>
      <c r="T272" s="58">
        <f>IF(A272="","",IFERROR(--ISNUMBER(SEARCH("R28",G272)),0)+IFERROR(--ISNUMBER(SEARCH("R29",G272)),0)+IFERROR(--ISNUMBER(SEARCH("R30",G272)),0)+IFERROR(--ISNUMBER(SEARCH("R32",G272)),0)+IFERROR(--ISNUMBER(SEARCH("R33",G272)),0)+IFERROR(--ISNUMBER(SEARCH("R35",G272)),0)+IFERROR(--ISNUMBER(SEARCH("R36",G272)),0)+IFERROR(--ISNUMBER(SEARCH("R38",G272)),0)+IFERROR(--ISNUMBER(SEARCH("R39",G272)),0)+IFERROR(--ISNUMBER(SEARCH("R43",G272)),0)+IFERROR(--ISNUMBER(SEARCH("R44",G272)),0)+IFERROR(--ISNUMBER(SEARCH("R45",G272)),0)+IFERROR(--ISNUMBER(SEARCH("R47",G272)),0)+IFERROR(--ISNUMBER(SEARCH("R48",G272)),0)+IFERROR(--ISNUMBER(SEARCH("R50",G272)),0)+IFERROR(--ISNUMBER(SEARCH("R51",G272)),0)+IFERROR(--ISNUMBER(SEARCH("R56",G272)),0)+IFERROR(--ISNUMBER(SEARCH("R58",G272)),0)+IFERROR(--ISNUMBER(SEARCH("R59",G272)),0)+IFERROR(--ISNUMBER(SEARCH("R60",G272)),0)+IFERROR(--ISNUMBER(SEARCH("R62",G272)),0)+IFERROR(--ISNUMBER(SEARCH("R63",G272)),0)+IFERROR(--ISNUMBER(SEARCH("R64",G272)),0)+IFERROR(--ISNUMBER(SEARCH("R66",G272)),0)+IFERROR(--ISNUMBER(SEARCH("R67",G272)),0)+IFERROR(--ISNUMBER(SEARCH("R72",G272)),0)+IFERROR(--ISNUMBER(SEARCH("R74",G272)),0)+IFERROR(--ISNUMBER(SEARCH("R75",G272)),0)+IFERROR(--ISNUMBER(SEARCH("R76",G272)),0)+IFERROR(--ISNUMBER(SEARCH("R77",G272)),0)+IFERROR(--ISNUMBER(SEARCH("R79",G272)),0)+IFERROR(--ISNUMBER(SEARCH("R80",G272)),0)+IFERROR(--ISNUMBER(SEARCH("R81",G272)),0)+IFERROR(--ISNUMBER(SEARCH("R83",G272)),0)+IFERROR(--ISNUMBER(SEARCH("R84",G272)),0)+IFERROR(--ISNUMBER(SEARCH("R89",G272)),0)+IFERROR(--ISNUMBER(SEARCH("R94",G272)),0)+IFERROR(--ISNUMBER(SEARCH("R95",G272)),0)+IFERROR(--ISNUMBER(SEARCH("R96",G272)),0)+IFERROR(--ISNUMBER(SEARCH("R98",G272)),0)+IFERROR(--ISNUMBER(SEARCH("R99",G272)),0)+IFERROR(--ISNUMBER(SEARCH("R100",G272)),0)+IFERROR(--ISNUMBER(SEARCH("R104",G272)),0)+IFERROR(--ISNUMBER(SEARCH("R105",G272)),0)+IFERROR(--ISNUMBER(SEARCH("R107",G272)),0)+IFERROR(--ISNUMBER(SEARCH("R108",G272)),0)+IFERROR(--ISNUMBER(SEARCH("R109",G272)),0)+IFERROR(--ISNUMBER(SEARCH("R110",G272)),0)+IFERROR(--ISNUMBER(SEARCH("R112",G272)),0)+IFERROR(--ISNUMBER(SEARCH("R113",G272)),0)+IFERROR(--ISNUMBER(SEARCH("R114",G272)),0)+IFERROR(--ISNUMBER(SEARCH("R118",G272)),0)+IFERROR(--ISNUMBER(SEARCH("R119",G272)),0)+IFERROR(--ISNUMBER(SEARCH("R120",G272)),0)+IFERROR(--ISNUMBER(SEARCH("R122",G272)),0)+IFERROR(--ISNUMBER(SEARCH("R123",G272)),0)+IFERROR(--ISNUMBER(SEARCH("R124",G272)),0)+IFERROR(--ISNUMBER(SEARCH("R128",G272)),0)+IFERROR(--ISNUMBER(SEARCH("R130",G272)),0)+IFERROR(--ISNUMBER(SEARCH("R131",G272)),0)+IFERROR(--ISNUMBER(SEARCH("R132",G272)),0)+IFERROR(--ISNUMBER(SEARCH("R135",G272)),0)+IFERROR(--ISNUMBER(SEARCH("R138",G272)),0)+IFERROR(--ISNUMBER(SEARCH("R141",G272)),0))</f>
        <v/>
      </c>
      <c r="U272" s="58">
        <f>IF(A272="","",IFERROR(--ISNUMBER(SEARCH("R28",G272))*28,0)+IFERROR(--ISNUMBER(SEARCH("R29",G272))*29,0)+IFERROR(--ISNUMBER(SEARCH("R30",G272))*30,0)+IFERROR(--ISNUMBER(SEARCH("R31",G272))*31,0)+IFERROR(--ISNUMBER(SEARCH("R32",G272))*32,0)+IFERROR(--ISNUMBER(SEARCH("R33",G272))*33,0)+IFERROR(--ISNUMBER(SEARCH("R34",G272))*34,0)+IFERROR(--ISNUMBER(SEARCH("R35",G272))*35,0)+IFERROR(--ISNUMBER(SEARCH("R36",G272))*36,0)+IFERROR(--ISNUMBER(SEARCH("R37",G272))*37,0)+IFERROR(--ISNUMBER(SEARCH("R38",G272))*38,0)+IFERROR(--ISNUMBER(SEARCH("R39",G272))*39,0)+IFERROR(--ISNUMBER(SEARCH("R40",G272))*40,0)+IFERROR(--ISNUMBER(SEARCH("R41",G272))*41,0)+IFERROR(--ISNUMBER(SEARCH("R42",G272))*42,0)+IFERROR(--ISNUMBER(SEARCH("R43",G272))*43,0)+IFERROR(--ISNUMBER(SEARCH("R44",G272))*44,0)+IFERROR(--ISNUMBER(SEARCH("R45",G272))*45,0)+IFERROR(--ISNUMBER(SEARCH("R46",G272))*46,0)+IFERROR(--ISNUMBER(SEARCH("R47",G272))*47,0)+IFERROR(--ISNUMBER(SEARCH("R48",G272))*48,0)+IFERROR(--ISNUMBER(SEARCH("R49",G272))*49,0)+IFERROR(--ISNUMBER(SEARCH("R50",G272))*50,0)+IFERROR(--ISNUMBER(SEARCH("R51",G272))*51,0)+IFERROR(--ISNUMBER(SEARCH("R52",G272))*52,0)+IFERROR(--ISNUMBER(SEARCH("R53",G272))*53,0)+IFERROR(--ISNUMBER(SEARCH("R54",G272))*54,0)+IFERROR(--ISNUMBER(SEARCH("R55",G272))*55,0)+IFERROR(--ISNUMBER(SEARCH("R56",G272))*56,0)+IFERROR(--ISNUMBER(SEARCH("R57",G272))*57,0)+IFERROR(--ISNUMBER(SEARCH("R58",G272))*58,0)+IFERROR(--ISNUMBER(SEARCH("R59",G272))*59,0)+IFERROR(--ISNUMBER(SEARCH("R60",G272))*60,0)+IFERROR(--ISNUMBER(SEARCH("R61",G272))*61,0)+IFERROR(--ISNUMBER(SEARCH("R62",G272))*62,0)+IFERROR(--ISNUMBER(SEARCH("R63",G272))*63,0)+IFERROR(--ISNUMBER(SEARCH("R64",G272))*64,0)+IFERROR(--ISNUMBER(SEARCH("R65",G272))*65,0)+IFERROR(--ISNUMBER(SEARCH("R66",G272))*66,0)+IFERROR(--ISNUMBER(SEARCH("R67",G272))*67,0)+IFERROR(--ISNUMBER(SEARCH("R68",G272))*68,0)+IFERROR(--ISNUMBER(SEARCH("R69",G272))*69,0)+IFERROR(--ISNUMBER(SEARCH("R70",G272))*70,0)+IFERROR(--ISNUMBER(SEARCH("R71",G272))*71,0)+IFERROR(--ISNUMBER(SEARCH("R72",G272))*72,0)+IFERROR(--ISNUMBER(SEARCH("R73",G272))*73,0)+IFERROR(--ISNUMBER(SEARCH("R74",G272))*74,0)+IFERROR(--ISNUMBER(SEARCH("R75",G272))*75,0)+IFERROR(--ISNUMBER(SEARCH("R76",G272))*76,0)+IFERROR(--ISNUMBER(SEARCH("R77",G272))*77,0)+IFERROR(--ISNUMBER(SEARCH("R78",G272))*78,0)+IFERROR(--ISNUMBER(SEARCH("R79",G272))*79,0)+IFERROR(--ISNUMBER(SEARCH("R80",G272))*80,0)+IFERROR(--ISNUMBER(SEARCH("R81",G272))*81,0)+IFERROR(--ISNUMBER(SEARCH("R82",G272))*82,0)+IFERROR(--ISNUMBER(SEARCH("R83",G272))*83,0)+IFERROR(--ISNUMBER(SEARCH("R84",G272))*84,0)+IFERROR(--ISNUMBER(SEARCH("R85",G272))*85,0)+IFERROR(--ISNUMBER(SEARCH("R86",G272))*86,0)+IFERROR(--ISNUMBER(SEARCH("R87",G272))*87,0)+IFERROR(--ISNUMBER(SEARCH("R88",G272))*88,0)+IFERROR(--ISNUMBER(SEARCH("R89",G272))*89,0)+IFERROR(--ISNUMBER(SEARCH("R90",G272))*90,0)+IFERROR(--ISNUMBER(SEARCH("R91",G272))*91,0)+IFERROR(--ISNUMBER(SEARCH("R92",G272))*92,0)+IFERROR(--ISNUMBER(SEARCH("R93",G272))*93,0)+IFERROR(--ISNUMBER(SEARCH("R94",G272))*94,0)+IFERROR(--ISNUMBER(SEARCH("R95",G272))*95,0)+IFERROR(--ISNUMBER(SEARCH("R96",G272))*96,0)+IFERROR(--ISNUMBER(SEARCH("R97",G272))*97,0)+IFERROR(--ISNUMBER(SEARCH("R98",G272))*98,0)+IFERROR(--ISNUMBER(SEARCH("R99",G272))*99,0)+IFERROR(--ISNUMBER(SEARCH("R100",G272))*100,0)+IFERROR(--ISNUMBER(SEARCH("R101",G272))*101,0)+IFERROR(--ISNUMBER(SEARCH("R102",G272))*102,0)+IFERROR(--ISNUMBER(SEARCH("R103",G272))*103,0)+IFERROR(--ISNUMBER(SEARCH("R104",G272))*104,0)+IFERROR(--ISNUMBER(SEARCH("R105",G272))*105,0)+IFERROR(--ISNUMBER(SEARCH("R106",G272))*106,0)+IFERROR(--ISNUMBER(SEARCH("R107",G272))*107,0)+IFERROR(--ISNUMBER(SEARCH("R108",G272))*108,0)+IFERROR(--ISNUMBER(SEARCH("R109",G272))*109,0)+IFERROR(--ISNUMBER(SEARCH("R110",G272))*110,0)+IFERROR(--ISNUMBER(SEARCH("R111",G272))*111,0)+IFERROR(--ISNUMBER(SEARCH("R112",G272))*112,0)+IFERROR(--ISNUMBER(SEARCH("R113",G272))*113,0)+IFERROR(--ISNUMBER(SEARCH("R114",G272))*114,0)+IFERROR(--ISNUMBER(SEARCH("R115",G272))*115,0)+IFERROR(--ISNUMBER(SEARCH("R116",G272))*116,0)+IFERROR(--ISNUMBER(SEARCH("R117",G272))*117,0)+IFERROR(--ISNUMBER(SEARCH("R118",G272))*118,0)+IFERROR(--ISNUMBER(SEARCH("R119",G272))*119,0)+IFERROR(--ISNUMBER(SEARCH("R120",G272))*120,0)+IFERROR(--ISNUMBER(SEARCH("R121",G272))*121,0)+IFERROR(--ISNUMBER(SEARCH("R122",G272))*122,0)+IFERROR(--ISNUMBER(SEARCH("R123",G272))*123,0)+IFERROR(--ISNUMBER(SEARCH("R124",G272))*124,0)+IFERROR(--ISNUMBER(SEARCH("R125",G272))*125,0)+IFERROR(--ISNUMBER(SEARCH("R126",G272))*126,0)+IFERROR(--ISNUMBER(SEARCH("R127",G272))*127,0)+IFERROR(--ISNUMBER(SEARCH("R128",G272))*128,0)+IFERROR(--ISNUMBER(SEARCH("R129",G272))*129,0)+IFERROR(--ISNUMBER(SEARCH("R130",G272))*130,0)+IFERROR(--ISNUMBER(SEARCH("R131",G272))*131,0)+IFERROR(--ISNUMBER(SEARCH("R132",G272))*132,0)+IFERROR(--ISNUMBER(SEARCH("R133",G272))*133,0)+IFERROR(--ISNUMBER(SEARCH("R134",G272))*134,0)+IFERROR(--ISNUMBER(SEARCH("R135",G272))*135,0)+IFERROR(--ISNUMBER(SEARCH("R136",G272))*136,0)+IFERROR(--ISNUMBER(SEARCH("R137",G272))*137,0)+IFERROR(--ISNUMBER(SEARCH("R138",G272))*138,0)+IFERROR(--ISNUMBER(SEARCH("R139",G272))*139,0)+IFERROR(--ISNUMBER(SEARCH("R140",G272))*140,0)+IFERROR(--ISNUMBER(SEARCH("R141",G272))*141,0))</f>
        <v/>
      </c>
      <c r="V272" s="59">
        <f>IF(A272="","",IF(K272&lt;&gt;"",K272,J272))</f>
        <v/>
      </c>
      <c r="W272" s="59">
        <f>IF(A272="","",IF(AND(V272=29,O272&lt;&gt;"",COUNTIFS($V$6:$V$505,29,$F$6:$F$505,F272,$C$6:$C$505,C272,$O$6:$O$505,"&lt;&gt;")&gt;1),IF(COUNTIFS($V$6:V272,29,$F$6:F272,F272,$C$6:C272,C272,$O$6:O272,"&lt;&gt;")=1,"Esta es la fila que se debe CONSERVAR (aparición 1 de "&amp;COUNTIFS($V$6:$V$505,29,$F$6:$F$505,F272,$C$6:$C$505,C272,$O$6:$O$505,"&lt;&gt;")&amp;" con el mismo tercero y valor, casilla 29). Si hay más filas iguales, bórreles el valor a ELLAS, no a esta.","DUPLICADO — ya existe otra fila con el mismo tercero y valor para casilla 29 (aparición "&amp;COUNTIFS($V$6:V272,29,$F$6:F272,F272,$C$6:C272,C272,$O$6:O272,"&lt;&gt;")&amp;" de "&amp;COUNTIFS($V$6:$V$505,29,$F$6:$F$505,F272,$C$6:$C$505,C272,$O$6:$O$505,"&lt;&gt;")&amp;"). Para resolverlo: seleccione la celda O"&amp;ROW()&amp;" (columna Valor a declarar de ESTA fila) y presione Supr."),""))</f>
        <v/>
      </c>
      <c r="X272" s="463">
        <f>IF(A272="","",F272)</f>
        <v/>
      </c>
      <c r="Y272" s="463">
        <f>IF(A272="","",SUMIF(Entrada_Manual!$I$88:$I$187,A272,Entrada_Manual!$F$88:$F$187))</f>
        <v/>
      </c>
      <c r="Z272" s="463">
        <f>IF(A272="","",X272-Y272)</f>
        <v/>
      </c>
      <c r="AA272">
        <f>IF(A272="","",SUMPRODUCT((Entrada_Manual!$I$88:$I$187=A272)*1))</f>
        <v/>
      </c>
      <c r="AB272">
        <f>IF(A272="","",IF(S272&lt;=1,"",IF(AA272=0,"PENDIENTE — SIN ASIGNAR",IF(Z272=0,"RESUELTO","PARCIAL — DIFERENCIA "&amp;TEXT(Z272,"#,##0")))))</f>
        <v/>
      </c>
    </row>
    <row r="273" ht="14.25" customHeight="1" s="235">
      <c r="A273" s="47">
        <f>IF(Exogena_RAW!E282&lt;&gt;"",ROW()-5,"")</f>
        <v/>
      </c>
      <c r="B273" s="48">
        <f>IF(A273="","",282)</f>
        <v/>
      </c>
      <c r="C273" s="48">
        <f>IF(A273="","",IFERROR(Exogena_RAW!A282,""))</f>
        <v/>
      </c>
      <c r="D273" s="48">
        <f>IF(A273="","",IFERROR(Exogena_RAW!B282,""))</f>
        <v/>
      </c>
      <c r="E273" s="48">
        <f>IF(A273="","",Exogena_RAW!E282)</f>
        <v/>
      </c>
      <c r="F273" s="461">
        <f>IF(A273="","",Exogena_RAW!F282)</f>
        <v/>
      </c>
      <c r="G273" s="48">
        <f>IF(A273="","",IFERROR(Exogena_RAW!G282,""))</f>
        <v/>
      </c>
      <c r="H273" s="48">
        <f>IF(A273="","",IFERROR(Exogena_RAW!H282,""))</f>
        <v/>
      </c>
      <c r="I273" s="48">
        <f>IF(A273="","",IFERROR(IF(S273&gt;1,"VARIAS CASILLAS",IF(S273=1,IF(T273=1,"PROPUESTA DE CASILLA","REVISIÓN: CASILLA NO DIRECTA"),IF(OR(ISNUMBER(SEARCH("TOPE",UPPER(E273))),ISNUMBER(SEARCH("TOPE",UPPER(G273)))),"SOLO CONTROL",IF(ISNUMBER(SEARCH("RETEN",UPPER(E273))),"RETENCIÓN","REVISAR")))),"REVISAR"))</f>
        <v/>
      </c>
      <c r="J273" s="48">
        <f>IF(A273="","",IF(ISNUMBER(SEARCH("ingreso laboral promedio de los últimos seis meses",E273)),"",IFERROR(IF(AND(S273=1,T273=1),U273,""),"")))</f>
        <v/>
      </c>
      <c r="K273" s="216" t="n"/>
      <c r="L273" s="48">
        <f>IF(A273="","",IFERROR(IF(K273&lt;&gt;"","Casilla elegida por usuario",IF(S273&gt;1,"Varias casillas — elegir en K",IF(J273&lt;&gt;"","Sugerencia directa",IF(S273=1,"No trasladar directo — revisar",IF(OR(ISNUMBER(SEARCH("TOPE",UPPER(E273))),ISNUMBER(SEARCH("TOPE",UPPER(G273)))),"Solo control","Revisar manualmente"))))),"Revisar manualmente"))</f>
        <v/>
      </c>
      <c r="M273" s="461">
        <f>IF(A273="","",IF(IF(K273&lt;&gt;"",K273,J273)="",0,IF(COUNTIFS(Reglas!$I$5:$I$118,IF(K273&lt;&gt;"",K273,J273),Reglas!$J$5:$J$118,"Sí")=1,F273,0)))</f>
        <v/>
      </c>
      <c r="N273" s="56" t="n"/>
      <c r="O273" s="462">
        <f>IF(A273="","",IF(M273=0,"",M273))</f>
        <v/>
      </c>
      <c r="P273" s="461">
        <f>IF(A273="","",IF(O273="",0,IF(ISNUMBER(O273),O273,0)))</f>
        <v/>
      </c>
      <c r="Q273" s="48">
        <f>IF(A273="","",IF(Exogena_RAW!$C$4="","BLOQUEADO: FALTA AÑO",IF(Exogena_RAW!$K$10&lt;&gt;Reglas!$B$5,"BLOQUEADO: AÑO",IF(IF(K273&lt;&gt;"",K273,J273)="",IF(S273&gt;1,"REQUIERE ASIGNACIÓN MANUAL (VARIAS CASILLAS)","INFORMATIVO (sin casilla — no se declara)"),IF(COUNTIFS(Reglas!$I$5:$I$118,IF(K273&lt;&gt;"",K273,J273),Reglas!$J$5:$J$118,"Sí")=0,"BLOQUEADO: CASILLA NO DIRECTA",IF(O273="","EXCLUIDO (valor borrado por el usuario)",IF(_xlfn.ISFORMULA(O273),IF(W273&lt;&gt;"","BORRADOR — VALOR SUGERIDO DIAN ⚠ VER ALERTA","BORRADOR — VALOR SUGERIDO DIAN"),IF(W273&lt;&gt;"","ACEPTADO ⚠ VER ALERTA","ACEPTADO"))))))))</f>
        <v/>
      </c>
      <c r="R273" s="218" t="n"/>
      <c r="S273" s="58">
        <f>IF(A273="","",IFERROR(--ISNUMBER(SEARCH("R28",G273)),0)+IFERROR(--ISNUMBER(SEARCH("R29",G273)),0)+IFERROR(--ISNUMBER(SEARCH("R30",G273)),0)+IFERROR(--ISNUMBER(SEARCH("R31",G273)),0)+IFERROR(--ISNUMBER(SEARCH("R32",G273)),0)+IFERROR(--ISNUMBER(SEARCH("R33",G273)),0)+IFERROR(--ISNUMBER(SEARCH("R34",G273)),0)+IFERROR(--ISNUMBER(SEARCH("R35",G273)),0)+IFERROR(--ISNUMBER(SEARCH("R36",G273)),0)+IFERROR(--ISNUMBER(SEARCH("R37",G273)),0)+IFERROR(--ISNUMBER(SEARCH("R38",G273)),0)+IFERROR(--ISNUMBER(SEARCH("R39",G273)),0)+IFERROR(--ISNUMBER(SEARCH("R40",G273)),0)+IFERROR(--ISNUMBER(SEARCH("R41",G273)),0)+IFERROR(--ISNUMBER(SEARCH("R42",G273)),0)+IFERROR(--ISNUMBER(SEARCH("R43",G273)),0)+IFERROR(--ISNUMBER(SEARCH("R44",G273)),0)+IFERROR(--ISNUMBER(SEARCH("R45",G273)),0)+IFERROR(--ISNUMBER(SEARCH("R46",G273)),0)+IFERROR(--ISNUMBER(SEARCH("R47",G273)),0)+IFERROR(--ISNUMBER(SEARCH("R48",G273)),0)+IFERROR(--ISNUMBER(SEARCH("R49",G273)),0)+IFERROR(--ISNUMBER(SEARCH("R50",G273)),0)+IFERROR(--ISNUMBER(SEARCH("R51",G273)),0)+IFERROR(--ISNUMBER(SEARCH("R52",G273)),0)+IFERROR(--ISNUMBER(SEARCH("R53",G273)),0)+IFERROR(--ISNUMBER(SEARCH("R54",G273)),0)+IFERROR(--ISNUMBER(SEARCH("R55",G273)),0)+IFERROR(--ISNUMBER(SEARCH("R56",G273)),0)+IFERROR(--ISNUMBER(SEARCH("R57",G273)),0)+IFERROR(--ISNUMBER(SEARCH("R58",G273)),0)+IFERROR(--ISNUMBER(SEARCH("R59",G273)),0)+IFERROR(--ISNUMBER(SEARCH("R60",G273)),0)+IFERROR(--ISNUMBER(SEARCH("R61",G273)),0)+IFERROR(--ISNUMBER(SEARCH("R62",G273)),0)+IFERROR(--ISNUMBER(SEARCH("R63",G273)),0)+IFERROR(--ISNUMBER(SEARCH("R64",G273)),0)+IFERROR(--ISNUMBER(SEARCH("R65",G273)),0)+IFERROR(--ISNUMBER(SEARCH("R66",G273)),0)+IFERROR(--ISNUMBER(SEARCH("R67",G273)),0)+IFERROR(--ISNUMBER(SEARCH("R68",G273)),0)+IFERROR(--ISNUMBER(SEARCH("R69",G273)),0)+IFERROR(--ISNUMBER(SEARCH("R70",G273)),0)+IFERROR(--ISNUMBER(SEARCH("R71",G273)),0)+IFERROR(--ISNUMBER(SEARCH("R72",G273)),0)+IFERROR(--ISNUMBER(SEARCH("R73",G273)),0)+IFERROR(--ISNUMBER(SEARCH("R74",G273)),0)+IFERROR(--ISNUMBER(SEARCH("R75",G273)),0)+IFERROR(--ISNUMBER(SEARCH("R76",G273)),0)+IFERROR(--ISNUMBER(SEARCH("R77",G273)),0)+IFERROR(--ISNUMBER(SEARCH("R78",G273)),0)+IFERROR(--ISNUMBER(SEARCH("R79",G273)),0)+IFERROR(--ISNUMBER(SEARCH("R80",G273)),0)+IFERROR(--ISNUMBER(SEARCH("R81",G273)),0)+IFERROR(--ISNUMBER(SEARCH("R82",G273)),0)+IFERROR(--ISNUMBER(SEARCH("R83",G273)),0)+IFERROR(--ISNUMBER(SEARCH("R84",G273)),0)+IFERROR(--ISNUMBER(SEARCH("R85",G273)),0)+IFERROR(--ISNUMBER(SEARCH("R86",G273)),0)+IFERROR(--ISNUMBER(SEARCH("R87",G273)),0)+IFERROR(--ISNUMBER(SEARCH("R88",G273)),0)+IFERROR(--ISNUMBER(SEARCH("R89",G273)),0)+IFERROR(--ISNUMBER(SEARCH("R90",G273)),0)+IFERROR(--ISNUMBER(SEARCH("R91",G273)),0)+IFERROR(--ISNUMBER(SEARCH("R92",G273)),0)+IFERROR(--ISNUMBER(SEARCH("R93",G273)),0)+IFERROR(--ISNUMBER(SEARCH("R94",G273)),0)+IFERROR(--ISNUMBER(SEARCH("R95",G273)),0)+IFERROR(--ISNUMBER(SEARCH("R96",G273)),0)+IFERROR(--ISNUMBER(SEARCH("R97",G273)),0)+IFERROR(--ISNUMBER(SEARCH("R98",G273)),0)+IFERROR(--ISNUMBER(SEARCH("R99",G273)),0)+IFERROR(--ISNUMBER(SEARCH("R100",G273)),0)+IFERROR(--ISNUMBER(SEARCH("R101",G273)),0)+IFERROR(--ISNUMBER(SEARCH("R102",G273)),0)+IFERROR(--ISNUMBER(SEARCH("R103",G273)),0)+IFERROR(--ISNUMBER(SEARCH("R104",G273)),0)+IFERROR(--ISNUMBER(SEARCH("R105",G273)),0)+IFERROR(--ISNUMBER(SEARCH("R106",G273)),0)+IFERROR(--ISNUMBER(SEARCH("R107",G273)),0)+IFERROR(--ISNUMBER(SEARCH("R108",G273)),0)+IFERROR(--ISNUMBER(SEARCH("R109",G273)),0)+IFERROR(--ISNUMBER(SEARCH("R110",G273)),0)+IFERROR(--ISNUMBER(SEARCH("R111",G273)),0)+IFERROR(--ISNUMBER(SEARCH("R112",G273)),0)+IFERROR(--ISNUMBER(SEARCH("R113",G273)),0)+IFERROR(--ISNUMBER(SEARCH("R114",G273)),0)+IFERROR(--ISNUMBER(SEARCH("R115",G273)),0)+IFERROR(--ISNUMBER(SEARCH("R116",G273)),0)+IFERROR(--ISNUMBER(SEARCH("R117",G273)),0)+IFERROR(--ISNUMBER(SEARCH("R118",G273)),0)+IFERROR(--ISNUMBER(SEARCH("R119",G273)),0)+IFERROR(--ISNUMBER(SEARCH("R120",G273)),0)+IFERROR(--ISNUMBER(SEARCH("R121",G273)),0)+IFERROR(--ISNUMBER(SEARCH("R122",G273)),0)+IFERROR(--ISNUMBER(SEARCH("R123",G273)),0)+IFERROR(--ISNUMBER(SEARCH("R124",G273)),0)+IFERROR(--ISNUMBER(SEARCH("R125",G273)),0)+IFERROR(--ISNUMBER(SEARCH("R126",G273)),0)+IFERROR(--ISNUMBER(SEARCH("R127",G273)),0)+IFERROR(--ISNUMBER(SEARCH("R128",G273)),0)+IFERROR(--ISNUMBER(SEARCH("R129",G273)),0)+IFERROR(--ISNUMBER(SEARCH("R130",G273)),0)+IFERROR(--ISNUMBER(SEARCH("R131",G273)),0)+IFERROR(--ISNUMBER(SEARCH("R132",G273)),0)+IFERROR(--ISNUMBER(SEARCH("R133",G273)),0)+IFERROR(--ISNUMBER(SEARCH("R134",G273)),0)+IFERROR(--ISNUMBER(SEARCH("R135",G273)),0)+IFERROR(--ISNUMBER(SEARCH("R136",G273)),0)+IFERROR(--ISNUMBER(SEARCH("R137",G273)),0)+IFERROR(--ISNUMBER(SEARCH("R138",G273)),0)+IFERROR(--ISNUMBER(SEARCH("R139",G273)),0)+IFERROR(--ISNUMBER(SEARCH("R140",G273)),0)+IFERROR(--ISNUMBER(SEARCH("R141",G273)),0))</f>
        <v/>
      </c>
      <c r="T273" s="58">
        <f>IF(A273="","",IFERROR(--ISNUMBER(SEARCH("R28",G273)),0)+IFERROR(--ISNUMBER(SEARCH("R29",G273)),0)+IFERROR(--ISNUMBER(SEARCH("R30",G273)),0)+IFERROR(--ISNUMBER(SEARCH("R32",G273)),0)+IFERROR(--ISNUMBER(SEARCH("R33",G273)),0)+IFERROR(--ISNUMBER(SEARCH("R35",G273)),0)+IFERROR(--ISNUMBER(SEARCH("R36",G273)),0)+IFERROR(--ISNUMBER(SEARCH("R38",G273)),0)+IFERROR(--ISNUMBER(SEARCH("R39",G273)),0)+IFERROR(--ISNUMBER(SEARCH("R43",G273)),0)+IFERROR(--ISNUMBER(SEARCH("R44",G273)),0)+IFERROR(--ISNUMBER(SEARCH("R45",G273)),0)+IFERROR(--ISNUMBER(SEARCH("R47",G273)),0)+IFERROR(--ISNUMBER(SEARCH("R48",G273)),0)+IFERROR(--ISNUMBER(SEARCH("R50",G273)),0)+IFERROR(--ISNUMBER(SEARCH("R51",G273)),0)+IFERROR(--ISNUMBER(SEARCH("R56",G273)),0)+IFERROR(--ISNUMBER(SEARCH("R58",G273)),0)+IFERROR(--ISNUMBER(SEARCH("R59",G273)),0)+IFERROR(--ISNUMBER(SEARCH("R60",G273)),0)+IFERROR(--ISNUMBER(SEARCH("R62",G273)),0)+IFERROR(--ISNUMBER(SEARCH("R63",G273)),0)+IFERROR(--ISNUMBER(SEARCH("R64",G273)),0)+IFERROR(--ISNUMBER(SEARCH("R66",G273)),0)+IFERROR(--ISNUMBER(SEARCH("R67",G273)),0)+IFERROR(--ISNUMBER(SEARCH("R72",G273)),0)+IFERROR(--ISNUMBER(SEARCH("R74",G273)),0)+IFERROR(--ISNUMBER(SEARCH("R75",G273)),0)+IFERROR(--ISNUMBER(SEARCH("R76",G273)),0)+IFERROR(--ISNUMBER(SEARCH("R77",G273)),0)+IFERROR(--ISNUMBER(SEARCH("R79",G273)),0)+IFERROR(--ISNUMBER(SEARCH("R80",G273)),0)+IFERROR(--ISNUMBER(SEARCH("R81",G273)),0)+IFERROR(--ISNUMBER(SEARCH("R83",G273)),0)+IFERROR(--ISNUMBER(SEARCH("R84",G273)),0)+IFERROR(--ISNUMBER(SEARCH("R89",G273)),0)+IFERROR(--ISNUMBER(SEARCH("R94",G273)),0)+IFERROR(--ISNUMBER(SEARCH("R95",G273)),0)+IFERROR(--ISNUMBER(SEARCH("R96",G273)),0)+IFERROR(--ISNUMBER(SEARCH("R98",G273)),0)+IFERROR(--ISNUMBER(SEARCH("R99",G273)),0)+IFERROR(--ISNUMBER(SEARCH("R100",G273)),0)+IFERROR(--ISNUMBER(SEARCH("R104",G273)),0)+IFERROR(--ISNUMBER(SEARCH("R105",G273)),0)+IFERROR(--ISNUMBER(SEARCH("R107",G273)),0)+IFERROR(--ISNUMBER(SEARCH("R108",G273)),0)+IFERROR(--ISNUMBER(SEARCH("R109",G273)),0)+IFERROR(--ISNUMBER(SEARCH("R110",G273)),0)+IFERROR(--ISNUMBER(SEARCH("R112",G273)),0)+IFERROR(--ISNUMBER(SEARCH("R113",G273)),0)+IFERROR(--ISNUMBER(SEARCH("R114",G273)),0)+IFERROR(--ISNUMBER(SEARCH("R118",G273)),0)+IFERROR(--ISNUMBER(SEARCH("R119",G273)),0)+IFERROR(--ISNUMBER(SEARCH("R120",G273)),0)+IFERROR(--ISNUMBER(SEARCH("R122",G273)),0)+IFERROR(--ISNUMBER(SEARCH("R123",G273)),0)+IFERROR(--ISNUMBER(SEARCH("R124",G273)),0)+IFERROR(--ISNUMBER(SEARCH("R128",G273)),0)+IFERROR(--ISNUMBER(SEARCH("R130",G273)),0)+IFERROR(--ISNUMBER(SEARCH("R131",G273)),0)+IFERROR(--ISNUMBER(SEARCH("R132",G273)),0)+IFERROR(--ISNUMBER(SEARCH("R135",G273)),0)+IFERROR(--ISNUMBER(SEARCH("R138",G273)),0)+IFERROR(--ISNUMBER(SEARCH("R141",G273)),0))</f>
        <v/>
      </c>
      <c r="U273" s="58">
        <f>IF(A273="","",IFERROR(--ISNUMBER(SEARCH("R28",G273))*28,0)+IFERROR(--ISNUMBER(SEARCH("R29",G273))*29,0)+IFERROR(--ISNUMBER(SEARCH("R30",G273))*30,0)+IFERROR(--ISNUMBER(SEARCH("R31",G273))*31,0)+IFERROR(--ISNUMBER(SEARCH("R32",G273))*32,0)+IFERROR(--ISNUMBER(SEARCH("R33",G273))*33,0)+IFERROR(--ISNUMBER(SEARCH("R34",G273))*34,0)+IFERROR(--ISNUMBER(SEARCH("R35",G273))*35,0)+IFERROR(--ISNUMBER(SEARCH("R36",G273))*36,0)+IFERROR(--ISNUMBER(SEARCH("R37",G273))*37,0)+IFERROR(--ISNUMBER(SEARCH("R38",G273))*38,0)+IFERROR(--ISNUMBER(SEARCH("R39",G273))*39,0)+IFERROR(--ISNUMBER(SEARCH("R40",G273))*40,0)+IFERROR(--ISNUMBER(SEARCH("R41",G273))*41,0)+IFERROR(--ISNUMBER(SEARCH("R42",G273))*42,0)+IFERROR(--ISNUMBER(SEARCH("R43",G273))*43,0)+IFERROR(--ISNUMBER(SEARCH("R44",G273))*44,0)+IFERROR(--ISNUMBER(SEARCH("R45",G273))*45,0)+IFERROR(--ISNUMBER(SEARCH("R46",G273))*46,0)+IFERROR(--ISNUMBER(SEARCH("R47",G273))*47,0)+IFERROR(--ISNUMBER(SEARCH("R48",G273))*48,0)+IFERROR(--ISNUMBER(SEARCH("R49",G273))*49,0)+IFERROR(--ISNUMBER(SEARCH("R50",G273))*50,0)+IFERROR(--ISNUMBER(SEARCH("R51",G273))*51,0)+IFERROR(--ISNUMBER(SEARCH("R52",G273))*52,0)+IFERROR(--ISNUMBER(SEARCH("R53",G273))*53,0)+IFERROR(--ISNUMBER(SEARCH("R54",G273))*54,0)+IFERROR(--ISNUMBER(SEARCH("R55",G273))*55,0)+IFERROR(--ISNUMBER(SEARCH("R56",G273))*56,0)+IFERROR(--ISNUMBER(SEARCH("R57",G273))*57,0)+IFERROR(--ISNUMBER(SEARCH("R58",G273))*58,0)+IFERROR(--ISNUMBER(SEARCH("R59",G273))*59,0)+IFERROR(--ISNUMBER(SEARCH("R60",G273))*60,0)+IFERROR(--ISNUMBER(SEARCH("R61",G273))*61,0)+IFERROR(--ISNUMBER(SEARCH("R62",G273))*62,0)+IFERROR(--ISNUMBER(SEARCH("R63",G273))*63,0)+IFERROR(--ISNUMBER(SEARCH("R64",G273))*64,0)+IFERROR(--ISNUMBER(SEARCH("R65",G273))*65,0)+IFERROR(--ISNUMBER(SEARCH("R66",G273))*66,0)+IFERROR(--ISNUMBER(SEARCH("R67",G273))*67,0)+IFERROR(--ISNUMBER(SEARCH("R68",G273))*68,0)+IFERROR(--ISNUMBER(SEARCH("R69",G273))*69,0)+IFERROR(--ISNUMBER(SEARCH("R70",G273))*70,0)+IFERROR(--ISNUMBER(SEARCH("R71",G273))*71,0)+IFERROR(--ISNUMBER(SEARCH("R72",G273))*72,0)+IFERROR(--ISNUMBER(SEARCH("R73",G273))*73,0)+IFERROR(--ISNUMBER(SEARCH("R74",G273))*74,0)+IFERROR(--ISNUMBER(SEARCH("R75",G273))*75,0)+IFERROR(--ISNUMBER(SEARCH("R76",G273))*76,0)+IFERROR(--ISNUMBER(SEARCH("R77",G273))*77,0)+IFERROR(--ISNUMBER(SEARCH("R78",G273))*78,0)+IFERROR(--ISNUMBER(SEARCH("R79",G273))*79,0)+IFERROR(--ISNUMBER(SEARCH("R80",G273))*80,0)+IFERROR(--ISNUMBER(SEARCH("R81",G273))*81,0)+IFERROR(--ISNUMBER(SEARCH("R82",G273))*82,0)+IFERROR(--ISNUMBER(SEARCH("R83",G273))*83,0)+IFERROR(--ISNUMBER(SEARCH("R84",G273))*84,0)+IFERROR(--ISNUMBER(SEARCH("R85",G273))*85,0)+IFERROR(--ISNUMBER(SEARCH("R86",G273))*86,0)+IFERROR(--ISNUMBER(SEARCH("R87",G273))*87,0)+IFERROR(--ISNUMBER(SEARCH("R88",G273))*88,0)+IFERROR(--ISNUMBER(SEARCH("R89",G273))*89,0)+IFERROR(--ISNUMBER(SEARCH("R90",G273))*90,0)+IFERROR(--ISNUMBER(SEARCH("R91",G273))*91,0)+IFERROR(--ISNUMBER(SEARCH("R92",G273))*92,0)+IFERROR(--ISNUMBER(SEARCH("R93",G273))*93,0)+IFERROR(--ISNUMBER(SEARCH("R94",G273))*94,0)+IFERROR(--ISNUMBER(SEARCH("R95",G273))*95,0)+IFERROR(--ISNUMBER(SEARCH("R96",G273))*96,0)+IFERROR(--ISNUMBER(SEARCH("R97",G273))*97,0)+IFERROR(--ISNUMBER(SEARCH("R98",G273))*98,0)+IFERROR(--ISNUMBER(SEARCH("R99",G273))*99,0)+IFERROR(--ISNUMBER(SEARCH("R100",G273))*100,0)+IFERROR(--ISNUMBER(SEARCH("R101",G273))*101,0)+IFERROR(--ISNUMBER(SEARCH("R102",G273))*102,0)+IFERROR(--ISNUMBER(SEARCH("R103",G273))*103,0)+IFERROR(--ISNUMBER(SEARCH("R104",G273))*104,0)+IFERROR(--ISNUMBER(SEARCH("R105",G273))*105,0)+IFERROR(--ISNUMBER(SEARCH("R106",G273))*106,0)+IFERROR(--ISNUMBER(SEARCH("R107",G273))*107,0)+IFERROR(--ISNUMBER(SEARCH("R108",G273))*108,0)+IFERROR(--ISNUMBER(SEARCH("R109",G273))*109,0)+IFERROR(--ISNUMBER(SEARCH("R110",G273))*110,0)+IFERROR(--ISNUMBER(SEARCH("R111",G273))*111,0)+IFERROR(--ISNUMBER(SEARCH("R112",G273))*112,0)+IFERROR(--ISNUMBER(SEARCH("R113",G273))*113,0)+IFERROR(--ISNUMBER(SEARCH("R114",G273))*114,0)+IFERROR(--ISNUMBER(SEARCH("R115",G273))*115,0)+IFERROR(--ISNUMBER(SEARCH("R116",G273))*116,0)+IFERROR(--ISNUMBER(SEARCH("R117",G273))*117,0)+IFERROR(--ISNUMBER(SEARCH("R118",G273))*118,0)+IFERROR(--ISNUMBER(SEARCH("R119",G273))*119,0)+IFERROR(--ISNUMBER(SEARCH("R120",G273))*120,0)+IFERROR(--ISNUMBER(SEARCH("R121",G273))*121,0)+IFERROR(--ISNUMBER(SEARCH("R122",G273))*122,0)+IFERROR(--ISNUMBER(SEARCH("R123",G273))*123,0)+IFERROR(--ISNUMBER(SEARCH("R124",G273))*124,0)+IFERROR(--ISNUMBER(SEARCH("R125",G273))*125,0)+IFERROR(--ISNUMBER(SEARCH("R126",G273))*126,0)+IFERROR(--ISNUMBER(SEARCH("R127",G273))*127,0)+IFERROR(--ISNUMBER(SEARCH("R128",G273))*128,0)+IFERROR(--ISNUMBER(SEARCH("R129",G273))*129,0)+IFERROR(--ISNUMBER(SEARCH("R130",G273))*130,0)+IFERROR(--ISNUMBER(SEARCH("R131",G273))*131,0)+IFERROR(--ISNUMBER(SEARCH("R132",G273))*132,0)+IFERROR(--ISNUMBER(SEARCH("R133",G273))*133,0)+IFERROR(--ISNUMBER(SEARCH("R134",G273))*134,0)+IFERROR(--ISNUMBER(SEARCH("R135",G273))*135,0)+IFERROR(--ISNUMBER(SEARCH("R136",G273))*136,0)+IFERROR(--ISNUMBER(SEARCH("R137",G273))*137,0)+IFERROR(--ISNUMBER(SEARCH("R138",G273))*138,0)+IFERROR(--ISNUMBER(SEARCH("R139",G273))*139,0)+IFERROR(--ISNUMBER(SEARCH("R140",G273))*140,0)+IFERROR(--ISNUMBER(SEARCH("R141",G273))*141,0))</f>
        <v/>
      </c>
      <c r="V273" s="59">
        <f>IF(A273="","",IF(K273&lt;&gt;"",K273,J273))</f>
        <v/>
      </c>
      <c r="W273" s="59">
        <f>IF(A273="","",IF(AND(V273=29,O273&lt;&gt;"",COUNTIFS($V$6:$V$505,29,$F$6:$F$505,F273,$C$6:$C$505,C273,$O$6:$O$505,"&lt;&gt;")&gt;1),IF(COUNTIFS($V$6:V273,29,$F$6:F273,F273,$C$6:C273,C273,$O$6:O273,"&lt;&gt;")=1,"Esta es la fila que se debe CONSERVAR (aparición 1 de "&amp;COUNTIFS($V$6:$V$505,29,$F$6:$F$505,F273,$C$6:$C$505,C273,$O$6:$O$505,"&lt;&gt;")&amp;" con el mismo tercero y valor, casilla 29). Si hay más filas iguales, bórreles el valor a ELLAS, no a esta.","DUPLICADO — ya existe otra fila con el mismo tercero y valor para casilla 29 (aparición "&amp;COUNTIFS($V$6:V273,29,$F$6:F273,F273,$C$6:C273,C273,$O$6:O273,"&lt;&gt;")&amp;" de "&amp;COUNTIFS($V$6:$V$505,29,$F$6:$F$505,F273,$C$6:$C$505,C273,$O$6:$O$505,"&lt;&gt;")&amp;"). Para resolverlo: seleccione la celda O"&amp;ROW()&amp;" (columna Valor a declarar de ESTA fila) y presione Supr."),""))</f>
        <v/>
      </c>
      <c r="X273" s="463">
        <f>IF(A273="","",F273)</f>
        <v/>
      </c>
      <c r="Y273" s="463">
        <f>IF(A273="","",SUMIF(Entrada_Manual!$I$88:$I$187,A273,Entrada_Manual!$F$88:$F$187))</f>
        <v/>
      </c>
      <c r="Z273" s="463">
        <f>IF(A273="","",X273-Y273)</f>
        <v/>
      </c>
      <c r="AA273">
        <f>IF(A273="","",SUMPRODUCT((Entrada_Manual!$I$88:$I$187=A273)*1))</f>
        <v/>
      </c>
      <c r="AB273">
        <f>IF(A273="","",IF(S273&lt;=1,"",IF(AA273=0,"PENDIENTE — SIN ASIGNAR",IF(Z273=0,"RESUELTO","PARCIAL — DIFERENCIA "&amp;TEXT(Z273,"#,##0")))))</f>
        <v/>
      </c>
    </row>
    <row r="274" ht="14.25" customHeight="1" s="235">
      <c r="A274" s="47">
        <f>IF(Exogena_RAW!E283&lt;&gt;"",ROW()-5,"")</f>
        <v/>
      </c>
      <c r="B274" s="48">
        <f>IF(A274="","",283)</f>
        <v/>
      </c>
      <c r="C274" s="48">
        <f>IF(A274="","",IFERROR(Exogena_RAW!A283,""))</f>
        <v/>
      </c>
      <c r="D274" s="48">
        <f>IF(A274="","",IFERROR(Exogena_RAW!B283,""))</f>
        <v/>
      </c>
      <c r="E274" s="48">
        <f>IF(A274="","",Exogena_RAW!E283)</f>
        <v/>
      </c>
      <c r="F274" s="461">
        <f>IF(A274="","",Exogena_RAW!F283)</f>
        <v/>
      </c>
      <c r="G274" s="48">
        <f>IF(A274="","",IFERROR(Exogena_RAW!G283,""))</f>
        <v/>
      </c>
      <c r="H274" s="48">
        <f>IF(A274="","",IFERROR(Exogena_RAW!H283,""))</f>
        <v/>
      </c>
      <c r="I274" s="48">
        <f>IF(A274="","",IFERROR(IF(S274&gt;1,"VARIAS CASILLAS",IF(S274=1,IF(T274=1,"PROPUESTA DE CASILLA","REVISIÓN: CASILLA NO DIRECTA"),IF(OR(ISNUMBER(SEARCH("TOPE",UPPER(E274))),ISNUMBER(SEARCH("TOPE",UPPER(G274)))),"SOLO CONTROL",IF(ISNUMBER(SEARCH("RETEN",UPPER(E274))),"RETENCIÓN","REVISAR")))),"REVISAR"))</f>
        <v/>
      </c>
      <c r="J274" s="48">
        <f>IF(A274="","",IF(ISNUMBER(SEARCH("ingreso laboral promedio de los últimos seis meses",E274)),"",IFERROR(IF(AND(S274=1,T274=1),U274,""),"")))</f>
        <v/>
      </c>
      <c r="K274" s="216" t="n"/>
      <c r="L274" s="48">
        <f>IF(A274="","",IFERROR(IF(K274&lt;&gt;"","Casilla elegida por usuario",IF(S274&gt;1,"Varias casillas — elegir en K",IF(J274&lt;&gt;"","Sugerencia directa",IF(S274=1,"No trasladar directo — revisar",IF(OR(ISNUMBER(SEARCH("TOPE",UPPER(E274))),ISNUMBER(SEARCH("TOPE",UPPER(G274)))),"Solo control","Revisar manualmente"))))),"Revisar manualmente"))</f>
        <v/>
      </c>
      <c r="M274" s="461">
        <f>IF(A274="","",IF(IF(K274&lt;&gt;"",K274,J274)="",0,IF(COUNTIFS(Reglas!$I$5:$I$118,IF(K274&lt;&gt;"",K274,J274),Reglas!$J$5:$J$118,"Sí")=1,F274,0)))</f>
        <v/>
      </c>
      <c r="N274" s="56" t="n"/>
      <c r="O274" s="462">
        <f>IF(A274="","",IF(M274=0,"",M274))</f>
        <v/>
      </c>
      <c r="P274" s="461">
        <f>IF(A274="","",IF(O274="",0,IF(ISNUMBER(O274),O274,0)))</f>
        <v/>
      </c>
      <c r="Q274" s="48">
        <f>IF(A274="","",IF(Exogena_RAW!$C$4="","BLOQUEADO: FALTA AÑO",IF(Exogena_RAW!$K$10&lt;&gt;Reglas!$B$5,"BLOQUEADO: AÑO",IF(IF(K274&lt;&gt;"",K274,J274)="",IF(S274&gt;1,"REQUIERE ASIGNACIÓN MANUAL (VARIAS CASILLAS)","INFORMATIVO (sin casilla — no se declara)"),IF(COUNTIFS(Reglas!$I$5:$I$118,IF(K274&lt;&gt;"",K274,J274),Reglas!$J$5:$J$118,"Sí")=0,"BLOQUEADO: CASILLA NO DIRECTA",IF(O274="","EXCLUIDO (valor borrado por el usuario)",IF(_xlfn.ISFORMULA(O274),IF(W274&lt;&gt;"","BORRADOR — VALOR SUGERIDO DIAN ⚠ VER ALERTA","BORRADOR — VALOR SUGERIDO DIAN"),IF(W274&lt;&gt;"","ACEPTADO ⚠ VER ALERTA","ACEPTADO"))))))))</f>
        <v/>
      </c>
      <c r="R274" s="218" t="n"/>
      <c r="S274" s="58">
        <f>IF(A274="","",IFERROR(--ISNUMBER(SEARCH("R28",G274)),0)+IFERROR(--ISNUMBER(SEARCH("R29",G274)),0)+IFERROR(--ISNUMBER(SEARCH("R30",G274)),0)+IFERROR(--ISNUMBER(SEARCH("R31",G274)),0)+IFERROR(--ISNUMBER(SEARCH("R32",G274)),0)+IFERROR(--ISNUMBER(SEARCH("R33",G274)),0)+IFERROR(--ISNUMBER(SEARCH("R34",G274)),0)+IFERROR(--ISNUMBER(SEARCH("R35",G274)),0)+IFERROR(--ISNUMBER(SEARCH("R36",G274)),0)+IFERROR(--ISNUMBER(SEARCH("R37",G274)),0)+IFERROR(--ISNUMBER(SEARCH("R38",G274)),0)+IFERROR(--ISNUMBER(SEARCH("R39",G274)),0)+IFERROR(--ISNUMBER(SEARCH("R40",G274)),0)+IFERROR(--ISNUMBER(SEARCH("R41",G274)),0)+IFERROR(--ISNUMBER(SEARCH("R42",G274)),0)+IFERROR(--ISNUMBER(SEARCH("R43",G274)),0)+IFERROR(--ISNUMBER(SEARCH("R44",G274)),0)+IFERROR(--ISNUMBER(SEARCH("R45",G274)),0)+IFERROR(--ISNUMBER(SEARCH("R46",G274)),0)+IFERROR(--ISNUMBER(SEARCH("R47",G274)),0)+IFERROR(--ISNUMBER(SEARCH("R48",G274)),0)+IFERROR(--ISNUMBER(SEARCH("R49",G274)),0)+IFERROR(--ISNUMBER(SEARCH("R50",G274)),0)+IFERROR(--ISNUMBER(SEARCH("R51",G274)),0)+IFERROR(--ISNUMBER(SEARCH("R52",G274)),0)+IFERROR(--ISNUMBER(SEARCH("R53",G274)),0)+IFERROR(--ISNUMBER(SEARCH("R54",G274)),0)+IFERROR(--ISNUMBER(SEARCH("R55",G274)),0)+IFERROR(--ISNUMBER(SEARCH("R56",G274)),0)+IFERROR(--ISNUMBER(SEARCH("R57",G274)),0)+IFERROR(--ISNUMBER(SEARCH("R58",G274)),0)+IFERROR(--ISNUMBER(SEARCH("R59",G274)),0)+IFERROR(--ISNUMBER(SEARCH("R60",G274)),0)+IFERROR(--ISNUMBER(SEARCH("R61",G274)),0)+IFERROR(--ISNUMBER(SEARCH("R62",G274)),0)+IFERROR(--ISNUMBER(SEARCH("R63",G274)),0)+IFERROR(--ISNUMBER(SEARCH("R64",G274)),0)+IFERROR(--ISNUMBER(SEARCH("R65",G274)),0)+IFERROR(--ISNUMBER(SEARCH("R66",G274)),0)+IFERROR(--ISNUMBER(SEARCH("R67",G274)),0)+IFERROR(--ISNUMBER(SEARCH("R68",G274)),0)+IFERROR(--ISNUMBER(SEARCH("R69",G274)),0)+IFERROR(--ISNUMBER(SEARCH("R70",G274)),0)+IFERROR(--ISNUMBER(SEARCH("R71",G274)),0)+IFERROR(--ISNUMBER(SEARCH("R72",G274)),0)+IFERROR(--ISNUMBER(SEARCH("R73",G274)),0)+IFERROR(--ISNUMBER(SEARCH("R74",G274)),0)+IFERROR(--ISNUMBER(SEARCH("R75",G274)),0)+IFERROR(--ISNUMBER(SEARCH("R76",G274)),0)+IFERROR(--ISNUMBER(SEARCH("R77",G274)),0)+IFERROR(--ISNUMBER(SEARCH("R78",G274)),0)+IFERROR(--ISNUMBER(SEARCH("R79",G274)),0)+IFERROR(--ISNUMBER(SEARCH("R80",G274)),0)+IFERROR(--ISNUMBER(SEARCH("R81",G274)),0)+IFERROR(--ISNUMBER(SEARCH("R82",G274)),0)+IFERROR(--ISNUMBER(SEARCH("R83",G274)),0)+IFERROR(--ISNUMBER(SEARCH("R84",G274)),0)+IFERROR(--ISNUMBER(SEARCH("R85",G274)),0)+IFERROR(--ISNUMBER(SEARCH("R86",G274)),0)+IFERROR(--ISNUMBER(SEARCH("R87",G274)),0)+IFERROR(--ISNUMBER(SEARCH("R88",G274)),0)+IFERROR(--ISNUMBER(SEARCH("R89",G274)),0)+IFERROR(--ISNUMBER(SEARCH("R90",G274)),0)+IFERROR(--ISNUMBER(SEARCH("R91",G274)),0)+IFERROR(--ISNUMBER(SEARCH("R92",G274)),0)+IFERROR(--ISNUMBER(SEARCH("R93",G274)),0)+IFERROR(--ISNUMBER(SEARCH("R94",G274)),0)+IFERROR(--ISNUMBER(SEARCH("R95",G274)),0)+IFERROR(--ISNUMBER(SEARCH("R96",G274)),0)+IFERROR(--ISNUMBER(SEARCH("R97",G274)),0)+IFERROR(--ISNUMBER(SEARCH("R98",G274)),0)+IFERROR(--ISNUMBER(SEARCH("R99",G274)),0)+IFERROR(--ISNUMBER(SEARCH("R100",G274)),0)+IFERROR(--ISNUMBER(SEARCH("R101",G274)),0)+IFERROR(--ISNUMBER(SEARCH("R102",G274)),0)+IFERROR(--ISNUMBER(SEARCH("R103",G274)),0)+IFERROR(--ISNUMBER(SEARCH("R104",G274)),0)+IFERROR(--ISNUMBER(SEARCH("R105",G274)),0)+IFERROR(--ISNUMBER(SEARCH("R106",G274)),0)+IFERROR(--ISNUMBER(SEARCH("R107",G274)),0)+IFERROR(--ISNUMBER(SEARCH("R108",G274)),0)+IFERROR(--ISNUMBER(SEARCH("R109",G274)),0)+IFERROR(--ISNUMBER(SEARCH("R110",G274)),0)+IFERROR(--ISNUMBER(SEARCH("R111",G274)),0)+IFERROR(--ISNUMBER(SEARCH("R112",G274)),0)+IFERROR(--ISNUMBER(SEARCH("R113",G274)),0)+IFERROR(--ISNUMBER(SEARCH("R114",G274)),0)+IFERROR(--ISNUMBER(SEARCH("R115",G274)),0)+IFERROR(--ISNUMBER(SEARCH("R116",G274)),0)+IFERROR(--ISNUMBER(SEARCH("R117",G274)),0)+IFERROR(--ISNUMBER(SEARCH("R118",G274)),0)+IFERROR(--ISNUMBER(SEARCH("R119",G274)),0)+IFERROR(--ISNUMBER(SEARCH("R120",G274)),0)+IFERROR(--ISNUMBER(SEARCH("R121",G274)),0)+IFERROR(--ISNUMBER(SEARCH("R122",G274)),0)+IFERROR(--ISNUMBER(SEARCH("R123",G274)),0)+IFERROR(--ISNUMBER(SEARCH("R124",G274)),0)+IFERROR(--ISNUMBER(SEARCH("R125",G274)),0)+IFERROR(--ISNUMBER(SEARCH("R126",G274)),0)+IFERROR(--ISNUMBER(SEARCH("R127",G274)),0)+IFERROR(--ISNUMBER(SEARCH("R128",G274)),0)+IFERROR(--ISNUMBER(SEARCH("R129",G274)),0)+IFERROR(--ISNUMBER(SEARCH("R130",G274)),0)+IFERROR(--ISNUMBER(SEARCH("R131",G274)),0)+IFERROR(--ISNUMBER(SEARCH("R132",G274)),0)+IFERROR(--ISNUMBER(SEARCH("R133",G274)),0)+IFERROR(--ISNUMBER(SEARCH("R134",G274)),0)+IFERROR(--ISNUMBER(SEARCH("R135",G274)),0)+IFERROR(--ISNUMBER(SEARCH("R136",G274)),0)+IFERROR(--ISNUMBER(SEARCH("R137",G274)),0)+IFERROR(--ISNUMBER(SEARCH("R138",G274)),0)+IFERROR(--ISNUMBER(SEARCH("R139",G274)),0)+IFERROR(--ISNUMBER(SEARCH("R140",G274)),0)+IFERROR(--ISNUMBER(SEARCH("R141",G274)),0))</f>
        <v/>
      </c>
      <c r="T274" s="58">
        <f>IF(A274="","",IFERROR(--ISNUMBER(SEARCH("R28",G274)),0)+IFERROR(--ISNUMBER(SEARCH("R29",G274)),0)+IFERROR(--ISNUMBER(SEARCH("R30",G274)),0)+IFERROR(--ISNUMBER(SEARCH("R32",G274)),0)+IFERROR(--ISNUMBER(SEARCH("R33",G274)),0)+IFERROR(--ISNUMBER(SEARCH("R35",G274)),0)+IFERROR(--ISNUMBER(SEARCH("R36",G274)),0)+IFERROR(--ISNUMBER(SEARCH("R38",G274)),0)+IFERROR(--ISNUMBER(SEARCH("R39",G274)),0)+IFERROR(--ISNUMBER(SEARCH("R43",G274)),0)+IFERROR(--ISNUMBER(SEARCH("R44",G274)),0)+IFERROR(--ISNUMBER(SEARCH("R45",G274)),0)+IFERROR(--ISNUMBER(SEARCH("R47",G274)),0)+IFERROR(--ISNUMBER(SEARCH("R48",G274)),0)+IFERROR(--ISNUMBER(SEARCH("R50",G274)),0)+IFERROR(--ISNUMBER(SEARCH("R51",G274)),0)+IFERROR(--ISNUMBER(SEARCH("R56",G274)),0)+IFERROR(--ISNUMBER(SEARCH("R58",G274)),0)+IFERROR(--ISNUMBER(SEARCH("R59",G274)),0)+IFERROR(--ISNUMBER(SEARCH("R60",G274)),0)+IFERROR(--ISNUMBER(SEARCH("R62",G274)),0)+IFERROR(--ISNUMBER(SEARCH("R63",G274)),0)+IFERROR(--ISNUMBER(SEARCH("R64",G274)),0)+IFERROR(--ISNUMBER(SEARCH("R66",G274)),0)+IFERROR(--ISNUMBER(SEARCH("R67",G274)),0)+IFERROR(--ISNUMBER(SEARCH("R72",G274)),0)+IFERROR(--ISNUMBER(SEARCH("R74",G274)),0)+IFERROR(--ISNUMBER(SEARCH("R75",G274)),0)+IFERROR(--ISNUMBER(SEARCH("R76",G274)),0)+IFERROR(--ISNUMBER(SEARCH("R77",G274)),0)+IFERROR(--ISNUMBER(SEARCH("R79",G274)),0)+IFERROR(--ISNUMBER(SEARCH("R80",G274)),0)+IFERROR(--ISNUMBER(SEARCH("R81",G274)),0)+IFERROR(--ISNUMBER(SEARCH("R83",G274)),0)+IFERROR(--ISNUMBER(SEARCH("R84",G274)),0)+IFERROR(--ISNUMBER(SEARCH("R89",G274)),0)+IFERROR(--ISNUMBER(SEARCH("R94",G274)),0)+IFERROR(--ISNUMBER(SEARCH("R95",G274)),0)+IFERROR(--ISNUMBER(SEARCH("R96",G274)),0)+IFERROR(--ISNUMBER(SEARCH("R98",G274)),0)+IFERROR(--ISNUMBER(SEARCH("R99",G274)),0)+IFERROR(--ISNUMBER(SEARCH("R100",G274)),0)+IFERROR(--ISNUMBER(SEARCH("R104",G274)),0)+IFERROR(--ISNUMBER(SEARCH("R105",G274)),0)+IFERROR(--ISNUMBER(SEARCH("R107",G274)),0)+IFERROR(--ISNUMBER(SEARCH("R108",G274)),0)+IFERROR(--ISNUMBER(SEARCH("R109",G274)),0)+IFERROR(--ISNUMBER(SEARCH("R110",G274)),0)+IFERROR(--ISNUMBER(SEARCH("R112",G274)),0)+IFERROR(--ISNUMBER(SEARCH("R113",G274)),0)+IFERROR(--ISNUMBER(SEARCH("R114",G274)),0)+IFERROR(--ISNUMBER(SEARCH("R118",G274)),0)+IFERROR(--ISNUMBER(SEARCH("R119",G274)),0)+IFERROR(--ISNUMBER(SEARCH("R120",G274)),0)+IFERROR(--ISNUMBER(SEARCH("R122",G274)),0)+IFERROR(--ISNUMBER(SEARCH("R123",G274)),0)+IFERROR(--ISNUMBER(SEARCH("R124",G274)),0)+IFERROR(--ISNUMBER(SEARCH("R128",G274)),0)+IFERROR(--ISNUMBER(SEARCH("R130",G274)),0)+IFERROR(--ISNUMBER(SEARCH("R131",G274)),0)+IFERROR(--ISNUMBER(SEARCH("R132",G274)),0)+IFERROR(--ISNUMBER(SEARCH("R135",G274)),0)+IFERROR(--ISNUMBER(SEARCH("R138",G274)),0)+IFERROR(--ISNUMBER(SEARCH("R141",G274)),0))</f>
        <v/>
      </c>
      <c r="U274" s="58">
        <f>IF(A274="","",IFERROR(--ISNUMBER(SEARCH("R28",G274))*28,0)+IFERROR(--ISNUMBER(SEARCH("R29",G274))*29,0)+IFERROR(--ISNUMBER(SEARCH("R30",G274))*30,0)+IFERROR(--ISNUMBER(SEARCH("R31",G274))*31,0)+IFERROR(--ISNUMBER(SEARCH("R32",G274))*32,0)+IFERROR(--ISNUMBER(SEARCH("R33",G274))*33,0)+IFERROR(--ISNUMBER(SEARCH("R34",G274))*34,0)+IFERROR(--ISNUMBER(SEARCH("R35",G274))*35,0)+IFERROR(--ISNUMBER(SEARCH("R36",G274))*36,0)+IFERROR(--ISNUMBER(SEARCH("R37",G274))*37,0)+IFERROR(--ISNUMBER(SEARCH("R38",G274))*38,0)+IFERROR(--ISNUMBER(SEARCH("R39",G274))*39,0)+IFERROR(--ISNUMBER(SEARCH("R40",G274))*40,0)+IFERROR(--ISNUMBER(SEARCH("R41",G274))*41,0)+IFERROR(--ISNUMBER(SEARCH("R42",G274))*42,0)+IFERROR(--ISNUMBER(SEARCH("R43",G274))*43,0)+IFERROR(--ISNUMBER(SEARCH("R44",G274))*44,0)+IFERROR(--ISNUMBER(SEARCH("R45",G274))*45,0)+IFERROR(--ISNUMBER(SEARCH("R46",G274))*46,0)+IFERROR(--ISNUMBER(SEARCH("R47",G274))*47,0)+IFERROR(--ISNUMBER(SEARCH("R48",G274))*48,0)+IFERROR(--ISNUMBER(SEARCH("R49",G274))*49,0)+IFERROR(--ISNUMBER(SEARCH("R50",G274))*50,0)+IFERROR(--ISNUMBER(SEARCH("R51",G274))*51,0)+IFERROR(--ISNUMBER(SEARCH("R52",G274))*52,0)+IFERROR(--ISNUMBER(SEARCH("R53",G274))*53,0)+IFERROR(--ISNUMBER(SEARCH("R54",G274))*54,0)+IFERROR(--ISNUMBER(SEARCH("R55",G274))*55,0)+IFERROR(--ISNUMBER(SEARCH("R56",G274))*56,0)+IFERROR(--ISNUMBER(SEARCH("R57",G274))*57,0)+IFERROR(--ISNUMBER(SEARCH("R58",G274))*58,0)+IFERROR(--ISNUMBER(SEARCH("R59",G274))*59,0)+IFERROR(--ISNUMBER(SEARCH("R60",G274))*60,0)+IFERROR(--ISNUMBER(SEARCH("R61",G274))*61,0)+IFERROR(--ISNUMBER(SEARCH("R62",G274))*62,0)+IFERROR(--ISNUMBER(SEARCH("R63",G274))*63,0)+IFERROR(--ISNUMBER(SEARCH("R64",G274))*64,0)+IFERROR(--ISNUMBER(SEARCH("R65",G274))*65,0)+IFERROR(--ISNUMBER(SEARCH("R66",G274))*66,0)+IFERROR(--ISNUMBER(SEARCH("R67",G274))*67,0)+IFERROR(--ISNUMBER(SEARCH("R68",G274))*68,0)+IFERROR(--ISNUMBER(SEARCH("R69",G274))*69,0)+IFERROR(--ISNUMBER(SEARCH("R70",G274))*70,0)+IFERROR(--ISNUMBER(SEARCH("R71",G274))*71,0)+IFERROR(--ISNUMBER(SEARCH("R72",G274))*72,0)+IFERROR(--ISNUMBER(SEARCH("R73",G274))*73,0)+IFERROR(--ISNUMBER(SEARCH("R74",G274))*74,0)+IFERROR(--ISNUMBER(SEARCH("R75",G274))*75,0)+IFERROR(--ISNUMBER(SEARCH("R76",G274))*76,0)+IFERROR(--ISNUMBER(SEARCH("R77",G274))*77,0)+IFERROR(--ISNUMBER(SEARCH("R78",G274))*78,0)+IFERROR(--ISNUMBER(SEARCH("R79",G274))*79,0)+IFERROR(--ISNUMBER(SEARCH("R80",G274))*80,0)+IFERROR(--ISNUMBER(SEARCH("R81",G274))*81,0)+IFERROR(--ISNUMBER(SEARCH("R82",G274))*82,0)+IFERROR(--ISNUMBER(SEARCH("R83",G274))*83,0)+IFERROR(--ISNUMBER(SEARCH("R84",G274))*84,0)+IFERROR(--ISNUMBER(SEARCH("R85",G274))*85,0)+IFERROR(--ISNUMBER(SEARCH("R86",G274))*86,0)+IFERROR(--ISNUMBER(SEARCH("R87",G274))*87,0)+IFERROR(--ISNUMBER(SEARCH("R88",G274))*88,0)+IFERROR(--ISNUMBER(SEARCH("R89",G274))*89,0)+IFERROR(--ISNUMBER(SEARCH("R90",G274))*90,0)+IFERROR(--ISNUMBER(SEARCH("R91",G274))*91,0)+IFERROR(--ISNUMBER(SEARCH("R92",G274))*92,0)+IFERROR(--ISNUMBER(SEARCH("R93",G274))*93,0)+IFERROR(--ISNUMBER(SEARCH("R94",G274))*94,0)+IFERROR(--ISNUMBER(SEARCH("R95",G274))*95,0)+IFERROR(--ISNUMBER(SEARCH("R96",G274))*96,0)+IFERROR(--ISNUMBER(SEARCH("R97",G274))*97,0)+IFERROR(--ISNUMBER(SEARCH("R98",G274))*98,0)+IFERROR(--ISNUMBER(SEARCH("R99",G274))*99,0)+IFERROR(--ISNUMBER(SEARCH("R100",G274))*100,0)+IFERROR(--ISNUMBER(SEARCH("R101",G274))*101,0)+IFERROR(--ISNUMBER(SEARCH("R102",G274))*102,0)+IFERROR(--ISNUMBER(SEARCH("R103",G274))*103,0)+IFERROR(--ISNUMBER(SEARCH("R104",G274))*104,0)+IFERROR(--ISNUMBER(SEARCH("R105",G274))*105,0)+IFERROR(--ISNUMBER(SEARCH("R106",G274))*106,0)+IFERROR(--ISNUMBER(SEARCH("R107",G274))*107,0)+IFERROR(--ISNUMBER(SEARCH("R108",G274))*108,0)+IFERROR(--ISNUMBER(SEARCH("R109",G274))*109,0)+IFERROR(--ISNUMBER(SEARCH("R110",G274))*110,0)+IFERROR(--ISNUMBER(SEARCH("R111",G274))*111,0)+IFERROR(--ISNUMBER(SEARCH("R112",G274))*112,0)+IFERROR(--ISNUMBER(SEARCH("R113",G274))*113,0)+IFERROR(--ISNUMBER(SEARCH("R114",G274))*114,0)+IFERROR(--ISNUMBER(SEARCH("R115",G274))*115,0)+IFERROR(--ISNUMBER(SEARCH("R116",G274))*116,0)+IFERROR(--ISNUMBER(SEARCH("R117",G274))*117,0)+IFERROR(--ISNUMBER(SEARCH("R118",G274))*118,0)+IFERROR(--ISNUMBER(SEARCH("R119",G274))*119,0)+IFERROR(--ISNUMBER(SEARCH("R120",G274))*120,0)+IFERROR(--ISNUMBER(SEARCH("R121",G274))*121,0)+IFERROR(--ISNUMBER(SEARCH("R122",G274))*122,0)+IFERROR(--ISNUMBER(SEARCH("R123",G274))*123,0)+IFERROR(--ISNUMBER(SEARCH("R124",G274))*124,0)+IFERROR(--ISNUMBER(SEARCH("R125",G274))*125,0)+IFERROR(--ISNUMBER(SEARCH("R126",G274))*126,0)+IFERROR(--ISNUMBER(SEARCH("R127",G274))*127,0)+IFERROR(--ISNUMBER(SEARCH("R128",G274))*128,0)+IFERROR(--ISNUMBER(SEARCH("R129",G274))*129,0)+IFERROR(--ISNUMBER(SEARCH("R130",G274))*130,0)+IFERROR(--ISNUMBER(SEARCH("R131",G274))*131,0)+IFERROR(--ISNUMBER(SEARCH("R132",G274))*132,0)+IFERROR(--ISNUMBER(SEARCH("R133",G274))*133,0)+IFERROR(--ISNUMBER(SEARCH("R134",G274))*134,0)+IFERROR(--ISNUMBER(SEARCH("R135",G274))*135,0)+IFERROR(--ISNUMBER(SEARCH("R136",G274))*136,0)+IFERROR(--ISNUMBER(SEARCH("R137",G274))*137,0)+IFERROR(--ISNUMBER(SEARCH("R138",G274))*138,0)+IFERROR(--ISNUMBER(SEARCH("R139",G274))*139,0)+IFERROR(--ISNUMBER(SEARCH("R140",G274))*140,0)+IFERROR(--ISNUMBER(SEARCH("R141",G274))*141,0))</f>
        <v/>
      </c>
      <c r="V274" s="59">
        <f>IF(A274="","",IF(K274&lt;&gt;"",K274,J274))</f>
        <v/>
      </c>
      <c r="W274" s="59">
        <f>IF(A274="","",IF(AND(V274=29,O274&lt;&gt;"",COUNTIFS($V$6:$V$505,29,$F$6:$F$505,F274,$C$6:$C$505,C274,$O$6:$O$505,"&lt;&gt;")&gt;1),IF(COUNTIFS($V$6:V274,29,$F$6:F274,F274,$C$6:C274,C274,$O$6:O274,"&lt;&gt;")=1,"Esta es la fila que se debe CONSERVAR (aparición 1 de "&amp;COUNTIFS($V$6:$V$505,29,$F$6:$F$505,F274,$C$6:$C$505,C274,$O$6:$O$505,"&lt;&gt;")&amp;" con el mismo tercero y valor, casilla 29). Si hay más filas iguales, bórreles el valor a ELLAS, no a esta.","DUPLICADO — ya existe otra fila con el mismo tercero y valor para casilla 29 (aparición "&amp;COUNTIFS($V$6:V274,29,$F$6:F274,F274,$C$6:C274,C274,$O$6:O274,"&lt;&gt;")&amp;" de "&amp;COUNTIFS($V$6:$V$505,29,$F$6:$F$505,F274,$C$6:$C$505,C274,$O$6:$O$505,"&lt;&gt;")&amp;"). Para resolverlo: seleccione la celda O"&amp;ROW()&amp;" (columna Valor a declarar de ESTA fila) y presione Supr."),""))</f>
        <v/>
      </c>
      <c r="X274" s="463">
        <f>IF(A274="","",F274)</f>
        <v/>
      </c>
      <c r="Y274" s="463">
        <f>IF(A274="","",SUMIF(Entrada_Manual!$I$88:$I$187,A274,Entrada_Manual!$F$88:$F$187))</f>
        <v/>
      </c>
      <c r="Z274" s="463">
        <f>IF(A274="","",X274-Y274)</f>
        <v/>
      </c>
      <c r="AA274">
        <f>IF(A274="","",SUMPRODUCT((Entrada_Manual!$I$88:$I$187=A274)*1))</f>
        <v/>
      </c>
      <c r="AB274">
        <f>IF(A274="","",IF(S274&lt;=1,"",IF(AA274=0,"PENDIENTE — SIN ASIGNAR",IF(Z274=0,"RESUELTO","PARCIAL — DIFERENCIA "&amp;TEXT(Z274,"#,##0")))))</f>
        <v/>
      </c>
    </row>
    <row r="275" ht="14.25" customHeight="1" s="235">
      <c r="A275" s="47">
        <f>IF(Exogena_RAW!E284&lt;&gt;"",ROW()-5,"")</f>
        <v/>
      </c>
      <c r="B275" s="48">
        <f>IF(A275="","",284)</f>
        <v/>
      </c>
      <c r="C275" s="48">
        <f>IF(A275="","",IFERROR(Exogena_RAW!A284,""))</f>
        <v/>
      </c>
      <c r="D275" s="48">
        <f>IF(A275="","",IFERROR(Exogena_RAW!B284,""))</f>
        <v/>
      </c>
      <c r="E275" s="48">
        <f>IF(A275="","",Exogena_RAW!E284)</f>
        <v/>
      </c>
      <c r="F275" s="461">
        <f>IF(A275="","",Exogena_RAW!F284)</f>
        <v/>
      </c>
      <c r="G275" s="48">
        <f>IF(A275="","",IFERROR(Exogena_RAW!G284,""))</f>
        <v/>
      </c>
      <c r="H275" s="48">
        <f>IF(A275="","",IFERROR(Exogena_RAW!H284,""))</f>
        <v/>
      </c>
      <c r="I275" s="48">
        <f>IF(A275="","",IFERROR(IF(S275&gt;1,"VARIAS CASILLAS",IF(S275=1,IF(T275=1,"PROPUESTA DE CASILLA","REVISIÓN: CASILLA NO DIRECTA"),IF(OR(ISNUMBER(SEARCH("TOPE",UPPER(E275))),ISNUMBER(SEARCH("TOPE",UPPER(G275)))),"SOLO CONTROL",IF(ISNUMBER(SEARCH("RETEN",UPPER(E275))),"RETENCIÓN","REVISAR")))),"REVISAR"))</f>
        <v/>
      </c>
      <c r="J275" s="48">
        <f>IF(A275="","",IF(ISNUMBER(SEARCH("ingreso laboral promedio de los últimos seis meses",E275)),"",IFERROR(IF(AND(S275=1,T275=1),U275,""),"")))</f>
        <v/>
      </c>
      <c r="K275" s="216" t="n"/>
      <c r="L275" s="48">
        <f>IF(A275="","",IFERROR(IF(K275&lt;&gt;"","Casilla elegida por usuario",IF(S275&gt;1,"Varias casillas — elegir en K",IF(J275&lt;&gt;"","Sugerencia directa",IF(S275=1,"No trasladar directo — revisar",IF(OR(ISNUMBER(SEARCH("TOPE",UPPER(E275))),ISNUMBER(SEARCH("TOPE",UPPER(G275)))),"Solo control","Revisar manualmente"))))),"Revisar manualmente"))</f>
        <v/>
      </c>
      <c r="M275" s="461">
        <f>IF(A275="","",IF(IF(K275&lt;&gt;"",K275,J275)="",0,IF(COUNTIFS(Reglas!$I$5:$I$118,IF(K275&lt;&gt;"",K275,J275),Reglas!$J$5:$J$118,"Sí")=1,F275,0)))</f>
        <v/>
      </c>
      <c r="N275" s="56" t="n"/>
      <c r="O275" s="462">
        <f>IF(A275="","",IF(M275=0,"",M275))</f>
        <v/>
      </c>
      <c r="P275" s="461">
        <f>IF(A275="","",IF(O275="",0,IF(ISNUMBER(O275),O275,0)))</f>
        <v/>
      </c>
      <c r="Q275" s="48">
        <f>IF(A275="","",IF(Exogena_RAW!$C$4="","BLOQUEADO: FALTA AÑO",IF(Exogena_RAW!$K$10&lt;&gt;Reglas!$B$5,"BLOQUEADO: AÑO",IF(IF(K275&lt;&gt;"",K275,J275)="",IF(S275&gt;1,"REQUIERE ASIGNACIÓN MANUAL (VARIAS CASILLAS)","INFORMATIVO (sin casilla — no se declara)"),IF(COUNTIFS(Reglas!$I$5:$I$118,IF(K275&lt;&gt;"",K275,J275),Reglas!$J$5:$J$118,"Sí")=0,"BLOQUEADO: CASILLA NO DIRECTA",IF(O275="","EXCLUIDO (valor borrado por el usuario)",IF(_xlfn.ISFORMULA(O275),IF(W275&lt;&gt;"","BORRADOR — VALOR SUGERIDO DIAN ⚠ VER ALERTA","BORRADOR — VALOR SUGERIDO DIAN"),IF(W275&lt;&gt;"","ACEPTADO ⚠ VER ALERTA","ACEPTADO"))))))))</f>
        <v/>
      </c>
      <c r="R275" s="218" t="n"/>
      <c r="S275" s="58">
        <f>IF(A275="","",IFERROR(--ISNUMBER(SEARCH("R28",G275)),0)+IFERROR(--ISNUMBER(SEARCH("R29",G275)),0)+IFERROR(--ISNUMBER(SEARCH("R30",G275)),0)+IFERROR(--ISNUMBER(SEARCH("R31",G275)),0)+IFERROR(--ISNUMBER(SEARCH("R32",G275)),0)+IFERROR(--ISNUMBER(SEARCH("R33",G275)),0)+IFERROR(--ISNUMBER(SEARCH("R34",G275)),0)+IFERROR(--ISNUMBER(SEARCH("R35",G275)),0)+IFERROR(--ISNUMBER(SEARCH("R36",G275)),0)+IFERROR(--ISNUMBER(SEARCH("R37",G275)),0)+IFERROR(--ISNUMBER(SEARCH("R38",G275)),0)+IFERROR(--ISNUMBER(SEARCH("R39",G275)),0)+IFERROR(--ISNUMBER(SEARCH("R40",G275)),0)+IFERROR(--ISNUMBER(SEARCH("R41",G275)),0)+IFERROR(--ISNUMBER(SEARCH("R42",G275)),0)+IFERROR(--ISNUMBER(SEARCH("R43",G275)),0)+IFERROR(--ISNUMBER(SEARCH("R44",G275)),0)+IFERROR(--ISNUMBER(SEARCH("R45",G275)),0)+IFERROR(--ISNUMBER(SEARCH("R46",G275)),0)+IFERROR(--ISNUMBER(SEARCH("R47",G275)),0)+IFERROR(--ISNUMBER(SEARCH("R48",G275)),0)+IFERROR(--ISNUMBER(SEARCH("R49",G275)),0)+IFERROR(--ISNUMBER(SEARCH("R50",G275)),0)+IFERROR(--ISNUMBER(SEARCH("R51",G275)),0)+IFERROR(--ISNUMBER(SEARCH("R52",G275)),0)+IFERROR(--ISNUMBER(SEARCH("R53",G275)),0)+IFERROR(--ISNUMBER(SEARCH("R54",G275)),0)+IFERROR(--ISNUMBER(SEARCH("R55",G275)),0)+IFERROR(--ISNUMBER(SEARCH("R56",G275)),0)+IFERROR(--ISNUMBER(SEARCH("R57",G275)),0)+IFERROR(--ISNUMBER(SEARCH("R58",G275)),0)+IFERROR(--ISNUMBER(SEARCH("R59",G275)),0)+IFERROR(--ISNUMBER(SEARCH("R60",G275)),0)+IFERROR(--ISNUMBER(SEARCH("R61",G275)),0)+IFERROR(--ISNUMBER(SEARCH("R62",G275)),0)+IFERROR(--ISNUMBER(SEARCH("R63",G275)),0)+IFERROR(--ISNUMBER(SEARCH("R64",G275)),0)+IFERROR(--ISNUMBER(SEARCH("R65",G275)),0)+IFERROR(--ISNUMBER(SEARCH("R66",G275)),0)+IFERROR(--ISNUMBER(SEARCH("R67",G275)),0)+IFERROR(--ISNUMBER(SEARCH("R68",G275)),0)+IFERROR(--ISNUMBER(SEARCH("R69",G275)),0)+IFERROR(--ISNUMBER(SEARCH("R70",G275)),0)+IFERROR(--ISNUMBER(SEARCH("R71",G275)),0)+IFERROR(--ISNUMBER(SEARCH("R72",G275)),0)+IFERROR(--ISNUMBER(SEARCH("R73",G275)),0)+IFERROR(--ISNUMBER(SEARCH("R74",G275)),0)+IFERROR(--ISNUMBER(SEARCH("R75",G275)),0)+IFERROR(--ISNUMBER(SEARCH("R76",G275)),0)+IFERROR(--ISNUMBER(SEARCH("R77",G275)),0)+IFERROR(--ISNUMBER(SEARCH("R78",G275)),0)+IFERROR(--ISNUMBER(SEARCH("R79",G275)),0)+IFERROR(--ISNUMBER(SEARCH("R80",G275)),0)+IFERROR(--ISNUMBER(SEARCH("R81",G275)),0)+IFERROR(--ISNUMBER(SEARCH("R82",G275)),0)+IFERROR(--ISNUMBER(SEARCH("R83",G275)),0)+IFERROR(--ISNUMBER(SEARCH("R84",G275)),0)+IFERROR(--ISNUMBER(SEARCH("R85",G275)),0)+IFERROR(--ISNUMBER(SEARCH("R86",G275)),0)+IFERROR(--ISNUMBER(SEARCH("R87",G275)),0)+IFERROR(--ISNUMBER(SEARCH("R88",G275)),0)+IFERROR(--ISNUMBER(SEARCH("R89",G275)),0)+IFERROR(--ISNUMBER(SEARCH("R90",G275)),0)+IFERROR(--ISNUMBER(SEARCH("R91",G275)),0)+IFERROR(--ISNUMBER(SEARCH("R92",G275)),0)+IFERROR(--ISNUMBER(SEARCH("R93",G275)),0)+IFERROR(--ISNUMBER(SEARCH("R94",G275)),0)+IFERROR(--ISNUMBER(SEARCH("R95",G275)),0)+IFERROR(--ISNUMBER(SEARCH("R96",G275)),0)+IFERROR(--ISNUMBER(SEARCH("R97",G275)),0)+IFERROR(--ISNUMBER(SEARCH("R98",G275)),0)+IFERROR(--ISNUMBER(SEARCH("R99",G275)),0)+IFERROR(--ISNUMBER(SEARCH("R100",G275)),0)+IFERROR(--ISNUMBER(SEARCH("R101",G275)),0)+IFERROR(--ISNUMBER(SEARCH("R102",G275)),0)+IFERROR(--ISNUMBER(SEARCH("R103",G275)),0)+IFERROR(--ISNUMBER(SEARCH("R104",G275)),0)+IFERROR(--ISNUMBER(SEARCH("R105",G275)),0)+IFERROR(--ISNUMBER(SEARCH("R106",G275)),0)+IFERROR(--ISNUMBER(SEARCH("R107",G275)),0)+IFERROR(--ISNUMBER(SEARCH("R108",G275)),0)+IFERROR(--ISNUMBER(SEARCH("R109",G275)),0)+IFERROR(--ISNUMBER(SEARCH("R110",G275)),0)+IFERROR(--ISNUMBER(SEARCH("R111",G275)),0)+IFERROR(--ISNUMBER(SEARCH("R112",G275)),0)+IFERROR(--ISNUMBER(SEARCH("R113",G275)),0)+IFERROR(--ISNUMBER(SEARCH("R114",G275)),0)+IFERROR(--ISNUMBER(SEARCH("R115",G275)),0)+IFERROR(--ISNUMBER(SEARCH("R116",G275)),0)+IFERROR(--ISNUMBER(SEARCH("R117",G275)),0)+IFERROR(--ISNUMBER(SEARCH("R118",G275)),0)+IFERROR(--ISNUMBER(SEARCH("R119",G275)),0)+IFERROR(--ISNUMBER(SEARCH("R120",G275)),0)+IFERROR(--ISNUMBER(SEARCH("R121",G275)),0)+IFERROR(--ISNUMBER(SEARCH("R122",G275)),0)+IFERROR(--ISNUMBER(SEARCH("R123",G275)),0)+IFERROR(--ISNUMBER(SEARCH("R124",G275)),0)+IFERROR(--ISNUMBER(SEARCH("R125",G275)),0)+IFERROR(--ISNUMBER(SEARCH("R126",G275)),0)+IFERROR(--ISNUMBER(SEARCH("R127",G275)),0)+IFERROR(--ISNUMBER(SEARCH("R128",G275)),0)+IFERROR(--ISNUMBER(SEARCH("R129",G275)),0)+IFERROR(--ISNUMBER(SEARCH("R130",G275)),0)+IFERROR(--ISNUMBER(SEARCH("R131",G275)),0)+IFERROR(--ISNUMBER(SEARCH("R132",G275)),0)+IFERROR(--ISNUMBER(SEARCH("R133",G275)),0)+IFERROR(--ISNUMBER(SEARCH("R134",G275)),0)+IFERROR(--ISNUMBER(SEARCH("R135",G275)),0)+IFERROR(--ISNUMBER(SEARCH("R136",G275)),0)+IFERROR(--ISNUMBER(SEARCH("R137",G275)),0)+IFERROR(--ISNUMBER(SEARCH("R138",G275)),0)+IFERROR(--ISNUMBER(SEARCH("R139",G275)),0)+IFERROR(--ISNUMBER(SEARCH("R140",G275)),0)+IFERROR(--ISNUMBER(SEARCH("R141",G275)),0))</f>
        <v/>
      </c>
      <c r="T275" s="58">
        <f>IF(A275="","",IFERROR(--ISNUMBER(SEARCH("R28",G275)),0)+IFERROR(--ISNUMBER(SEARCH("R29",G275)),0)+IFERROR(--ISNUMBER(SEARCH("R30",G275)),0)+IFERROR(--ISNUMBER(SEARCH("R32",G275)),0)+IFERROR(--ISNUMBER(SEARCH("R33",G275)),0)+IFERROR(--ISNUMBER(SEARCH("R35",G275)),0)+IFERROR(--ISNUMBER(SEARCH("R36",G275)),0)+IFERROR(--ISNUMBER(SEARCH("R38",G275)),0)+IFERROR(--ISNUMBER(SEARCH("R39",G275)),0)+IFERROR(--ISNUMBER(SEARCH("R43",G275)),0)+IFERROR(--ISNUMBER(SEARCH("R44",G275)),0)+IFERROR(--ISNUMBER(SEARCH("R45",G275)),0)+IFERROR(--ISNUMBER(SEARCH("R47",G275)),0)+IFERROR(--ISNUMBER(SEARCH("R48",G275)),0)+IFERROR(--ISNUMBER(SEARCH("R50",G275)),0)+IFERROR(--ISNUMBER(SEARCH("R51",G275)),0)+IFERROR(--ISNUMBER(SEARCH("R56",G275)),0)+IFERROR(--ISNUMBER(SEARCH("R58",G275)),0)+IFERROR(--ISNUMBER(SEARCH("R59",G275)),0)+IFERROR(--ISNUMBER(SEARCH("R60",G275)),0)+IFERROR(--ISNUMBER(SEARCH("R62",G275)),0)+IFERROR(--ISNUMBER(SEARCH("R63",G275)),0)+IFERROR(--ISNUMBER(SEARCH("R64",G275)),0)+IFERROR(--ISNUMBER(SEARCH("R66",G275)),0)+IFERROR(--ISNUMBER(SEARCH("R67",G275)),0)+IFERROR(--ISNUMBER(SEARCH("R72",G275)),0)+IFERROR(--ISNUMBER(SEARCH("R74",G275)),0)+IFERROR(--ISNUMBER(SEARCH("R75",G275)),0)+IFERROR(--ISNUMBER(SEARCH("R76",G275)),0)+IFERROR(--ISNUMBER(SEARCH("R77",G275)),0)+IFERROR(--ISNUMBER(SEARCH("R79",G275)),0)+IFERROR(--ISNUMBER(SEARCH("R80",G275)),0)+IFERROR(--ISNUMBER(SEARCH("R81",G275)),0)+IFERROR(--ISNUMBER(SEARCH("R83",G275)),0)+IFERROR(--ISNUMBER(SEARCH("R84",G275)),0)+IFERROR(--ISNUMBER(SEARCH("R89",G275)),0)+IFERROR(--ISNUMBER(SEARCH("R94",G275)),0)+IFERROR(--ISNUMBER(SEARCH("R95",G275)),0)+IFERROR(--ISNUMBER(SEARCH("R96",G275)),0)+IFERROR(--ISNUMBER(SEARCH("R98",G275)),0)+IFERROR(--ISNUMBER(SEARCH("R99",G275)),0)+IFERROR(--ISNUMBER(SEARCH("R100",G275)),0)+IFERROR(--ISNUMBER(SEARCH("R104",G275)),0)+IFERROR(--ISNUMBER(SEARCH("R105",G275)),0)+IFERROR(--ISNUMBER(SEARCH("R107",G275)),0)+IFERROR(--ISNUMBER(SEARCH("R108",G275)),0)+IFERROR(--ISNUMBER(SEARCH("R109",G275)),0)+IFERROR(--ISNUMBER(SEARCH("R110",G275)),0)+IFERROR(--ISNUMBER(SEARCH("R112",G275)),0)+IFERROR(--ISNUMBER(SEARCH("R113",G275)),0)+IFERROR(--ISNUMBER(SEARCH("R114",G275)),0)+IFERROR(--ISNUMBER(SEARCH("R118",G275)),0)+IFERROR(--ISNUMBER(SEARCH("R119",G275)),0)+IFERROR(--ISNUMBER(SEARCH("R120",G275)),0)+IFERROR(--ISNUMBER(SEARCH("R122",G275)),0)+IFERROR(--ISNUMBER(SEARCH("R123",G275)),0)+IFERROR(--ISNUMBER(SEARCH("R124",G275)),0)+IFERROR(--ISNUMBER(SEARCH("R128",G275)),0)+IFERROR(--ISNUMBER(SEARCH("R130",G275)),0)+IFERROR(--ISNUMBER(SEARCH("R131",G275)),0)+IFERROR(--ISNUMBER(SEARCH("R132",G275)),0)+IFERROR(--ISNUMBER(SEARCH("R135",G275)),0)+IFERROR(--ISNUMBER(SEARCH("R138",G275)),0)+IFERROR(--ISNUMBER(SEARCH("R141",G275)),0))</f>
        <v/>
      </c>
      <c r="U275" s="58">
        <f>IF(A275="","",IFERROR(--ISNUMBER(SEARCH("R28",G275))*28,0)+IFERROR(--ISNUMBER(SEARCH("R29",G275))*29,0)+IFERROR(--ISNUMBER(SEARCH("R30",G275))*30,0)+IFERROR(--ISNUMBER(SEARCH("R31",G275))*31,0)+IFERROR(--ISNUMBER(SEARCH("R32",G275))*32,0)+IFERROR(--ISNUMBER(SEARCH("R33",G275))*33,0)+IFERROR(--ISNUMBER(SEARCH("R34",G275))*34,0)+IFERROR(--ISNUMBER(SEARCH("R35",G275))*35,0)+IFERROR(--ISNUMBER(SEARCH("R36",G275))*36,0)+IFERROR(--ISNUMBER(SEARCH("R37",G275))*37,0)+IFERROR(--ISNUMBER(SEARCH("R38",G275))*38,0)+IFERROR(--ISNUMBER(SEARCH("R39",G275))*39,0)+IFERROR(--ISNUMBER(SEARCH("R40",G275))*40,0)+IFERROR(--ISNUMBER(SEARCH("R41",G275))*41,0)+IFERROR(--ISNUMBER(SEARCH("R42",G275))*42,0)+IFERROR(--ISNUMBER(SEARCH("R43",G275))*43,0)+IFERROR(--ISNUMBER(SEARCH("R44",G275))*44,0)+IFERROR(--ISNUMBER(SEARCH("R45",G275))*45,0)+IFERROR(--ISNUMBER(SEARCH("R46",G275))*46,0)+IFERROR(--ISNUMBER(SEARCH("R47",G275))*47,0)+IFERROR(--ISNUMBER(SEARCH("R48",G275))*48,0)+IFERROR(--ISNUMBER(SEARCH("R49",G275))*49,0)+IFERROR(--ISNUMBER(SEARCH("R50",G275))*50,0)+IFERROR(--ISNUMBER(SEARCH("R51",G275))*51,0)+IFERROR(--ISNUMBER(SEARCH("R52",G275))*52,0)+IFERROR(--ISNUMBER(SEARCH("R53",G275))*53,0)+IFERROR(--ISNUMBER(SEARCH("R54",G275))*54,0)+IFERROR(--ISNUMBER(SEARCH("R55",G275))*55,0)+IFERROR(--ISNUMBER(SEARCH("R56",G275))*56,0)+IFERROR(--ISNUMBER(SEARCH("R57",G275))*57,0)+IFERROR(--ISNUMBER(SEARCH("R58",G275))*58,0)+IFERROR(--ISNUMBER(SEARCH("R59",G275))*59,0)+IFERROR(--ISNUMBER(SEARCH("R60",G275))*60,0)+IFERROR(--ISNUMBER(SEARCH("R61",G275))*61,0)+IFERROR(--ISNUMBER(SEARCH("R62",G275))*62,0)+IFERROR(--ISNUMBER(SEARCH("R63",G275))*63,0)+IFERROR(--ISNUMBER(SEARCH("R64",G275))*64,0)+IFERROR(--ISNUMBER(SEARCH("R65",G275))*65,0)+IFERROR(--ISNUMBER(SEARCH("R66",G275))*66,0)+IFERROR(--ISNUMBER(SEARCH("R67",G275))*67,0)+IFERROR(--ISNUMBER(SEARCH("R68",G275))*68,0)+IFERROR(--ISNUMBER(SEARCH("R69",G275))*69,0)+IFERROR(--ISNUMBER(SEARCH("R70",G275))*70,0)+IFERROR(--ISNUMBER(SEARCH("R71",G275))*71,0)+IFERROR(--ISNUMBER(SEARCH("R72",G275))*72,0)+IFERROR(--ISNUMBER(SEARCH("R73",G275))*73,0)+IFERROR(--ISNUMBER(SEARCH("R74",G275))*74,0)+IFERROR(--ISNUMBER(SEARCH("R75",G275))*75,0)+IFERROR(--ISNUMBER(SEARCH("R76",G275))*76,0)+IFERROR(--ISNUMBER(SEARCH("R77",G275))*77,0)+IFERROR(--ISNUMBER(SEARCH("R78",G275))*78,0)+IFERROR(--ISNUMBER(SEARCH("R79",G275))*79,0)+IFERROR(--ISNUMBER(SEARCH("R80",G275))*80,0)+IFERROR(--ISNUMBER(SEARCH("R81",G275))*81,0)+IFERROR(--ISNUMBER(SEARCH("R82",G275))*82,0)+IFERROR(--ISNUMBER(SEARCH("R83",G275))*83,0)+IFERROR(--ISNUMBER(SEARCH("R84",G275))*84,0)+IFERROR(--ISNUMBER(SEARCH("R85",G275))*85,0)+IFERROR(--ISNUMBER(SEARCH("R86",G275))*86,0)+IFERROR(--ISNUMBER(SEARCH("R87",G275))*87,0)+IFERROR(--ISNUMBER(SEARCH("R88",G275))*88,0)+IFERROR(--ISNUMBER(SEARCH("R89",G275))*89,0)+IFERROR(--ISNUMBER(SEARCH("R90",G275))*90,0)+IFERROR(--ISNUMBER(SEARCH("R91",G275))*91,0)+IFERROR(--ISNUMBER(SEARCH("R92",G275))*92,0)+IFERROR(--ISNUMBER(SEARCH("R93",G275))*93,0)+IFERROR(--ISNUMBER(SEARCH("R94",G275))*94,0)+IFERROR(--ISNUMBER(SEARCH("R95",G275))*95,0)+IFERROR(--ISNUMBER(SEARCH("R96",G275))*96,0)+IFERROR(--ISNUMBER(SEARCH("R97",G275))*97,0)+IFERROR(--ISNUMBER(SEARCH("R98",G275))*98,0)+IFERROR(--ISNUMBER(SEARCH("R99",G275))*99,0)+IFERROR(--ISNUMBER(SEARCH("R100",G275))*100,0)+IFERROR(--ISNUMBER(SEARCH("R101",G275))*101,0)+IFERROR(--ISNUMBER(SEARCH("R102",G275))*102,0)+IFERROR(--ISNUMBER(SEARCH("R103",G275))*103,0)+IFERROR(--ISNUMBER(SEARCH("R104",G275))*104,0)+IFERROR(--ISNUMBER(SEARCH("R105",G275))*105,0)+IFERROR(--ISNUMBER(SEARCH("R106",G275))*106,0)+IFERROR(--ISNUMBER(SEARCH("R107",G275))*107,0)+IFERROR(--ISNUMBER(SEARCH("R108",G275))*108,0)+IFERROR(--ISNUMBER(SEARCH("R109",G275))*109,0)+IFERROR(--ISNUMBER(SEARCH("R110",G275))*110,0)+IFERROR(--ISNUMBER(SEARCH("R111",G275))*111,0)+IFERROR(--ISNUMBER(SEARCH("R112",G275))*112,0)+IFERROR(--ISNUMBER(SEARCH("R113",G275))*113,0)+IFERROR(--ISNUMBER(SEARCH("R114",G275))*114,0)+IFERROR(--ISNUMBER(SEARCH("R115",G275))*115,0)+IFERROR(--ISNUMBER(SEARCH("R116",G275))*116,0)+IFERROR(--ISNUMBER(SEARCH("R117",G275))*117,0)+IFERROR(--ISNUMBER(SEARCH("R118",G275))*118,0)+IFERROR(--ISNUMBER(SEARCH("R119",G275))*119,0)+IFERROR(--ISNUMBER(SEARCH("R120",G275))*120,0)+IFERROR(--ISNUMBER(SEARCH("R121",G275))*121,0)+IFERROR(--ISNUMBER(SEARCH("R122",G275))*122,0)+IFERROR(--ISNUMBER(SEARCH("R123",G275))*123,0)+IFERROR(--ISNUMBER(SEARCH("R124",G275))*124,0)+IFERROR(--ISNUMBER(SEARCH("R125",G275))*125,0)+IFERROR(--ISNUMBER(SEARCH("R126",G275))*126,0)+IFERROR(--ISNUMBER(SEARCH("R127",G275))*127,0)+IFERROR(--ISNUMBER(SEARCH("R128",G275))*128,0)+IFERROR(--ISNUMBER(SEARCH("R129",G275))*129,0)+IFERROR(--ISNUMBER(SEARCH("R130",G275))*130,0)+IFERROR(--ISNUMBER(SEARCH("R131",G275))*131,0)+IFERROR(--ISNUMBER(SEARCH("R132",G275))*132,0)+IFERROR(--ISNUMBER(SEARCH("R133",G275))*133,0)+IFERROR(--ISNUMBER(SEARCH("R134",G275))*134,0)+IFERROR(--ISNUMBER(SEARCH("R135",G275))*135,0)+IFERROR(--ISNUMBER(SEARCH("R136",G275))*136,0)+IFERROR(--ISNUMBER(SEARCH("R137",G275))*137,0)+IFERROR(--ISNUMBER(SEARCH("R138",G275))*138,0)+IFERROR(--ISNUMBER(SEARCH("R139",G275))*139,0)+IFERROR(--ISNUMBER(SEARCH("R140",G275))*140,0)+IFERROR(--ISNUMBER(SEARCH("R141",G275))*141,0))</f>
        <v/>
      </c>
      <c r="V275" s="59">
        <f>IF(A275="","",IF(K275&lt;&gt;"",K275,J275))</f>
        <v/>
      </c>
      <c r="W275" s="59">
        <f>IF(A275="","",IF(AND(V275=29,O275&lt;&gt;"",COUNTIFS($V$6:$V$505,29,$F$6:$F$505,F275,$C$6:$C$505,C275,$O$6:$O$505,"&lt;&gt;")&gt;1),IF(COUNTIFS($V$6:V275,29,$F$6:F275,F275,$C$6:C275,C275,$O$6:O275,"&lt;&gt;")=1,"Esta es la fila que se debe CONSERVAR (aparición 1 de "&amp;COUNTIFS($V$6:$V$505,29,$F$6:$F$505,F275,$C$6:$C$505,C275,$O$6:$O$505,"&lt;&gt;")&amp;" con el mismo tercero y valor, casilla 29). Si hay más filas iguales, bórreles el valor a ELLAS, no a esta.","DUPLICADO — ya existe otra fila con el mismo tercero y valor para casilla 29 (aparición "&amp;COUNTIFS($V$6:V275,29,$F$6:F275,F275,$C$6:C275,C275,$O$6:O275,"&lt;&gt;")&amp;" de "&amp;COUNTIFS($V$6:$V$505,29,$F$6:$F$505,F275,$C$6:$C$505,C275,$O$6:$O$505,"&lt;&gt;")&amp;"). Para resolverlo: seleccione la celda O"&amp;ROW()&amp;" (columna Valor a declarar de ESTA fila) y presione Supr."),""))</f>
        <v/>
      </c>
      <c r="X275" s="463">
        <f>IF(A275="","",F275)</f>
        <v/>
      </c>
      <c r="Y275" s="463">
        <f>IF(A275="","",SUMIF(Entrada_Manual!$I$88:$I$187,A275,Entrada_Manual!$F$88:$F$187))</f>
        <v/>
      </c>
      <c r="Z275" s="463">
        <f>IF(A275="","",X275-Y275)</f>
        <v/>
      </c>
      <c r="AA275">
        <f>IF(A275="","",SUMPRODUCT((Entrada_Manual!$I$88:$I$187=A275)*1))</f>
        <v/>
      </c>
      <c r="AB275">
        <f>IF(A275="","",IF(S275&lt;=1,"",IF(AA275=0,"PENDIENTE — SIN ASIGNAR",IF(Z275=0,"RESUELTO","PARCIAL — DIFERENCIA "&amp;TEXT(Z275,"#,##0")))))</f>
        <v/>
      </c>
    </row>
    <row r="276" ht="14.25" customHeight="1" s="235">
      <c r="A276" s="47">
        <f>IF(Exogena_RAW!E285&lt;&gt;"",ROW()-5,"")</f>
        <v/>
      </c>
      <c r="B276" s="48">
        <f>IF(A276="","",285)</f>
        <v/>
      </c>
      <c r="C276" s="48">
        <f>IF(A276="","",IFERROR(Exogena_RAW!A285,""))</f>
        <v/>
      </c>
      <c r="D276" s="48">
        <f>IF(A276="","",IFERROR(Exogena_RAW!B285,""))</f>
        <v/>
      </c>
      <c r="E276" s="48">
        <f>IF(A276="","",Exogena_RAW!E285)</f>
        <v/>
      </c>
      <c r="F276" s="461">
        <f>IF(A276="","",Exogena_RAW!F285)</f>
        <v/>
      </c>
      <c r="G276" s="48">
        <f>IF(A276="","",IFERROR(Exogena_RAW!G285,""))</f>
        <v/>
      </c>
      <c r="H276" s="48">
        <f>IF(A276="","",IFERROR(Exogena_RAW!H285,""))</f>
        <v/>
      </c>
      <c r="I276" s="48">
        <f>IF(A276="","",IFERROR(IF(S276&gt;1,"VARIAS CASILLAS",IF(S276=1,IF(T276=1,"PROPUESTA DE CASILLA","REVISIÓN: CASILLA NO DIRECTA"),IF(OR(ISNUMBER(SEARCH("TOPE",UPPER(E276))),ISNUMBER(SEARCH("TOPE",UPPER(G276)))),"SOLO CONTROL",IF(ISNUMBER(SEARCH("RETEN",UPPER(E276))),"RETENCIÓN","REVISAR")))),"REVISAR"))</f>
        <v/>
      </c>
      <c r="J276" s="48">
        <f>IF(A276="","",IF(ISNUMBER(SEARCH("ingreso laboral promedio de los últimos seis meses",E276)),"",IFERROR(IF(AND(S276=1,T276=1),U276,""),"")))</f>
        <v/>
      </c>
      <c r="K276" s="216" t="n"/>
      <c r="L276" s="48">
        <f>IF(A276="","",IFERROR(IF(K276&lt;&gt;"","Casilla elegida por usuario",IF(S276&gt;1,"Varias casillas — elegir en K",IF(J276&lt;&gt;"","Sugerencia directa",IF(S276=1,"No trasladar directo — revisar",IF(OR(ISNUMBER(SEARCH("TOPE",UPPER(E276))),ISNUMBER(SEARCH("TOPE",UPPER(G276)))),"Solo control","Revisar manualmente"))))),"Revisar manualmente"))</f>
        <v/>
      </c>
      <c r="M276" s="461">
        <f>IF(A276="","",IF(IF(K276&lt;&gt;"",K276,J276)="",0,IF(COUNTIFS(Reglas!$I$5:$I$118,IF(K276&lt;&gt;"",K276,J276),Reglas!$J$5:$J$118,"Sí")=1,F276,0)))</f>
        <v/>
      </c>
      <c r="N276" s="56" t="n"/>
      <c r="O276" s="462">
        <f>IF(A276="","",IF(M276=0,"",M276))</f>
        <v/>
      </c>
      <c r="P276" s="461">
        <f>IF(A276="","",IF(O276="",0,IF(ISNUMBER(O276),O276,0)))</f>
        <v/>
      </c>
      <c r="Q276" s="48">
        <f>IF(A276="","",IF(Exogena_RAW!$C$4="","BLOQUEADO: FALTA AÑO",IF(Exogena_RAW!$K$10&lt;&gt;Reglas!$B$5,"BLOQUEADO: AÑO",IF(IF(K276&lt;&gt;"",K276,J276)="",IF(S276&gt;1,"REQUIERE ASIGNACIÓN MANUAL (VARIAS CASILLAS)","INFORMATIVO (sin casilla — no se declara)"),IF(COUNTIFS(Reglas!$I$5:$I$118,IF(K276&lt;&gt;"",K276,J276),Reglas!$J$5:$J$118,"Sí")=0,"BLOQUEADO: CASILLA NO DIRECTA",IF(O276="","EXCLUIDO (valor borrado por el usuario)",IF(_xlfn.ISFORMULA(O276),IF(W276&lt;&gt;"","BORRADOR — VALOR SUGERIDO DIAN ⚠ VER ALERTA","BORRADOR — VALOR SUGERIDO DIAN"),IF(W276&lt;&gt;"","ACEPTADO ⚠ VER ALERTA","ACEPTADO"))))))))</f>
        <v/>
      </c>
      <c r="R276" s="218" t="n"/>
      <c r="S276" s="58">
        <f>IF(A276="","",IFERROR(--ISNUMBER(SEARCH("R28",G276)),0)+IFERROR(--ISNUMBER(SEARCH("R29",G276)),0)+IFERROR(--ISNUMBER(SEARCH("R30",G276)),0)+IFERROR(--ISNUMBER(SEARCH("R31",G276)),0)+IFERROR(--ISNUMBER(SEARCH("R32",G276)),0)+IFERROR(--ISNUMBER(SEARCH("R33",G276)),0)+IFERROR(--ISNUMBER(SEARCH("R34",G276)),0)+IFERROR(--ISNUMBER(SEARCH("R35",G276)),0)+IFERROR(--ISNUMBER(SEARCH("R36",G276)),0)+IFERROR(--ISNUMBER(SEARCH("R37",G276)),0)+IFERROR(--ISNUMBER(SEARCH("R38",G276)),0)+IFERROR(--ISNUMBER(SEARCH("R39",G276)),0)+IFERROR(--ISNUMBER(SEARCH("R40",G276)),0)+IFERROR(--ISNUMBER(SEARCH("R41",G276)),0)+IFERROR(--ISNUMBER(SEARCH("R42",G276)),0)+IFERROR(--ISNUMBER(SEARCH("R43",G276)),0)+IFERROR(--ISNUMBER(SEARCH("R44",G276)),0)+IFERROR(--ISNUMBER(SEARCH("R45",G276)),0)+IFERROR(--ISNUMBER(SEARCH("R46",G276)),0)+IFERROR(--ISNUMBER(SEARCH("R47",G276)),0)+IFERROR(--ISNUMBER(SEARCH("R48",G276)),0)+IFERROR(--ISNUMBER(SEARCH("R49",G276)),0)+IFERROR(--ISNUMBER(SEARCH("R50",G276)),0)+IFERROR(--ISNUMBER(SEARCH("R51",G276)),0)+IFERROR(--ISNUMBER(SEARCH("R52",G276)),0)+IFERROR(--ISNUMBER(SEARCH("R53",G276)),0)+IFERROR(--ISNUMBER(SEARCH("R54",G276)),0)+IFERROR(--ISNUMBER(SEARCH("R55",G276)),0)+IFERROR(--ISNUMBER(SEARCH("R56",G276)),0)+IFERROR(--ISNUMBER(SEARCH("R57",G276)),0)+IFERROR(--ISNUMBER(SEARCH("R58",G276)),0)+IFERROR(--ISNUMBER(SEARCH("R59",G276)),0)+IFERROR(--ISNUMBER(SEARCH("R60",G276)),0)+IFERROR(--ISNUMBER(SEARCH("R61",G276)),0)+IFERROR(--ISNUMBER(SEARCH("R62",G276)),0)+IFERROR(--ISNUMBER(SEARCH("R63",G276)),0)+IFERROR(--ISNUMBER(SEARCH("R64",G276)),0)+IFERROR(--ISNUMBER(SEARCH("R65",G276)),0)+IFERROR(--ISNUMBER(SEARCH("R66",G276)),0)+IFERROR(--ISNUMBER(SEARCH("R67",G276)),0)+IFERROR(--ISNUMBER(SEARCH("R68",G276)),0)+IFERROR(--ISNUMBER(SEARCH("R69",G276)),0)+IFERROR(--ISNUMBER(SEARCH("R70",G276)),0)+IFERROR(--ISNUMBER(SEARCH("R71",G276)),0)+IFERROR(--ISNUMBER(SEARCH("R72",G276)),0)+IFERROR(--ISNUMBER(SEARCH("R73",G276)),0)+IFERROR(--ISNUMBER(SEARCH("R74",G276)),0)+IFERROR(--ISNUMBER(SEARCH("R75",G276)),0)+IFERROR(--ISNUMBER(SEARCH("R76",G276)),0)+IFERROR(--ISNUMBER(SEARCH("R77",G276)),0)+IFERROR(--ISNUMBER(SEARCH("R78",G276)),0)+IFERROR(--ISNUMBER(SEARCH("R79",G276)),0)+IFERROR(--ISNUMBER(SEARCH("R80",G276)),0)+IFERROR(--ISNUMBER(SEARCH("R81",G276)),0)+IFERROR(--ISNUMBER(SEARCH("R82",G276)),0)+IFERROR(--ISNUMBER(SEARCH("R83",G276)),0)+IFERROR(--ISNUMBER(SEARCH("R84",G276)),0)+IFERROR(--ISNUMBER(SEARCH("R85",G276)),0)+IFERROR(--ISNUMBER(SEARCH("R86",G276)),0)+IFERROR(--ISNUMBER(SEARCH("R87",G276)),0)+IFERROR(--ISNUMBER(SEARCH("R88",G276)),0)+IFERROR(--ISNUMBER(SEARCH("R89",G276)),0)+IFERROR(--ISNUMBER(SEARCH("R90",G276)),0)+IFERROR(--ISNUMBER(SEARCH("R91",G276)),0)+IFERROR(--ISNUMBER(SEARCH("R92",G276)),0)+IFERROR(--ISNUMBER(SEARCH("R93",G276)),0)+IFERROR(--ISNUMBER(SEARCH("R94",G276)),0)+IFERROR(--ISNUMBER(SEARCH("R95",G276)),0)+IFERROR(--ISNUMBER(SEARCH("R96",G276)),0)+IFERROR(--ISNUMBER(SEARCH("R97",G276)),0)+IFERROR(--ISNUMBER(SEARCH("R98",G276)),0)+IFERROR(--ISNUMBER(SEARCH("R99",G276)),0)+IFERROR(--ISNUMBER(SEARCH("R100",G276)),0)+IFERROR(--ISNUMBER(SEARCH("R101",G276)),0)+IFERROR(--ISNUMBER(SEARCH("R102",G276)),0)+IFERROR(--ISNUMBER(SEARCH("R103",G276)),0)+IFERROR(--ISNUMBER(SEARCH("R104",G276)),0)+IFERROR(--ISNUMBER(SEARCH("R105",G276)),0)+IFERROR(--ISNUMBER(SEARCH("R106",G276)),0)+IFERROR(--ISNUMBER(SEARCH("R107",G276)),0)+IFERROR(--ISNUMBER(SEARCH("R108",G276)),0)+IFERROR(--ISNUMBER(SEARCH("R109",G276)),0)+IFERROR(--ISNUMBER(SEARCH("R110",G276)),0)+IFERROR(--ISNUMBER(SEARCH("R111",G276)),0)+IFERROR(--ISNUMBER(SEARCH("R112",G276)),0)+IFERROR(--ISNUMBER(SEARCH("R113",G276)),0)+IFERROR(--ISNUMBER(SEARCH("R114",G276)),0)+IFERROR(--ISNUMBER(SEARCH("R115",G276)),0)+IFERROR(--ISNUMBER(SEARCH("R116",G276)),0)+IFERROR(--ISNUMBER(SEARCH("R117",G276)),0)+IFERROR(--ISNUMBER(SEARCH("R118",G276)),0)+IFERROR(--ISNUMBER(SEARCH("R119",G276)),0)+IFERROR(--ISNUMBER(SEARCH("R120",G276)),0)+IFERROR(--ISNUMBER(SEARCH("R121",G276)),0)+IFERROR(--ISNUMBER(SEARCH("R122",G276)),0)+IFERROR(--ISNUMBER(SEARCH("R123",G276)),0)+IFERROR(--ISNUMBER(SEARCH("R124",G276)),0)+IFERROR(--ISNUMBER(SEARCH("R125",G276)),0)+IFERROR(--ISNUMBER(SEARCH("R126",G276)),0)+IFERROR(--ISNUMBER(SEARCH("R127",G276)),0)+IFERROR(--ISNUMBER(SEARCH("R128",G276)),0)+IFERROR(--ISNUMBER(SEARCH("R129",G276)),0)+IFERROR(--ISNUMBER(SEARCH("R130",G276)),0)+IFERROR(--ISNUMBER(SEARCH("R131",G276)),0)+IFERROR(--ISNUMBER(SEARCH("R132",G276)),0)+IFERROR(--ISNUMBER(SEARCH("R133",G276)),0)+IFERROR(--ISNUMBER(SEARCH("R134",G276)),0)+IFERROR(--ISNUMBER(SEARCH("R135",G276)),0)+IFERROR(--ISNUMBER(SEARCH("R136",G276)),0)+IFERROR(--ISNUMBER(SEARCH("R137",G276)),0)+IFERROR(--ISNUMBER(SEARCH("R138",G276)),0)+IFERROR(--ISNUMBER(SEARCH("R139",G276)),0)+IFERROR(--ISNUMBER(SEARCH("R140",G276)),0)+IFERROR(--ISNUMBER(SEARCH("R141",G276)),0))</f>
        <v/>
      </c>
      <c r="T276" s="58">
        <f>IF(A276="","",IFERROR(--ISNUMBER(SEARCH("R28",G276)),0)+IFERROR(--ISNUMBER(SEARCH("R29",G276)),0)+IFERROR(--ISNUMBER(SEARCH("R30",G276)),0)+IFERROR(--ISNUMBER(SEARCH("R32",G276)),0)+IFERROR(--ISNUMBER(SEARCH("R33",G276)),0)+IFERROR(--ISNUMBER(SEARCH("R35",G276)),0)+IFERROR(--ISNUMBER(SEARCH("R36",G276)),0)+IFERROR(--ISNUMBER(SEARCH("R38",G276)),0)+IFERROR(--ISNUMBER(SEARCH("R39",G276)),0)+IFERROR(--ISNUMBER(SEARCH("R43",G276)),0)+IFERROR(--ISNUMBER(SEARCH("R44",G276)),0)+IFERROR(--ISNUMBER(SEARCH("R45",G276)),0)+IFERROR(--ISNUMBER(SEARCH("R47",G276)),0)+IFERROR(--ISNUMBER(SEARCH("R48",G276)),0)+IFERROR(--ISNUMBER(SEARCH("R50",G276)),0)+IFERROR(--ISNUMBER(SEARCH("R51",G276)),0)+IFERROR(--ISNUMBER(SEARCH("R56",G276)),0)+IFERROR(--ISNUMBER(SEARCH("R58",G276)),0)+IFERROR(--ISNUMBER(SEARCH("R59",G276)),0)+IFERROR(--ISNUMBER(SEARCH("R60",G276)),0)+IFERROR(--ISNUMBER(SEARCH("R62",G276)),0)+IFERROR(--ISNUMBER(SEARCH("R63",G276)),0)+IFERROR(--ISNUMBER(SEARCH("R64",G276)),0)+IFERROR(--ISNUMBER(SEARCH("R66",G276)),0)+IFERROR(--ISNUMBER(SEARCH("R67",G276)),0)+IFERROR(--ISNUMBER(SEARCH("R72",G276)),0)+IFERROR(--ISNUMBER(SEARCH("R74",G276)),0)+IFERROR(--ISNUMBER(SEARCH("R75",G276)),0)+IFERROR(--ISNUMBER(SEARCH("R76",G276)),0)+IFERROR(--ISNUMBER(SEARCH("R77",G276)),0)+IFERROR(--ISNUMBER(SEARCH("R79",G276)),0)+IFERROR(--ISNUMBER(SEARCH("R80",G276)),0)+IFERROR(--ISNUMBER(SEARCH("R81",G276)),0)+IFERROR(--ISNUMBER(SEARCH("R83",G276)),0)+IFERROR(--ISNUMBER(SEARCH("R84",G276)),0)+IFERROR(--ISNUMBER(SEARCH("R89",G276)),0)+IFERROR(--ISNUMBER(SEARCH("R94",G276)),0)+IFERROR(--ISNUMBER(SEARCH("R95",G276)),0)+IFERROR(--ISNUMBER(SEARCH("R96",G276)),0)+IFERROR(--ISNUMBER(SEARCH("R98",G276)),0)+IFERROR(--ISNUMBER(SEARCH("R99",G276)),0)+IFERROR(--ISNUMBER(SEARCH("R100",G276)),0)+IFERROR(--ISNUMBER(SEARCH("R104",G276)),0)+IFERROR(--ISNUMBER(SEARCH("R105",G276)),0)+IFERROR(--ISNUMBER(SEARCH("R107",G276)),0)+IFERROR(--ISNUMBER(SEARCH("R108",G276)),0)+IFERROR(--ISNUMBER(SEARCH("R109",G276)),0)+IFERROR(--ISNUMBER(SEARCH("R110",G276)),0)+IFERROR(--ISNUMBER(SEARCH("R112",G276)),0)+IFERROR(--ISNUMBER(SEARCH("R113",G276)),0)+IFERROR(--ISNUMBER(SEARCH("R114",G276)),0)+IFERROR(--ISNUMBER(SEARCH("R118",G276)),0)+IFERROR(--ISNUMBER(SEARCH("R119",G276)),0)+IFERROR(--ISNUMBER(SEARCH("R120",G276)),0)+IFERROR(--ISNUMBER(SEARCH("R122",G276)),0)+IFERROR(--ISNUMBER(SEARCH("R123",G276)),0)+IFERROR(--ISNUMBER(SEARCH("R124",G276)),0)+IFERROR(--ISNUMBER(SEARCH("R128",G276)),0)+IFERROR(--ISNUMBER(SEARCH("R130",G276)),0)+IFERROR(--ISNUMBER(SEARCH("R131",G276)),0)+IFERROR(--ISNUMBER(SEARCH("R132",G276)),0)+IFERROR(--ISNUMBER(SEARCH("R135",G276)),0)+IFERROR(--ISNUMBER(SEARCH("R138",G276)),0)+IFERROR(--ISNUMBER(SEARCH("R141",G276)),0))</f>
        <v/>
      </c>
      <c r="U276" s="58">
        <f>IF(A276="","",IFERROR(--ISNUMBER(SEARCH("R28",G276))*28,0)+IFERROR(--ISNUMBER(SEARCH("R29",G276))*29,0)+IFERROR(--ISNUMBER(SEARCH("R30",G276))*30,0)+IFERROR(--ISNUMBER(SEARCH("R31",G276))*31,0)+IFERROR(--ISNUMBER(SEARCH("R32",G276))*32,0)+IFERROR(--ISNUMBER(SEARCH("R33",G276))*33,0)+IFERROR(--ISNUMBER(SEARCH("R34",G276))*34,0)+IFERROR(--ISNUMBER(SEARCH("R35",G276))*35,0)+IFERROR(--ISNUMBER(SEARCH("R36",G276))*36,0)+IFERROR(--ISNUMBER(SEARCH("R37",G276))*37,0)+IFERROR(--ISNUMBER(SEARCH("R38",G276))*38,0)+IFERROR(--ISNUMBER(SEARCH("R39",G276))*39,0)+IFERROR(--ISNUMBER(SEARCH("R40",G276))*40,0)+IFERROR(--ISNUMBER(SEARCH("R41",G276))*41,0)+IFERROR(--ISNUMBER(SEARCH("R42",G276))*42,0)+IFERROR(--ISNUMBER(SEARCH("R43",G276))*43,0)+IFERROR(--ISNUMBER(SEARCH("R44",G276))*44,0)+IFERROR(--ISNUMBER(SEARCH("R45",G276))*45,0)+IFERROR(--ISNUMBER(SEARCH("R46",G276))*46,0)+IFERROR(--ISNUMBER(SEARCH("R47",G276))*47,0)+IFERROR(--ISNUMBER(SEARCH("R48",G276))*48,0)+IFERROR(--ISNUMBER(SEARCH("R49",G276))*49,0)+IFERROR(--ISNUMBER(SEARCH("R50",G276))*50,0)+IFERROR(--ISNUMBER(SEARCH("R51",G276))*51,0)+IFERROR(--ISNUMBER(SEARCH("R52",G276))*52,0)+IFERROR(--ISNUMBER(SEARCH("R53",G276))*53,0)+IFERROR(--ISNUMBER(SEARCH("R54",G276))*54,0)+IFERROR(--ISNUMBER(SEARCH("R55",G276))*55,0)+IFERROR(--ISNUMBER(SEARCH("R56",G276))*56,0)+IFERROR(--ISNUMBER(SEARCH("R57",G276))*57,0)+IFERROR(--ISNUMBER(SEARCH("R58",G276))*58,0)+IFERROR(--ISNUMBER(SEARCH("R59",G276))*59,0)+IFERROR(--ISNUMBER(SEARCH("R60",G276))*60,0)+IFERROR(--ISNUMBER(SEARCH("R61",G276))*61,0)+IFERROR(--ISNUMBER(SEARCH("R62",G276))*62,0)+IFERROR(--ISNUMBER(SEARCH("R63",G276))*63,0)+IFERROR(--ISNUMBER(SEARCH("R64",G276))*64,0)+IFERROR(--ISNUMBER(SEARCH("R65",G276))*65,0)+IFERROR(--ISNUMBER(SEARCH("R66",G276))*66,0)+IFERROR(--ISNUMBER(SEARCH("R67",G276))*67,0)+IFERROR(--ISNUMBER(SEARCH("R68",G276))*68,0)+IFERROR(--ISNUMBER(SEARCH("R69",G276))*69,0)+IFERROR(--ISNUMBER(SEARCH("R70",G276))*70,0)+IFERROR(--ISNUMBER(SEARCH("R71",G276))*71,0)+IFERROR(--ISNUMBER(SEARCH("R72",G276))*72,0)+IFERROR(--ISNUMBER(SEARCH("R73",G276))*73,0)+IFERROR(--ISNUMBER(SEARCH("R74",G276))*74,0)+IFERROR(--ISNUMBER(SEARCH("R75",G276))*75,0)+IFERROR(--ISNUMBER(SEARCH("R76",G276))*76,0)+IFERROR(--ISNUMBER(SEARCH("R77",G276))*77,0)+IFERROR(--ISNUMBER(SEARCH("R78",G276))*78,0)+IFERROR(--ISNUMBER(SEARCH("R79",G276))*79,0)+IFERROR(--ISNUMBER(SEARCH("R80",G276))*80,0)+IFERROR(--ISNUMBER(SEARCH("R81",G276))*81,0)+IFERROR(--ISNUMBER(SEARCH("R82",G276))*82,0)+IFERROR(--ISNUMBER(SEARCH("R83",G276))*83,0)+IFERROR(--ISNUMBER(SEARCH("R84",G276))*84,0)+IFERROR(--ISNUMBER(SEARCH("R85",G276))*85,0)+IFERROR(--ISNUMBER(SEARCH("R86",G276))*86,0)+IFERROR(--ISNUMBER(SEARCH("R87",G276))*87,0)+IFERROR(--ISNUMBER(SEARCH("R88",G276))*88,0)+IFERROR(--ISNUMBER(SEARCH("R89",G276))*89,0)+IFERROR(--ISNUMBER(SEARCH("R90",G276))*90,0)+IFERROR(--ISNUMBER(SEARCH("R91",G276))*91,0)+IFERROR(--ISNUMBER(SEARCH("R92",G276))*92,0)+IFERROR(--ISNUMBER(SEARCH("R93",G276))*93,0)+IFERROR(--ISNUMBER(SEARCH("R94",G276))*94,0)+IFERROR(--ISNUMBER(SEARCH("R95",G276))*95,0)+IFERROR(--ISNUMBER(SEARCH("R96",G276))*96,0)+IFERROR(--ISNUMBER(SEARCH("R97",G276))*97,0)+IFERROR(--ISNUMBER(SEARCH("R98",G276))*98,0)+IFERROR(--ISNUMBER(SEARCH("R99",G276))*99,0)+IFERROR(--ISNUMBER(SEARCH("R100",G276))*100,0)+IFERROR(--ISNUMBER(SEARCH("R101",G276))*101,0)+IFERROR(--ISNUMBER(SEARCH("R102",G276))*102,0)+IFERROR(--ISNUMBER(SEARCH("R103",G276))*103,0)+IFERROR(--ISNUMBER(SEARCH("R104",G276))*104,0)+IFERROR(--ISNUMBER(SEARCH("R105",G276))*105,0)+IFERROR(--ISNUMBER(SEARCH("R106",G276))*106,0)+IFERROR(--ISNUMBER(SEARCH("R107",G276))*107,0)+IFERROR(--ISNUMBER(SEARCH("R108",G276))*108,0)+IFERROR(--ISNUMBER(SEARCH("R109",G276))*109,0)+IFERROR(--ISNUMBER(SEARCH("R110",G276))*110,0)+IFERROR(--ISNUMBER(SEARCH("R111",G276))*111,0)+IFERROR(--ISNUMBER(SEARCH("R112",G276))*112,0)+IFERROR(--ISNUMBER(SEARCH("R113",G276))*113,0)+IFERROR(--ISNUMBER(SEARCH("R114",G276))*114,0)+IFERROR(--ISNUMBER(SEARCH("R115",G276))*115,0)+IFERROR(--ISNUMBER(SEARCH("R116",G276))*116,0)+IFERROR(--ISNUMBER(SEARCH("R117",G276))*117,0)+IFERROR(--ISNUMBER(SEARCH("R118",G276))*118,0)+IFERROR(--ISNUMBER(SEARCH("R119",G276))*119,0)+IFERROR(--ISNUMBER(SEARCH("R120",G276))*120,0)+IFERROR(--ISNUMBER(SEARCH("R121",G276))*121,0)+IFERROR(--ISNUMBER(SEARCH("R122",G276))*122,0)+IFERROR(--ISNUMBER(SEARCH("R123",G276))*123,0)+IFERROR(--ISNUMBER(SEARCH("R124",G276))*124,0)+IFERROR(--ISNUMBER(SEARCH("R125",G276))*125,0)+IFERROR(--ISNUMBER(SEARCH("R126",G276))*126,0)+IFERROR(--ISNUMBER(SEARCH("R127",G276))*127,0)+IFERROR(--ISNUMBER(SEARCH("R128",G276))*128,0)+IFERROR(--ISNUMBER(SEARCH("R129",G276))*129,0)+IFERROR(--ISNUMBER(SEARCH("R130",G276))*130,0)+IFERROR(--ISNUMBER(SEARCH("R131",G276))*131,0)+IFERROR(--ISNUMBER(SEARCH("R132",G276))*132,0)+IFERROR(--ISNUMBER(SEARCH("R133",G276))*133,0)+IFERROR(--ISNUMBER(SEARCH("R134",G276))*134,0)+IFERROR(--ISNUMBER(SEARCH("R135",G276))*135,0)+IFERROR(--ISNUMBER(SEARCH("R136",G276))*136,0)+IFERROR(--ISNUMBER(SEARCH("R137",G276))*137,0)+IFERROR(--ISNUMBER(SEARCH("R138",G276))*138,0)+IFERROR(--ISNUMBER(SEARCH("R139",G276))*139,0)+IFERROR(--ISNUMBER(SEARCH("R140",G276))*140,0)+IFERROR(--ISNUMBER(SEARCH("R141",G276))*141,0))</f>
        <v/>
      </c>
      <c r="V276" s="59">
        <f>IF(A276="","",IF(K276&lt;&gt;"",K276,J276))</f>
        <v/>
      </c>
      <c r="W276" s="59">
        <f>IF(A276="","",IF(AND(V276=29,O276&lt;&gt;"",COUNTIFS($V$6:$V$505,29,$F$6:$F$505,F276,$C$6:$C$505,C276,$O$6:$O$505,"&lt;&gt;")&gt;1),IF(COUNTIFS($V$6:V276,29,$F$6:F276,F276,$C$6:C276,C276,$O$6:O276,"&lt;&gt;")=1,"Esta es la fila que se debe CONSERVAR (aparición 1 de "&amp;COUNTIFS($V$6:$V$505,29,$F$6:$F$505,F276,$C$6:$C$505,C276,$O$6:$O$505,"&lt;&gt;")&amp;" con el mismo tercero y valor, casilla 29). Si hay más filas iguales, bórreles el valor a ELLAS, no a esta.","DUPLICADO — ya existe otra fila con el mismo tercero y valor para casilla 29 (aparición "&amp;COUNTIFS($V$6:V276,29,$F$6:F276,F276,$C$6:C276,C276,$O$6:O276,"&lt;&gt;")&amp;" de "&amp;COUNTIFS($V$6:$V$505,29,$F$6:$F$505,F276,$C$6:$C$505,C276,$O$6:$O$505,"&lt;&gt;")&amp;"). Para resolverlo: seleccione la celda O"&amp;ROW()&amp;" (columna Valor a declarar de ESTA fila) y presione Supr."),""))</f>
        <v/>
      </c>
      <c r="X276" s="463">
        <f>IF(A276="","",F276)</f>
        <v/>
      </c>
      <c r="Y276" s="463">
        <f>IF(A276="","",SUMIF(Entrada_Manual!$I$88:$I$187,A276,Entrada_Manual!$F$88:$F$187))</f>
        <v/>
      </c>
      <c r="Z276" s="463">
        <f>IF(A276="","",X276-Y276)</f>
        <v/>
      </c>
      <c r="AA276">
        <f>IF(A276="","",SUMPRODUCT((Entrada_Manual!$I$88:$I$187=A276)*1))</f>
        <v/>
      </c>
      <c r="AB276">
        <f>IF(A276="","",IF(S276&lt;=1,"",IF(AA276=0,"PENDIENTE — SIN ASIGNAR",IF(Z276=0,"RESUELTO","PARCIAL — DIFERENCIA "&amp;TEXT(Z276,"#,##0")))))</f>
        <v/>
      </c>
    </row>
    <row r="277" ht="14.25" customHeight="1" s="235">
      <c r="A277" s="47">
        <f>IF(Exogena_RAW!E286&lt;&gt;"",ROW()-5,"")</f>
        <v/>
      </c>
      <c r="B277" s="48">
        <f>IF(A277="","",286)</f>
        <v/>
      </c>
      <c r="C277" s="48">
        <f>IF(A277="","",IFERROR(Exogena_RAW!A286,""))</f>
        <v/>
      </c>
      <c r="D277" s="48">
        <f>IF(A277="","",IFERROR(Exogena_RAW!B286,""))</f>
        <v/>
      </c>
      <c r="E277" s="48">
        <f>IF(A277="","",Exogena_RAW!E286)</f>
        <v/>
      </c>
      <c r="F277" s="461">
        <f>IF(A277="","",Exogena_RAW!F286)</f>
        <v/>
      </c>
      <c r="G277" s="48">
        <f>IF(A277="","",IFERROR(Exogena_RAW!G286,""))</f>
        <v/>
      </c>
      <c r="H277" s="48">
        <f>IF(A277="","",IFERROR(Exogena_RAW!H286,""))</f>
        <v/>
      </c>
      <c r="I277" s="48">
        <f>IF(A277="","",IFERROR(IF(S277&gt;1,"VARIAS CASILLAS",IF(S277=1,IF(T277=1,"PROPUESTA DE CASILLA","REVISIÓN: CASILLA NO DIRECTA"),IF(OR(ISNUMBER(SEARCH("TOPE",UPPER(E277))),ISNUMBER(SEARCH("TOPE",UPPER(G277)))),"SOLO CONTROL",IF(ISNUMBER(SEARCH("RETEN",UPPER(E277))),"RETENCIÓN","REVISAR")))),"REVISAR"))</f>
        <v/>
      </c>
      <c r="J277" s="48">
        <f>IF(A277="","",IF(ISNUMBER(SEARCH("ingreso laboral promedio de los últimos seis meses",E277)),"",IFERROR(IF(AND(S277=1,T277=1),U277,""),"")))</f>
        <v/>
      </c>
      <c r="K277" s="216" t="n"/>
      <c r="L277" s="48">
        <f>IF(A277="","",IFERROR(IF(K277&lt;&gt;"","Casilla elegida por usuario",IF(S277&gt;1,"Varias casillas — elegir en K",IF(J277&lt;&gt;"","Sugerencia directa",IF(S277=1,"No trasladar directo — revisar",IF(OR(ISNUMBER(SEARCH("TOPE",UPPER(E277))),ISNUMBER(SEARCH("TOPE",UPPER(G277)))),"Solo control","Revisar manualmente"))))),"Revisar manualmente"))</f>
        <v/>
      </c>
      <c r="M277" s="461">
        <f>IF(A277="","",IF(IF(K277&lt;&gt;"",K277,J277)="",0,IF(COUNTIFS(Reglas!$I$5:$I$118,IF(K277&lt;&gt;"",K277,J277),Reglas!$J$5:$J$118,"Sí")=1,F277,0)))</f>
        <v/>
      </c>
      <c r="N277" s="56" t="n"/>
      <c r="O277" s="462">
        <f>IF(A277="","",IF(M277=0,"",M277))</f>
        <v/>
      </c>
      <c r="P277" s="461">
        <f>IF(A277="","",IF(O277="",0,IF(ISNUMBER(O277),O277,0)))</f>
        <v/>
      </c>
      <c r="Q277" s="48">
        <f>IF(A277="","",IF(Exogena_RAW!$C$4="","BLOQUEADO: FALTA AÑO",IF(Exogena_RAW!$K$10&lt;&gt;Reglas!$B$5,"BLOQUEADO: AÑO",IF(IF(K277&lt;&gt;"",K277,J277)="",IF(S277&gt;1,"REQUIERE ASIGNACIÓN MANUAL (VARIAS CASILLAS)","INFORMATIVO (sin casilla — no se declara)"),IF(COUNTIFS(Reglas!$I$5:$I$118,IF(K277&lt;&gt;"",K277,J277),Reglas!$J$5:$J$118,"Sí")=0,"BLOQUEADO: CASILLA NO DIRECTA",IF(O277="","EXCLUIDO (valor borrado por el usuario)",IF(_xlfn.ISFORMULA(O277),IF(W277&lt;&gt;"","BORRADOR — VALOR SUGERIDO DIAN ⚠ VER ALERTA","BORRADOR — VALOR SUGERIDO DIAN"),IF(W277&lt;&gt;"","ACEPTADO ⚠ VER ALERTA","ACEPTADO"))))))))</f>
        <v/>
      </c>
      <c r="R277" s="218" t="n"/>
      <c r="S277" s="58">
        <f>IF(A277="","",IFERROR(--ISNUMBER(SEARCH("R28",G277)),0)+IFERROR(--ISNUMBER(SEARCH("R29",G277)),0)+IFERROR(--ISNUMBER(SEARCH("R30",G277)),0)+IFERROR(--ISNUMBER(SEARCH("R31",G277)),0)+IFERROR(--ISNUMBER(SEARCH("R32",G277)),0)+IFERROR(--ISNUMBER(SEARCH("R33",G277)),0)+IFERROR(--ISNUMBER(SEARCH("R34",G277)),0)+IFERROR(--ISNUMBER(SEARCH("R35",G277)),0)+IFERROR(--ISNUMBER(SEARCH("R36",G277)),0)+IFERROR(--ISNUMBER(SEARCH("R37",G277)),0)+IFERROR(--ISNUMBER(SEARCH("R38",G277)),0)+IFERROR(--ISNUMBER(SEARCH("R39",G277)),0)+IFERROR(--ISNUMBER(SEARCH("R40",G277)),0)+IFERROR(--ISNUMBER(SEARCH("R41",G277)),0)+IFERROR(--ISNUMBER(SEARCH("R42",G277)),0)+IFERROR(--ISNUMBER(SEARCH("R43",G277)),0)+IFERROR(--ISNUMBER(SEARCH("R44",G277)),0)+IFERROR(--ISNUMBER(SEARCH("R45",G277)),0)+IFERROR(--ISNUMBER(SEARCH("R46",G277)),0)+IFERROR(--ISNUMBER(SEARCH("R47",G277)),0)+IFERROR(--ISNUMBER(SEARCH("R48",G277)),0)+IFERROR(--ISNUMBER(SEARCH("R49",G277)),0)+IFERROR(--ISNUMBER(SEARCH("R50",G277)),0)+IFERROR(--ISNUMBER(SEARCH("R51",G277)),0)+IFERROR(--ISNUMBER(SEARCH("R52",G277)),0)+IFERROR(--ISNUMBER(SEARCH("R53",G277)),0)+IFERROR(--ISNUMBER(SEARCH("R54",G277)),0)+IFERROR(--ISNUMBER(SEARCH("R55",G277)),0)+IFERROR(--ISNUMBER(SEARCH("R56",G277)),0)+IFERROR(--ISNUMBER(SEARCH("R57",G277)),0)+IFERROR(--ISNUMBER(SEARCH("R58",G277)),0)+IFERROR(--ISNUMBER(SEARCH("R59",G277)),0)+IFERROR(--ISNUMBER(SEARCH("R60",G277)),0)+IFERROR(--ISNUMBER(SEARCH("R61",G277)),0)+IFERROR(--ISNUMBER(SEARCH("R62",G277)),0)+IFERROR(--ISNUMBER(SEARCH("R63",G277)),0)+IFERROR(--ISNUMBER(SEARCH("R64",G277)),0)+IFERROR(--ISNUMBER(SEARCH("R65",G277)),0)+IFERROR(--ISNUMBER(SEARCH("R66",G277)),0)+IFERROR(--ISNUMBER(SEARCH("R67",G277)),0)+IFERROR(--ISNUMBER(SEARCH("R68",G277)),0)+IFERROR(--ISNUMBER(SEARCH("R69",G277)),0)+IFERROR(--ISNUMBER(SEARCH("R70",G277)),0)+IFERROR(--ISNUMBER(SEARCH("R71",G277)),0)+IFERROR(--ISNUMBER(SEARCH("R72",G277)),0)+IFERROR(--ISNUMBER(SEARCH("R73",G277)),0)+IFERROR(--ISNUMBER(SEARCH("R74",G277)),0)+IFERROR(--ISNUMBER(SEARCH("R75",G277)),0)+IFERROR(--ISNUMBER(SEARCH("R76",G277)),0)+IFERROR(--ISNUMBER(SEARCH("R77",G277)),0)+IFERROR(--ISNUMBER(SEARCH("R78",G277)),0)+IFERROR(--ISNUMBER(SEARCH("R79",G277)),0)+IFERROR(--ISNUMBER(SEARCH("R80",G277)),0)+IFERROR(--ISNUMBER(SEARCH("R81",G277)),0)+IFERROR(--ISNUMBER(SEARCH("R82",G277)),0)+IFERROR(--ISNUMBER(SEARCH("R83",G277)),0)+IFERROR(--ISNUMBER(SEARCH("R84",G277)),0)+IFERROR(--ISNUMBER(SEARCH("R85",G277)),0)+IFERROR(--ISNUMBER(SEARCH("R86",G277)),0)+IFERROR(--ISNUMBER(SEARCH("R87",G277)),0)+IFERROR(--ISNUMBER(SEARCH("R88",G277)),0)+IFERROR(--ISNUMBER(SEARCH("R89",G277)),0)+IFERROR(--ISNUMBER(SEARCH("R90",G277)),0)+IFERROR(--ISNUMBER(SEARCH("R91",G277)),0)+IFERROR(--ISNUMBER(SEARCH("R92",G277)),0)+IFERROR(--ISNUMBER(SEARCH("R93",G277)),0)+IFERROR(--ISNUMBER(SEARCH("R94",G277)),0)+IFERROR(--ISNUMBER(SEARCH("R95",G277)),0)+IFERROR(--ISNUMBER(SEARCH("R96",G277)),0)+IFERROR(--ISNUMBER(SEARCH("R97",G277)),0)+IFERROR(--ISNUMBER(SEARCH("R98",G277)),0)+IFERROR(--ISNUMBER(SEARCH("R99",G277)),0)+IFERROR(--ISNUMBER(SEARCH("R100",G277)),0)+IFERROR(--ISNUMBER(SEARCH("R101",G277)),0)+IFERROR(--ISNUMBER(SEARCH("R102",G277)),0)+IFERROR(--ISNUMBER(SEARCH("R103",G277)),0)+IFERROR(--ISNUMBER(SEARCH("R104",G277)),0)+IFERROR(--ISNUMBER(SEARCH("R105",G277)),0)+IFERROR(--ISNUMBER(SEARCH("R106",G277)),0)+IFERROR(--ISNUMBER(SEARCH("R107",G277)),0)+IFERROR(--ISNUMBER(SEARCH("R108",G277)),0)+IFERROR(--ISNUMBER(SEARCH("R109",G277)),0)+IFERROR(--ISNUMBER(SEARCH("R110",G277)),0)+IFERROR(--ISNUMBER(SEARCH("R111",G277)),0)+IFERROR(--ISNUMBER(SEARCH("R112",G277)),0)+IFERROR(--ISNUMBER(SEARCH("R113",G277)),0)+IFERROR(--ISNUMBER(SEARCH("R114",G277)),0)+IFERROR(--ISNUMBER(SEARCH("R115",G277)),0)+IFERROR(--ISNUMBER(SEARCH("R116",G277)),0)+IFERROR(--ISNUMBER(SEARCH("R117",G277)),0)+IFERROR(--ISNUMBER(SEARCH("R118",G277)),0)+IFERROR(--ISNUMBER(SEARCH("R119",G277)),0)+IFERROR(--ISNUMBER(SEARCH("R120",G277)),0)+IFERROR(--ISNUMBER(SEARCH("R121",G277)),0)+IFERROR(--ISNUMBER(SEARCH("R122",G277)),0)+IFERROR(--ISNUMBER(SEARCH("R123",G277)),0)+IFERROR(--ISNUMBER(SEARCH("R124",G277)),0)+IFERROR(--ISNUMBER(SEARCH("R125",G277)),0)+IFERROR(--ISNUMBER(SEARCH("R126",G277)),0)+IFERROR(--ISNUMBER(SEARCH("R127",G277)),0)+IFERROR(--ISNUMBER(SEARCH("R128",G277)),0)+IFERROR(--ISNUMBER(SEARCH("R129",G277)),0)+IFERROR(--ISNUMBER(SEARCH("R130",G277)),0)+IFERROR(--ISNUMBER(SEARCH("R131",G277)),0)+IFERROR(--ISNUMBER(SEARCH("R132",G277)),0)+IFERROR(--ISNUMBER(SEARCH("R133",G277)),0)+IFERROR(--ISNUMBER(SEARCH("R134",G277)),0)+IFERROR(--ISNUMBER(SEARCH("R135",G277)),0)+IFERROR(--ISNUMBER(SEARCH("R136",G277)),0)+IFERROR(--ISNUMBER(SEARCH("R137",G277)),0)+IFERROR(--ISNUMBER(SEARCH("R138",G277)),0)+IFERROR(--ISNUMBER(SEARCH("R139",G277)),0)+IFERROR(--ISNUMBER(SEARCH("R140",G277)),0)+IFERROR(--ISNUMBER(SEARCH("R141",G277)),0))</f>
        <v/>
      </c>
      <c r="T277" s="58">
        <f>IF(A277="","",IFERROR(--ISNUMBER(SEARCH("R28",G277)),0)+IFERROR(--ISNUMBER(SEARCH("R29",G277)),0)+IFERROR(--ISNUMBER(SEARCH("R30",G277)),0)+IFERROR(--ISNUMBER(SEARCH("R32",G277)),0)+IFERROR(--ISNUMBER(SEARCH("R33",G277)),0)+IFERROR(--ISNUMBER(SEARCH("R35",G277)),0)+IFERROR(--ISNUMBER(SEARCH("R36",G277)),0)+IFERROR(--ISNUMBER(SEARCH("R38",G277)),0)+IFERROR(--ISNUMBER(SEARCH("R39",G277)),0)+IFERROR(--ISNUMBER(SEARCH("R43",G277)),0)+IFERROR(--ISNUMBER(SEARCH("R44",G277)),0)+IFERROR(--ISNUMBER(SEARCH("R45",G277)),0)+IFERROR(--ISNUMBER(SEARCH("R47",G277)),0)+IFERROR(--ISNUMBER(SEARCH("R48",G277)),0)+IFERROR(--ISNUMBER(SEARCH("R50",G277)),0)+IFERROR(--ISNUMBER(SEARCH("R51",G277)),0)+IFERROR(--ISNUMBER(SEARCH("R56",G277)),0)+IFERROR(--ISNUMBER(SEARCH("R58",G277)),0)+IFERROR(--ISNUMBER(SEARCH("R59",G277)),0)+IFERROR(--ISNUMBER(SEARCH("R60",G277)),0)+IFERROR(--ISNUMBER(SEARCH("R62",G277)),0)+IFERROR(--ISNUMBER(SEARCH("R63",G277)),0)+IFERROR(--ISNUMBER(SEARCH("R64",G277)),0)+IFERROR(--ISNUMBER(SEARCH("R66",G277)),0)+IFERROR(--ISNUMBER(SEARCH("R67",G277)),0)+IFERROR(--ISNUMBER(SEARCH("R72",G277)),0)+IFERROR(--ISNUMBER(SEARCH("R74",G277)),0)+IFERROR(--ISNUMBER(SEARCH("R75",G277)),0)+IFERROR(--ISNUMBER(SEARCH("R76",G277)),0)+IFERROR(--ISNUMBER(SEARCH("R77",G277)),0)+IFERROR(--ISNUMBER(SEARCH("R79",G277)),0)+IFERROR(--ISNUMBER(SEARCH("R80",G277)),0)+IFERROR(--ISNUMBER(SEARCH("R81",G277)),0)+IFERROR(--ISNUMBER(SEARCH("R83",G277)),0)+IFERROR(--ISNUMBER(SEARCH("R84",G277)),0)+IFERROR(--ISNUMBER(SEARCH("R89",G277)),0)+IFERROR(--ISNUMBER(SEARCH("R94",G277)),0)+IFERROR(--ISNUMBER(SEARCH("R95",G277)),0)+IFERROR(--ISNUMBER(SEARCH("R96",G277)),0)+IFERROR(--ISNUMBER(SEARCH("R98",G277)),0)+IFERROR(--ISNUMBER(SEARCH("R99",G277)),0)+IFERROR(--ISNUMBER(SEARCH("R100",G277)),0)+IFERROR(--ISNUMBER(SEARCH("R104",G277)),0)+IFERROR(--ISNUMBER(SEARCH("R105",G277)),0)+IFERROR(--ISNUMBER(SEARCH("R107",G277)),0)+IFERROR(--ISNUMBER(SEARCH("R108",G277)),0)+IFERROR(--ISNUMBER(SEARCH("R109",G277)),0)+IFERROR(--ISNUMBER(SEARCH("R110",G277)),0)+IFERROR(--ISNUMBER(SEARCH("R112",G277)),0)+IFERROR(--ISNUMBER(SEARCH("R113",G277)),0)+IFERROR(--ISNUMBER(SEARCH("R114",G277)),0)+IFERROR(--ISNUMBER(SEARCH("R118",G277)),0)+IFERROR(--ISNUMBER(SEARCH("R119",G277)),0)+IFERROR(--ISNUMBER(SEARCH("R120",G277)),0)+IFERROR(--ISNUMBER(SEARCH("R122",G277)),0)+IFERROR(--ISNUMBER(SEARCH("R123",G277)),0)+IFERROR(--ISNUMBER(SEARCH("R124",G277)),0)+IFERROR(--ISNUMBER(SEARCH("R128",G277)),0)+IFERROR(--ISNUMBER(SEARCH("R130",G277)),0)+IFERROR(--ISNUMBER(SEARCH("R131",G277)),0)+IFERROR(--ISNUMBER(SEARCH("R132",G277)),0)+IFERROR(--ISNUMBER(SEARCH("R135",G277)),0)+IFERROR(--ISNUMBER(SEARCH("R138",G277)),0)+IFERROR(--ISNUMBER(SEARCH("R141",G277)),0))</f>
        <v/>
      </c>
      <c r="U277" s="58">
        <f>IF(A277="","",IFERROR(--ISNUMBER(SEARCH("R28",G277))*28,0)+IFERROR(--ISNUMBER(SEARCH("R29",G277))*29,0)+IFERROR(--ISNUMBER(SEARCH("R30",G277))*30,0)+IFERROR(--ISNUMBER(SEARCH("R31",G277))*31,0)+IFERROR(--ISNUMBER(SEARCH("R32",G277))*32,0)+IFERROR(--ISNUMBER(SEARCH("R33",G277))*33,0)+IFERROR(--ISNUMBER(SEARCH("R34",G277))*34,0)+IFERROR(--ISNUMBER(SEARCH("R35",G277))*35,0)+IFERROR(--ISNUMBER(SEARCH("R36",G277))*36,0)+IFERROR(--ISNUMBER(SEARCH("R37",G277))*37,0)+IFERROR(--ISNUMBER(SEARCH("R38",G277))*38,0)+IFERROR(--ISNUMBER(SEARCH("R39",G277))*39,0)+IFERROR(--ISNUMBER(SEARCH("R40",G277))*40,0)+IFERROR(--ISNUMBER(SEARCH("R41",G277))*41,0)+IFERROR(--ISNUMBER(SEARCH("R42",G277))*42,0)+IFERROR(--ISNUMBER(SEARCH("R43",G277))*43,0)+IFERROR(--ISNUMBER(SEARCH("R44",G277))*44,0)+IFERROR(--ISNUMBER(SEARCH("R45",G277))*45,0)+IFERROR(--ISNUMBER(SEARCH("R46",G277))*46,0)+IFERROR(--ISNUMBER(SEARCH("R47",G277))*47,0)+IFERROR(--ISNUMBER(SEARCH("R48",G277))*48,0)+IFERROR(--ISNUMBER(SEARCH("R49",G277))*49,0)+IFERROR(--ISNUMBER(SEARCH("R50",G277))*50,0)+IFERROR(--ISNUMBER(SEARCH("R51",G277))*51,0)+IFERROR(--ISNUMBER(SEARCH("R52",G277))*52,0)+IFERROR(--ISNUMBER(SEARCH("R53",G277))*53,0)+IFERROR(--ISNUMBER(SEARCH("R54",G277))*54,0)+IFERROR(--ISNUMBER(SEARCH("R55",G277))*55,0)+IFERROR(--ISNUMBER(SEARCH("R56",G277))*56,0)+IFERROR(--ISNUMBER(SEARCH("R57",G277))*57,0)+IFERROR(--ISNUMBER(SEARCH("R58",G277))*58,0)+IFERROR(--ISNUMBER(SEARCH("R59",G277))*59,0)+IFERROR(--ISNUMBER(SEARCH("R60",G277))*60,0)+IFERROR(--ISNUMBER(SEARCH("R61",G277))*61,0)+IFERROR(--ISNUMBER(SEARCH("R62",G277))*62,0)+IFERROR(--ISNUMBER(SEARCH("R63",G277))*63,0)+IFERROR(--ISNUMBER(SEARCH("R64",G277))*64,0)+IFERROR(--ISNUMBER(SEARCH("R65",G277))*65,0)+IFERROR(--ISNUMBER(SEARCH("R66",G277))*66,0)+IFERROR(--ISNUMBER(SEARCH("R67",G277))*67,0)+IFERROR(--ISNUMBER(SEARCH("R68",G277))*68,0)+IFERROR(--ISNUMBER(SEARCH("R69",G277))*69,0)+IFERROR(--ISNUMBER(SEARCH("R70",G277))*70,0)+IFERROR(--ISNUMBER(SEARCH("R71",G277))*71,0)+IFERROR(--ISNUMBER(SEARCH("R72",G277))*72,0)+IFERROR(--ISNUMBER(SEARCH("R73",G277))*73,0)+IFERROR(--ISNUMBER(SEARCH("R74",G277))*74,0)+IFERROR(--ISNUMBER(SEARCH("R75",G277))*75,0)+IFERROR(--ISNUMBER(SEARCH("R76",G277))*76,0)+IFERROR(--ISNUMBER(SEARCH("R77",G277))*77,0)+IFERROR(--ISNUMBER(SEARCH("R78",G277))*78,0)+IFERROR(--ISNUMBER(SEARCH("R79",G277))*79,0)+IFERROR(--ISNUMBER(SEARCH("R80",G277))*80,0)+IFERROR(--ISNUMBER(SEARCH("R81",G277))*81,0)+IFERROR(--ISNUMBER(SEARCH("R82",G277))*82,0)+IFERROR(--ISNUMBER(SEARCH("R83",G277))*83,0)+IFERROR(--ISNUMBER(SEARCH("R84",G277))*84,0)+IFERROR(--ISNUMBER(SEARCH("R85",G277))*85,0)+IFERROR(--ISNUMBER(SEARCH("R86",G277))*86,0)+IFERROR(--ISNUMBER(SEARCH("R87",G277))*87,0)+IFERROR(--ISNUMBER(SEARCH("R88",G277))*88,0)+IFERROR(--ISNUMBER(SEARCH("R89",G277))*89,0)+IFERROR(--ISNUMBER(SEARCH("R90",G277))*90,0)+IFERROR(--ISNUMBER(SEARCH("R91",G277))*91,0)+IFERROR(--ISNUMBER(SEARCH("R92",G277))*92,0)+IFERROR(--ISNUMBER(SEARCH("R93",G277))*93,0)+IFERROR(--ISNUMBER(SEARCH("R94",G277))*94,0)+IFERROR(--ISNUMBER(SEARCH("R95",G277))*95,0)+IFERROR(--ISNUMBER(SEARCH("R96",G277))*96,0)+IFERROR(--ISNUMBER(SEARCH("R97",G277))*97,0)+IFERROR(--ISNUMBER(SEARCH("R98",G277))*98,0)+IFERROR(--ISNUMBER(SEARCH("R99",G277))*99,0)+IFERROR(--ISNUMBER(SEARCH("R100",G277))*100,0)+IFERROR(--ISNUMBER(SEARCH("R101",G277))*101,0)+IFERROR(--ISNUMBER(SEARCH("R102",G277))*102,0)+IFERROR(--ISNUMBER(SEARCH("R103",G277))*103,0)+IFERROR(--ISNUMBER(SEARCH("R104",G277))*104,0)+IFERROR(--ISNUMBER(SEARCH("R105",G277))*105,0)+IFERROR(--ISNUMBER(SEARCH("R106",G277))*106,0)+IFERROR(--ISNUMBER(SEARCH("R107",G277))*107,0)+IFERROR(--ISNUMBER(SEARCH("R108",G277))*108,0)+IFERROR(--ISNUMBER(SEARCH("R109",G277))*109,0)+IFERROR(--ISNUMBER(SEARCH("R110",G277))*110,0)+IFERROR(--ISNUMBER(SEARCH("R111",G277))*111,0)+IFERROR(--ISNUMBER(SEARCH("R112",G277))*112,0)+IFERROR(--ISNUMBER(SEARCH("R113",G277))*113,0)+IFERROR(--ISNUMBER(SEARCH("R114",G277))*114,0)+IFERROR(--ISNUMBER(SEARCH("R115",G277))*115,0)+IFERROR(--ISNUMBER(SEARCH("R116",G277))*116,0)+IFERROR(--ISNUMBER(SEARCH("R117",G277))*117,0)+IFERROR(--ISNUMBER(SEARCH("R118",G277))*118,0)+IFERROR(--ISNUMBER(SEARCH("R119",G277))*119,0)+IFERROR(--ISNUMBER(SEARCH("R120",G277))*120,0)+IFERROR(--ISNUMBER(SEARCH("R121",G277))*121,0)+IFERROR(--ISNUMBER(SEARCH("R122",G277))*122,0)+IFERROR(--ISNUMBER(SEARCH("R123",G277))*123,0)+IFERROR(--ISNUMBER(SEARCH("R124",G277))*124,0)+IFERROR(--ISNUMBER(SEARCH("R125",G277))*125,0)+IFERROR(--ISNUMBER(SEARCH("R126",G277))*126,0)+IFERROR(--ISNUMBER(SEARCH("R127",G277))*127,0)+IFERROR(--ISNUMBER(SEARCH("R128",G277))*128,0)+IFERROR(--ISNUMBER(SEARCH("R129",G277))*129,0)+IFERROR(--ISNUMBER(SEARCH("R130",G277))*130,0)+IFERROR(--ISNUMBER(SEARCH("R131",G277))*131,0)+IFERROR(--ISNUMBER(SEARCH("R132",G277))*132,0)+IFERROR(--ISNUMBER(SEARCH("R133",G277))*133,0)+IFERROR(--ISNUMBER(SEARCH("R134",G277))*134,0)+IFERROR(--ISNUMBER(SEARCH("R135",G277))*135,0)+IFERROR(--ISNUMBER(SEARCH("R136",G277))*136,0)+IFERROR(--ISNUMBER(SEARCH("R137",G277))*137,0)+IFERROR(--ISNUMBER(SEARCH("R138",G277))*138,0)+IFERROR(--ISNUMBER(SEARCH("R139",G277))*139,0)+IFERROR(--ISNUMBER(SEARCH("R140",G277))*140,0)+IFERROR(--ISNUMBER(SEARCH("R141",G277))*141,0))</f>
        <v/>
      </c>
      <c r="V277" s="59">
        <f>IF(A277="","",IF(K277&lt;&gt;"",K277,J277))</f>
        <v/>
      </c>
      <c r="W277" s="59">
        <f>IF(A277="","",IF(AND(V277=29,O277&lt;&gt;"",COUNTIFS($V$6:$V$505,29,$F$6:$F$505,F277,$C$6:$C$505,C277,$O$6:$O$505,"&lt;&gt;")&gt;1),IF(COUNTIFS($V$6:V277,29,$F$6:F277,F277,$C$6:C277,C277,$O$6:O277,"&lt;&gt;")=1,"Esta es la fila que se debe CONSERVAR (aparición 1 de "&amp;COUNTIFS($V$6:$V$505,29,$F$6:$F$505,F277,$C$6:$C$505,C277,$O$6:$O$505,"&lt;&gt;")&amp;" con el mismo tercero y valor, casilla 29). Si hay más filas iguales, bórreles el valor a ELLAS, no a esta.","DUPLICADO — ya existe otra fila con el mismo tercero y valor para casilla 29 (aparición "&amp;COUNTIFS($V$6:V277,29,$F$6:F277,F277,$C$6:C277,C277,$O$6:O277,"&lt;&gt;")&amp;" de "&amp;COUNTIFS($V$6:$V$505,29,$F$6:$F$505,F277,$C$6:$C$505,C277,$O$6:$O$505,"&lt;&gt;")&amp;"). Para resolverlo: seleccione la celda O"&amp;ROW()&amp;" (columna Valor a declarar de ESTA fila) y presione Supr."),""))</f>
        <v/>
      </c>
      <c r="X277" s="463">
        <f>IF(A277="","",F277)</f>
        <v/>
      </c>
      <c r="Y277" s="463">
        <f>IF(A277="","",SUMIF(Entrada_Manual!$I$88:$I$187,A277,Entrada_Manual!$F$88:$F$187))</f>
        <v/>
      </c>
      <c r="Z277" s="463">
        <f>IF(A277="","",X277-Y277)</f>
        <v/>
      </c>
      <c r="AA277">
        <f>IF(A277="","",SUMPRODUCT((Entrada_Manual!$I$88:$I$187=A277)*1))</f>
        <v/>
      </c>
      <c r="AB277">
        <f>IF(A277="","",IF(S277&lt;=1,"",IF(AA277=0,"PENDIENTE — SIN ASIGNAR",IF(Z277=0,"RESUELTO","PARCIAL — DIFERENCIA "&amp;TEXT(Z277,"#,##0")))))</f>
        <v/>
      </c>
    </row>
    <row r="278" ht="14.25" customHeight="1" s="235">
      <c r="A278" s="47">
        <f>IF(Exogena_RAW!E287&lt;&gt;"",ROW()-5,"")</f>
        <v/>
      </c>
      <c r="B278" s="48">
        <f>IF(A278="","",287)</f>
        <v/>
      </c>
      <c r="C278" s="48">
        <f>IF(A278="","",IFERROR(Exogena_RAW!A287,""))</f>
        <v/>
      </c>
      <c r="D278" s="48">
        <f>IF(A278="","",IFERROR(Exogena_RAW!B287,""))</f>
        <v/>
      </c>
      <c r="E278" s="48">
        <f>IF(A278="","",Exogena_RAW!E287)</f>
        <v/>
      </c>
      <c r="F278" s="461">
        <f>IF(A278="","",Exogena_RAW!F287)</f>
        <v/>
      </c>
      <c r="G278" s="48">
        <f>IF(A278="","",IFERROR(Exogena_RAW!G287,""))</f>
        <v/>
      </c>
      <c r="H278" s="48">
        <f>IF(A278="","",IFERROR(Exogena_RAW!H287,""))</f>
        <v/>
      </c>
      <c r="I278" s="48">
        <f>IF(A278="","",IFERROR(IF(S278&gt;1,"VARIAS CASILLAS",IF(S278=1,IF(T278=1,"PROPUESTA DE CASILLA","REVISIÓN: CASILLA NO DIRECTA"),IF(OR(ISNUMBER(SEARCH("TOPE",UPPER(E278))),ISNUMBER(SEARCH("TOPE",UPPER(G278)))),"SOLO CONTROL",IF(ISNUMBER(SEARCH("RETEN",UPPER(E278))),"RETENCIÓN","REVISAR")))),"REVISAR"))</f>
        <v/>
      </c>
      <c r="J278" s="48">
        <f>IF(A278="","",IF(ISNUMBER(SEARCH("ingreso laboral promedio de los últimos seis meses",E278)),"",IFERROR(IF(AND(S278=1,T278=1),U278,""),"")))</f>
        <v/>
      </c>
      <c r="K278" s="216" t="n"/>
      <c r="L278" s="48">
        <f>IF(A278="","",IFERROR(IF(K278&lt;&gt;"","Casilla elegida por usuario",IF(S278&gt;1,"Varias casillas — elegir en K",IF(J278&lt;&gt;"","Sugerencia directa",IF(S278=1,"No trasladar directo — revisar",IF(OR(ISNUMBER(SEARCH("TOPE",UPPER(E278))),ISNUMBER(SEARCH("TOPE",UPPER(G278)))),"Solo control","Revisar manualmente"))))),"Revisar manualmente"))</f>
        <v/>
      </c>
      <c r="M278" s="461">
        <f>IF(A278="","",IF(IF(K278&lt;&gt;"",K278,J278)="",0,IF(COUNTIFS(Reglas!$I$5:$I$118,IF(K278&lt;&gt;"",K278,J278),Reglas!$J$5:$J$118,"Sí")=1,F278,0)))</f>
        <v/>
      </c>
      <c r="N278" s="56" t="n"/>
      <c r="O278" s="462">
        <f>IF(A278="","",IF(M278=0,"",M278))</f>
        <v/>
      </c>
      <c r="P278" s="461">
        <f>IF(A278="","",IF(O278="",0,IF(ISNUMBER(O278),O278,0)))</f>
        <v/>
      </c>
      <c r="Q278" s="48">
        <f>IF(A278="","",IF(Exogena_RAW!$C$4="","BLOQUEADO: FALTA AÑO",IF(Exogena_RAW!$K$10&lt;&gt;Reglas!$B$5,"BLOQUEADO: AÑO",IF(IF(K278&lt;&gt;"",K278,J278)="",IF(S278&gt;1,"REQUIERE ASIGNACIÓN MANUAL (VARIAS CASILLAS)","INFORMATIVO (sin casilla — no se declara)"),IF(COUNTIFS(Reglas!$I$5:$I$118,IF(K278&lt;&gt;"",K278,J278),Reglas!$J$5:$J$118,"Sí")=0,"BLOQUEADO: CASILLA NO DIRECTA",IF(O278="","EXCLUIDO (valor borrado por el usuario)",IF(_xlfn.ISFORMULA(O278),IF(W278&lt;&gt;"","BORRADOR — VALOR SUGERIDO DIAN ⚠ VER ALERTA","BORRADOR — VALOR SUGERIDO DIAN"),IF(W278&lt;&gt;"","ACEPTADO ⚠ VER ALERTA","ACEPTADO"))))))))</f>
        <v/>
      </c>
      <c r="R278" s="218" t="n"/>
      <c r="S278" s="58">
        <f>IF(A278="","",IFERROR(--ISNUMBER(SEARCH("R28",G278)),0)+IFERROR(--ISNUMBER(SEARCH("R29",G278)),0)+IFERROR(--ISNUMBER(SEARCH("R30",G278)),0)+IFERROR(--ISNUMBER(SEARCH("R31",G278)),0)+IFERROR(--ISNUMBER(SEARCH("R32",G278)),0)+IFERROR(--ISNUMBER(SEARCH("R33",G278)),0)+IFERROR(--ISNUMBER(SEARCH("R34",G278)),0)+IFERROR(--ISNUMBER(SEARCH("R35",G278)),0)+IFERROR(--ISNUMBER(SEARCH("R36",G278)),0)+IFERROR(--ISNUMBER(SEARCH("R37",G278)),0)+IFERROR(--ISNUMBER(SEARCH("R38",G278)),0)+IFERROR(--ISNUMBER(SEARCH("R39",G278)),0)+IFERROR(--ISNUMBER(SEARCH("R40",G278)),0)+IFERROR(--ISNUMBER(SEARCH("R41",G278)),0)+IFERROR(--ISNUMBER(SEARCH("R42",G278)),0)+IFERROR(--ISNUMBER(SEARCH("R43",G278)),0)+IFERROR(--ISNUMBER(SEARCH("R44",G278)),0)+IFERROR(--ISNUMBER(SEARCH("R45",G278)),0)+IFERROR(--ISNUMBER(SEARCH("R46",G278)),0)+IFERROR(--ISNUMBER(SEARCH("R47",G278)),0)+IFERROR(--ISNUMBER(SEARCH("R48",G278)),0)+IFERROR(--ISNUMBER(SEARCH("R49",G278)),0)+IFERROR(--ISNUMBER(SEARCH("R50",G278)),0)+IFERROR(--ISNUMBER(SEARCH("R51",G278)),0)+IFERROR(--ISNUMBER(SEARCH("R52",G278)),0)+IFERROR(--ISNUMBER(SEARCH("R53",G278)),0)+IFERROR(--ISNUMBER(SEARCH("R54",G278)),0)+IFERROR(--ISNUMBER(SEARCH("R55",G278)),0)+IFERROR(--ISNUMBER(SEARCH("R56",G278)),0)+IFERROR(--ISNUMBER(SEARCH("R57",G278)),0)+IFERROR(--ISNUMBER(SEARCH("R58",G278)),0)+IFERROR(--ISNUMBER(SEARCH("R59",G278)),0)+IFERROR(--ISNUMBER(SEARCH("R60",G278)),0)+IFERROR(--ISNUMBER(SEARCH("R61",G278)),0)+IFERROR(--ISNUMBER(SEARCH("R62",G278)),0)+IFERROR(--ISNUMBER(SEARCH("R63",G278)),0)+IFERROR(--ISNUMBER(SEARCH("R64",G278)),0)+IFERROR(--ISNUMBER(SEARCH("R65",G278)),0)+IFERROR(--ISNUMBER(SEARCH("R66",G278)),0)+IFERROR(--ISNUMBER(SEARCH("R67",G278)),0)+IFERROR(--ISNUMBER(SEARCH("R68",G278)),0)+IFERROR(--ISNUMBER(SEARCH("R69",G278)),0)+IFERROR(--ISNUMBER(SEARCH("R70",G278)),0)+IFERROR(--ISNUMBER(SEARCH("R71",G278)),0)+IFERROR(--ISNUMBER(SEARCH("R72",G278)),0)+IFERROR(--ISNUMBER(SEARCH("R73",G278)),0)+IFERROR(--ISNUMBER(SEARCH("R74",G278)),0)+IFERROR(--ISNUMBER(SEARCH("R75",G278)),0)+IFERROR(--ISNUMBER(SEARCH("R76",G278)),0)+IFERROR(--ISNUMBER(SEARCH("R77",G278)),0)+IFERROR(--ISNUMBER(SEARCH("R78",G278)),0)+IFERROR(--ISNUMBER(SEARCH("R79",G278)),0)+IFERROR(--ISNUMBER(SEARCH("R80",G278)),0)+IFERROR(--ISNUMBER(SEARCH("R81",G278)),0)+IFERROR(--ISNUMBER(SEARCH("R82",G278)),0)+IFERROR(--ISNUMBER(SEARCH("R83",G278)),0)+IFERROR(--ISNUMBER(SEARCH("R84",G278)),0)+IFERROR(--ISNUMBER(SEARCH("R85",G278)),0)+IFERROR(--ISNUMBER(SEARCH("R86",G278)),0)+IFERROR(--ISNUMBER(SEARCH("R87",G278)),0)+IFERROR(--ISNUMBER(SEARCH("R88",G278)),0)+IFERROR(--ISNUMBER(SEARCH("R89",G278)),0)+IFERROR(--ISNUMBER(SEARCH("R90",G278)),0)+IFERROR(--ISNUMBER(SEARCH("R91",G278)),0)+IFERROR(--ISNUMBER(SEARCH("R92",G278)),0)+IFERROR(--ISNUMBER(SEARCH("R93",G278)),0)+IFERROR(--ISNUMBER(SEARCH("R94",G278)),0)+IFERROR(--ISNUMBER(SEARCH("R95",G278)),0)+IFERROR(--ISNUMBER(SEARCH("R96",G278)),0)+IFERROR(--ISNUMBER(SEARCH("R97",G278)),0)+IFERROR(--ISNUMBER(SEARCH("R98",G278)),0)+IFERROR(--ISNUMBER(SEARCH("R99",G278)),0)+IFERROR(--ISNUMBER(SEARCH("R100",G278)),0)+IFERROR(--ISNUMBER(SEARCH("R101",G278)),0)+IFERROR(--ISNUMBER(SEARCH("R102",G278)),0)+IFERROR(--ISNUMBER(SEARCH("R103",G278)),0)+IFERROR(--ISNUMBER(SEARCH("R104",G278)),0)+IFERROR(--ISNUMBER(SEARCH("R105",G278)),0)+IFERROR(--ISNUMBER(SEARCH("R106",G278)),0)+IFERROR(--ISNUMBER(SEARCH("R107",G278)),0)+IFERROR(--ISNUMBER(SEARCH("R108",G278)),0)+IFERROR(--ISNUMBER(SEARCH("R109",G278)),0)+IFERROR(--ISNUMBER(SEARCH("R110",G278)),0)+IFERROR(--ISNUMBER(SEARCH("R111",G278)),0)+IFERROR(--ISNUMBER(SEARCH("R112",G278)),0)+IFERROR(--ISNUMBER(SEARCH("R113",G278)),0)+IFERROR(--ISNUMBER(SEARCH("R114",G278)),0)+IFERROR(--ISNUMBER(SEARCH("R115",G278)),0)+IFERROR(--ISNUMBER(SEARCH("R116",G278)),0)+IFERROR(--ISNUMBER(SEARCH("R117",G278)),0)+IFERROR(--ISNUMBER(SEARCH("R118",G278)),0)+IFERROR(--ISNUMBER(SEARCH("R119",G278)),0)+IFERROR(--ISNUMBER(SEARCH("R120",G278)),0)+IFERROR(--ISNUMBER(SEARCH("R121",G278)),0)+IFERROR(--ISNUMBER(SEARCH("R122",G278)),0)+IFERROR(--ISNUMBER(SEARCH("R123",G278)),0)+IFERROR(--ISNUMBER(SEARCH("R124",G278)),0)+IFERROR(--ISNUMBER(SEARCH("R125",G278)),0)+IFERROR(--ISNUMBER(SEARCH("R126",G278)),0)+IFERROR(--ISNUMBER(SEARCH("R127",G278)),0)+IFERROR(--ISNUMBER(SEARCH("R128",G278)),0)+IFERROR(--ISNUMBER(SEARCH("R129",G278)),0)+IFERROR(--ISNUMBER(SEARCH("R130",G278)),0)+IFERROR(--ISNUMBER(SEARCH("R131",G278)),0)+IFERROR(--ISNUMBER(SEARCH("R132",G278)),0)+IFERROR(--ISNUMBER(SEARCH("R133",G278)),0)+IFERROR(--ISNUMBER(SEARCH("R134",G278)),0)+IFERROR(--ISNUMBER(SEARCH("R135",G278)),0)+IFERROR(--ISNUMBER(SEARCH("R136",G278)),0)+IFERROR(--ISNUMBER(SEARCH("R137",G278)),0)+IFERROR(--ISNUMBER(SEARCH("R138",G278)),0)+IFERROR(--ISNUMBER(SEARCH("R139",G278)),0)+IFERROR(--ISNUMBER(SEARCH("R140",G278)),0)+IFERROR(--ISNUMBER(SEARCH("R141",G278)),0))</f>
        <v/>
      </c>
      <c r="T278" s="58">
        <f>IF(A278="","",IFERROR(--ISNUMBER(SEARCH("R28",G278)),0)+IFERROR(--ISNUMBER(SEARCH("R29",G278)),0)+IFERROR(--ISNUMBER(SEARCH("R30",G278)),0)+IFERROR(--ISNUMBER(SEARCH("R32",G278)),0)+IFERROR(--ISNUMBER(SEARCH("R33",G278)),0)+IFERROR(--ISNUMBER(SEARCH("R35",G278)),0)+IFERROR(--ISNUMBER(SEARCH("R36",G278)),0)+IFERROR(--ISNUMBER(SEARCH("R38",G278)),0)+IFERROR(--ISNUMBER(SEARCH("R39",G278)),0)+IFERROR(--ISNUMBER(SEARCH("R43",G278)),0)+IFERROR(--ISNUMBER(SEARCH("R44",G278)),0)+IFERROR(--ISNUMBER(SEARCH("R45",G278)),0)+IFERROR(--ISNUMBER(SEARCH("R47",G278)),0)+IFERROR(--ISNUMBER(SEARCH("R48",G278)),0)+IFERROR(--ISNUMBER(SEARCH("R50",G278)),0)+IFERROR(--ISNUMBER(SEARCH("R51",G278)),0)+IFERROR(--ISNUMBER(SEARCH("R56",G278)),0)+IFERROR(--ISNUMBER(SEARCH("R58",G278)),0)+IFERROR(--ISNUMBER(SEARCH("R59",G278)),0)+IFERROR(--ISNUMBER(SEARCH("R60",G278)),0)+IFERROR(--ISNUMBER(SEARCH("R62",G278)),0)+IFERROR(--ISNUMBER(SEARCH("R63",G278)),0)+IFERROR(--ISNUMBER(SEARCH("R64",G278)),0)+IFERROR(--ISNUMBER(SEARCH("R66",G278)),0)+IFERROR(--ISNUMBER(SEARCH("R67",G278)),0)+IFERROR(--ISNUMBER(SEARCH("R72",G278)),0)+IFERROR(--ISNUMBER(SEARCH("R74",G278)),0)+IFERROR(--ISNUMBER(SEARCH("R75",G278)),0)+IFERROR(--ISNUMBER(SEARCH("R76",G278)),0)+IFERROR(--ISNUMBER(SEARCH("R77",G278)),0)+IFERROR(--ISNUMBER(SEARCH("R79",G278)),0)+IFERROR(--ISNUMBER(SEARCH("R80",G278)),0)+IFERROR(--ISNUMBER(SEARCH("R81",G278)),0)+IFERROR(--ISNUMBER(SEARCH("R83",G278)),0)+IFERROR(--ISNUMBER(SEARCH("R84",G278)),0)+IFERROR(--ISNUMBER(SEARCH("R89",G278)),0)+IFERROR(--ISNUMBER(SEARCH("R94",G278)),0)+IFERROR(--ISNUMBER(SEARCH("R95",G278)),0)+IFERROR(--ISNUMBER(SEARCH("R96",G278)),0)+IFERROR(--ISNUMBER(SEARCH("R98",G278)),0)+IFERROR(--ISNUMBER(SEARCH("R99",G278)),0)+IFERROR(--ISNUMBER(SEARCH("R100",G278)),0)+IFERROR(--ISNUMBER(SEARCH("R104",G278)),0)+IFERROR(--ISNUMBER(SEARCH("R105",G278)),0)+IFERROR(--ISNUMBER(SEARCH("R107",G278)),0)+IFERROR(--ISNUMBER(SEARCH("R108",G278)),0)+IFERROR(--ISNUMBER(SEARCH("R109",G278)),0)+IFERROR(--ISNUMBER(SEARCH("R110",G278)),0)+IFERROR(--ISNUMBER(SEARCH("R112",G278)),0)+IFERROR(--ISNUMBER(SEARCH("R113",G278)),0)+IFERROR(--ISNUMBER(SEARCH("R114",G278)),0)+IFERROR(--ISNUMBER(SEARCH("R118",G278)),0)+IFERROR(--ISNUMBER(SEARCH("R119",G278)),0)+IFERROR(--ISNUMBER(SEARCH("R120",G278)),0)+IFERROR(--ISNUMBER(SEARCH("R122",G278)),0)+IFERROR(--ISNUMBER(SEARCH("R123",G278)),0)+IFERROR(--ISNUMBER(SEARCH("R124",G278)),0)+IFERROR(--ISNUMBER(SEARCH("R128",G278)),0)+IFERROR(--ISNUMBER(SEARCH("R130",G278)),0)+IFERROR(--ISNUMBER(SEARCH("R131",G278)),0)+IFERROR(--ISNUMBER(SEARCH("R132",G278)),0)+IFERROR(--ISNUMBER(SEARCH("R135",G278)),0)+IFERROR(--ISNUMBER(SEARCH("R138",G278)),0)+IFERROR(--ISNUMBER(SEARCH("R141",G278)),0))</f>
        <v/>
      </c>
      <c r="U278" s="58">
        <f>IF(A278="","",IFERROR(--ISNUMBER(SEARCH("R28",G278))*28,0)+IFERROR(--ISNUMBER(SEARCH("R29",G278))*29,0)+IFERROR(--ISNUMBER(SEARCH("R30",G278))*30,0)+IFERROR(--ISNUMBER(SEARCH("R31",G278))*31,0)+IFERROR(--ISNUMBER(SEARCH("R32",G278))*32,0)+IFERROR(--ISNUMBER(SEARCH("R33",G278))*33,0)+IFERROR(--ISNUMBER(SEARCH("R34",G278))*34,0)+IFERROR(--ISNUMBER(SEARCH("R35",G278))*35,0)+IFERROR(--ISNUMBER(SEARCH("R36",G278))*36,0)+IFERROR(--ISNUMBER(SEARCH("R37",G278))*37,0)+IFERROR(--ISNUMBER(SEARCH("R38",G278))*38,0)+IFERROR(--ISNUMBER(SEARCH("R39",G278))*39,0)+IFERROR(--ISNUMBER(SEARCH("R40",G278))*40,0)+IFERROR(--ISNUMBER(SEARCH("R41",G278))*41,0)+IFERROR(--ISNUMBER(SEARCH("R42",G278))*42,0)+IFERROR(--ISNUMBER(SEARCH("R43",G278))*43,0)+IFERROR(--ISNUMBER(SEARCH("R44",G278))*44,0)+IFERROR(--ISNUMBER(SEARCH("R45",G278))*45,0)+IFERROR(--ISNUMBER(SEARCH("R46",G278))*46,0)+IFERROR(--ISNUMBER(SEARCH("R47",G278))*47,0)+IFERROR(--ISNUMBER(SEARCH("R48",G278))*48,0)+IFERROR(--ISNUMBER(SEARCH("R49",G278))*49,0)+IFERROR(--ISNUMBER(SEARCH("R50",G278))*50,0)+IFERROR(--ISNUMBER(SEARCH("R51",G278))*51,0)+IFERROR(--ISNUMBER(SEARCH("R52",G278))*52,0)+IFERROR(--ISNUMBER(SEARCH("R53",G278))*53,0)+IFERROR(--ISNUMBER(SEARCH("R54",G278))*54,0)+IFERROR(--ISNUMBER(SEARCH("R55",G278))*55,0)+IFERROR(--ISNUMBER(SEARCH("R56",G278))*56,0)+IFERROR(--ISNUMBER(SEARCH("R57",G278))*57,0)+IFERROR(--ISNUMBER(SEARCH("R58",G278))*58,0)+IFERROR(--ISNUMBER(SEARCH("R59",G278))*59,0)+IFERROR(--ISNUMBER(SEARCH("R60",G278))*60,0)+IFERROR(--ISNUMBER(SEARCH("R61",G278))*61,0)+IFERROR(--ISNUMBER(SEARCH("R62",G278))*62,0)+IFERROR(--ISNUMBER(SEARCH("R63",G278))*63,0)+IFERROR(--ISNUMBER(SEARCH("R64",G278))*64,0)+IFERROR(--ISNUMBER(SEARCH("R65",G278))*65,0)+IFERROR(--ISNUMBER(SEARCH("R66",G278))*66,0)+IFERROR(--ISNUMBER(SEARCH("R67",G278))*67,0)+IFERROR(--ISNUMBER(SEARCH("R68",G278))*68,0)+IFERROR(--ISNUMBER(SEARCH("R69",G278))*69,0)+IFERROR(--ISNUMBER(SEARCH("R70",G278))*70,0)+IFERROR(--ISNUMBER(SEARCH("R71",G278))*71,0)+IFERROR(--ISNUMBER(SEARCH("R72",G278))*72,0)+IFERROR(--ISNUMBER(SEARCH("R73",G278))*73,0)+IFERROR(--ISNUMBER(SEARCH("R74",G278))*74,0)+IFERROR(--ISNUMBER(SEARCH("R75",G278))*75,0)+IFERROR(--ISNUMBER(SEARCH("R76",G278))*76,0)+IFERROR(--ISNUMBER(SEARCH("R77",G278))*77,0)+IFERROR(--ISNUMBER(SEARCH("R78",G278))*78,0)+IFERROR(--ISNUMBER(SEARCH("R79",G278))*79,0)+IFERROR(--ISNUMBER(SEARCH("R80",G278))*80,0)+IFERROR(--ISNUMBER(SEARCH("R81",G278))*81,0)+IFERROR(--ISNUMBER(SEARCH("R82",G278))*82,0)+IFERROR(--ISNUMBER(SEARCH("R83",G278))*83,0)+IFERROR(--ISNUMBER(SEARCH("R84",G278))*84,0)+IFERROR(--ISNUMBER(SEARCH("R85",G278))*85,0)+IFERROR(--ISNUMBER(SEARCH("R86",G278))*86,0)+IFERROR(--ISNUMBER(SEARCH("R87",G278))*87,0)+IFERROR(--ISNUMBER(SEARCH("R88",G278))*88,0)+IFERROR(--ISNUMBER(SEARCH("R89",G278))*89,0)+IFERROR(--ISNUMBER(SEARCH("R90",G278))*90,0)+IFERROR(--ISNUMBER(SEARCH("R91",G278))*91,0)+IFERROR(--ISNUMBER(SEARCH("R92",G278))*92,0)+IFERROR(--ISNUMBER(SEARCH("R93",G278))*93,0)+IFERROR(--ISNUMBER(SEARCH("R94",G278))*94,0)+IFERROR(--ISNUMBER(SEARCH("R95",G278))*95,0)+IFERROR(--ISNUMBER(SEARCH("R96",G278))*96,0)+IFERROR(--ISNUMBER(SEARCH("R97",G278))*97,0)+IFERROR(--ISNUMBER(SEARCH("R98",G278))*98,0)+IFERROR(--ISNUMBER(SEARCH("R99",G278))*99,0)+IFERROR(--ISNUMBER(SEARCH("R100",G278))*100,0)+IFERROR(--ISNUMBER(SEARCH("R101",G278))*101,0)+IFERROR(--ISNUMBER(SEARCH("R102",G278))*102,0)+IFERROR(--ISNUMBER(SEARCH("R103",G278))*103,0)+IFERROR(--ISNUMBER(SEARCH("R104",G278))*104,0)+IFERROR(--ISNUMBER(SEARCH("R105",G278))*105,0)+IFERROR(--ISNUMBER(SEARCH("R106",G278))*106,0)+IFERROR(--ISNUMBER(SEARCH("R107",G278))*107,0)+IFERROR(--ISNUMBER(SEARCH("R108",G278))*108,0)+IFERROR(--ISNUMBER(SEARCH("R109",G278))*109,0)+IFERROR(--ISNUMBER(SEARCH("R110",G278))*110,0)+IFERROR(--ISNUMBER(SEARCH("R111",G278))*111,0)+IFERROR(--ISNUMBER(SEARCH("R112",G278))*112,0)+IFERROR(--ISNUMBER(SEARCH("R113",G278))*113,0)+IFERROR(--ISNUMBER(SEARCH("R114",G278))*114,0)+IFERROR(--ISNUMBER(SEARCH("R115",G278))*115,0)+IFERROR(--ISNUMBER(SEARCH("R116",G278))*116,0)+IFERROR(--ISNUMBER(SEARCH("R117",G278))*117,0)+IFERROR(--ISNUMBER(SEARCH("R118",G278))*118,0)+IFERROR(--ISNUMBER(SEARCH("R119",G278))*119,0)+IFERROR(--ISNUMBER(SEARCH("R120",G278))*120,0)+IFERROR(--ISNUMBER(SEARCH("R121",G278))*121,0)+IFERROR(--ISNUMBER(SEARCH("R122",G278))*122,0)+IFERROR(--ISNUMBER(SEARCH("R123",G278))*123,0)+IFERROR(--ISNUMBER(SEARCH("R124",G278))*124,0)+IFERROR(--ISNUMBER(SEARCH("R125",G278))*125,0)+IFERROR(--ISNUMBER(SEARCH("R126",G278))*126,0)+IFERROR(--ISNUMBER(SEARCH("R127",G278))*127,0)+IFERROR(--ISNUMBER(SEARCH("R128",G278))*128,0)+IFERROR(--ISNUMBER(SEARCH("R129",G278))*129,0)+IFERROR(--ISNUMBER(SEARCH("R130",G278))*130,0)+IFERROR(--ISNUMBER(SEARCH("R131",G278))*131,0)+IFERROR(--ISNUMBER(SEARCH("R132",G278))*132,0)+IFERROR(--ISNUMBER(SEARCH("R133",G278))*133,0)+IFERROR(--ISNUMBER(SEARCH("R134",G278))*134,0)+IFERROR(--ISNUMBER(SEARCH("R135",G278))*135,0)+IFERROR(--ISNUMBER(SEARCH("R136",G278))*136,0)+IFERROR(--ISNUMBER(SEARCH("R137",G278))*137,0)+IFERROR(--ISNUMBER(SEARCH("R138",G278))*138,0)+IFERROR(--ISNUMBER(SEARCH("R139",G278))*139,0)+IFERROR(--ISNUMBER(SEARCH("R140",G278))*140,0)+IFERROR(--ISNUMBER(SEARCH("R141",G278))*141,0))</f>
        <v/>
      </c>
      <c r="V278" s="59">
        <f>IF(A278="","",IF(K278&lt;&gt;"",K278,J278))</f>
        <v/>
      </c>
      <c r="W278" s="59">
        <f>IF(A278="","",IF(AND(V278=29,O278&lt;&gt;"",COUNTIFS($V$6:$V$505,29,$F$6:$F$505,F278,$C$6:$C$505,C278,$O$6:$O$505,"&lt;&gt;")&gt;1),IF(COUNTIFS($V$6:V278,29,$F$6:F278,F278,$C$6:C278,C278,$O$6:O278,"&lt;&gt;")=1,"Esta es la fila que se debe CONSERVAR (aparición 1 de "&amp;COUNTIFS($V$6:$V$505,29,$F$6:$F$505,F278,$C$6:$C$505,C278,$O$6:$O$505,"&lt;&gt;")&amp;" con el mismo tercero y valor, casilla 29). Si hay más filas iguales, bórreles el valor a ELLAS, no a esta.","DUPLICADO — ya existe otra fila con el mismo tercero y valor para casilla 29 (aparición "&amp;COUNTIFS($V$6:V278,29,$F$6:F278,F278,$C$6:C278,C278,$O$6:O278,"&lt;&gt;")&amp;" de "&amp;COUNTIFS($V$6:$V$505,29,$F$6:$F$505,F278,$C$6:$C$505,C278,$O$6:$O$505,"&lt;&gt;")&amp;"). Para resolverlo: seleccione la celda O"&amp;ROW()&amp;" (columna Valor a declarar de ESTA fila) y presione Supr."),""))</f>
        <v/>
      </c>
      <c r="X278" s="463">
        <f>IF(A278="","",F278)</f>
        <v/>
      </c>
      <c r="Y278" s="463">
        <f>IF(A278="","",SUMIF(Entrada_Manual!$I$88:$I$187,A278,Entrada_Manual!$F$88:$F$187))</f>
        <v/>
      </c>
      <c r="Z278" s="463">
        <f>IF(A278="","",X278-Y278)</f>
        <v/>
      </c>
      <c r="AA278">
        <f>IF(A278="","",SUMPRODUCT((Entrada_Manual!$I$88:$I$187=A278)*1))</f>
        <v/>
      </c>
      <c r="AB278">
        <f>IF(A278="","",IF(S278&lt;=1,"",IF(AA278=0,"PENDIENTE — SIN ASIGNAR",IF(Z278=0,"RESUELTO","PARCIAL — DIFERENCIA "&amp;TEXT(Z278,"#,##0")))))</f>
        <v/>
      </c>
    </row>
    <row r="279" ht="14.25" customHeight="1" s="235">
      <c r="A279" s="47">
        <f>IF(Exogena_RAW!E288&lt;&gt;"",ROW()-5,"")</f>
        <v/>
      </c>
      <c r="B279" s="48">
        <f>IF(A279="","",288)</f>
        <v/>
      </c>
      <c r="C279" s="48">
        <f>IF(A279="","",IFERROR(Exogena_RAW!A288,""))</f>
        <v/>
      </c>
      <c r="D279" s="48">
        <f>IF(A279="","",IFERROR(Exogena_RAW!B288,""))</f>
        <v/>
      </c>
      <c r="E279" s="48">
        <f>IF(A279="","",Exogena_RAW!E288)</f>
        <v/>
      </c>
      <c r="F279" s="461">
        <f>IF(A279="","",Exogena_RAW!F288)</f>
        <v/>
      </c>
      <c r="G279" s="48">
        <f>IF(A279="","",IFERROR(Exogena_RAW!G288,""))</f>
        <v/>
      </c>
      <c r="H279" s="48">
        <f>IF(A279="","",IFERROR(Exogena_RAW!H288,""))</f>
        <v/>
      </c>
      <c r="I279" s="48">
        <f>IF(A279="","",IFERROR(IF(S279&gt;1,"VARIAS CASILLAS",IF(S279=1,IF(T279=1,"PROPUESTA DE CASILLA","REVISIÓN: CASILLA NO DIRECTA"),IF(OR(ISNUMBER(SEARCH("TOPE",UPPER(E279))),ISNUMBER(SEARCH("TOPE",UPPER(G279)))),"SOLO CONTROL",IF(ISNUMBER(SEARCH("RETEN",UPPER(E279))),"RETENCIÓN","REVISAR")))),"REVISAR"))</f>
        <v/>
      </c>
      <c r="J279" s="48">
        <f>IF(A279="","",IF(ISNUMBER(SEARCH("ingreso laboral promedio de los últimos seis meses",E279)),"",IFERROR(IF(AND(S279=1,T279=1),U279,""),"")))</f>
        <v/>
      </c>
      <c r="K279" s="216" t="n"/>
      <c r="L279" s="48">
        <f>IF(A279="","",IFERROR(IF(K279&lt;&gt;"","Casilla elegida por usuario",IF(S279&gt;1,"Varias casillas — elegir en K",IF(J279&lt;&gt;"","Sugerencia directa",IF(S279=1,"No trasladar directo — revisar",IF(OR(ISNUMBER(SEARCH("TOPE",UPPER(E279))),ISNUMBER(SEARCH("TOPE",UPPER(G279)))),"Solo control","Revisar manualmente"))))),"Revisar manualmente"))</f>
        <v/>
      </c>
      <c r="M279" s="461">
        <f>IF(A279="","",IF(IF(K279&lt;&gt;"",K279,J279)="",0,IF(COUNTIFS(Reglas!$I$5:$I$118,IF(K279&lt;&gt;"",K279,J279),Reglas!$J$5:$J$118,"Sí")=1,F279,0)))</f>
        <v/>
      </c>
      <c r="N279" s="56" t="n"/>
      <c r="O279" s="462">
        <f>IF(A279="","",IF(M279=0,"",M279))</f>
        <v/>
      </c>
      <c r="P279" s="461">
        <f>IF(A279="","",IF(O279="",0,IF(ISNUMBER(O279),O279,0)))</f>
        <v/>
      </c>
      <c r="Q279" s="48">
        <f>IF(A279="","",IF(Exogena_RAW!$C$4="","BLOQUEADO: FALTA AÑO",IF(Exogena_RAW!$K$10&lt;&gt;Reglas!$B$5,"BLOQUEADO: AÑO",IF(IF(K279&lt;&gt;"",K279,J279)="",IF(S279&gt;1,"REQUIERE ASIGNACIÓN MANUAL (VARIAS CASILLAS)","INFORMATIVO (sin casilla — no se declara)"),IF(COUNTIFS(Reglas!$I$5:$I$118,IF(K279&lt;&gt;"",K279,J279),Reglas!$J$5:$J$118,"Sí")=0,"BLOQUEADO: CASILLA NO DIRECTA",IF(O279="","EXCLUIDO (valor borrado por el usuario)",IF(_xlfn.ISFORMULA(O279),IF(W279&lt;&gt;"","BORRADOR — VALOR SUGERIDO DIAN ⚠ VER ALERTA","BORRADOR — VALOR SUGERIDO DIAN"),IF(W279&lt;&gt;"","ACEPTADO ⚠ VER ALERTA","ACEPTADO"))))))))</f>
        <v/>
      </c>
      <c r="R279" s="218" t="n"/>
      <c r="S279" s="58">
        <f>IF(A279="","",IFERROR(--ISNUMBER(SEARCH("R28",G279)),0)+IFERROR(--ISNUMBER(SEARCH("R29",G279)),0)+IFERROR(--ISNUMBER(SEARCH("R30",G279)),0)+IFERROR(--ISNUMBER(SEARCH("R31",G279)),0)+IFERROR(--ISNUMBER(SEARCH("R32",G279)),0)+IFERROR(--ISNUMBER(SEARCH("R33",G279)),0)+IFERROR(--ISNUMBER(SEARCH("R34",G279)),0)+IFERROR(--ISNUMBER(SEARCH("R35",G279)),0)+IFERROR(--ISNUMBER(SEARCH("R36",G279)),0)+IFERROR(--ISNUMBER(SEARCH("R37",G279)),0)+IFERROR(--ISNUMBER(SEARCH("R38",G279)),0)+IFERROR(--ISNUMBER(SEARCH("R39",G279)),0)+IFERROR(--ISNUMBER(SEARCH("R40",G279)),0)+IFERROR(--ISNUMBER(SEARCH("R41",G279)),0)+IFERROR(--ISNUMBER(SEARCH("R42",G279)),0)+IFERROR(--ISNUMBER(SEARCH("R43",G279)),0)+IFERROR(--ISNUMBER(SEARCH("R44",G279)),0)+IFERROR(--ISNUMBER(SEARCH("R45",G279)),0)+IFERROR(--ISNUMBER(SEARCH("R46",G279)),0)+IFERROR(--ISNUMBER(SEARCH("R47",G279)),0)+IFERROR(--ISNUMBER(SEARCH("R48",G279)),0)+IFERROR(--ISNUMBER(SEARCH("R49",G279)),0)+IFERROR(--ISNUMBER(SEARCH("R50",G279)),0)+IFERROR(--ISNUMBER(SEARCH("R51",G279)),0)+IFERROR(--ISNUMBER(SEARCH("R52",G279)),0)+IFERROR(--ISNUMBER(SEARCH("R53",G279)),0)+IFERROR(--ISNUMBER(SEARCH("R54",G279)),0)+IFERROR(--ISNUMBER(SEARCH("R55",G279)),0)+IFERROR(--ISNUMBER(SEARCH("R56",G279)),0)+IFERROR(--ISNUMBER(SEARCH("R57",G279)),0)+IFERROR(--ISNUMBER(SEARCH("R58",G279)),0)+IFERROR(--ISNUMBER(SEARCH("R59",G279)),0)+IFERROR(--ISNUMBER(SEARCH("R60",G279)),0)+IFERROR(--ISNUMBER(SEARCH("R61",G279)),0)+IFERROR(--ISNUMBER(SEARCH("R62",G279)),0)+IFERROR(--ISNUMBER(SEARCH("R63",G279)),0)+IFERROR(--ISNUMBER(SEARCH("R64",G279)),0)+IFERROR(--ISNUMBER(SEARCH("R65",G279)),0)+IFERROR(--ISNUMBER(SEARCH("R66",G279)),0)+IFERROR(--ISNUMBER(SEARCH("R67",G279)),0)+IFERROR(--ISNUMBER(SEARCH("R68",G279)),0)+IFERROR(--ISNUMBER(SEARCH("R69",G279)),0)+IFERROR(--ISNUMBER(SEARCH("R70",G279)),0)+IFERROR(--ISNUMBER(SEARCH("R71",G279)),0)+IFERROR(--ISNUMBER(SEARCH("R72",G279)),0)+IFERROR(--ISNUMBER(SEARCH("R73",G279)),0)+IFERROR(--ISNUMBER(SEARCH("R74",G279)),0)+IFERROR(--ISNUMBER(SEARCH("R75",G279)),0)+IFERROR(--ISNUMBER(SEARCH("R76",G279)),0)+IFERROR(--ISNUMBER(SEARCH("R77",G279)),0)+IFERROR(--ISNUMBER(SEARCH("R78",G279)),0)+IFERROR(--ISNUMBER(SEARCH("R79",G279)),0)+IFERROR(--ISNUMBER(SEARCH("R80",G279)),0)+IFERROR(--ISNUMBER(SEARCH("R81",G279)),0)+IFERROR(--ISNUMBER(SEARCH("R82",G279)),0)+IFERROR(--ISNUMBER(SEARCH("R83",G279)),0)+IFERROR(--ISNUMBER(SEARCH("R84",G279)),0)+IFERROR(--ISNUMBER(SEARCH("R85",G279)),0)+IFERROR(--ISNUMBER(SEARCH("R86",G279)),0)+IFERROR(--ISNUMBER(SEARCH("R87",G279)),0)+IFERROR(--ISNUMBER(SEARCH("R88",G279)),0)+IFERROR(--ISNUMBER(SEARCH("R89",G279)),0)+IFERROR(--ISNUMBER(SEARCH("R90",G279)),0)+IFERROR(--ISNUMBER(SEARCH("R91",G279)),0)+IFERROR(--ISNUMBER(SEARCH("R92",G279)),0)+IFERROR(--ISNUMBER(SEARCH("R93",G279)),0)+IFERROR(--ISNUMBER(SEARCH("R94",G279)),0)+IFERROR(--ISNUMBER(SEARCH("R95",G279)),0)+IFERROR(--ISNUMBER(SEARCH("R96",G279)),0)+IFERROR(--ISNUMBER(SEARCH("R97",G279)),0)+IFERROR(--ISNUMBER(SEARCH("R98",G279)),0)+IFERROR(--ISNUMBER(SEARCH("R99",G279)),0)+IFERROR(--ISNUMBER(SEARCH("R100",G279)),0)+IFERROR(--ISNUMBER(SEARCH("R101",G279)),0)+IFERROR(--ISNUMBER(SEARCH("R102",G279)),0)+IFERROR(--ISNUMBER(SEARCH("R103",G279)),0)+IFERROR(--ISNUMBER(SEARCH("R104",G279)),0)+IFERROR(--ISNUMBER(SEARCH("R105",G279)),0)+IFERROR(--ISNUMBER(SEARCH("R106",G279)),0)+IFERROR(--ISNUMBER(SEARCH("R107",G279)),0)+IFERROR(--ISNUMBER(SEARCH("R108",G279)),0)+IFERROR(--ISNUMBER(SEARCH("R109",G279)),0)+IFERROR(--ISNUMBER(SEARCH("R110",G279)),0)+IFERROR(--ISNUMBER(SEARCH("R111",G279)),0)+IFERROR(--ISNUMBER(SEARCH("R112",G279)),0)+IFERROR(--ISNUMBER(SEARCH("R113",G279)),0)+IFERROR(--ISNUMBER(SEARCH("R114",G279)),0)+IFERROR(--ISNUMBER(SEARCH("R115",G279)),0)+IFERROR(--ISNUMBER(SEARCH("R116",G279)),0)+IFERROR(--ISNUMBER(SEARCH("R117",G279)),0)+IFERROR(--ISNUMBER(SEARCH("R118",G279)),0)+IFERROR(--ISNUMBER(SEARCH("R119",G279)),0)+IFERROR(--ISNUMBER(SEARCH("R120",G279)),0)+IFERROR(--ISNUMBER(SEARCH("R121",G279)),0)+IFERROR(--ISNUMBER(SEARCH("R122",G279)),0)+IFERROR(--ISNUMBER(SEARCH("R123",G279)),0)+IFERROR(--ISNUMBER(SEARCH("R124",G279)),0)+IFERROR(--ISNUMBER(SEARCH("R125",G279)),0)+IFERROR(--ISNUMBER(SEARCH("R126",G279)),0)+IFERROR(--ISNUMBER(SEARCH("R127",G279)),0)+IFERROR(--ISNUMBER(SEARCH("R128",G279)),0)+IFERROR(--ISNUMBER(SEARCH("R129",G279)),0)+IFERROR(--ISNUMBER(SEARCH("R130",G279)),0)+IFERROR(--ISNUMBER(SEARCH("R131",G279)),0)+IFERROR(--ISNUMBER(SEARCH("R132",G279)),0)+IFERROR(--ISNUMBER(SEARCH("R133",G279)),0)+IFERROR(--ISNUMBER(SEARCH("R134",G279)),0)+IFERROR(--ISNUMBER(SEARCH("R135",G279)),0)+IFERROR(--ISNUMBER(SEARCH("R136",G279)),0)+IFERROR(--ISNUMBER(SEARCH("R137",G279)),0)+IFERROR(--ISNUMBER(SEARCH("R138",G279)),0)+IFERROR(--ISNUMBER(SEARCH("R139",G279)),0)+IFERROR(--ISNUMBER(SEARCH("R140",G279)),0)+IFERROR(--ISNUMBER(SEARCH("R141",G279)),0))</f>
        <v/>
      </c>
      <c r="T279" s="58">
        <f>IF(A279="","",IFERROR(--ISNUMBER(SEARCH("R28",G279)),0)+IFERROR(--ISNUMBER(SEARCH("R29",G279)),0)+IFERROR(--ISNUMBER(SEARCH("R30",G279)),0)+IFERROR(--ISNUMBER(SEARCH("R32",G279)),0)+IFERROR(--ISNUMBER(SEARCH("R33",G279)),0)+IFERROR(--ISNUMBER(SEARCH("R35",G279)),0)+IFERROR(--ISNUMBER(SEARCH("R36",G279)),0)+IFERROR(--ISNUMBER(SEARCH("R38",G279)),0)+IFERROR(--ISNUMBER(SEARCH("R39",G279)),0)+IFERROR(--ISNUMBER(SEARCH("R43",G279)),0)+IFERROR(--ISNUMBER(SEARCH("R44",G279)),0)+IFERROR(--ISNUMBER(SEARCH("R45",G279)),0)+IFERROR(--ISNUMBER(SEARCH("R47",G279)),0)+IFERROR(--ISNUMBER(SEARCH("R48",G279)),0)+IFERROR(--ISNUMBER(SEARCH("R50",G279)),0)+IFERROR(--ISNUMBER(SEARCH("R51",G279)),0)+IFERROR(--ISNUMBER(SEARCH("R56",G279)),0)+IFERROR(--ISNUMBER(SEARCH("R58",G279)),0)+IFERROR(--ISNUMBER(SEARCH("R59",G279)),0)+IFERROR(--ISNUMBER(SEARCH("R60",G279)),0)+IFERROR(--ISNUMBER(SEARCH("R62",G279)),0)+IFERROR(--ISNUMBER(SEARCH("R63",G279)),0)+IFERROR(--ISNUMBER(SEARCH("R64",G279)),0)+IFERROR(--ISNUMBER(SEARCH("R66",G279)),0)+IFERROR(--ISNUMBER(SEARCH("R67",G279)),0)+IFERROR(--ISNUMBER(SEARCH("R72",G279)),0)+IFERROR(--ISNUMBER(SEARCH("R74",G279)),0)+IFERROR(--ISNUMBER(SEARCH("R75",G279)),0)+IFERROR(--ISNUMBER(SEARCH("R76",G279)),0)+IFERROR(--ISNUMBER(SEARCH("R77",G279)),0)+IFERROR(--ISNUMBER(SEARCH("R79",G279)),0)+IFERROR(--ISNUMBER(SEARCH("R80",G279)),0)+IFERROR(--ISNUMBER(SEARCH("R81",G279)),0)+IFERROR(--ISNUMBER(SEARCH("R83",G279)),0)+IFERROR(--ISNUMBER(SEARCH("R84",G279)),0)+IFERROR(--ISNUMBER(SEARCH("R89",G279)),0)+IFERROR(--ISNUMBER(SEARCH("R94",G279)),0)+IFERROR(--ISNUMBER(SEARCH("R95",G279)),0)+IFERROR(--ISNUMBER(SEARCH("R96",G279)),0)+IFERROR(--ISNUMBER(SEARCH("R98",G279)),0)+IFERROR(--ISNUMBER(SEARCH("R99",G279)),0)+IFERROR(--ISNUMBER(SEARCH("R100",G279)),0)+IFERROR(--ISNUMBER(SEARCH("R104",G279)),0)+IFERROR(--ISNUMBER(SEARCH("R105",G279)),0)+IFERROR(--ISNUMBER(SEARCH("R107",G279)),0)+IFERROR(--ISNUMBER(SEARCH("R108",G279)),0)+IFERROR(--ISNUMBER(SEARCH("R109",G279)),0)+IFERROR(--ISNUMBER(SEARCH("R110",G279)),0)+IFERROR(--ISNUMBER(SEARCH("R112",G279)),0)+IFERROR(--ISNUMBER(SEARCH("R113",G279)),0)+IFERROR(--ISNUMBER(SEARCH("R114",G279)),0)+IFERROR(--ISNUMBER(SEARCH("R118",G279)),0)+IFERROR(--ISNUMBER(SEARCH("R119",G279)),0)+IFERROR(--ISNUMBER(SEARCH("R120",G279)),0)+IFERROR(--ISNUMBER(SEARCH("R122",G279)),0)+IFERROR(--ISNUMBER(SEARCH("R123",G279)),0)+IFERROR(--ISNUMBER(SEARCH("R124",G279)),0)+IFERROR(--ISNUMBER(SEARCH("R128",G279)),0)+IFERROR(--ISNUMBER(SEARCH("R130",G279)),0)+IFERROR(--ISNUMBER(SEARCH("R131",G279)),0)+IFERROR(--ISNUMBER(SEARCH("R132",G279)),0)+IFERROR(--ISNUMBER(SEARCH("R135",G279)),0)+IFERROR(--ISNUMBER(SEARCH("R138",G279)),0)+IFERROR(--ISNUMBER(SEARCH("R141",G279)),0))</f>
        <v/>
      </c>
      <c r="U279" s="58">
        <f>IF(A279="","",IFERROR(--ISNUMBER(SEARCH("R28",G279))*28,0)+IFERROR(--ISNUMBER(SEARCH("R29",G279))*29,0)+IFERROR(--ISNUMBER(SEARCH("R30",G279))*30,0)+IFERROR(--ISNUMBER(SEARCH("R31",G279))*31,0)+IFERROR(--ISNUMBER(SEARCH("R32",G279))*32,0)+IFERROR(--ISNUMBER(SEARCH("R33",G279))*33,0)+IFERROR(--ISNUMBER(SEARCH("R34",G279))*34,0)+IFERROR(--ISNUMBER(SEARCH("R35",G279))*35,0)+IFERROR(--ISNUMBER(SEARCH("R36",G279))*36,0)+IFERROR(--ISNUMBER(SEARCH("R37",G279))*37,0)+IFERROR(--ISNUMBER(SEARCH("R38",G279))*38,0)+IFERROR(--ISNUMBER(SEARCH("R39",G279))*39,0)+IFERROR(--ISNUMBER(SEARCH("R40",G279))*40,0)+IFERROR(--ISNUMBER(SEARCH("R41",G279))*41,0)+IFERROR(--ISNUMBER(SEARCH("R42",G279))*42,0)+IFERROR(--ISNUMBER(SEARCH("R43",G279))*43,0)+IFERROR(--ISNUMBER(SEARCH("R44",G279))*44,0)+IFERROR(--ISNUMBER(SEARCH("R45",G279))*45,0)+IFERROR(--ISNUMBER(SEARCH("R46",G279))*46,0)+IFERROR(--ISNUMBER(SEARCH("R47",G279))*47,0)+IFERROR(--ISNUMBER(SEARCH("R48",G279))*48,0)+IFERROR(--ISNUMBER(SEARCH("R49",G279))*49,0)+IFERROR(--ISNUMBER(SEARCH("R50",G279))*50,0)+IFERROR(--ISNUMBER(SEARCH("R51",G279))*51,0)+IFERROR(--ISNUMBER(SEARCH("R52",G279))*52,0)+IFERROR(--ISNUMBER(SEARCH("R53",G279))*53,0)+IFERROR(--ISNUMBER(SEARCH("R54",G279))*54,0)+IFERROR(--ISNUMBER(SEARCH("R55",G279))*55,0)+IFERROR(--ISNUMBER(SEARCH("R56",G279))*56,0)+IFERROR(--ISNUMBER(SEARCH("R57",G279))*57,0)+IFERROR(--ISNUMBER(SEARCH("R58",G279))*58,0)+IFERROR(--ISNUMBER(SEARCH("R59",G279))*59,0)+IFERROR(--ISNUMBER(SEARCH("R60",G279))*60,0)+IFERROR(--ISNUMBER(SEARCH("R61",G279))*61,0)+IFERROR(--ISNUMBER(SEARCH("R62",G279))*62,0)+IFERROR(--ISNUMBER(SEARCH("R63",G279))*63,0)+IFERROR(--ISNUMBER(SEARCH("R64",G279))*64,0)+IFERROR(--ISNUMBER(SEARCH("R65",G279))*65,0)+IFERROR(--ISNUMBER(SEARCH("R66",G279))*66,0)+IFERROR(--ISNUMBER(SEARCH("R67",G279))*67,0)+IFERROR(--ISNUMBER(SEARCH("R68",G279))*68,0)+IFERROR(--ISNUMBER(SEARCH("R69",G279))*69,0)+IFERROR(--ISNUMBER(SEARCH("R70",G279))*70,0)+IFERROR(--ISNUMBER(SEARCH("R71",G279))*71,0)+IFERROR(--ISNUMBER(SEARCH("R72",G279))*72,0)+IFERROR(--ISNUMBER(SEARCH("R73",G279))*73,0)+IFERROR(--ISNUMBER(SEARCH("R74",G279))*74,0)+IFERROR(--ISNUMBER(SEARCH("R75",G279))*75,0)+IFERROR(--ISNUMBER(SEARCH("R76",G279))*76,0)+IFERROR(--ISNUMBER(SEARCH("R77",G279))*77,0)+IFERROR(--ISNUMBER(SEARCH("R78",G279))*78,0)+IFERROR(--ISNUMBER(SEARCH("R79",G279))*79,0)+IFERROR(--ISNUMBER(SEARCH("R80",G279))*80,0)+IFERROR(--ISNUMBER(SEARCH("R81",G279))*81,0)+IFERROR(--ISNUMBER(SEARCH("R82",G279))*82,0)+IFERROR(--ISNUMBER(SEARCH("R83",G279))*83,0)+IFERROR(--ISNUMBER(SEARCH("R84",G279))*84,0)+IFERROR(--ISNUMBER(SEARCH("R85",G279))*85,0)+IFERROR(--ISNUMBER(SEARCH("R86",G279))*86,0)+IFERROR(--ISNUMBER(SEARCH("R87",G279))*87,0)+IFERROR(--ISNUMBER(SEARCH("R88",G279))*88,0)+IFERROR(--ISNUMBER(SEARCH("R89",G279))*89,0)+IFERROR(--ISNUMBER(SEARCH("R90",G279))*90,0)+IFERROR(--ISNUMBER(SEARCH("R91",G279))*91,0)+IFERROR(--ISNUMBER(SEARCH("R92",G279))*92,0)+IFERROR(--ISNUMBER(SEARCH("R93",G279))*93,0)+IFERROR(--ISNUMBER(SEARCH("R94",G279))*94,0)+IFERROR(--ISNUMBER(SEARCH("R95",G279))*95,0)+IFERROR(--ISNUMBER(SEARCH("R96",G279))*96,0)+IFERROR(--ISNUMBER(SEARCH("R97",G279))*97,0)+IFERROR(--ISNUMBER(SEARCH("R98",G279))*98,0)+IFERROR(--ISNUMBER(SEARCH("R99",G279))*99,0)+IFERROR(--ISNUMBER(SEARCH("R100",G279))*100,0)+IFERROR(--ISNUMBER(SEARCH("R101",G279))*101,0)+IFERROR(--ISNUMBER(SEARCH("R102",G279))*102,0)+IFERROR(--ISNUMBER(SEARCH("R103",G279))*103,0)+IFERROR(--ISNUMBER(SEARCH("R104",G279))*104,0)+IFERROR(--ISNUMBER(SEARCH("R105",G279))*105,0)+IFERROR(--ISNUMBER(SEARCH("R106",G279))*106,0)+IFERROR(--ISNUMBER(SEARCH("R107",G279))*107,0)+IFERROR(--ISNUMBER(SEARCH("R108",G279))*108,0)+IFERROR(--ISNUMBER(SEARCH("R109",G279))*109,0)+IFERROR(--ISNUMBER(SEARCH("R110",G279))*110,0)+IFERROR(--ISNUMBER(SEARCH("R111",G279))*111,0)+IFERROR(--ISNUMBER(SEARCH("R112",G279))*112,0)+IFERROR(--ISNUMBER(SEARCH("R113",G279))*113,0)+IFERROR(--ISNUMBER(SEARCH("R114",G279))*114,0)+IFERROR(--ISNUMBER(SEARCH("R115",G279))*115,0)+IFERROR(--ISNUMBER(SEARCH("R116",G279))*116,0)+IFERROR(--ISNUMBER(SEARCH("R117",G279))*117,0)+IFERROR(--ISNUMBER(SEARCH("R118",G279))*118,0)+IFERROR(--ISNUMBER(SEARCH("R119",G279))*119,0)+IFERROR(--ISNUMBER(SEARCH("R120",G279))*120,0)+IFERROR(--ISNUMBER(SEARCH("R121",G279))*121,0)+IFERROR(--ISNUMBER(SEARCH("R122",G279))*122,0)+IFERROR(--ISNUMBER(SEARCH("R123",G279))*123,0)+IFERROR(--ISNUMBER(SEARCH("R124",G279))*124,0)+IFERROR(--ISNUMBER(SEARCH("R125",G279))*125,0)+IFERROR(--ISNUMBER(SEARCH("R126",G279))*126,0)+IFERROR(--ISNUMBER(SEARCH("R127",G279))*127,0)+IFERROR(--ISNUMBER(SEARCH("R128",G279))*128,0)+IFERROR(--ISNUMBER(SEARCH("R129",G279))*129,0)+IFERROR(--ISNUMBER(SEARCH("R130",G279))*130,0)+IFERROR(--ISNUMBER(SEARCH("R131",G279))*131,0)+IFERROR(--ISNUMBER(SEARCH("R132",G279))*132,0)+IFERROR(--ISNUMBER(SEARCH("R133",G279))*133,0)+IFERROR(--ISNUMBER(SEARCH("R134",G279))*134,0)+IFERROR(--ISNUMBER(SEARCH("R135",G279))*135,0)+IFERROR(--ISNUMBER(SEARCH("R136",G279))*136,0)+IFERROR(--ISNUMBER(SEARCH("R137",G279))*137,0)+IFERROR(--ISNUMBER(SEARCH("R138",G279))*138,0)+IFERROR(--ISNUMBER(SEARCH("R139",G279))*139,0)+IFERROR(--ISNUMBER(SEARCH("R140",G279))*140,0)+IFERROR(--ISNUMBER(SEARCH("R141",G279))*141,0))</f>
        <v/>
      </c>
      <c r="V279" s="59">
        <f>IF(A279="","",IF(K279&lt;&gt;"",K279,J279))</f>
        <v/>
      </c>
      <c r="W279" s="59">
        <f>IF(A279="","",IF(AND(V279=29,O279&lt;&gt;"",COUNTIFS($V$6:$V$505,29,$F$6:$F$505,F279,$C$6:$C$505,C279,$O$6:$O$505,"&lt;&gt;")&gt;1),IF(COUNTIFS($V$6:V279,29,$F$6:F279,F279,$C$6:C279,C279,$O$6:O279,"&lt;&gt;")=1,"Esta es la fila que se debe CONSERVAR (aparición 1 de "&amp;COUNTIFS($V$6:$V$505,29,$F$6:$F$505,F279,$C$6:$C$505,C279,$O$6:$O$505,"&lt;&gt;")&amp;" con el mismo tercero y valor, casilla 29). Si hay más filas iguales, bórreles el valor a ELLAS, no a esta.","DUPLICADO — ya existe otra fila con el mismo tercero y valor para casilla 29 (aparición "&amp;COUNTIFS($V$6:V279,29,$F$6:F279,F279,$C$6:C279,C279,$O$6:O279,"&lt;&gt;")&amp;" de "&amp;COUNTIFS($V$6:$V$505,29,$F$6:$F$505,F279,$C$6:$C$505,C279,$O$6:$O$505,"&lt;&gt;")&amp;"). Para resolverlo: seleccione la celda O"&amp;ROW()&amp;" (columna Valor a declarar de ESTA fila) y presione Supr."),""))</f>
        <v/>
      </c>
      <c r="X279" s="463">
        <f>IF(A279="","",F279)</f>
        <v/>
      </c>
      <c r="Y279" s="463">
        <f>IF(A279="","",SUMIF(Entrada_Manual!$I$88:$I$187,A279,Entrada_Manual!$F$88:$F$187))</f>
        <v/>
      </c>
      <c r="Z279" s="463">
        <f>IF(A279="","",X279-Y279)</f>
        <v/>
      </c>
      <c r="AA279">
        <f>IF(A279="","",SUMPRODUCT((Entrada_Manual!$I$88:$I$187=A279)*1))</f>
        <v/>
      </c>
      <c r="AB279">
        <f>IF(A279="","",IF(S279&lt;=1,"",IF(AA279=0,"PENDIENTE — SIN ASIGNAR",IF(Z279=0,"RESUELTO","PARCIAL — DIFERENCIA "&amp;TEXT(Z279,"#,##0")))))</f>
        <v/>
      </c>
    </row>
    <row r="280" ht="14.25" customHeight="1" s="235">
      <c r="A280" s="47">
        <f>IF(Exogena_RAW!E289&lt;&gt;"",ROW()-5,"")</f>
        <v/>
      </c>
      <c r="B280" s="48">
        <f>IF(A280="","",289)</f>
        <v/>
      </c>
      <c r="C280" s="48">
        <f>IF(A280="","",IFERROR(Exogena_RAW!A289,""))</f>
        <v/>
      </c>
      <c r="D280" s="48">
        <f>IF(A280="","",IFERROR(Exogena_RAW!B289,""))</f>
        <v/>
      </c>
      <c r="E280" s="48">
        <f>IF(A280="","",Exogena_RAW!E289)</f>
        <v/>
      </c>
      <c r="F280" s="461">
        <f>IF(A280="","",Exogena_RAW!F289)</f>
        <v/>
      </c>
      <c r="G280" s="48">
        <f>IF(A280="","",IFERROR(Exogena_RAW!G289,""))</f>
        <v/>
      </c>
      <c r="H280" s="48">
        <f>IF(A280="","",IFERROR(Exogena_RAW!H289,""))</f>
        <v/>
      </c>
      <c r="I280" s="48">
        <f>IF(A280="","",IFERROR(IF(S280&gt;1,"VARIAS CASILLAS",IF(S280=1,IF(T280=1,"PROPUESTA DE CASILLA","REVISIÓN: CASILLA NO DIRECTA"),IF(OR(ISNUMBER(SEARCH("TOPE",UPPER(E280))),ISNUMBER(SEARCH("TOPE",UPPER(G280)))),"SOLO CONTROL",IF(ISNUMBER(SEARCH("RETEN",UPPER(E280))),"RETENCIÓN","REVISAR")))),"REVISAR"))</f>
        <v/>
      </c>
      <c r="J280" s="48">
        <f>IF(A280="","",IF(ISNUMBER(SEARCH("ingreso laboral promedio de los últimos seis meses",E280)),"",IFERROR(IF(AND(S280=1,T280=1),U280,""),"")))</f>
        <v/>
      </c>
      <c r="K280" s="216" t="n"/>
      <c r="L280" s="48">
        <f>IF(A280="","",IFERROR(IF(K280&lt;&gt;"","Casilla elegida por usuario",IF(S280&gt;1,"Varias casillas — elegir en K",IF(J280&lt;&gt;"","Sugerencia directa",IF(S280=1,"No trasladar directo — revisar",IF(OR(ISNUMBER(SEARCH("TOPE",UPPER(E280))),ISNUMBER(SEARCH("TOPE",UPPER(G280)))),"Solo control","Revisar manualmente"))))),"Revisar manualmente"))</f>
        <v/>
      </c>
      <c r="M280" s="461">
        <f>IF(A280="","",IF(IF(K280&lt;&gt;"",K280,J280)="",0,IF(COUNTIFS(Reglas!$I$5:$I$118,IF(K280&lt;&gt;"",K280,J280),Reglas!$J$5:$J$118,"Sí")=1,F280,0)))</f>
        <v/>
      </c>
      <c r="N280" s="56" t="n"/>
      <c r="O280" s="462">
        <f>IF(A280="","",IF(M280=0,"",M280))</f>
        <v/>
      </c>
      <c r="P280" s="461">
        <f>IF(A280="","",IF(O280="",0,IF(ISNUMBER(O280),O280,0)))</f>
        <v/>
      </c>
      <c r="Q280" s="48">
        <f>IF(A280="","",IF(Exogena_RAW!$C$4="","BLOQUEADO: FALTA AÑO",IF(Exogena_RAW!$K$10&lt;&gt;Reglas!$B$5,"BLOQUEADO: AÑO",IF(IF(K280&lt;&gt;"",K280,J280)="",IF(S280&gt;1,"REQUIERE ASIGNACIÓN MANUAL (VARIAS CASILLAS)","INFORMATIVO (sin casilla — no se declara)"),IF(COUNTIFS(Reglas!$I$5:$I$118,IF(K280&lt;&gt;"",K280,J280),Reglas!$J$5:$J$118,"Sí")=0,"BLOQUEADO: CASILLA NO DIRECTA",IF(O280="","EXCLUIDO (valor borrado por el usuario)",IF(_xlfn.ISFORMULA(O280),IF(W280&lt;&gt;"","BORRADOR — VALOR SUGERIDO DIAN ⚠ VER ALERTA","BORRADOR — VALOR SUGERIDO DIAN"),IF(W280&lt;&gt;"","ACEPTADO ⚠ VER ALERTA","ACEPTADO"))))))))</f>
        <v/>
      </c>
      <c r="R280" s="218" t="n"/>
      <c r="S280" s="58">
        <f>IF(A280="","",IFERROR(--ISNUMBER(SEARCH("R28",G280)),0)+IFERROR(--ISNUMBER(SEARCH("R29",G280)),0)+IFERROR(--ISNUMBER(SEARCH("R30",G280)),0)+IFERROR(--ISNUMBER(SEARCH("R31",G280)),0)+IFERROR(--ISNUMBER(SEARCH("R32",G280)),0)+IFERROR(--ISNUMBER(SEARCH("R33",G280)),0)+IFERROR(--ISNUMBER(SEARCH("R34",G280)),0)+IFERROR(--ISNUMBER(SEARCH("R35",G280)),0)+IFERROR(--ISNUMBER(SEARCH("R36",G280)),0)+IFERROR(--ISNUMBER(SEARCH("R37",G280)),0)+IFERROR(--ISNUMBER(SEARCH("R38",G280)),0)+IFERROR(--ISNUMBER(SEARCH("R39",G280)),0)+IFERROR(--ISNUMBER(SEARCH("R40",G280)),0)+IFERROR(--ISNUMBER(SEARCH("R41",G280)),0)+IFERROR(--ISNUMBER(SEARCH("R42",G280)),0)+IFERROR(--ISNUMBER(SEARCH("R43",G280)),0)+IFERROR(--ISNUMBER(SEARCH("R44",G280)),0)+IFERROR(--ISNUMBER(SEARCH("R45",G280)),0)+IFERROR(--ISNUMBER(SEARCH("R46",G280)),0)+IFERROR(--ISNUMBER(SEARCH("R47",G280)),0)+IFERROR(--ISNUMBER(SEARCH("R48",G280)),0)+IFERROR(--ISNUMBER(SEARCH("R49",G280)),0)+IFERROR(--ISNUMBER(SEARCH("R50",G280)),0)+IFERROR(--ISNUMBER(SEARCH("R51",G280)),0)+IFERROR(--ISNUMBER(SEARCH("R52",G280)),0)+IFERROR(--ISNUMBER(SEARCH("R53",G280)),0)+IFERROR(--ISNUMBER(SEARCH("R54",G280)),0)+IFERROR(--ISNUMBER(SEARCH("R55",G280)),0)+IFERROR(--ISNUMBER(SEARCH("R56",G280)),0)+IFERROR(--ISNUMBER(SEARCH("R57",G280)),0)+IFERROR(--ISNUMBER(SEARCH("R58",G280)),0)+IFERROR(--ISNUMBER(SEARCH("R59",G280)),0)+IFERROR(--ISNUMBER(SEARCH("R60",G280)),0)+IFERROR(--ISNUMBER(SEARCH("R61",G280)),0)+IFERROR(--ISNUMBER(SEARCH("R62",G280)),0)+IFERROR(--ISNUMBER(SEARCH("R63",G280)),0)+IFERROR(--ISNUMBER(SEARCH("R64",G280)),0)+IFERROR(--ISNUMBER(SEARCH("R65",G280)),0)+IFERROR(--ISNUMBER(SEARCH("R66",G280)),0)+IFERROR(--ISNUMBER(SEARCH("R67",G280)),0)+IFERROR(--ISNUMBER(SEARCH("R68",G280)),0)+IFERROR(--ISNUMBER(SEARCH("R69",G280)),0)+IFERROR(--ISNUMBER(SEARCH("R70",G280)),0)+IFERROR(--ISNUMBER(SEARCH("R71",G280)),0)+IFERROR(--ISNUMBER(SEARCH("R72",G280)),0)+IFERROR(--ISNUMBER(SEARCH("R73",G280)),0)+IFERROR(--ISNUMBER(SEARCH("R74",G280)),0)+IFERROR(--ISNUMBER(SEARCH("R75",G280)),0)+IFERROR(--ISNUMBER(SEARCH("R76",G280)),0)+IFERROR(--ISNUMBER(SEARCH("R77",G280)),0)+IFERROR(--ISNUMBER(SEARCH("R78",G280)),0)+IFERROR(--ISNUMBER(SEARCH("R79",G280)),0)+IFERROR(--ISNUMBER(SEARCH("R80",G280)),0)+IFERROR(--ISNUMBER(SEARCH("R81",G280)),0)+IFERROR(--ISNUMBER(SEARCH("R82",G280)),0)+IFERROR(--ISNUMBER(SEARCH("R83",G280)),0)+IFERROR(--ISNUMBER(SEARCH("R84",G280)),0)+IFERROR(--ISNUMBER(SEARCH("R85",G280)),0)+IFERROR(--ISNUMBER(SEARCH("R86",G280)),0)+IFERROR(--ISNUMBER(SEARCH("R87",G280)),0)+IFERROR(--ISNUMBER(SEARCH("R88",G280)),0)+IFERROR(--ISNUMBER(SEARCH("R89",G280)),0)+IFERROR(--ISNUMBER(SEARCH("R90",G280)),0)+IFERROR(--ISNUMBER(SEARCH("R91",G280)),0)+IFERROR(--ISNUMBER(SEARCH("R92",G280)),0)+IFERROR(--ISNUMBER(SEARCH("R93",G280)),0)+IFERROR(--ISNUMBER(SEARCH("R94",G280)),0)+IFERROR(--ISNUMBER(SEARCH("R95",G280)),0)+IFERROR(--ISNUMBER(SEARCH("R96",G280)),0)+IFERROR(--ISNUMBER(SEARCH("R97",G280)),0)+IFERROR(--ISNUMBER(SEARCH("R98",G280)),0)+IFERROR(--ISNUMBER(SEARCH("R99",G280)),0)+IFERROR(--ISNUMBER(SEARCH("R100",G280)),0)+IFERROR(--ISNUMBER(SEARCH("R101",G280)),0)+IFERROR(--ISNUMBER(SEARCH("R102",G280)),0)+IFERROR(--ISNUMBER(SEARCH("R103",G280)),0)+IFERROR(--ISNUMBER(SEARCH("R104",G280)),0)+IFERROR(--ISNUMBER(SEARCH("R105",G280)),0)+IFERROR(--ISNUMBER(SEARCH("R106",G280)),0)+IFERROR(--ISNUMBER(SEARCH("R107",G280)),0)+IFERROR(--ISNUMBER(SEARCH("R108",G280)),0)+IFERROR(--ISNUMBER(SEARCH("R109",G280)),0)+IFERROR(--ISNUMBER(SEARCH("R110",G280)),0)+IFERROR(--ISNUMBER(SEARCH("R111",G280)),0)+IFERROR(--ISNUMBER(SEARCH("R112",G280)),0)+IFERROR(--ISNUMBER(SEARCH("R113",G280)),0)+IFERROR(--ISNUMBER(SEARCH("R114",G280)),0)+IFERROR(--ISNUMBER(SEARCH("R115",G280)),0)+IFERROR(--ISNUMBER(SEARCH("R116",G280)),0)+IFERROR(--ISNUMBER(SEARCH("R117",G280)),0)+IFERROR(--ISNUMBER(SEARCH("R118",G280)),0)+IFERROR(--ISNUMBER(SEARCH("R119",G280)),0)+IFERROR(--ISNUMBER(SEARCH("R120",G280)),0)+IFERROR(--ISNUMBER(SEARCH("R121",G280)),0)+IFERROR(--ISNUMBER(SEARCH("R122",G280)),0)+IFERROR(--ISNUMBER(SEARCH("R123",G280)),0)+IFERROR(--ISNUMBER(SEARCH("R124",G280)),0)+IFERROR(--ISNUMBER(SEARCH("R125",G280)),0)+IFERROR(--ISNUMBER(SEARCH("R126",G280)),0)+IFERROR(--ISNUMBER(SEARCH("R127",G280)),0)+IFERROR(--ISNUMBER(SEARCH("R128",G280)),0)+IFERROR(--ISNUMBER(SEARCH("R129",G280)),0)+IFERROR(--ISNUMBER(SEARCH("R130",G280)),0)+IFERROR(--ISNUMBER(SEARCH("R131",G280)),0)+IFERROR(--ISNUMBER(SEARCH("R132",G280)),0)+IFERROR(--ISNUMBER(SEARCH("R133",G280)),0)+IFERROR(--ISNUMBER(SEARCH("R134",G280)),0)+IFERROR(--ISNUMBER(SEARCH("R135",G280)),0)+IFERROR(--ISNUMBER(SEARCH("R136",G280)),0)+IFERROR(--ISNUMBER(SEARCH("R137",G280)),0)+IFERROR(--ISNUMBER(SEARCH("R138",G280)),0)+IFERROR(--ISNUMBER(SEARCH("R139",G280)),0)+IFERROR(--ISNUMBER(SEARCH("R140",G280)),0)+IFERROR(--ISNUMBER(SEARCH("R141",G280)),0))</f>
        <v/>
      </c>
      <c r="T280" s="58">
        <f>IF(A280="","",IFERROR(--ISNUMBER(SEARCH("R28",G280)),0)+IFERROR(--ISNUMBER(SEARCH("R29",G280)),0)+IFERROR(--ISNUMBER(SEARCH("R30",G280)),0)+IFERROR(--ISNUMBER(SEARCH("R32",G280)),0)+IFERROR(--ISNUMBER(SEARCH("R33",G280)),0)+IFERROR(--ISNUMBER(SEARCH("R35",G280)),0)+IFERROR(--ISNUMBER(SEARCH("R36",G280)),0)+IFERROR(--ISNUMBER(SEARCH("R38",G280)),0)+IFERROR(--ISNUMBER(SEARCH("R39",G280)),0)+IFERROR(--ISNUMBER(SEARCH("R43",G280)),0)+IFERROR(--ISNUMBER(SEARCH("R44",G280)),0)+IFERROR(--ISNUMBER(SEARCH("R45",G280)),0)+IFERROR(--ISNUMBER(SEARCH("R47",G280)),0)+IFERROR(--ISNUMBER(SEARCH("R48",G280)),0)+IFERROR(--ISNUMBER(SEARCH("R50",G280)),0)+IFERROR(--ISNUMBER(SEARCH("R51",G280)),0)+IFERROR(--ISNUMBER(SEARCH("R56",G280)),0)+IFERROR(--ISNUMBER(SEARCH("R58",G280)),0)+IFERROR(--ISNUMBER(SEARCH("R59",G280)),0)+IFERROR(--ISNUMBER(SEARCH("R60",G280)),0)+IFERROR(--ISNUMBER(SEARCH("R62",G280)),0)+IFERROR(--ISNUMBER(SEARCH("R63",G280)),0)+IFERROR(--ISNUMBER(SEARCH("R64",G280)),0)+IFERROR(--ISNUMBER(SEARCH("R66",G280)),0)+IFERROR(--ISNUMBER(SEARCH("R67",G280)),0)+IFERROR(--ISNUMBER(SEARCH("R72",G280)),0)+IFERROR(--ISNUMBER(SEARCH("R74",G280)),0)+IFERROR(--ISNUMBER(SEARCH("R75",G280)),0)+IFERROR(--ISNUMBER(SEARCH("R76",G280)),0)+IFERROR(--ISNUMBER(SEARCH("R77",G280)),0)+IFERROR(--ISNUMBER(SEARCH("R79",G280)),0)+IFERROR(--ISNUMBER(SEARCH("R80",G280)),0)+IFERROR(--ISNUMBER(SEARCH("R81",G280)),0)+IFERROR(--ISNUMBER(SEARCH("R83",G280)),0)+IFERROR(--ISNUMBER(SEARCH("R84",G280)),0)+IFERROR(--ISNUMBER(SEARCH("R89",G280)),0)+IFERROR(--ISNUMBER(SEARCH("R94",G280)),0)+IFERROR(--ISNUMBER(SEARCH("R95",G280)),0)+IFERROR(--ISNUMBER(SEARCH("R96",G280)),0)+IFERROR(--ISNUMBER(SEARCH("R98",G280)),0)+IFERROR(--ISNUMBER(SEARCH("R99",G280)),0)+IFERROR(--ISNUMBER(SEARCH("R100",G280)),0)+IFERROR(--ISNUMBER(SEARCH("R104",G280)),0)+IFERROR(--ISNUMBER(SEARCH("R105",G280)),0)+IFERROR(--ISNUMBER(SEARCH("R107",G280)),0)+IFERROR(--ISNUMBER(SEARCH("R108",G280)),0)+IFERROR(--ISNUMBER(SEARCH("R109",G280)),0)+IFERROR(--ISNUMBER(SEARCH("R110",G280)),0)+IFERROR(--ISNUMBER(SEARCH("R112",G280)),0)+IFERROR(--ISNUMBER(SEARCH("R113",G280)),0)+IFERROR(--ISNUMBER(SEARCH("R114",G280)),0)+IFERROR(--ISNUMBER(SEARCH("R118",G280)),0)+IFERROR(--ISNUMBER(SEARCH("R119",G280)),0)+IFERROR(--ISNUMBER(SEARCH("R120",G280)),0)+IFERROR(--ISNUMBER(SEARCH("R122",G280)),0)+IFERROR(--ISNUMBER(SEARCH("R123",G280)),0)+IFERROR(--ISNUMBER(SEARCH("R124",G280)),0)+IFERROR(--ISNUMBER(SEARCH("R128",G280)),0)+IFERROR(--ISNUMBER(SEARCH("R130",G280)),0)+IFERROR(--ISNUMBER(SEARCH("R131",G280)),0)+IFERROR(--ISNUMBER(SEARCH("R132",G280)),0)+IFERROR(--ISNUMBER(SEARCH("R135",G280)),0)+IFERROR(--ISNUMBER(SEARCH("R138",G280)),0)+IFERROR(--ISNUMBER(SEARCH("R141",G280)),0))</f>
        <v/>
      </c>
      <c r="U280" s="58">
        <f>IF(A280="","",IFERROR(--ISNUMBER(SEARCH("R28",G280))*28,0)+IFERROR(--ISNUMBER(SEARCH("R29",G280))*29,0)+IFERROR(--ISNUMBER(SEARCH("R30",G280))*30,0)+IFERROR(--ISNUMBER(SEARCH("R31",G280))*31,0)+IFERROR(--ISNUMBER(SEARCH("R32",G280))*32,0)+IFERROR(--ISNUMBER(SEARCH("R33",G280))*33,0)+IFERROR(--ISNUMBER(SEARCH("R34",G280))*34,0)+IFERROR(--ISNUMBER(SEARCH("R35",G280))*35,0)+IFERROR(--ISNUMBER(SEARCH("R36",G280))*36,0)+IFERROR(--ISNUMBER(SEARCH("R37",G280))*37,0)+IFERROR(--ISNUMBER(SEARCH("R38",G280))*38,0)+IFERROR(--ISNUMBER(SEARCH("R39",G280))*39,0)+IFERROR(--ISNUMBER(SEARCH("R40",G280))*40,0)+IFERROR(--ISNUMBER(SEARCH("R41",G280))*41,0)+IFERROR(--ISNUMBER(SEARCH("R42",G280))*42,0)+IFERROR(--ISNUMBER(SEARCH("R43",G280))*43,0)+IFERROR(--ISNUMBER(SEARCH("R44",G280))*44,0)+IFERROR(--ISNUMBER(SEARCH("R45",G280))*45,0)+IFERROR(--ISNUMBER(SEARCH("R46",G280))*46,0)+IFERROR(--ISNUMBER(SEARCH("R47",G280))*47,0)+IFERROR(--ISNUMBER(SEARCH("R48",G280))*48,0)+IFERROR(--ISNUMBER(SEARCH("R49",G280))*49,0)+IFERROR(--ISNUMBER(SEARCH("R50",G280))*50,0)+IFERROR(--ISNUMBER(SEARCH("R51",G280))*51,0)+IFERROR(--ISNUMBER(SEARCH("R52",G280))*52,0)+IFERROR(--ISNUMBER(SEARCH("R53",G280))*53,0)+IFERROR(--ISNUMBER(SEARCH("R54",G280))*54,0)+IFERROR(--ISNUMBER(SEARCH("R55",G280))*55,0)+IFERROR(--ISNUMBER(SEARCH("R56",G280))*56,0)+IFERROR(--ISNUMBER(SEARCH("R57",G280))*57,0)+IFERROR(--ISNUMBER(SEARCH("R58",G280))*58,0)+IFERROR(--ISNUMBER(SEARCH("R59",G280))*59,0)+IFERROR(--ISNUMBER(SEARCH("R60",G280))*60,0)+IFERROR(--ISNUMBER(SEARCH("R61",G280))*61,0)+IFERROR(--ISNUMBER(SEARCH("R62",G280))*62,0)+IFERROR(--ISNUMBER(SEARCH("R63",G280))*63,0)+IFERROR(--ISNUMBER(SEARCH("R64",G280))*64,0)+IFERROR(--ISNUMBER(SEARCH("R65",G280))*65,0)+IFERROR(--ISNUMBER(SEARCH("R66",G280))*66,0)+IFERROR(--ISNUMBER(SEARCH("R67",G280))*67,0)+IFERROR(--ISNUMBER(SEARCH("R68",G280))*68,0)+IFERROR(--ISNUMBER(SEARCH("R69",G280))*69,0)+IFERROR(--ISNUMBER(SEARCH("R70",G280))*70,0)+IFERROR(--ISNUMBER(SEARCH("R71",G280))*71,0)+IFERROR(--ISNUMBER(SEARCH("R72",G280))*72,0)+IFERROR(--ISNUMBER(SEARCH("R73",G280))*73,0)+IFERROR(--ISNUMBER(SEARCH("R74",G280))*74,0)+IFERROR(--ISNUMBER(SEARCH("R75",G280))*75,0)+IFERROR(--ISNUMBER(SEARCH("R76",G280))*76,0)+IFERROR(--ISNUMBER(SEARCH("R77",G280))*77,0)+IFERROR(--ISNUMBER(SEARCH("R78",G280))*78,0)+IFERROR(--ISNUMBER(SEARCH("R79",G280))*79,0)+IFERROR(--ISNUMBER(SEARCH("R80",G280))*80,0)+IFERROR(--ISNUMBER(SEARCH("R81",G280))*81,0)+IFERROR(--ISNUMBER(SEARCH("R82",G280))*82,0)+IFERROR(--ISNUMBER(SEARCH("R83",G280))*83,0)+IFERROR(--ISNUMBER(SEARCH("R84",G280))*84,0)+IFERROR(--ISNUMBER(SEARCH("R85",G280))*85,0)+IFERROR(--ISNUMBER(SEARCH("R86",G280))*86,0)+IFERROR(--ISNUMBER(SEARCH("R87",G280))*87,0)+IFERROR(--ISNUMBER(SEARCH("R88",G280))*88,0)+IFERROR(--ISNUMBER(SEARCH("R89",G280))*89,0)+IFERROR(--ISNUMBER(SEARCH("R90",G280))*90,0)+IFERROR(--ISNUMBER(SEARCH("R91",G280))*91,0)+IFERROR(--ISNUMBER(SEARCH("R92",G280))*92,0)+IFERROR(--ISNUMBER(SEARCH("R93",G280))*93,0)+IFERROR(--ISNUMBER(SEARCH("R94",G280))*94,0)+IFERROR(--ISNUMBER(SEARCH("R95",G280))*95,0)+IFERROR(--ISNUMBER(SEARCH("R96",G280))*96,0)+IFERROR(--ISNUMBER(SEARCH("R97",G280))*97,0)+IFERROR(--ISNUMBER(SEARCH("R98",G280))*98,0)+IFERROR(--ISNUMBER(SEARCH("R99",G280))*99,0)+IFERROR(--ISNUMBER(SEARCH("R100",G280))*100,0)+IFERROR(--ISNUMBER(SEARCH("R101",G280))*101,0)+IFERROR(--ISNUMBER(SEARCH("R102",G280))*102,0)+IFERROR(--ISNUMBER(SEARCH("R103",G280))*103,0)+IFERROR(--ISNUMBER(SEARCH("R104",G280))*104,0)+IFERROR(--ISNUMBER(SEARCH("R105",G280))*105,0)+IFERROR(--ISNUMBER(SEARCH("R106",G280))*106,0)+IFERROR(--ISNUMBER(SEARCH("R107",G280))*107,0)+IFERROR(--ISNUMBER(SEARCH("R108",G280))*108,0)+IFERROR(--ISNUMBER(SEARCH("R109",G280))*109,0)+IFERROR(--ISNUMBER(SEARCH("R110",G280))*110,0)+IFERROR(--ISNUMBER(SEARCH("R111",G280))*111,0)+IFERROR(--ISNUMBER(SEARCH("R112",G280))*112,0)+IFERROR(--ISNUMBER(SEARCH("R113",G280))*113,0)+IFERROR(--ISNUMBER(SEARCH("R114",G280))*114,0)+IFERROR(--ISNUMBER(SEARCH("R115",G280))*115,0)+IFERROR(--ISNUMBER(SEARCH("R116",G280))*116,0)+IFERROR(--ISNUMBER(SEARCH("R117",G280))*117,0)+IFERROR(--ISNUMBER(SEARCH("R118",G280))*118,0)+IFERROR(--ISNUMBER(SEARCH("R119",G280))*119,0)+IFERROR(--ISNUMBER(SEARCH("R120",G280))*120,0)+IFERROR(--ISNUMBER(SEARCH("R121",G280))*121,0)+IFERROR(--ISNUMBER(SEARCH("R122",G280))*122,0)+IFERROR(--ISNUMBER(SEARCH("R123",G280))*123,0)+IFERROR(--ISNUMBER(SEARCH("R124",G280))*124,0)+IFERROR(--ISNUMBER(SEARCH("R125",G280))*125,0)+IFERROR(--ISNUMBER(SEARCH("R126",G280))*126,0)+IFERROR(--ISNUMBER(SEARCH("R127",G280))*127,0)+IFERROR(--ISNUMBER(SEARCH("R128",G280))*128,0)+IFERROR(--ISNUMBER(SEARCH("R129",G280))*129,0)+IFERROR(--ISNUMBER(SEARCH("R130",G280))*130,0)+IFERROR(--ISNUMBER(SEARCH("R131",G280))*131,0)+IFERROR(--ISNUMBER(SEARCH("R132",G280))*132,0)+IFERROR(--ISNUMBER(SEARCH("R133",G280))*133,0)+IFERROR(--ISNUMBER(SEARCH("R134",G280))*134,0)+IFERROR(--ISNUMBER(SEARCH("R135",G280))*135,0)+IFERROR(--ISNUMBER(SEARCH("R136",G280))*136,0)+IFERROR(--ISNUMBER(SEARCH("R137",G280))*137,0)+IFERROR(--ISNUMBER(SEARCH("R138",G280))*138,0)+IFERROR(--ISNUMBER(SEARCH("R139",G280))*139,0)+IFERROR(--ISNUMBER(SEARCH("R140",G280))*140,0)+IFERROR(--ISNUMBER(SEARCH("R141",G280))*141,0))</f>
        <v/>
      </c>
      <c r="V280" s="59">
        <f>IF(A280="","",IF(K280&lt;&gt;"",K280,J280))</f>
        <v/>
      </c>
      <c r="W280" s="59">
        <f>IF(A280="","",IF(AND(V280=29,O280&lt;&gt;"",COUNTIFS($V$6:$V$505,29,$F$6:$F$505,F280,$C$6:$C$505,C280,$O$6:$O$505,"&lt;&gt;")&gt;1),IF(COUNTIFS($V$6:V280,29,$F$6:F280,F280,$C$6:C280,C280,$O$6:O280,"&lt;&gt;")=1,"Esta es la fila que se debe CONSERVAR (aparición 1 de "&amp;COUNTIFS($V$6:$V$505,29,$F$6:$F$505,F280,$C$6:$C$505,C280,$O$6:$O$505,"&lt;&gt;")&amp;" con el mismo tercero y valor, casilla 29). Si hay más filas iguales, bórreles el valor a ELLAS, no a esta.","DUPLICADO — ya existe otra fila con el mismo tercero y valor para casilla 29 (aparición "&amp;COUNTIFS($V$6:V280,29,$F$6:F280,F280,$C$6:C280,C280,$O$6:O280,"&lt;&gt;")&amp;" de "&amp;COUNTIFS($V$6:$V$505,29,$F$6:$F$505,F280,$C$6:$C$505,C280,$O$6:$O$505,"&lt;&gt;")&amp;"). Para resolverlo: seleccione la celda O"&amp;ROW()&amp;" (columna Valor a declarar de ESTA fila) y presione Supr."),""))</f>
        <v/>
      </c>
      <c r="X280" s="463">
        <f>IF(A280="","",F280)</f>
        <v/>
      </c>
      <c r="Y280" s="463">
        <f>IF(A280="","",SUMIF(Entrada_Manual!$I$88:$I$187,A280,Entrada_Manual!$F$88:$F$187))</f>
        <v/>
      </c>
      <c r="Z280" s="463">
        <f>IF(A280="","",X280-Y280)</f>
        <v/>
      </c>
      <c r="AA280">
        <f>IF(A280="","",SUMPRODUCT((Entrada_Manual!$I$88:$I$187=A280)*1))</f>
        <v/>
      </c>
      <c r="AB280">
        <f>IF(A280="","",IF(S280&lt;=1,"",IF(AA280=0,"PENDIENTE — SIN ASIGNAR",IF(Z280=0,"RESUELTO","PARCIAL — DIFERENCIA "&amp;TEXT(Z280,"#,##0")))))</f>
        <v/>
      </c>
    </row>
    <row r="281" ht="14.25" customHeight="1" s="235">
      <c r="A281" s="47">
        <f>IF(Exogena_RAW!E290&lt;&gt;"",ROW()-5,"")</f>
        <v/>
      </c>
      <c r="B281" s="48">
        <f>IF(A281="","",290)</f>
        <v/>
      </c>
      <c r="C281" s="48">
        <f>IF(A281="","",IFERROR(Exogena_RAW!A290,""))</f>
        <v/>
      </c>
      <c r="D281" s="48">
        <f>IF(A281="","",IFERROR(Exogena_RAW!B290,""))</f>
        <v/>
      </c>
      <c r="E281" s="48">
        <f>IF(A281="","",Exogena_RAW!E290)</f>
        <v/>
      </c>
      <c r="F281" s="461">
        <f>IF(A281="","",Exogena_RAW!F290)</f>
        <v/>
      </c>
      <c r="G281" s="48">
        <f>IF(A281="","",IFERROR(Exogena_RAW!G290,""))</f>
        <v/>
      </c>
      <c r="H281" s="48">
        <f>IF(A281="","",IFERROR(Exogena_RAW!H290,""))</f>
        <v/>
      </c>
      <c r="I281" s="48">
        <f>IF(A281="","",IFERROR(IF(S281&gt;1,"VARIAS CASILLAS",IF(S281=1,IF(T281=1,"PROPUESTA DE CASILLA","REVISIÓN: CASILLA NO DIRECTA"),IF(OR(ISNUMBER(SEARCH("TOPE",UPPER(E281))),ISNUMBER(SEARCH("TOPE",UPPER(G281)))),"SOLO CONTROL",IF(ISNUMBER(SEARCH("RETEN",UPPER(E281))),"RETENCIÓN","REVISAR")))),"REVISAR"))</f>
        <v/>
      </c>
      <c r="J281" s="48">
        <f>IF(A281="","",IF(ISNUMBER(SEARCH("ingreso laboral promedio de los últimos seis meses",E281)),"",IFERROR(IF(AND(S281=1,T281=1),U281,""),"")))</f>
        <v/>
      </c>
      <c r="K281" s="216" t="n"/>
      <c r="L281" s="48">
        <f>IF(A281="","",IFERROR(IF(K281&lt;&gt;"","Casilla elegida por usuario",IF(S281&gt;1,"Varias casillas — elegir en K",IF(J281&lt;&gt;"","Sugerencia directa",IF(S281=1,"No trasladar directo — revisar",IF(OR(ISNUMBER(SEARCH("TOPE",UPPER(E281))),ISNUMBER(SEARCH("TOPE",UPPER(G281)))),"Solo control","Revisar manualmente"))))),"Revisar manualmente"))</f>
        <v/>
      </c>
      <c r="M281" s="461">
        <f>IF(A281="","",IF(IF(K281&lt;&gt;"",K281,J281)="",0,IF(COUNTIFS(Reglas!$I$5:$I$118,IF(K281&lt;&gt;"",K281,J281),Reglas!$J$5:$J$118,"Sí")=1,F281,0)))</f>
        <v/>
      </c>
      <c r="N281" s="56" t="n"/>
      <c r="O281" s="462">
        <f>IF(A281="","",IF(M281=0,"",M281))</f>
        <v/>
      </c>
      <c r="P281" s="461">
        <f>IF(A281="","",IF(O281="",0,IF(ISNUMBER(O281),O281,0)))</f>
        <v/>
      </c>
      <c r="Q281" s="48">
        <f>IF(A281="","",IF(Exogena_RAW!$C$4="","BLOQUEADO: FALTA AÑO",IF(Exogena_RAW!$K$10&lt;&gt;Reglas!$B$5,"BLOQUEADO: AÑO",IF(IF(K281&lt;&gt;"",K281,J281)="",IF(S281&gt;1,"REQUIERE ASIGNACIÓN MANUAL (VARIAS CASILLAS)","INFORMATIVO (sin casilla — no se declara)"),IF(COUNTIFS(Reglas!$I$5:$I$118,IF(K281&lt;&gt;"",K281,J281),Reglas!$J$5:$J$118,"Sí")=0,"BLOQUEADO: CASILLA NO DIRECTA",IF(O281="","EXCLUIDO (valor borrado por el usuario)",IF(_xlfn.ISFORMULA(O281),IF(W281&lt;&gt;"","BORRADOR — VALOR SUGERIDO DIAN ⚠ VER ALERTA","BORRADOR — VALOR SUGERIDO DIAN"),IF(W281&lt;&gt;"","ACEPTADO ⚠ VER ALERTA","ACEPTADO"))))))))</f>
        <v/>
      </c>
      <c r="R281" s="218" t="n"/>
      <c r="S281" s="58">
        <f>IF(A281="","",IFERROR(--ISNUMBER(SEARCH("R28",G281)),0)+IFERROR(--ISNUMBER(SEARCH("R29",G281)),0)+IFERROR(--ISNUMBER(SEARCH("R30",G281)),0)+IFERROR(--ISNUMBER(SEARCH("R31",G281)),0)+IFERROR(--ISNUMBER(SEARCH("R32",G281)),0)+IFERROR(--ISNUMBER(SEARCH("R33",G281)),0)+IFERROR(--ISNUMBER(SEARCH("R34",G281)),0)+IFERROR(--ISNUMBER(SEARCH("R35",G281)),0)+IFERROR(--ISNUMBER(SEARCH("R36",G281)),0)+IFERROR(--ISNUMBER(SEARCH("R37",G281)),0)+IFERROR(--ISNUMBER(SEARCH("R38",G281)),0)+IFERROR(--ISNUMBER(SEARCH("R39",G281)),0)+IFERROR(--ISNUMBER(SEARCH("R40",G281)),0)+IFERROR(--ISNUMBER(SEARCH("R41",G281)),0)+IFERROR(--ISNUMBER(SEARCH("R42",G281)),0)+IFERROR(--ISNUMBER(SEARCH("R43",G281)),0)+IFERROR(--ISNUMBER(SEARCH("R44",G281)),0)+IFERROR(--ISNUMBER(SEARCH("R45",G281)),0)+IFERROR(--ISNUMBER(SEARCH("R46",G281)),0)+IFERROR(--ISNUMBER(SEARCH("R47",G281)),0)+IFERROR(--ISNUMBER(SEARCH("R48",G281)),0)+IFERROR(--ISNUMBER(SEARCH("R49",G281)),0)+IFERROR(--ISNUMBER(SEARCH("R50",G281)),0)+IFERROR(--ISNUMBER(SEARCH("R51",G281)),0)+IFERROR(--ISNUMBER(SEARCH("R52",G281)),0)+IFERROR(--ISNUMBER(SEARCH("R53",G281)),0)+IFERROR(--ISNUMBER(SEARCH("R54",G281)),0)+IFERROR(--ISNUMBER(SEARCH("R55",G281)),0)+IFERROR(--ISNUMBER(SEARCH("R56",G281)),0)+IFERROR(--ISNUMBER(SEARCH("R57",G281)),0)+IFERROR(--ISNUMBER(SEARCH("R58",G281)),0)+IFERROR(--ISNUMBER(SEARCH("R59",G281)),0)+IFERROR(--ISNUMBER(SEARCH("R60",G281)),0)+IFERROR(--ISNUMBER(SEARCH("R61",G281)),0)+IFERROR(--ISNUMBER(SEARCH("R62",G281)),0)+IFERROR(--ISNUMBER(SEARCH("R63",G281)),0)+IFERROR(--ISNUMBER(SEARCH("R64",G281)),0)+IFERROR(--ISNUMBER(SEARCH("R65",G281)),0)+IFERROR(--ISNUMBER(SEARCH("R66",G281)),0)+IFERROR(--ISNUMBER(SEARCH("R67",G281)),0)+IFERROR(--ISNUMBER(SEARCH("R68",G281)),0)+IFERROR(--ISNUMBER(SEARCH("R69",G281)),0)+IFERROR(--ISNUMBER(SEARCH("R70",G281)),0)+IFERROR(--ISNUMBER(SEARCH("R71",G281)),0)+IFERROR(--ISNUMBER(SEARCH("R72",G281)),0)+IFERROR(--ISNUMBER(SEARCH("R73",G281)),0)+IFERROR(--ISNUMBER(SEARCH("R74",G281)),0)+IFERROR(--ISNUMBER(SEARCH("R75",G281)),0)+IFERROR(--ISNUMBER(SEARCH("R76",G281)),0)+IFERROR(--ISNUMBER(SEARCH("R77",G281)),0)+IFERROR(--ISNUMBER(SEARCH("R78",G281)),0)+IFERROR(--ISNUMBER(SEARCH("R79",G281)),0)+IFERROR(--ISNUMBER(SEARCH("R80",G281)),0)+IFERROR(--ISNUMBER(SEARCH("R81",G281)),0)+IFERROR(--ISNUMBER(SEARCH("R82",G281)),0)+IFERROR(--ISNUMBER(SEARCH("R83",G281)),0)+IFERROR(--ISNUMBER(SEARCH("R84",G281)),0)+IFERROR(--ISNUMBER(SEARCH("R85",G281)),0)+IFERROR(--ISNUMBER(SEARCH("R86",G281)),0)+IFERROR(--ISNUMBER(SEARCH("R87",G281)),0)+IFERROR(--ISNUMBER(SEARCH("R88",G281)),0)+IFERROR(--ISNUMBER(SEARCH("R89",G281)),0)+IFERROR(--ISNUMBER(SEARCH("R90",G281)),0)+IFERROR(--ISNUMBER(SEARCH("R91",G281)),0)+IFERROR(--ISNUMBER(SEARCH("R92",G281)),0)+IFERROR(--ISNUMBER(SEARCH("R93",G281)),0)+IFERROR(--ISNUMBER(SEARCH("R94",G281)),0)+IFERROR(--ISNUMBER(SEARCH("R95",G281)),0)+IFERROR(--ISNUMBER(SEARCH("R96",G281)),0)+IFERROR(--ISNUMBER(SEARCH("R97",G281)),0)+IFERROR(--ISNUMBER(SEARCH("R98",G281)),0)+IFERROR(--ISNUMBER(SEARCH("R99",G281)),0)+IFERROR(--ISNUMBER(SEARCH("R100",G281)),0)+IFERROR(--ISNUMBER(SEARCH("R101",G281)),0)+IFERROR(--ISNUMBER(SEARCH("R102",G281)),0)+IFERROR(--ISNUMBER(SEARCH("R103",G281)),0)+IFERROR(--ISNUMBER(SEARCH("R104",G281)),0)+IFERROR(--ISNUMBER(SEARCH("R105",G281)),0)+IFERROR(--ISNUMBER(SEARCH("R106",G281)),0)+IFERROR(--ISNUMBER(SEARCH("R107",G281)),0)+IFERROR(--ISNUMBER(SEARCH("R108",G281)),0)+IFERROR(--ISNUMBER(SEARCH("R109",G281)),0)+IFERROR(--ISNUMBER(SEARCH("R110",G281)),0)+IFERROR(--ISNUMBER(SEARCH("R111",G281)),0)+IFERROR(--ISNUMBER(SEARCH("R112",G281)),0)+IFERROR(--ISNUMBER(SEARCH("R113",G281)),0)+IFERROR(--ISNUMBER(SEARCH("R114",G281)),0)+IFERROR(--ISNUMBER(SEARCH("R115",G281)),0)+IFERROR(--ISNUMBER(SEARCH("R116",G281)),0)+IFERROR(--ISNUMBER(SEARCH("R117",G281)),0)+IFERROR(--ISNUMBER(SEARCH("R118",G281)),0)+IFERROR(--ISNUMBER(SEARCH("R119",G281)),0)+IFERROR(--ISNUMBER(SEARCH("R120",G281)),0)+IFERROR(--ISNUMBER(SEARCH("R121",G281)),0)+IFERROR(--ISNUMBER(SEARCH("R122",G281)),0)+IFERROR(--ISNUMBER(SEARCH("R123",G281)),0)+IFERROR(--ISNUMBER(SEARCH("R124",G281)),0)+IFERROR(--ISNUMBER(SEARCH("R125",G281)),0)+IFERROR(--ISNUMBER(SEARCH("R126",G281)),0)+IFERROR(--ISNUMBER(SEARCH("R127",G281)),0)+IFERROR(--ISNUMBER(SEARCH("R128",G281)),0)+IFERROR(--ISNUMBER(SEARCH("R129",G281)),0)+IFERROR(--ISNUMBER(SEARCH("R130",G281)),0)+IFERROR(--ISNUMBER(SEARCH("R131",G281)),0)+IFERROR(--ISNUMBER(SEARCH("R132",G281)),0)+IFERROR(--ISNUMBER(SEARCH("R133",G281)),0)+IFERROR(--ISNUMBER(SEARCH("R134",G281)),0)+IFERROR(--ISNUMBER(SEARCH("R135",G281)),0)+IFERROR(--ISNUMBER(SEARCH("R136",G281)),0)+IFERROR(--ISNUMBER(SEARCH("R137",G281)),0)+IFERROR(--ISNUMBER(SEARCH("R138",G281)),0)+IFERROR(--ISNUMBER(SEARCH("R139",G281)),0)+IFERROR(--ISNUMBER(SEARCH("R140",G281)),0)+IFERROR(--ISNUMBER(SEARCH("R141",G281)),0))</f>
        <v/>
      </c>
      <c r="T281" s="58">
        <f>IF(A281="","",IFERROR(--ISNUMBER(SEARCH("R28",G281)),0)+IFERROR(--ISNUMBER(SEARCH("R29",G281)),0)+IFERROR(--ISNUMBER(SEARCH("R30",G281)),0)+IFERROR(--ISNUMBER(SEARCH("R32",G281)),0)+IFERROR(--ISNUMBER(SEARCH("R33",G281)),0)+IFERROR(--ISNUMBER(SEARCH("R35",G281)),0)+IFERROR(--ISNUMBER(SEARCH("R36",G281)),0)+IFERROR(--ISNUMBER(SEARCH("R38",G281)),0)+IFERROR(--ISNUMBER(SEARCH("R39",G281)),0)+IFERROR(--ISNUMBER(SEARCH("R43",G281)),0)+IFERROR(--ISNUMBER(SEARCH("R44",G281)),0)+IFERROR(--ISNUMBER(SEARCH("R45",G281)),0)+IFERROR(--ISNUMBER(SEARCH("R47",G281)),0)+IFERROR(--ISNUMBER(SEARCH("R48",G281)),0)+IFERROR(--ISNUMBER(SEARCH("R50",G281)),0)+IFERROR(--ISNUMBER(SEARCH("R51",G281)),0)+IFERROR(--ISNUMBER(SEARCH("R56",G281)),0)+IFERROR(--ISNUMBER(SEARCH("R58",G281)),0)+IFERROR(--ISNUMBER(SEARCH("R59",G281)),0)+IFERROR(--ISNUMBER(SEARCH("R60",G281)),0)+IFERROR(--ISNUMBER(SEARCH("R62",G281)),0)+IFERROR(--ISNUMBER(SEARCH("R63",G281)),0)+IFERROR(--ISNUMBER(SEARCH("R64",G281)),0)+IFERROR(--ISNUMBER(SEARCH("R66",G281)),0)+IFERROR(--ISNUMBER(SEARCH("R67",G281)),0)+IFERROR(--ISNUMBER(SEARCH("R72",G281)),0)+IFERROR(--ISNUMBER(SEARCH("R74",G281)),0)+IFERROR(--ISNUMBER(SEARCH("R75",G281)),0)+IFERROR(--ISNUMBER(SEARCH("R76",G281)),0)+IFERROR(--ISNUMBER(SEARCH("R77",G281)),0)+IFERROR(--ISNUMBER(SEARCH("R79",G281)),0)+IFERROR(--ISNUMBER(SEARCH("R80",G281)),0)+IFERROR(--ISNUMBER(SEARCH("R81",G281)),0)+IFERROR(--ISNUMBER(SEARCH("R83",G281)),0)+IFERROR(--ISNUMBER(SEARCH("R84",G281)),0)+IFERROR(--ISNUMBER(SEARCH("R89",G281)),0)+IFERROR(--ISNUMBER(SEARCH("R94",G281)),0)+IFERROR(--ISNUMBER(SEARCH("R95",G281)),0)+IFERROR(--ISNUMBER(SEARCH("R96",G281)),0)+IFERROR(--ISNUMBER(SEARCH("R98",G281)),0)+IFERROR(--ISNUMBER(SEARCH("R99",G281)),0)+IFERROR(--ISNUMBER(SEARCH("R100",G281)),0)+IFERROR(--ISNUMBER(SEARCH("R104",G281)),0)+IFERROR(--ISNUMBER(SEARCH("R105",G281)),0)+IFERROR(--ISNUMBER(SEARCH("R107",G281)),0)+IFERROR(--ISNUMBER(SEARCH("R108",G281)),0)+IFERROR(--ISNUMBER(SEARCH("R109",G281)),0)+IFERROR(--ISNUMBER(SEARCH("R110",G281)),0)+IFERROR(--ISNUMBER(SEARCH("R112",G281)),0)+IFERROR(--ISNUMBER(SEARCH("R113",G281)),0)+IFERROR(--ISNUMBER(SEARCH("R114",G281)),0)+IFERROR(--ISNUMBER(SEARCH("R118",G281)),0)+IFERROR(--ISNUMBER(SEARCH("R119",G281)),0)+IFERROR(--ISNUMBER(SEARCH("R120",G281)),0)+IFERROR(--ISNUMBER(SEARCH("R122",G281)),0)+IFERROR(--ISNUMBER(SEARCH("R123",G281)),0)+IFERROR(--ISNUMBER(SEARCH("R124",G281)),0)+IFERROR(--ISNUMBER(SEARCH("R128",G281)),0)+IFERROR(--ISNUMBER(SEARCH("R130",G281)),0)+IFERROR(--ISNUMBER(SEARCH("R131",G281)),0)+IFERROR(--ISNUMBER(SEARCH("R132",G281)),0)+IFERROR(--ISNUMBER(SEARCH("R135",G281)),0)+IFERROR(--ISNUMBER(SEARCH("R138",G281)),0)+IFERROR(--ISNUMBER(SEARCH("R141",G281)),0))</f>
        <v/>
      </c>
      <c r="U281" s="58">
        <f>IF(A281="","",IFERROR(--ISNUMBER(SEARCH("R28",G281))*28,0)+IFERROR(--ISNUMBER(SEARCH("R29",G281))*29,0)+IFERROR(--ISNUMBER(SEARCH("R30",G281))*30,0)+IFERROR(--ISNUMBER(SEARCH("R31",G281))*31,0)+IFERROR(--ISNUMBER(SEARCH("R32",G281))*32,0)+IFERROR(--ISNUMBER(SEARCH("R33",G281))*33,0)+IFERROR(--ISNUMBER(SEARCH("R34",G281))*34,0)+IFERROR(--ISNUMBER(SEARCH("R35",G281))*35,0)+IFERROR(--ISNUMBER(SEARCH("R36",G281))*36,0)+IFERROR(--ISNUMBER(SEARCH("R37",G281))*37,0)+IFERROR(--ISNUMBER(SEARCH("R38",G281))*38,0)+IFERROR(--ISNUMBER(SEARCH("R39",G281))*39,0)+IFERROR(--ISNUMBER(SEARCH("R40",G281))*40,0)+IFERROR(--ISNUMBER(SEARCH("R41",G281))*41,0)+IFERROR(--ISNUMBER(SEARCH("R42",G281))*42,0)+IFERROR(--ISNUMBER(SEARCH("R43",G281))*43,0)+IFERROR(--ISNUMBER(SEARCH("R44",G281))*44,0)+IFERROR(--ISNUMBER(SEARCH("R45",G281))*45,0)+IFERROR(--ISNUMBER(SEARCH("R46",G281))*46,0)+IFERROR(--ISNUMBER(SEARCH("R47",G281))*47,0)+IFERROR(--ISNUMBER(SEARCH("R48",G281))*48,0)+IFERROR(--ISNUMBER(SEARCH("R49",G281))*49,0)+IFERROR(--ISNUMBER(SEARCH("R50",G281))*50,0)+IFERROR(--ISNUMBER(SEARCH("R51",G281))*51,0)+IFERROR(--ISNUMBER(SEARCH("R52",G281))*52,0)+IFERROR(--ISNUMBER(SEARCH("R53",G281))*53,0)+IFERROR(--ISNUMBER(SEARCH("R54",G281))*54,0)+IFERROR(--ISNUMBER(SEARCH("R55",G281))*55,0)+IFERROR(--ISNUMBER(SEARCH("R56",G281))*56,0)+IFERROR(--ISNUMBER(SEARCH("R57",G281))*57,0)+IFERROR(--ISNUMBER(SEARCH("R58",G281))*58,0)+IFERROR(--ISNUMBER(SEARCH("R59",G281))*59,0)+IFERROR(--ISNUMBER(SEARCH("R60",G281))*60,0)+IFERROR(--ISNUMBER(SEARCH("R61",G281))*61,0)+IFERROR(--ISNUMBER(SEARCH("R62",G281))*62,0)+IFERROR(--ISNUMBER(SEARCH("R63",G281))*63,0)+IFERROR(--ISNUMBER(SEARCH("R64",G281))*64,0)+IFERROR(--ISNUMBER(SEARCH("R65",G281))*65,0)+IFERROR(--ISNUMBER(SEARCH("R66",G281))*66,0)+IFERROR(--ISNUMBER(SEARCH("R67",G281))*67,0)+IFERROR(--ISNUMBER(SEARCH("R68",G281))*68,0)+IFERROR(--ISNUMBER(SEARCH("R69",G281))*69,0)+IFERROR(--ISNUMBER(SEARCH("R70",G281))*70,0)+IFERROR(--ISNUMBER(SEARCH("R71",G281))*71,0)+IFERROR(--ISNUMBER(SEARCH("R72",G281))*72,0)+IFERROR(--ISNUMBER(SEARCH("R73",G281))*73,0)+IFERROR(--ISNUMBER(SEARCH("R74",G281))*74,0)+IFERROR(--ISNUMBER(SEARCH("R75",G281))*75,0)+IFERROR(--ISNUMBER(SEARCH("R76",G281))*76,0)+IFERROR(--ISNUMBER(SEARCH("R77",G281))*77,0)+IFERROR(--ISNUMBER(SEARCH("R78",G281))*78,0)+IFERROR(--ISNUMBER(SEARCH("R79",G281))*79,0)+IFERROR(--ISNUMBER(SEARCH("R80",G281))*80,0)+IFERROR(--ISNUMBER(SEARCH("R81",G281))*81,0)+IFERROR(--ISNUMBER(SEARCH("R82",G281))*82,0)+IFERROR(--ISNUMBER(SEARCH("R83",G281))*83,0)+IFERROR(--ISNUMBER(SEARCH("R84",G281))*84,0)+IFERROR(--ISNUMBER(SEARCH("R85",G281))*85,0)+IFERROR(--ISNUMBER(SEARCH("R86",G281))*86,0)+IFERROR(--ISNUMBER(SEARCH("R87",G281))*87,0)+IFERROR(--ISNUMBER(SEARCH("R88",G281))*88,0)+IFERROR(--ISNUMBER(SEARCH("R89",G281))*89,0)+IFERROR(--ISNUMBER(SEARCH("R90",G281))*90,0)+IFERROR(--ISNUMBER(SEARCH("R91",G281))*91,0)+IFERROR(--ISNUMBER(SEARCH("R92",G281))*92,0)+IFERROR(--ISNUMBER(SEARCH("R93",G281))*93,0)+IFERROR(--ISNUMBER(SEARCH("R94",G281))*94,0)+IFERROR(--ISNUMBER(SEARCH("R95",G281))*95,0)+IFERROR(--ISNUMBER(SEARCH("R96",G281))*96,0)+IFERROR(--ISNUMBER(SEARCH("R97",G281))*97,0)+IFERROR(--ISNUMBER(SEARCH("R98",G281))*98,0)+IFERROR(--ISNUMBER(SEARCH("R99",G281))*99,0)+IFERROR(--ISNUMBER(SEARCH("R100",G281))*100,0)+IFERROR(--ISNUMBER(SEARCH("R101",G281))*101,0)+IFERROR(--ISNUMBER(SEARCH("R102",G281))*102,0)+IFERROR(--ISNUMBER(SEARCH("R103",G281))*103,0)+IFERROR(--ISNUMBER(SEARCH("R104",G281))*104,0)+IFERROR(--ISNUMBER(SEARCH("R105",G281))*105,0)+IFERROR(--ISNUMBER(SEARCH("R106",G281))*106,0)+IFERROR(--ISNUMBER(SEARCH("R107",G281))*107,0)+IFERROR(--ISNUMBER(SEARCH("R108",G281))*108,0)+IFERROR(--ISNUMBER(SEARCH("R109",G281))*109,0)+IFERROR(--ISNUMBER(SEARCH("R110",G281))*110,0)+IFERROR(--ISNUMBER(SEARCH("R111",G281))*111,0)+IFERROR(--ISNUMBER(SEARCH("R112",G281))*112,0)+IFERROR(--ISNUMBER(SEARCH("R113",G281))*113,0)+IFERROR(--ISNUMBER(SEARCH("R114",G281))*114,0)+IFERROR(--ISNUMBER(SEARCH("R115",G281))*115,0)+IFERROR(--ISNUMBER(SEARCH("R116",G281))*116,0)+IFERROR(--ISNUMBER(SEARCH("R117",G281))*117,0)+IFERROR(--ISNUMBER(SEARCH("R118",G281))*118,0)+IFERROR(--ISNUMBER(SEARCH("R119",G281))*119,0)+IFERROR(--ISNUMBER(SEARCH("R120",G281))*120,0)+IFERROR(--ISNUMBER(SEARCH("R121",G281))*121,0)+IFERROR(--ISNUMBER(SEARCH("R122",G281))*122,0)+IFERROR(--ISNUMBER(SEARCH("R123",G281))*123,0)+IFERROR(--ISNUMBER(SEARCH("R124",G281))*124,0)+IFERROR(--ISNUMBER(SEARCH("R125",G281))*125,0)+IFERROR(--ISNUMBER(SEARCH("R126",G281))*126,0)+IFERROR(--ISNUMBER(SEARCH("R127",G281))*127,0)+IFERROR(--ISNUMBER(SEARCH("R128",G281))*128,0)+IFERROR(--ISNUMBER(SEARCH("R129",G281))*129,0)+IFERROR(--ISNUMBER(SEARCH("R130",G281))*130,0)+IFERROR(--ISNUMBER(SEARCH("R131",G281))*131,0)+IFERROR(--ISNUMBER(SEARCH("R132",G281))*132,0)+IFERROR(--ISNUMBER(SEARCH("R133",G281))*133,0)+IFERROR(--ISNUMBER(SEARCH("R134",G281))*134,0)+IFERROR(--ISNUMBER(SEARCH("R135",G281))*135,0)+IFERROR(--ISNUMBER(SEARCH("R136",G281))*136,0)+IFERROR(--ISNUMBER(SEARCH("R137",G281))*137,0)+IFERROR(--ISNUMBER(SEARCH("R138",G281))*138,0)+IFERROR(--ISNUMBER(SEARCH("R139",G281))*139,0)+IFERROR(--ISNUMBER(SEARCH("R140",G281))*140,0)+IFERROR(--ISNUMBER(SEARCH("R141",G281))*141,0))</f>
        <v/>
      </c>
      <c r="V281" s="59">
        <f>IF(A281="","",IF(K281&lt;&gt;"",K281,J281))</f>
        <v/>
      </c>
      <c r="W281" s="59">
        <f>IF(A281="","",IF(AND(V281=29,O281&lt;&gt;"",COUNTIFS($V$6:$V$505,29,$F$6:$F$505,F281,$C$6:$C$505,C281,$O$6:$O$505,"&lt;&gt;")&gt;1),IF(COUNTIFS($V$6:V281,29,$F$6:F281,F281,$C$6:C281,C281,$O$6:O281,"&lt;&gt;")=1,"Esta es la fila que se debe CONSERVAR (aparición 1 de "&amp;COUNTIFS($V$6:$V$505,29,$F$6:$F$505,F281,$C$6:$C$505,C281,$O$6:$O$505,"&lt;&gt;")&amp;" con el mismo tercero y valor, casilla 29). Si hay más filas iguales, bórreles el valor a ELLAS, no a esta.","DUPLICADO — ya existe otra fila con el mismo tercero y valor para casilla 29 (aparición "&amp;COUNTIFS($V$6:V281,29,$F$6:F281,F281,$C$6:C281,C281,$O$6:O281,"&lt;&gt;")&amp;" de "&amp;COUNTIFS($V$6:$V$505,29,$F$6:$F$505,F281,$C$6:$C$505,C281,$O$6:$O$505,"&lt;&gt;")&amp;"). Para resolverlo: seleccione la celda O"&amp;ROW()&amp;" (columna Valor a declarar de ESTA fila) y presione Supr."),""))</f>
        <v/>
      </c>
      <c r="X281" s="463">
        <f>IF(A281="","",F281)</f>
        <v/>
      </c>
      <c r="Y281" s="463">
        <f>IF(A281="","",SUMIF(Entrada_Manual!$I$88:$I$187,A281,Entrada_Manual!$F$88:$F$187))</f>
        <v/>
      </c>
      <c r="Z281" s="463">
        <f>IF(A281="","",X281-Y281)</f>
        <v/>
      </c>
      <c r="AA281">
        <f>IF(A281="","",SUMPRODUCT((Entrada_Manual!$I$88:$I$187=A281)*1))</f>
        <v/>
      </c>
      <c r="AB281">
        <f>IF(A281="","",IF(S281&lt;=1,"",IF(AA281=0,"PENDIENTE — SIN ASIGNAR",IF(Z281=0,"RESUELTO","PARCIAL — DIFERENCIA "&amp;TEXT(Z281,"#,##0")))))</f>
        <v/>
      </c>
    </row>
    <row r="282" ht="14.25" customHeight="1" s="235">
      <c r="A282" s="47">
        <f>IF(Exogena_RAW!E291&lt;&gt;"",ROW()-5,"")</f>
        <v/>
      </c>
      <c r="B282" s="48">
        <f>IF(A282="","",291)</f>
        <v/>
      </c>
      <c r="C282" s="48">
        <f>IF(A282="","",IFERROR(Exogena_RAW!A291,""))</f>
        <v/>
      </c>
      <c r="D282" s="48">
        <f>IF(A282="","",IFERROR(Exogena_RAW!B291,""))</f>
        <v/>
      </c>
      <c r="E282" s="48">
        <f>IF(A282="","",Exogena_RAW!E291)</f>
        <v/>
      </c>
      <c r="F282" s="461">
        <f>IF(A282="","",Exogena_RAW!F291)</f>
        <v/>
      </c>
      <c r="G282" s="48">
        <f>IF(A282="","",IFERROR(Exogena_RAW!G291,""))</f>
        <v/>
      </c>
      <c r="H282" s="48">
        <f>IF(A282="","",IFERROR(Exogena_RAW!H291,""))</f>
        <v/>
      </c>
      <c r="I282" s="48">
        <f>IF(A282="","",IFERROR(IF(S282&gt;1,"VARIAS CASILLAS",IF(S282=1,IF(T282=1,"PROPUESTA DE CASILLA","REVISIÓN: CASILLA NO DIRECTA"),IF(OR(ISNUMBER(SEARCH("TOPE",UPPER(E282))),ISNUMBER(SEARCH("TOPE",UPPER(G282)))),"SOLO CONTROL",IF(ISNUMBER(SEARCH("RETEN",UPPER(E282))),"RETENCIÓN","REVISAR")))),"REVISAR"))</f>
        <v/>
      </c>
      <c r="J282" s="48">
        <f>IF(A282="","",IF(ISNUMBER(SEARCH("ingreso laboral promedio de los últimos seis meses",E282)),"",IFERROR(IF(AND(S282=1,T282=1),U282,""),"")))</f>
        <v/>
      </c>
      <c r="K282" s="216" t="n"/>
      <c r="L282" s="48">
        <f>IF(A282="","",IFERROR(IF(K282&lt;&gt;"","Casilla elegida por usuario",IF(S282&gt;1,"Varias casillas — elegir en K",IF(J282&lt;&gt;"","Sugerencia directa",IF(S282=1,"No trasladar directo — revisar",IF(OR(ISNUMBER(SEARCH("TOPE",UPPER(E282))),ISNUMBER(SEARCH("TOPE",UPPER(G282)))),"Solo control","Revisar manualmente"))))),"Revisar manualmente"))</f>
        <v/>
      </c>
      <c r="M282" s="461">
        <f>IF(A282="","",IF(IF(K282&lt;&gt;"",K282,J282)="",0,IF(COUNTIFS(Reglas!$I$5:$I$118,IF(K282&lt;&gt;"",K282,J282),Reglas!$J$5:$J$118,"Sí")=1,F282,0)))</f>
        <v/>
      </c>
      <c r="N282" s="56" t="n"/>
      <c r="O282" s="462">
        <f>IF(A282="","",IF(M282=0,"",M282))</f>
        <v/>
      </c>
      <c r="P282" s="461">
        <f>IF(A282="","",IF(O282="",0,IF(ISNUMBER(O282),O282,0)))</f>
        <v/>
      </c>
      <c r="Q282" s="48">
        <f>IF(A282="","",IF(Exogena_RAW!$C$4="","BLOQUEADO: FALTA AÑO",IF(Exogena_RAW!$K$10&lt;&gt;Reglas!$B$5,"BLOQUEADO: AÑO",IF(IF(K282&lt;&gt;"",K282,J282)="",IF(S282&gt;1,"REQUIERE ASIGNACIÓN MANUAL (VARIAS CASILLAS)","INFORMATIVO (sin casilla — no se declara)"),IF(COUNTIFS(Reglas!$I$5:$I$118,IF(K282&lt;&gt;"",K282,J282),Reglas!$J$5:$J$118,"Sí")=0,"BLOQUEADO: CASILLA NO DIRECTA",IF(O282="","EXCLUIDO (valor borrado por el usuario)",IF(_xlfn.ISFORMULA(O282),IF(W282&lt;&gt;"","BORRADOR — VALOR SUGERIDO DIAN ⚠ VER ALERTA","BORRADOR — VALOR SUGERIDO DIAN"),IF(W282&lt;&gt;"","ACEPTADO ⚠ VER ALERTA","ACEPTADO"))))))))</f>
        <v/>
      </c>
      <c r="R282" s="218" t="n"/>
      <c r="S282" s="58">
        <f>IF(A282="","",IFERROR(--ISNUMBER(SEARCH("R28",G282)),0)+IFERROR(--ISNUMBER(SEARCH("R29",G282)),0)+IFERROR(--ISNUMBER(SEARCH("R30",G282)),0)+IFERROR(--ISNUMBER(SEARCH("R31",G282)),0)+IFERROR(--ISNUMBER(SEARCH("R32",G282)),0)+IFERROR(--ISNUMBER(SEARCH("R33",G282)),0)+IFERROR(--ISNUMBER(SEARCH("R34",G282)),0)+IFERROR(--ISNUMBER(SEARCH("R35",G282)),0)+IFERROR(--ISNUMBER(SEARCH("R36",G282)),0)+IFERROR(--ISNUMBER(SEARCH("R37",G282)),0)+IFERROR(--ISNUMBER(SEARCH("R38",G282)),0)+IFERROR(--ISNUMBER(SEARCH("R39",G282)),0)+IFERROR(--ISNUMBER(SEARCH("R40",G282)),0)+IFERROR(--ISNUMBER(SEARCH("R41",G282)),0)+IFERROR(--ISNUMBER(SEARCH("R42",G282)),0)+IFERROR(--ISNUMBER(SEARCH("R43",G282)),0)+IFERROR(--ISNUMBER(SEARCH("R44",G282)),0)+IFERROR(--ISNUMBER(SEARCH("R45",G282)),0)+IFERROR(--ISNUMBER(SEARCH("R46",G282)),0)+IFERROR(--ISNUMBER(SEARCH("R47",G282)),0)+IFERROR(--ISNUMBER(SEARCH("R48",G282)),0)+IFERROR(--ISNUMBER(SEARCH("R49",G282)),0)+IFERROR(--ISNUMBER(SEARCH("R50",G282)),0)+IFERROR(--ISNUMBER(SEARCH("R51",G282)),0)+IFERROR(--ISNUMBER(SEARCH("R52",G282)),0)+IFERROR(--ISNUMBER(SEARCH("R53",G282)),0)+IFERROR(--ISNUMBER(SEARCH("R54",G282)),0)+IFERROR(--ISNUMBER(SEARCH("R55",G282)),0)+IFERROR(--ISNUMBER(SEARCH("R56",G282)),0)+IFERROR(--ISNUMBER(SEARCH("R57",G282)),0)+IFERROR(--ISNUMBER(SEARCH("R58",G282)),0)+IFERROR(--ISNUMBER(SEARCH("R59",G282)),0)+IFERROR(--ISNUMBER(SEARCH("R60",G282)),0)+IFERROR(--ISNUMBER(SEARCH("R61",G282)),0)+IFERROR(--ISNUMBER(SEARCH("R62",G282)),0)+IFERROR(--ISNUMBER(SEARCH("R63",G282)),0)+IFERROR(--ISNUMBER(SEARCH("R64",G282)),0)+IFERROR(--ISNUMBER(SEARCH("R65",G282)),0)+IFERROR(--ISNUMBER(SEARCH("R66",G282)),0)+IFERROR(--ISNUMBER(SEARCH("R67",G282)),0)+IFERROR(--ISNUMBER(SEARCH("R68",G282)),0)+IFERROR(--ISNUMBER(SEARCH("R69",G282)),0)+IFERROR(--ISNUMBER(SEARCH("R70",G282)),0)+IFERROR(--ISNUMBER(SEARCH("R71",G282)),0)+IFERROR(--ISNUMBER(SEARCH("R72",G282)),0)+IFERROR(--ISNUMBER(SEARCH("R73",G282)),0)+IFERROR(--ISNUMBER(SEARCH("R74",G282)),0)+IFERROR(--ISNUMBER(SEARCH("R75",G282)),0)+IFERROR(--ISNUMBER(SEARCH("R76",G282)),0)+IFERROR(--ISNUMBER(SEARCH("R77",G282)),0)+IFERROR(--ISNUMBER(SEARCH("R78",G282)),0)+IFERROR(--ISNUMBER(SEARCH("R79",G282)),0)+IFERROR(--ISNUMBER(SEARCH("R80",G282)),0)+IFERROR(--ISNUMBER(SEARCH("R81",G282)),0)+IFERROR(--ISNUMBER(SEARCH("R82",G282)),0)+IFERROR(--ISNUMBER(SEARCH("R83",G282)),0)+IFERROR(--ISNUMBER(SEARCH("R84",G282)),0)+IFERROR(--ISNUMBER(SEARCH("R85",G282)),0)+IFERROR(--ISNUMBER(SEARCH("R86",G282)),0)+IFERROR(--ISNUMBER(SEARCH("R87",G282)),0)+IFERROR(--ISNUMBER(SEARCH("R88",G282)),0)+IFERROR(--ISNUMBER(SEARCH("R89",G282)),0)+IFERROR(--ISNUMBER(SEARCH("R90",G282)),0)+IFERROR(--ISNUMBER(SEARCH("R91",G282)),0)+IFERROR(--ISNUMBER(SEARCH("R92",G282)),0)+IFERROR(--ISNUMBER(SEARCH("R93",G282)),0)+IFERROR(--ISNUMBER(SEARCH("R94",G282)),0)+IFERROR(--ISNUMBER(SEARCH("R95",G282)),0)+IFERROR(--ISNUMBER(SEARCH("R96",G282)),0)+IFERROR(--ISNUMBER(SEARCH("R97",G282)),0)+IFERROR(--ISNUMBER(SEARCH("R98",G282)),0)+IFERROR(--ISNUMBER(SEARCH("R99",G282)),0)+IFERROR(--ISNUMBER(SEARCH("R100",G282)),0)+IFERROR(--ISNUMBER(SEARCH("R101",G282)),0)+IFERROR(--ISNUMBER(SEARCH("R102",G282)),0)+IFERROR(--ISNUMBER(SEARCH("R103",G282)),0)+IFERROR(--ISNUMBER(SEARCH("R104",G282)),0)+IFERROR(--ISNUMBER(SEARCH("R105",G282)),0)+IFERROR(--ISNUMBER(SEARCH("R106",G282)),0)+IFERROR(--ISNUMBER(SEARCH("R107",G282)),0)+IFERROR(--ISNUMBER(SEARCH("R108",G282)),0)+IFERROR(--ISNUMBER(SEARCH("R109",G282)),0)+IFERROR(--ISNUMBER(SEARCH("R110",G282)),0)+IFERROR(--ISNUMBER(SEARCH("R111",G282)),0)+IFERROR(--ISNUMBER(SEARCH("R112",G282)),0)+IFERROR(--ISNUMBER(SEARCH("R113",G282)),0)+IFERROR(--ISNUMBER(SEARCH("R114",G282)),0)+IFERROR(--ISNUMBER(SEARCH("R115",G282)),0)+IFERROR(--ISNUMBER(SEARCH("R116",G282)),0)+IFERROR(--ISNUMBER(SEARCH("R117",G282)),0)+IFERROR(--ISNUMBER(SEARCH("R118",G282)),0)+IFERROR(--ISNUMBER(SEARCH("R119",G282)),0)+IFERROR(--ISNUMBER(SEARCH("R120",G282)),0)+IFERROR(--ISNUMBER(SEARCH("R121",G282)),0)+IFERROR(--ISNUMBER(SEARCH("R122",G282)),0)+IFERROR(--ISNUMBER(SEARCH("R123",G282)),0)+IFERROR(--ISNUMBER(SEARCH("R124",G282)),0)+IFERROR(--ISNUMBER(SEARCH("R125",G282)),0)+IFERROR(--ISNUMBER(SEARCH("R126",G282)),0)+IFERROR(--ISNUMBER(SEARCH("R127",G282)),0)+IFERROR(--ISNUMBER(SEARCH("R128",G282)),0)+IFERROR(--ISNUMBER(SEARCH("R129",G282)),0)+IFERROR(--ISNUMBER(SEARCH("R130",G282)),0)+IFERROR(--ISNUMBER(SEARCH("R131",G282)),0)+IFERROR(--ISNUMBER(SEARCH("R132",G282)),0)+IFERROR(--ISNUMBER(SEARCH("R133",G282)),0)+IFERROR(--ISNUMBER(SEARCH("R134",G282)),0)+IFERROR(--ISNUMBER(SEARCH("R135",G282)),0)+IFERROR(--ISNUMBER(SEARCH("R136",G282)),0)+IFERROR(--ISNUMBER(SEARCH("R137",G282)),0)+IFERROR(--ISNUMBER(SEARCH("R138",G282)),0)+IFERROR(--ISNUMBER(SEARCH("R139",G282)),0)+IFERROR(--ISNUMBER(SEARCH("R140",G282)),0)+IFERROR(--ISNUMBER(SEARCH("R141",G282)),0))</f>
        <v/>
      </c>
      <c r="T282" s="58">
        <f>IF(A282="","",IFERROR(--ISNUMBER(SEARCH("R28",G282)),0)+IFERROR(--ISNUMBER(SEARCH("R29",G282)),0)+IFERROR(--ISNUMBER(SEARCH("R30",G282)),0)+IFERROR(--ISNUMBER(SEARCH("R32",G282)),0)+IFERROR(--ISNUMBER(SEARCH("R33",G282)),0)+IFERROR(--ISNUMBER(SEARCH("R35",G282)),0)+IFERROR(--ISNUMBER(SEARCH("R36",G282)),0)+IFERROR(--ISNUMBER(SEARCH("R38",G282)),0)+IFERROR(--ISNUMBER(SEARCH("R39",G282)),0)+IFERROR(--ISNUMBER(SEARCH("R43",G282)),0)+IFERROR(--ISNUMBER(SEARCH("R44",G282)),0)+IFERROR(--ISNUMBER(SEARCH("R45",G282)),0)+IFERROR(--ISNUMBER(SEARCH("R47",G282)),0)+IFERROR(--ISNUMBER(SEARCH("R48",G282)),0)+IFERROR(--ISNUMBER(SEARCH("R50",G282)),0)+IFERROR(--ISNUMBER(SEARCH("R51",G282)),0)+IFERROR(--ISNUMBER(SEARCH("R56",G282)),0)+IFERROR(--ISNUMBER(SEARCH("R58",G282)),0)+IFERROR(--ISNUMBER(SEARCH("R59",G282)),0)+IFERROR(--ISNUMBER(SEARCH("R60",G282)),0)+IFERROR(--ISNUMBER(SEARCH("R62",G282)),0)+IFERROR(--ISNUMBER(SEARCH("R63",G282)),0)+IFERROR(--ISNUMBER(SEARCH("R64",G282)),0)+IFERROR(--ISNUMBER(SEARCH("R66",G282)),0)+IFERROR(--ISNUMBER(SEARCH("R67",G282)),0)+IFERROR(--ISNUMBER(SEARCH("R72",G282)),0)+IFERROR(--ISNUMBER(SEARCH("R74",G282)),0)+IFERROR(--ISNUMBER(SEARCH("R75",G282)),0)+IFERROR(--ISNUMBER(SEARCH("R76",G282)),0)+IFERROR(--ISNUMBER(SEARCH("R77",G282)),0)+IFERROR(--ISNUMBER(SEARCH("R79",G282)),0)+IFERROR(--ISNUMBER(SEARCH("R80",G282)),0)+IFERROR(--ISNUMBER(SEARCH("R81",G282)),0)+IFERROR(--ISNUMBER(SEARCH("R83",G282)),0)+IFERROR(--ISNUMBER(SEARCH("R84",G282)),0)+IFERROR(--ISNUMBER(SEARCH("R89",G282)),0)+IFERROR(--ISNUMBER(SEARCH("R94",G282)),0)+IFERROR(--ISNUMBER(SEARCH("R95",G282)),0)+IFERROR(--ISNUMBER(SEARCH("R96",G282)),0)+IFERROR(--ISNUMBER(SEARCH("R98",G282)),0)+IFERROR(--ISNUMBER(SEARCH("R99",G282)),0)+IFERROR(--ISNUMBER(SEARCH("R100",G282)),0)+IFERROR(--ISNUMBER(SEARCH("R104",G282)),0)+IFERROR(--ISNUMBER(SEARCH("R105",G282)),0)+IFERROR(--ISNUMBER(SEARCH("R107",G282)),0)+IFERROR(--ISNUMBER(SEARCH("R108",G282)),0)+IFERROR(--ISNUMBER(SEARCH("R109",G282)),0)+IFERROR(--ISNUMBER(SEARCH("R110",G282)),0)+IFERROR(--ISNUMBER(SEARCH("R112",G282)),0)+IFERROR(--ISNUMBER(SEARCH("R113",G282)),0)+IFERROR(--ISNUMBER(SEARCH("R114",G282)),0)+IFERROR(--ISNUMBER(SEARCH("R118",G282)),0)+IFERROR(--ISNUMBER(SEARCH("R119",G282)),0)+IFERROR(--ISNUMBER(SEARCH("R120",G282)),0)+IFERROR(--ISNUMBER(SEARCH("R122",G282)),0)+IFERROR(--ISNUMBER(SEARCH("R123",G282)),0)+IFERROR(--ISNUMBER(SEARCH("R124",G282)),0)+IFERROR(--ISNUMBER(SEARCH("R128",G282)),0)+IFERROR(--ISNUMBER(SEARCH("R130",G282)),0)+IFERROR(--ISNUMBER(SEARCH("R131",G282)),0)+IFERROR(--ISNUMBER(SEARCH("R132",G282)),0)+IFERROR(--ISNUMBER(SEARCH("R135",G282)),0)+IFERROR(--ISNUMBER(SEARCH("R138",G282)),0)+IFERROR(--ISNUMBER(SEARCH("R141",G282)),0))</f>
        <v/>
      </c>
      <c r="U282" s="58">
        <f>IF(A282="","",IFERROR(--ISNUMBER(SEARCH("R28",G282))*28,0)+IFERROR(--ISNUMBER(SEARCH("R29",G282))*29,0)+IFERROR(--ISNUMBER(SEARCH("R30",G282))*30,0)+IFERROR(--ISNUMBER(SEARCH("R31",G282))*31,0)+IFERROR(--ISNUMBER(SEARCH("R32",G282))*32,0)+IFERROR(--ISNUMBER(SEARCH("R33",G282))*33,0)+IFERROR(--ISNUMBER(SEARCH("R34",G282))*34,0)+IFERROR(--ISNUMBER(SEARCH("R35",G282))*35,0)+IFERROR(--ISNUMBER(SEARCH("R36",G282))*36,0)+IFERROR(--ISNUMBER(SEARCH("R37",G282))*37,0)+IFERROR(--ISNUMBER(SEARCH("R38",G282))*38,0)+IFERROR(--ISNUMBER(SEARCH("R39",G282))*39,0)+IFERROR(--ISNUMBER(SEARCH("R40",G282))*40,0)+IFERROR(--ISNUMBER(SEARCH("R41",G282))*41,0)+IFERROR(--ISNUMBER(SEARCH("R42",G282))*42,0)+IFERROR(--ISNUMBER(SEARCH("R43",G282))*43,0)+IFERROR(--ISNUMBER(SEARCH("R44",G282))*44,0)+IFERROR(--ISNUMBER(SEARCH("R45",G282))*45,0)+IFERROR(--ISNUMBER(SEARCH("R46",G282))*46,0)+IFERROR(--ISNUMBER(SEARCH("R47",G282))*47,0)+IFERROR(--ISNUMBER(SEARCH("R48",G282))*48,0)+IFERROR(--ISNUMBER(SEARCH("R49",G282))*49,0)+IFERROR(--ISNUMBER(SEARCH("R50",G282))*50,0)+IFERROR(--ISNUMBER(SEARCH("R51",G282))*51,0)+IFERROR(--ISNUMBER(SEARCH("R52",G282))*52,0)+IFERROR(--ISNUMBER(SEARCH("R53",G282))*53,0)+IFERROR(--ISNUMBER(SEARCH("R54",G282))*54,0)+IFERROR(--ISNUMBER(SEARCH("R55",G282))*55,0)+IFERROR(--ISNUMBER(SEARCH("R56",G282))*56,0)+IFERROR(--ISNUMBER(SEARCH("R57",G282))*57,0)+IFERROR(--ISNUMBER(SEARCH("R58",G282))*58,0)+IFERROR(--ISNUMBER(SEARCH("R59",G282))*59,0)+IFERROR(--ISNUMBER(SEARCH("R60",G282))*60,0)+IFERROR(--ISNUMBER(SEARCH("R61",G282))*61,0)+IFERROR(--ISNUMBER(SEARCH("R62",G282))*62,0)+IFERROR(--ISNUMBER(SEARCH("R63",G282))*63,0)+IFERROR(--ISNUMBER(SEARCH("R64",G282))*64,0)+IFERROR(--ISNUMBER(SEARCH("R65",G282))*65,0)+IFERROR(--ISNUMBER(SEARCH("R66",G282))*66,0)+IFERROR(--ISNUMBER(SEARCH("R67",G282))*67,0)+IFERROR(--ISNUMBER(SEARCH("R68",G282))*68,0)+IFERROR(--ISNUMBER(SEARCH("R69",G282))*69,0)+IFERROR(--ISNUMBER(SEARCH("R70",G282))*70,0)+IFERROR(--ISNUMBER(SEARCH("R71",G282))*71,0)+IFERROR(--ISNUMBER(SEARCH("R72",G282))*72,0)+IFERROR(--ISNUMBER(SEARCH("R73",G282))*73,0)+IFERROR(--ISNUMBER(SEARCH("R74",G282))*74,0)+IFERROR(--ISNUMBER(SEARCH("R75",G282))*75,0)+IFERROR(--ISNUMBER(SEARCH("R76",G282))*76,0)+IFERROR(--ISNUMBER(SEARCH("R77",G282))*77,0)+IFERROR(--ISNUMBER(SEARCH("R78",G282))*78,0)+IFERROR(--ISNUMBER(SEARCH("R79",G282))*79,0)+IFERROR(--ISNUMBER(SEARCH("R80",G282))*80,0)+IFERROR(--ISNUMBER(SEARCH("R81",G282))*81,0)+IFERROR(--ISNUMBER(SEARCH("R82",G282))*82,0)+IFERROR(--ISNUMBER(SEARCH("R83",G282))*83,0)+IFERROR(--ISNUMBER(SEARCH("R84",G282))*84,0)+IFERROR(--ISNUMBER(SEARCH("R85",G282))*85,0)+IFERROR(--ISNUMBER(SEARCH("R86",G282))*86,0)+IFERROR(--ISNUMBER(SEARCH("R87",G282))*87,0)+IFERROR(--ISNUMBER(SEARCH("R88",G282))*88,0)+IFERROR(--ISNUMBER(SEARCH("R89",G282))*89,0)+IFERROR(--ISNUMBER(SEARCH("R90",G282))*90,0)+IFERROR(--ISNUMBER(SEARCH("R91",G282))*91,0)+IFERROR(--ISNUMBER(SEARCH("R92",G282))*92,0)+IFERROR(--ISNUMBER(SEARCH("R93",G282))*93,0)+IFERROR(--ISNUMBER(SEARCH("R94",G282))*94,0)+IFERROR(--ISNUMBER(SEARCH("R95",G282))*95,0)+IFERROR(--ISNUMBER(SEARCH("R96",G282))*96,0)+IFERROR(--ISNUMBER(SEARCH("R97",G282))*97,0)+IFERROR(--ISNUMBER(SEARCH("R98",G282))*98,0)+IFERROR(--ISNUMBER(SEARCH("R99",G282))*99,0)+IFERROR(--ISNUMBER(SEARCH("R100",G282))*100,0)+IFERROR(--ISNUMBER(SEARCH("R101",G282))*101,0)+IFERROR(--ISNUMBER(SEARCH("R102",G282))*102,0)+IFERROR(--ISNUMBER(SEARCH("R103",G282))*103,0)+IFERROR(--ISNUMBER(SEARCH("R104",G282))*104,0)+IFERROR(--ISNUMBER(SEARCH("R105",G282))*105,0)+IFERROR(--ISNUMBER(SEARCH("R106",G282))*106,0)+IFERROR(--ISNUMBER(SEARCH("R107",G282))*107,0)+IFERROR(--ISNUMBER(SEARCH("R108",G282))*108,0)+IFERROR(--ISNUMBER(SEARCH("R109",G282))*109,0)+IFERROR(--ISNUMBER(SEARCH("R110",G282))*110,0)+IFERROR(--ISNUMBER(SEARCH("R111",G282))*111,0)+IFERROR(--ISNUMBER(SEARCH("R112",G282))*112,0)+IFERROR(--ISNUMBER(SEARCH("R113",G282))*113,0)+IFERROR(--ISNUMBER(SEARCH("R114",G282))*114,0)+IFERROR(--ISNUMBER(SEARCH("R115",G282))*115,0)+IFERROR(--ISNUMBER(SEARCH("R116",G282))*116,0)+IFERROR(--ISNUMBER(SEARCH("R117",G282))*117,0)+IFERROR(--ISNUMBER(SEARCH("R118",G282))*118,0)+IFERROR(--ISNUMBER(SEARCH("R119",G282))*119,0)+IFERROR(--ISNUMBER(SEARCH("R120",G282))*120,0)+IFERROR(--ISNUMBER(SEARCH("R121",G282))*121,0)+IFERROR(--ISNUMBER(SEARCH("R122",G282))*122,0)+IFERROR(--ISNUMBER(SEARCH("R123",G282))*123,0)+IFERROR(--ISNUMBER(SEARCH("R124",G282))*124,0)+IFERROR(--ISNUMBER(SEARCH("R125",G282))*125,0)+IFERROR(--ISNUMBER(SEARCH("R126",G282))*126,0)+IFERROR(--ISNUMBER(SEARCH("R127",G282))*127,0)+IFERROR(--ISNUMBER(SEARCH("R128",G282))*128,0)+IFERROR(--ISNUMBER(SEARCH("R129",G282))*129,0)+IFERROR(--ISNUMBER(SEARCH("R130",G282))*130,0)+IFERROR(--ISNUMBER(SEARCH("R131",G282))*131,0)+IFERROR(--ISNUMBER(SEARCH("R132",G282))*132,0)+IFERROR(--ISNUMBER(SEARCH("R133",G282))*133,0)+IFERROR(--ISNUMBER(SEARCH("R134",G282))*134,0)+IFERROR(--ISNUMBER(SEARCH("R135",G282))*135,0)+IFERROR(--ISNUMBER(SEARCH("R136",G282))*136,0)+IFERROR(--ISNUMBER(SEARCH("R137",G282))*137,0)+IFERROR(--ISNUMBER(SEARCH("R138",G282))*138,0)+IFERROR(--ISNUMBER(SEARCH("R139",G282))*139,0)+IFERROR(--ISNUMBER(SEARCH("R140",G282))*140,0)+IFERROR(--ISNUMBER(SEARCH("R141",G282))*141,0))</f>
        <v/>
      </c>
      <c r="V282" s="59">
        <f>IF(A282="","",IF(K282&lt;&gt;"",K282,J282))</f>
        <v/>
      </c>
      <c r="W282" s="59">
        <f>IF(A282="","",IF(AND(V282=29,O282&lt;&gt;"",COUNTIFS($V$6:$V$505,29,$F$6:$F$505,F282,$C$6:$C$505,C282,$O$6:$O$505,"&lt;&gt;")&gt;1),IF(COUNTIFS($V$6:V282,29,$F$6:F282,F282,$C$6:C282,C282,$O$6:O282,"&lt;&gt;")=1,"Esta es la fila que se debe CONSERVAR (aparición 1 de "&amp;COUNTIFS($V$6:$V$505,29,$F$6:$F$505,F282,$C$6:$C$505,C282,$O$6:$O$505,"&lt;&gt;")&amp;" con el mismo tercero y valor, casilla 29). Si hay más filas iguales, bórreles el valor a ELLAS, no a esta.","DUPLICADO — ya existe otra fila con el mismo tercero y valor para casilla 29 (aparición "&amp;COUNTIFS($V$6:V282,29,$F$6:F282,F282,$C$6:C282,C282,$O$6:O282,"&lt;&gt;")&amp;" de "&amp;COUNTIFS($V$6:$V$505,29,$F$6:$F$505,F282,$C$6:$C$505,C282,$O$6:$O$505,"&lt;&gt;")&amp;"). Para resolverlo: seleccione la celda O"&amp;ROW()&amp;" (columna Valor a declarar de ESTA fila) y presione Supr."),""))</f>
        <v/>
      </c>
      <c r="X282" s="463">
        <f>IF(A282="","",F282)</f>
        <v/>
      </c>
      <c r="Y282" s="463">
        <f>IF(A282="","",SUMIF(Entrada_Manual!$I$88:$I$187,A282,Entrada_Manual!$F$88:$F$187))</f>
        <v/>
      </c>
      <c r="Z282" s="463">
        <f>IF(A282="","",X282-Y282)</f>
        <v/>
      </c>
      <c r="AA282">
        <f>IF(A282="","",SUMPRODUCT((Entrada_Manual!$I$88:$I$187=A282)*1))</f>
        <v/>
      </c>
      <c r="AB282">
        <f>IF(A282="","",IF(S282&lt;=1,"",IF(AA282=0,"PENDIENTE — SIN ASIGNAR",IF(Z282=0,"RESUELTO","PARCIAL — DIFERENCIA "&amp;TEXT(Z282,"#,##0")))))</f>
        <v/>
      </c>
    </row>
    <row r="283" ht="14.25" customHeight="1" s="235">
      <c r="A283" s="47">
        <f>IF(Exogena_RAW!E292&lt;&gt;"",ROW()-5,"")</f>
        <v/>
      </c>
      <c r="B283" s="48">
        <f>IF(A283="","",292)</f>
        <v/>
      </c>
      <c r="C283" s="48">
        <f>IF(A283="","",IFERROR(Exogena_RAW!A292,""))</f>
        <v/>
      </c>
      <c r="D283" s="48">
        <f>IF(A283="","",IFERROR(Exogena_RAW!B292,""))</f>
        <v/>
      </c>
      <c r="E283" s="48">
        <f>IF(A283="","",Exogena_RAW!E292)</f>
        <v/>
      </c>
      <c r="F283" s="461">
        <f>IF(A283="","",Exogena_RAW!F292)</f>
        <v/>
      </c>
      <c r="G283" s="48">
        <f>IF(A283="","",IFERROR(Exogena_RAW!G292,""))</f>
        <v/>
      </c>
      <c r="H283" s="48">
        <f>IF(A283="","",IFERROR(Exogena_RAW!H292,""))</f>
        <v/>
      </c>
      <c r="I283" s="48">
        <f>IF(A283="","",IFERROR(IF(S283&gt;1,"VARIAS CASILLAS",IF(S283=1,IF(T283=1,"PROPUESTA DE CASILLA","REVISIÓN: CASILLA NO DIRECTA"),IF(OR(ISNUMBER(SEARCH("TOPE",UPPER(E283))),ISNUMBER(SEARCH("TOPE",UPPER(G283)))),"SOLO CONTROL",IF(ISNUMBER(SEARCH("RETEN",UPPER(E283))),"RETENCIÓN","REVISAR")))),"REVISAR"))</f>
        <v/>
      </c>
      <c r="J283" s="48">
        <f>IF(A283="","",IF(ISNUMBER(SEARCH("ingreso laboral promedio de los últimos seis meses",E283)),"",IFERROR(IF(AND(S283=1,T283=1),U283,""),"")))</f>
        <v/>
      </c>
      <c r="K283" s="216" t="n"/>
      <c r="L283" s="48">
        <f>IF(A283="","",IFERROR(IF(K283&lt;&gt;"","Casilla elegida por usuario",IF(S283&gt;1,"Varias casillas — elegir en K",IF(J283&lt;&gt;"","Sugerencia directa",IF(S283=1,"No trasladar directo — revisar",IF(OR(ISNUMBER(SEARCH("TOPE",UPPER(E283))),ISNUMBER(SEARCH("TOPE",UPPER(G283)))),"Solo control","Revisar manualmente"))))),"Revisar manualmente"))</f>
        <v/>
      </c>
      <c r="M283" s="461">
        <f>IF(A283="","",IF(IF(K283&lt;&gt;"",K283,J283)="",0,IF(COUNTIFS(Reglas!$I$5:$I$118,IF(K283&lt;&gt;"",K283,J283),Reglas!$J$5:$J$118,"Sí")=1,F283,0)))</f>
        <v/>
      </c>
      <c r="N283" s="56" t="n"/>
      <c r="O283" s="462">
        <f>IF(A283="","",IF(M283=0,"",M283))</f>
        <v/>
      </c>
      <c r="P283" s="461">
        <f>IF(A283="","",IF(O283="",0,IF(ISNUMBER(O283),O283,0)))</f>
        <v/>
      </c>
      <c r="Q283" s="48">
        <f>IF(A283="","",IF(Exogena_RAW!$C$4="","BLOQUEADO: FALTA AÑO",IF(Exogena_RAW!$K$10&lt;&gt;Reglas!$B$5,"BLOQUEADO: AÑO",IF(IF(K283&lt;&gt;"",K283,J283)="",IF(S283&gt;1,"REQUIERE ASIGNACIÓN MANUAL (VARIAS CASILLAS)","INFORMATIVO (sin casilla — no se declara)"),IF(COUNTIFS(Reglas!$I$5:$I$118,IF(K283&lt;&gt;"",K283,J283),Reglas!$J$5:$J$118,"Sí")=0,"BLOQUEADO: CASILLA NO DIRECTA",IF(O283="","EXCLUIDO (valor borrado por el usuario)",IF(_xlfn.ISFORMULA(O283),IF(W283&lt;&gt;"","BORRADOR — VALOR SUGERIDO DIAN ⚠ VER ALERTA","BORRADOR — VALOR SUGERIDO DIAN"),IF(W283&lt;&gt;"","ACEPTADO ⚠ VER ALERTA","ACEPTADO"))))))))</f>
        <v/>
      </c>
      <c r="R283" s="218" t="n"/>
      <c r="S283" s="58">
        <f>IF(A283="","",IFERROR(--ISNUMBER(SEARCH("R28",G283)),0)+IFERROR(--ISNUMBER(SEARCH("R29",G283)),0)+IFERROR(--ISNUMBER(SEARCH("R30",G283)),0)+IFERROR(--ISNUMBER(SEARCH("R31",G283)),0)+IFERROR(--ISNUMBER(SEARCH("R32",G283)),0)+IFERROR(--ISNUMBER(SEARCH("R33",G283)),0)+IFERROR(--ISNUMBER(SEARCH("R34",G283)),0)+IFERROR(--ISNUMBER(SEARCH("R35",G283)),0)+IFERROR(--ISNUMBER(SEARCH("R36",G283)),0)+IFERROR(--ISNUMBER(SEARCH("R37",G283)),0)+IFERROR(--ISNUMBER(SEARCH("R38",G283)),0)+IFERROR(--ISNUMBER(SEARCH("R39",G283)),0)+IFERROR(--ISNUMBER(SEARCH("R40",G283)),0)+IFERROR(--ISNUMBER(SEARCH("R41",G283)),0)+IFERROR(--ISNUMBER(SEARCH("R42",G283)),0)+IFERROR(--ISNUMBER(SEARCH("R43",G283)),0)+IFERROR(--ISNUMBER(SEARCH("R44",G283)),0)+IFERROR(--ISNUMBER(SEARCH("R45",G283)),0)+IFERROR(--ISNUMBER(SEARCH("R46",G283)),0)+IFERROR(--ISNUMBER(SEARCH("R47",G283)),0)+IFERROR(--ISNUMBER(SEARCH("R48",G283)),0)+IFERROR(--ISNUMBER(SEARCH("R49",G283)),0)+IFERROR(--ISNUMBER(SEARCH("R50",G283)),0)+IFERROR(--ISNUMBER(SEARCH("R51",G283)),0)+IFERROR(--ISNUMBER(SEARCH("R52",G283)),0)+IFERROR(--ISNUMBER(SEARCH("R53",G283)),0)+IFERROR(--ISNUMBER(SEARCH("R54",G283)),0)+IFERROR(--ISNUMBER(SEARCH("R55",G283)),0)+IFERROR(--ISNUMBER(SEARCH("R56",G283)),0)+IFERROR(--ISNUMBER(SEARCH("R57",G283)),0)+IFERROR(--ISNUMBER(SEARCH("R58",G283)),0)+IFERROR(--ISNUMBER(SEARCH("R59",G283)),0)+IFERROR(--ISNUMBER(SEARCH("R60",G283)),0)+IFERROR(--ISNUMBER(SEARCH("R61",G283)),0)+IFERROR(--ISNUMBER(SEARCH("R62",G283)),0)+IFERROR(--ISNUMBER(SEARCH("R63",G283)),0)+IFERROR(--ISNUMBER(SEARCH("R64",G283)),0)+IFERROR(--ISNUMBER(SEARCH("R65",G283)),0)+IFERROR(--ISNUMBER(SEARCH("R66",G283)),0)+IFERROR(--ISNUMBER(SEARCH("R67",G283)),0)+IFERROR(--ISNUMBER(SEARCH("R68",G283)),0)+IFERROR(--ISNUMBER(SEARCH("R69",G283)),0)+IFERROR(--ISNUMBER(SEARCH("R70",G283)),0)+IFERROR(--ISNUMBER(SEARCH("R71",G283)),0)+IFERROR(--ISNUMBER(SEARCH("R72",G283)),0)+IFERROR(--ISNUMBER(SEARCH("R73",G283)),0)+IFERROR(--ISNUMBER(SEARCH("R74",G283)),0)+IFERROR(--ISNUMBER(SEARCH("R75",G283)),0)+IFERROR(--ISNUMBER(SEARCH("R76",G283)),0)+IFERROR(--ISNUMBER(SEARCH("R77",G283)),0)+IFERROR(--ISNUMBER(SEARCH("R78",G283)),0)+IFERROR(--ISNUMBER(SEARCH("R79",G283)),0)+IFERROR(--ISNUMBER(SEARCH("R80",G283)),0)+IFERROR(--ISNUMBER(SEARCH("R81",G283)),0)+IFERROR(--ISNUMBER(SEARCH("R82",G283)),0)+IFERROR(--ISNUMBER(SEARCH("R83",G283)),0)+IFERROR(--ISNUMBER(SEARCH("R84",G283)),0)+IFERROR(--ISNUMBER(SEARCH("R85",G283)),0)+IFERROR(--ISNUMBER(SEARCH("R86",G283)),0)+IFERROR(--ISNUMBER(SEARCH("R87",G283)),0)+IFERROR(--ISNUMBER(SEARCH("R88",G283)),0)+IFERROR(--ISNUMBER(SEARCH("R89",G283)),0)+IFERROR(--ISNUMBER(SEARCH("R90",G283)),0)+IFERROR(--ISNUMBER(SEARCH("R91",G283)),0)+IFERROR(--ISNUMBER(SEARCH("R92",G283)),0)+IFERROR(--ISNUMBER(SEARCH("R93",G283)),0)+IFERROR(--ISNUMBER(SEARCH("R94",G283)),0)+IFERROR(--ISNUMBER(SEARCH("R95",G283)),0)+IFERROR(--ISNUMBER(SEARCH("R96",G283)),0)+IFERROR(--ISNUMBER(SEARCH("R97",G283)),0)+IFERROR(--ISNUMBER(SEARCH("R98",G283)),0)+IFERROR(--ISNUMBER(SEARCH("R99",G283)),0)+IFERROR(--ISNUMBER(SEARCH("R100",G283)),0)+IFERROR(--ISNUMBER(SEARCH("R101",G283)),0)+IFERROR(--ISNUMBER(SEARCH("R102",G283)),0)+IFERROR(--ISNUMBER(SEARCH("R103",G283)),0)+IFERROR(--ISNUMBER(SEARCH("R104",G283)),0)+IFERROR(--ISNUMBER(SEARCH("R105",G283)),0)+IFERROR(--ISNUMBER(SEARCH("R106",G283)),0)+IFERROR(--ISNUMBER(SEARCH("R107",G283)),0)+IFERROR(--ISNUMBER(SEARCH("R108",G283)),0)+IFERROR(--ISNUMBER(SEARCH("R109",G283)),0)+IFERROR(--ISNUMBER(SEARCH("R110",G283)),0)+IFERROR(--ISNUMBER(SEARCH("R111",G283)),0)+IFERROR(--ISNUMBER(SEARCH("R112",G283)),0)+IFERROR(--ISNUMBER(SEARCH("R113",G283)),0)+IFERROR(--ISNUMBER(SEARCH("R114",G283)),0)+IFERROR(--ISNUMBER(SEARCH("R115",G283)),0)+IFERROR(--ISNUMBER(SEARCH("R116",G283)),0)+IFERROR(--ISNUMBER(SEARCH("R117",G283)),0)+IFERROR(--ISNUMBER(SEARCH("R118",G283)),0)+IFERROR(--ISNUMBER(SEARCH("R119",G283)),0)+IFERROR(--ISNUMBER(SEARCH("R120",G283)),0)+IFERROR(--ISNUMBER(SEARCH("R121",G283)),0)+IFERROR(--ISNUMBER(SEARCH("R122",G283)),0)+IFERROR(--ISNUMBER(SEARCH("R123",G283)),0)+IFERROR(--ISNUMBER(SEARCH("R124",G283)),0)+IFERROR(--ISNUMBER(SEARCH("R125",G283)),0)+IFERROR(--ISNUMBER(SEARCH("R126",G283)),0)+IFERROR(--ISNUMBER(SEARCH("R127",G283)),0)+IFERROR(--ISNUMBER(SEARCH("R128",G283)),0)+IFERROR(--ISNUMBER(SEARCH("R129",G283)),0)+IFERROR(--ISNUMBER(SEARCH("R130",G283)),0)+IFERROR(--ISNUMBER(SEARCH("R131",G283)),0)+IFERROR(--ISNUMBER(SEARCH("R132",G283)),0)+IFERROR(--ISNUMBER(SEARCH("R133",G283)),0)+IFERROR(--ISNUMBER(SEARCH("R134",G283)),0)+IFERROR(--ISNUMBER(SEARCH("R135",G283)),0)+IFERROR(--ISNUMBER(SEARCH("R136",G283)),0)+IFERROR(--ISNUMBER(SEARCH("R137",G283)),0)+IFERROR(--ISNUMBER(SEARCH("R138",G283)),0)+IFERROR(--ISNUMBER(SEARCH("R139",G283)),0)+IFERROR(--ISNUMBER(SEARCH("R140",G283)),0)+IFERROR(--ISNUMBER(SEARCH("R141",G283)),0))</f>
        <v/>
      </c>
      <c r="T283" s="58">
        <f>IF(A283="","",IFERROR(--ISNUMBER(SEARCH("R28",G283)),0)+IFERROR(--ISNUMBER(SEARCH("R29",G283)),0)+IFERROR(--ISNUMBER(SEARCH("R30",G283)),0)+IFERROR(--ISNUMBER(SEARCH("R32",G283)),0)+IFERROR(--ISNUMBER(SEARCH("R33",G283)),0)+IFERROR(--ISNUMBER(SEARCH("R35",G283)),0)+IFERROR(--ISNUMBER(SEARCH("R36",G283)),0)+IFERROR(--ISNUMBER(SEARCH("R38",G283)),0)+IFERROR(--ISNUMBER(SEARCH("R39",G283)),0)+IFERROR(--ISNUMBER(SEARCH("R43",G283)),0)+IFERROR(--ISNUMBER(SEARCH("R44",G283)),0)+IFERROR(--ISNUMBER(SEARCH("R45",G283)),0)+IFERROR(--ISNUMBER(SEARCH("R47",G283)),0)+IFERROR(--ISNUMBER(SEARCH("R48",G283)),0)+IFERROR(--ISNUMBER(SEARCH("R50",G283)),0)+IFERROR(--ISNUMBER(SEARCH("R51",G283)),0)+IFERROR(--ISNUMBER(SEARCH("R56",G283)),0)+IFERROR(--ISNUMBER(SEARCH("R58",G283)),0)+IFERROR(--ISNUMBER(SEARCH("R59",G283)),0)+IFERROR(--ISNUMBER(SEARCH("R60",G283)),0)+IFERROR(--ISNUMBER(SEARCH("R62",G283)),0)+IFERROR(--ISNUMBER(SEARCH("R63",G283)),0)+IFERROR(--ISNUMBER(SEARCH("R64",G283)),0)+IFERROR(--ISNUMBER(SEARCH("R66",G283)),0)+IFERROR(--ISNUMBER(SEARCH("R67",G283)),0)+IFERROR(--ISNUMBER(SEARCH("R72",G283)),0)+IFERROR(--ISNUMBER(SEARCH("R74",G283)),0)+IFERROR(--ISNUMBER(SEARCH("R75",G283)),0)+IFERROR(--ISNUMBER(SEARCH("R76",G283)),0)+IFERROR(--ISNUMBER(SEARCH("R77",G283)),0)+IFERROR(--ISNUMBER(SEARCH("R79",G283)),0)+IFERROR(--ISNUMBER(SEARCH("R80",G283)),0)+IFERROR(--ISNUMBER(SEARCH("R81",G283)),0)+IFERROR(--ISNUMBER(SEARCH("R83",G283)),0)+IFERROR(--ISNUMBER(SEARCH("R84",G283)),0)+IFERROR(--ISNUMBER(SEARCH("R89",G283)),0)+IFERROR(--ISNUMBER(SEARCH("R94",G283)),0)+IFERROR(--ISNUMBER(SEARCH("R95",G283)),0)+IFERROR(--ISNUMBER(SEARCH("R96",G283)),0)+IFERROR(--ISNUMBER(SEARCH("R98",G283)),0)+IFERROR(--ISNUMBER(SEARCH("R99",G283)),0)+IFERROR(--ISNUMBER(SEARCH("R100",G283)),0)+IFERROR(--ISNUMBER(SEARCH("R104",G283)),0)+IFERROR(--ISNUMBER(SEARCH("R105",G283)),0)+IFERROR(--ISNUMBER(SEARCH("R107",G283)),0)+IFERROR(--ISNUMBER(SEARCH("R108",G283)),0)+IFERROR(--ISNUMBER(SEARCH("R109",G283)),0)+IFERROR(--ISNUMBER(SEARCH("R110",G283)),0)+IFERROR(--ISNUMBER(SEARCH("R112",G283)),0)+IFERROR(--ISNUMBER(SEARCH("R113",G283)),0)+IFERROR(--ISNUMBER(SEARCH("R114",G283)),0)+IFERROR(--ISNUMBER(SEARCH("R118",G283)),0)+IFERROR(--ISNUMBER(SEARCH("R119",G283)),0)+IFERROR(--ISNUMBER(SEARCH("R120",G283)),0)+IFERROR(--ISNUMBER(SEARCH("R122",G283)),0)+IFERROR(--ISNUMBER(SEARCH("R123",G283)),0)+IFERROR(--ISNUMBER(SEARCH("R124",G283)),0)+IFERROR(--ISNUMBER(SEARCH("R128",G283)),0)+IFERROR(--ISNUMBER(SEARCH("R130",G283)),0)+IFERROR(--ISNUMBER(SEARCH("R131",G283)),0)+IFERROR(--ISNUMBER(SEARCH("R132",G283)),0)+IFERROR(--ISNUMBER(SEARCH("R135",G283)),0)+IFERROR(--ISNUMBER(SEARCH("R138",G283)),0)+IFERROR(--ISNUMBER(SEARCH("R141",G283)),0))</f>
        <v/>
      </c>
      <c r="U283" s="58">
        <f>IF(A283="","",IFERROR(--ISNUMBER(SEARCH("R28",G283))*28,0)+IFERROR(--ISNUMBER(SEARCH("R29",G283))*29,0)+IFERROR(--ISNUMBER(SEARCH("R30",G283))*30,0)+IFERROR(--ISNUMBER(SEARCH("R31",G283))*31,0)+IFERROR(--ISNUMBER(SEARCH("R32",G283))*32,0)+IFERROR(--ISNUMBER(SEARCH("R33",G283))*33,0)+IFERROR(--ISNUMBER(SEARCH("R34",G283))*34,0)+IFERROR(--ISNUMBER(SEARCH("R35",G283))*35,0)+IFERROR(--ISNUMBER(SEARCH("R36",G283))*36,0)+IFERROR(--ISNUMBER(SEARCH("R37",G283))*37,0)+IFERROR(--ISNUMBER(SEARCH("R38",G283))*38,0)+IFERROR(--ISNUMBER(SEARCH("R39",G283))*39,0)+IFERROR(--ISNUMBER(SEARCH("R40",G283))*40,0)+IFERROR(--ISNUMBER(SEARCH("R41",G283))*41,0)+IFERROR(--ISNUMBER(SEARCH("R42",G283))*42,0)+IFERROR(--ISNUMBER(SEARCH("R43",G283))*43,0)+IFERROR(--ISNUMBER(SEARCH("R44",G283))*44,0)+IFERROR(--ISNUMBER(SEARCH("R45",G283))*45,0)+IFERROR(--ISNUMBER(SEARCH("R46",G283))*46,0)+IFERROR(--ISNUMBER(SEARCH("R47",G283))*47,0)+IFERROR(--ISNUMBER(SEARCH("R48",G283))*48,0)+IFERROR(--ISNUMBER(SEARCH("R49",G283))*49,0)+IFERROR(--ISNUMBER(SEARCH("R50",G283))*50,0)+IFERROR(--ISNUMBER(SEARCH("R51",G283))*51,0)+IFERROR(--ISNUMBER(SEARCH("R52",G283))*52,0)+IFERROR(--ISNUMBER(SEARCH("R53",G283))*53,0)+IFERROR(--ISNUMBER(SEARCH("R54",G283))*54,0)+IFERROR(--ISNUMBER(SEARCH("R55",G283))*55,0)+IFERROR(--ISNUMBER(SEARCH("R56",G283))*56,0)+IFERROR(--ISNUMBER(SEARCH("R57",G283))*57,0)+IFERROR(--ISNUMBER(SEARCH("R58",G283))*58,0)+IFERROR(--ISNUMBER(SEARCH("R59",G283))*59,0)+IFERROR(--ISNUMBER(SEARCH("R60",G283))*60,0)+IFERROR(--ISNUMBER(SEARCH("R61",G283))*61,0)+IFERROR(--ISNUMBER(SEARCH("R62",G283))*62,0)+IFERROR(--ISNUMBER(SEARCH("R63",G283))*63,0)+IFERROR(--ISNUMBER(SEARCH("R64",G283))*64,0)+IFERROR(--ISNUMBER(SEARCH("R65",G283))*65,0)+IFERROR(--ISNUMBER(SEARCH("R66",G283))*66,0)+IFERROR(--ISNUMBER(SEARCH("R67",G283))*67,0)+IFERROR(--ISNUMBER(SEARCH("R68",G283))*68,0)+IFERROR(--ISNUMBER(SEARCH("R69",G283))*69,0)+IFERROR(--ISNUMBER(SEARCH("R70",G283))*70,0)+IFERROR(--ISNUMBER(SEARCH("R71",G283))*71,0)+IFERROR(--ISNUMBER(SEARCH("R72",G283))*72,0)+IFERROR(--ISNUMBER(SEARCH("R73",G283))*73,0)+IFERROR(--ISNUMBER(SEARCH("R74",G283))*74,0)+IFERROR(--ISNUMBER(SEARCH("R75",G283))*75,0)+IFERROR(--ISNUMBER(SEARCH("R76",G283))*76,0)+IFERROR(--ISNUMBER(SEARCH("R77",G283))*77,0)+IFERROR(--ISNUMBER(SEARCH("R78",G283))*78,0)+IFERROR(--ISNUMBER(SEARCH("R79",G283))*79,0)+IFERROR(--ISNUMBER(SEARCH("R80",G283))*80,0)+IFERROR(--ISNUMBER(SEARCH("R81",G283))*81,0)+IFERROR(--ISNUMBER(SEARCH("R82",G283))*82,0)+IFERROR(--ISNUMBER(SEARCH("R83",G283))*83,0)+IFERROR(--ISNUMBER(SEARCH("R84",G283))*84,0)+IFERROR(--ISNUMBER(SEARCH("R85",G283))*85,0)+IFERROR(--ISNUMBER(SEARCH("R86",G283))*86,0)+IFERROR(--ISNUMBER(SEARCH("R87",G283))*87,0)+IFERROR(--ISNUMBER(SEARCH("R88",G283))*88,0)+IFERROR(--ISNUMBER(SEARCH("R89",G283))*89,0)+IFERROR(--ISNUMBER(SEARCH("R90",G283))*90,0)+IFERROR(--ISNUMBER(SEARCH("R91",G283))*91,0)+IFERROR(--ISNUMBER(SEARCH("R92",G283))*92,0)+IFERROR(--ISNUMBER(SEARCH("R93",G283))*93,0)+IFERROR(--ISNUMBER(SEARCH("R94",G283))*94,0)+IFERROR(--ISNUMBER(SEARCH("R95",G283))*95,0)+IFERROR(--ISNUMBER(SEARCH("R96",G283))*96,0)+IFERROR(--ISNUMBER(SEARCH("R97",G283))*97,0)+IFERROR(--ISNUMBER(SEARCH("R98",G283))*98,0)+IFERROR(--ISNUMBER(SEARCH("R99",G283))*99,0)+IFERROR(--ISNUMBER(SEARCH("R100",G283))*100,0)+IFERROR(--ISNUMBER(SEARCH("R101",G283))*101,0)+IFERROR(--ISNUMBER(SEARCH("R102",G283))*102,0)+IFERROR(--ISNUMBER(SEARCH("R103",G283))*103,0)+IFERROR(--ISNUMBER(SEARCH("R104",G283))*104,0)+IFERROR(--ISNUMBER(SEARCH("R105",G283))*105,0)+IFERROR(--ISNUMBER(SEARCH("R106",G283))*106,0)+IFERROR(--ISNUMBER(SEARCH("R107",G283))*107,0)+IFERROR(--ISNUMBER(SEARCH("R108",G283))*108,0)+IFERROR(--ISNUMBER(SEARCH("R109",G283))*109,0)+IFERROR(--ISNUMBER(SEARCH("R110",G283))*110,0)+IFERROR(--ISNUMBER(SEARCH("R111",G283))*111,0)+IFERROR(--ISNUMBER(SEARCH("R112",G283))*112,0)+IFERROR(--ISNUMBER(SEARCH("R113",G283))*113,0)+IFERROR(--ISNUMBER(SEARCH("R114",G283))*114,0)+IFERROR(--ISNUMBER(SEARCH("R115",G283))*115,0)+IFERROR(--ISNUMBER(SEARCH("R116",G283))*116,0)+IFERROR(--ISNUMBER(SEARCH("R117",G283))*117,0)+IFERROR(--ISNUMBER(SEARCH("R118",G283))*118,0)+IFERROR(--ISNUMBER(SEARCH("R119",G283))*119,0)+IFERROR(--ISNUMBER(SEARCH("R120",G283))*120,0)+IFERROR(--ISNUMBER(SEARCH("R121",G283))*121,0)+IFERROR(--ISNUMBER(SEARCH("R122",G283))*122,0)+IFERROR(--ISNUMBER(SEARCH("R123",G283))*123,0)+IFERROR(--ISNUMBER(SEARCH("R124",G283))*124,0)+IFERROR(--ISNUMBER(SEARCH("R125",G283))*125,0)+IFERROR(--ISNUMBER(SEARCH("R126",G283))*126,0)+IFERROR(--ISNUMBER(SEARCH("R127",G283))*127,0)+IFERROR(--ISNUMBER(SEARCH("R128",G283))*128,0)+IFERROR(--ISNUMBER(SEARCH("R129",G283))*129,0)+IFERROR(--ISNUMBER(SEARCH("R130",G283))*130,0)+IFERROR(--ISNUMBER(SEARCH("R131",G283))*131,0)+IFERROR(--ISNUMBER(SEARCH("R132",G283))*132,0)+IFERROR(--ISNUMBER(SEARCH("R133",G283))*133,0)+IFERROR(--ISNUMBER(SEARCH("R134",G283))*134,0)+IFERROR(--ISNUMBER(SEARCH("R135",G283))*135,0)+IFERROR(--ISNUMBER(SEARCH("R136",G283))*136,0)+IFERROR(--ISNUMBER(SEARCH("R137",G283))*137,0)+IFERROR(--ISNUMBER(SEARCH("R138",G283))*138,0)+IFERROR(--ISNUMBER(SEARCH("R139",G283))*139,0)+IFERROR(--ISNUMBER(SEARCH("R140",G283))*140,0)+IFERROR(--ISNUMBER(SEARCH("R141",G283))*141,0))</f>
        <v/>
      </c>
      <c r="V283" s="59">
        <f>IF(A283="","",IF(K283&lt;&gt;"",K283,J283))</f>
        <v/>
      </c>
      <c r="W283" s="59">
        <f>IF(A283="","",IF(AND(V283=29,O283&lt;&gt;"",COUNTIFS($V$6:$V$505,29,$F$6:$F$505,F283,$C$6:$C$505,C283,$O$6:$O$505,"&lt;&gt;")&gt;1),IF(COUNTIFS($V$6:V283,29,$F$6:F283,F283,$C$6:C283,C283,$O$6:O283,"&lt;&gt;")=1,"Esta es la fila que se debe CONSERVAR (aparición 1 de "&amp;COUNTIFS($V$6:$V$505,29,$F$6:$F$505,F283,$C$6:$C$505,C283,$O$6:$O$505,"&lt;&gt;")&amp;" con el mismo tercero y valor, casilla 29). Si hay más filas iguales, bórreles el valor a ELLAS, no a esta.","DUPLICADO — ya existe otra fila con el mismo tercero y valor para casilla 29 (aparición "&amp;COUNTIFS($V$6:V283,29,$F$6:F283,F283,$C$6:C283,C283,$O$6:O283,"&lt;&gt;")&amp;" de "&amp;COUNTIFS($V$6:$V$505,29,$F$6:$F$505,F283,$C$6:$C$505,C283,$O$6:$O$505,"&lt;&gt;")&amp;"). Para resolverlo: seleccione la celda O"&amp;ROW()&amp;" (columna Valor a declarar de ESTA fila) y presione Supr."),""))</f>
        <v/>
      </c>
      <c r="X283" s="463">
        <f>IF(A283="","",F283)</f>
        <v/>
      </c>
      <c r="Y283" s="463">
        <f>IF(A283="","",SUMIF(Entrada_Manual!$I$88:$I$187,A283,Entrada_Manual!$F$88:$F$187))</f>
        <v/>
      </c>
      <c r="Z283" s="463">
        <f>IF(A283="","",X283-Y283)</f>
        <v/>
      </c>
      <c r="AA283">
        <f>IF(A283="","",SUMPRODUCT((Entrada_Manual!$I$88:$I$187=A283)*1))</f>
        <v/>
      </c>
      <c r="AB283">
        <f>IF(A283="","",IF(S283&lt;=1,"",IF(AA283=0,"PENDIENTE — SIN ASIGNAR",IF(Z283=0,"RESUELTO","PARCIAL — DIFERENCIA "&amp;TEXT(Z283,"#,##0")))))</f>
        <v/>
      </c>
    </row>
    <row r="284" ht="14.25" customHeight="1" s="235">
      <c r="A284" s="47">
        <f>IF(Exogena_RAW!E293&lt;&gt;"",ROW()-5,"")</f>
        <v/>
      </c>
      <c r="B284" s="48">
        <f>IF(A284="","",293)</f>
        <v/>
      </c>
      <c r="C284" s="48">
        <f>IF(A284="","",IFERROR(Exogena_RAW!A293,""))</f>
        <v/>
      </c>
      <c r="D284" s="48">
        <f>IF(A284="","",IFERROR(Exogena_RAW!B293,""))</f>
        <v/>
      </c>
      <c r="E284" s="48">
        <f>IF(A284="","",Exogena_RAW!E293)</f>
        <v/>
      </c>
      <c r="F284" s="461">
        <f>IF(A284="","",Exogena_RAW!F293)</f>
        <v/>
      </c>
      <c r="G284" s="48">
        <f>IF(A284="","",IFERROR(Exogena_RAW!G293,""))</f>
        <v/>
      </c>
      <c r="H284" s="48">
        <f>IF(A284="","",IFERROR(Exogena_RAW!H293,""))</f>
        <v/>
      </c>
      <c r="I284" s="48">
        <f>IF(A284="","",IFERROR(IF(S284&gt;1,"VARIAS CASILLAS",IF(S284=1,IF(T284=1,"PROPUESTA DE CASILLA","REVISIÓN: CASILLA NO DIRECTA"),IF(OR(ISNUMBER(SEARCH("TOPE",UPPER(E284))),ISNUMBER(SEARCH("TOPE",UPPER(G284)))),"SOLO CONTROL",IF(ISNUMBER(SEARCH("RETEN",UPPER(E284))),"RETENCIÓN","REVISAR")))),"REVISAR"))</f>
        <v/>
      </c>
      <c r="J284" s="48">
        <f>IF(A284="","",IF(ISNUMBER(SEARCH("ingreso laboral promedio de los últimos seis meses",E284)),"",IFERROR(IF(AND(S284=1,T284=1),U284,""),"")))</f>
        <v/>
      </c>
      <c r="K284" s="216" t="n"/>
      <c r="L284" s="48">
        <f>IF(A284="","",IFERROR(IF(K284&lt;&gt;"","Casilla elegida por usuario",IF(S284&gt;1,"Varias casillas — elegir en K",IF(J284&lt;&gt;"","Sugerencia directa",IF(S284=1,"No trasladar directo — revisar",IF(OR(ISNUMBER(SEARCH("TOPE",UPPER(E284))),ISNUMBER(SEARCH("TOPE",UPPER(G284)))),"Solo control","Revisar manualmente"))))),"Revisar manualmente"))</f>
        <v/>
      </c>
      <c r="M284" s="461">
        <f>IF(A284="","",IF(IF(K284&lt;&gt;"",K284,J284)="",0,IF(COUNTIFS(Reglas!$I$5:$I$118,IF(K284&lt;&gt;"",K284,J284),Reglas!$J$5:$J$118,"Sí")=1,F284,0)))</f>
        <v/>
      </c>
      <c r="N284" s="56" t="n"/>
      <c r="O284" s="462">
        <f>IF(A284="","",IF(M284=0,"",M284))</f>
        <v/>
      </c>
      <c r="P284" s="461">
        <f>IF(A284="","",IF(O284="",0,IF(ISNUMBER(O284),O284,0)))</f>
        <v/>
      </c>
      <c r="Q284" s="48">
        <f>IF(A284="","",IF(Exogena_RAW!$C$4="","BLOQUEADO: FALTA AÑO",IF(Exogena_RAW!$K$10&lt;&gt;Reglas!$B$5,"BLOQUEADO: AÑO",IF(IF(K284&lt;&gt;"",K284,J284)="",IF(S284&gt;1,"REQUIERE ASIGNACIÓN MANUAL (VARIAS CASILLAS)","INFORMATIVO (sin casilla — no se declara)"),IF(COUNTIFS(Reglas!$I$5:$I$118,IF(K284&lt;&gt;"",K284,J284),Reglas!$J$5:$J$118,"Sí")=0,"BLOQUEADO: CASILLA NO DIRECTA",IF(O284="","EXCLUIDO (valor borrado por el usuario)",IF(_xlfn.ISFORMULA(O284),IF(W284&lt;&gt;"","BORRADOR — VALOR SUGERIDO DIAN ⚠ VER ALERTA","BORRADOR — VALOR SUGERIDO DIAN"),IF(W284&lt;&gt;"","ACEPTADO ⚠ VER ALERTA","ACEPTADO"))))))))</f>
        <v/>
      </c>
      <c r="R284" s="218" t="n"/>
      <c r="S284" s="58">
        <f>IF(A284="","",IFERROR(--ISNUMBER(SEARCH("R28",G284)),0)+IFERROR(--ISNUMBER(SEARCH("R29",G284)),0)+IFERROR(--ISNUMBER(SEARCH("R30",G284)),0)+IFERROR(--ISNUMBER(SEARCH("R31",G284)),0)+IFERROR(--ISNUMBER(SEARCH("R32",G284)),0)+IFERROR(--ISNUMBER(SEARCH("R33",G284)),0)+IFERROR(--ISNUMBER(SEARCH("R34",G284)),0)+IFERROR(--ISNUMBER(SEARCH("R35",G284)),0)+IFERROR(--ISNUMBER(SEARCH("R36",G284)),0)+IFERROR(--ISNUMBER(SEARCH("R37",G284)),0)+IFERROR(--ISNUMBER(SEARCH("R38",G284)),0)+IFERROR(--ISNUMBER(SEARCH("R39",G284)),0)+IFERROR(--ISNUMBER(SEARCH("R40",G284)),0)+IFERROR(--ISNUMBER(SEARCH("R41",G284)),0)+IFERROR(--ISNUMBER(SEARCH("R42",G284)),0)+IFERROR(--ISNUMBER(SEARCH("R43",G284)),0)+IFERROR(--ISNUMBER(SEARCH("R44",G284)),0)+IFERROR(--ISNUMBER(SEARCH("R45",G284)),0)+IFERROR(--ISNUMBER(SEARCH("R46",G284)),0)+IFERROR(--ISNUMBER(SEARCH("R47",G284)),0)+IFERROR(--ISNUMBER(SEARCH("R48",G284)),0)+IFERROR(--ISNUMBER(SEARCH("R49",G284)),0)+IFERROR(--ISNUMBER(SEARCH("R50",G284)),0)+IFERROR(--ISNUMBER(SEARCH("R51",G284)),0)+IFERROR(--ISNUMBER(SEARCH("R52",G284)),0)+IFERROR(--ISNUMBER(SEARCH("R53",G284)),0)+IFERROR(--ISNUMBER(SEARCH("R54",G284)),0)+IFERROR(--ISNUMBER(SEARCH("R55",G284)),0)+IFERROR(--ISNUMBER(SEARCH("R56",G284)),0)+IFERROR(--ISNUMBER(SEARCH("R57",G284)),0)+IFERROR(--ISNUMBER(SEARCH("R58",G284)),0)+IFERROR(--ISNUMBER(SEARCH("R59",G284)),0)+IFERROR(--ISNUMBER(SEARCH("R60",G284)),0)+IFERROR(--ISNUMBER(SEARCH("R61",G284)),0)+IFERROR(--ISNUMBER(SEARCH("R62",G284)),0)+IFERROR(--ISNUMBER(SEARCH("R63",G284)),0)+IFERROR(--ISNUMBER(SEARCH("R64",G284)),0)+IFERROR(--ISNUMBER(SEARCH("R65",G284)),0)+IFERROR(--ISNUMBER(SEARCH("R66",G284)),0)+IFERROR(--ISNUMBER(SEARCH("R67",G284)),0)+IFERROR(--ISNUMBER(SEARCH("R68",G284)),0)+IFERROR(--ISNUMBER(SEARCH("R69",G284)),0)+IFERROR(--ISNUMBER(SEARCH("R70",G284)),0)+IFERROR(--ISNUMBER(SEARCH("R71",G284)),0)+IFERROR(--ISNUMBER(SEARCH("R72",G284)),0)+IFERROR(--ISNUMBER(SEARCH("R73",G284)),0)+IFERROR(--ISNUMBER(SEARCH("R74",G284)),0)+IFERROR(--ISNUMBER(SEARCH("R75",G284)),0)+IFERROR(--ISNUMBER(SEARCH("R76",G284)),0)+IFERROR(--ISNUMBER(SEARCH("R77",G284)),0)+IFERROR(--ISNUMBER(SEARCH("R78",G284)),0)+IFERROR(--ISNUMBER(SEARCH("R79",G284)),0)+IFERROR(--ISNUMBER(SEARCH("R80",G284)),0)+IFERROR(--ISNUMBER(SEARCH("R81",G284)),0)+IFERROR(--ISNUMBER(SEARCH("R82",G284)),0)+IFERROR(--ISNUMBER(SEARCH("R83",G284)),0)+IFERROR(--ISNUMBER(SEARCH("R84",G284)),0)+IFERROR(--ISNUMBER(SEARCH("R85",G284)),0)+IFERROR(--ISNUMBER(SEARCH("R86",G284)),0)+IFERROR(--ISNUMBER(SEARCH("R87",G284)),0)+IFERROR(--ISNUMBER(SEARCH("R88",G284)),0)+IFERROR(--ISNUMBER(SEARCH("R89",G284)),0)+IFERROR(--ISNUMBER(SEARCH("R90",G284)),0)+IFERROR(--ISNUMBER(SEARCH("R91",G284)),0)+IFERROR(--ISNUMBER(SEARCH("R92",G284)),0)+IFERROR(--ISNUMBER(SEARCH("R93",G284)),0)+IFERROR(--ISNUMBER(SEARCH("R94",G284)),0)+IFERROR(--ISNUMBER(SEARCH("R95",G284)),0)+IFERROR(--ISNUMBER(SEARCH("R96",G284)),0)+IFERROR(--ISNUMBER(SEARCH("R97",G284)),0)+IFERROR(--ISNUMBER(SEARCH("R98",G284)),0)+IFERROR(--ISNUMBER(SEARCH("R99",G284)),0)+IFERROR(--ISNUMBER(SEARCH("R100",G284)),0)+IFERROR(--ISNUMBER(SEARCH("R101",G284)),0)+IFERROR(--ISNUMBER(SEARCH("R102",G284)),0)+IFERROR(--ISNUMBER(SEARCH("R103",G284)),0)+IFERROR(--ISNUMBER(SEARCH("R104",G284)),0)+IFERROR(--ISNUMBER(SEARCH("R105",G284)),0)+IFERROR(--ISNUMBER(SEARCH("R106",G284)),0)+IFERROR(--ISNUMBER(SEARCH("R107",G284)),0)+IFERROR(--ISNUMBER(SEARCH("R108",G284)),0)+IFERROR(--ISNUMBER(SEARCH("R109",G284)),0)+IFERROR(--ISNUMBER(SEARCH("R110",G284)),0)+IFERROR(--ISNUMBER(SEARCH("R111",G284)),0)+IFERROR(--ISNUMBER(SEARCH("R112",G284)),0)+IFERROR(--ISNUMBER(SEARCH("R113",G284)),0)+IFERROR(--ISNUMBER(SEARCH("R114",G284)),0)+IFERROR(--ISNUMBER(SEARCH("R115",G284)),0)+IFERROR(--ISNUMBER(SEARCH("R116",G284)),0)+IFERROR(--ISNUMBER(SEARCH("R117",G284)),0)+IFERROR(--ISNUMBER(SEARCH("R118",G284)),0)+IFERROR(--ISNUMBER(SEARCH("R119",G284)),0)+IFERROR(--ISNUMBER(SEARCH("R120",G284)),0)+IFERROR(--ISNUMBER(SEARCH("R121",G284)),0)+IFERROR(--ISNUMBER(SEARCH("R122",G284)),0)+IFERROR(--ISNUMBER(SEARCH("R123",G284)),0)+IFERROR(--ISNUMBER(SEARCH("R124",G284)),0)+IFERROR(--ISNUMBER(SEARCH("R125",G284)),0)+IFERROR(--ISNUMBER(SEARCH("R126",G284)),0)+IFERROR(--ISNUMBER(SEARCH("R127",G284)),0)+IFERROR(--ISNUMBER(SEARCH("R128",G284)),0)+IFERROR(--ISNUMBER(SEARCH("R129",G284)),0)+IFERROR(--ISNUMBER(SEARCH("R130",G284)),0)+IFERROR(--ISNUMBER(SEARCH("R131",G284)),0)+IFERROR(--ISNUMBER(SEARCH("R132",G284)),0)+IFERROR(--ISNUMBER(SEARCH("R133",G284)),0)+IFERROR(--ISNUMBER(SEARCH("R134",G284)),0)+IFERROR(--ISNUMBER(SEARCH("R135",G284)),0)+IFERROR(--ISNUMBER(SEARCH("R136",G284)),0)+IFERROR(--ISNUMBER(SEARCH("R137",G284)),0)+IFERROR(--ISNUMBER(SEARCH("R138",G284)),0)+IFERROR(--ISNUMBER(SEARCH("R139",G284)),0)+IFERROR(--ISNUMBER(SEARCH("R140",G284)),0)+IFERROR(--ISNUMBER(SEARCH("R141",G284)),0))</f>
        <v/>
      </c>
      <c r="T284" s="58">
        <f>IF(A284="","",IFERROR(--ISNUMBER(SEARCH("R28",G284)),0)+IFERROR(--ISNUMBER(SEARCH("R29",G284)),0)+IFERROR(--ISNUMBER(SEARCH("R30",G284)),0)+IFERROR(--ISNUMBER(SEARCH("R32",G284)),0)+IFERROR(--ISNUMBER(SEARCH("R33",G284)),0)+IFERROR(--ISNUMBER(SEARCH("R35",G284)),0)+IFERROR(--ISNUMBER(SEARCH("R36",G284)),0)+IFERROR(--ISNUMBER(SEARCH("R38",G284)),0)+IFERROR(--ISNUMBER(SEARCH("R39",G284)),0)+IFERROR(--ISNUMBER(SEARCH("R43",G284)),0)+IFERROR(--ISNUMBER(SEARCH("R44",G284)),0)+IFERROR(--ISNUMBER(SEARCH("R45",G284)),0)+IFERROR(--ISNUMBER(SEARCH("R47",G284)),0)+IFERROR(--ISNUMBER(SEARCH("R48",G284)),0)+IFERROR(--ISNUMBER(SEARCH("R50",G284)),0)+IFERROR(--ISNUMBER(SEARCH("R51",G284)),0)+IFERROR(--ISNUMBER(SEARCH("R56",G284)),0)+IFERROR(--ISNUMBER(SEARCH("R58",G284)),0)+IFERROR(--ISNUMBER(SEARCH("R59",G284)),0)+IFERROR(--ISNUMBER(SEARCH("R60",G284)),0)+IFERROR(--ISNUMBER(SEARCH("R62",G284)),0)+IFERROR(--ISNUMBER(SEARCH("R63",G284)),0)+IFERROR(--ISNUMBER(SEARCH("R64",G284)),0)+IFERROR(--ISNUMBER(SEARCH("R66",G284)),0)+IFERROR(--ISNUMBER(SEARCH("R67",G284)),0)+IFERROR(--ISNUMBER(SEARCH("R72",G284)),0)+IFERROR(--ISNUMBER(SEARCH("R74",G284)),0)+IFERROR(--ISNUMBER(SEARCH("R75",G284)),0)+IFERROR(--ISNUMBER(SEARCH("R76",G284)),0)+IFERROR(--ISNUMBER(SEARCH("R77",G284)),0)+IFERROR(--ISNUMBER(SEARCH("R79",G284)),0)+IFERROR(--ISNUMBER(SEARCH("R80",G284)),0)+IFERROR(--ISNUMBER(SEARCH("R81",G284)),0)+IFERROR(--ISNUMBER(SEARCH("R83",G284)),0)+IFERROR(--ISNUMBER(SEARCH("R84",G284)),0)+IFERROR(--ISNUMBER(SEARCH("R89",G284)),0)+IFERROR(--ISNUMBER(SEARCH("R94",G284)),0)+IFERROR(--ISNUMBER(SEARCH("R95",G284)),0)+IFERROR(--ISNUMBER(SEARCH("R96",G284)),0)+IFERROR(--ISNUMBER(SEARCH("R98",G284)),0)+IFERROR(--ISNUMBER(SEARCH("R99",G284)),0)+IFERROR(--ISNUMBER(SEARCH("R100",G284)),0)+IFERROR(--ISNUMBER(SEARCH("R104",G284)),0)+IFERROR(--ISNUMBER(SEARCH("R105",G284)),0)+IFERROR(--ISNUMBER(SEARCH("R107",G284)),0)+IFERROR(--ISNUMBER(SEARCH("R108",G284)),0)+IFERROR(--ISNUMBER(SEARCH("R109",G284)),0)+IFERROR(--ISNUMBER(SEARCH("R110",G284)),0)+IFERROR(--ISNUMBER(SEARCH("R112",G284)),0)+IFERROR(--ISNUMBER(SEARCH("R113",G284)),0)+IFERROR(--ISNUMBER(SEARCH("R114",G284)),0)+IFERROR(--ISNUMBER(SEARCH("R118",G284)),0)+IFERROR(--ISNUMBER(SEARCH("R119",G284)),0)+IFERROR(--ISNUMBER(SEARCH("R120",G284)),0)+IFERROR(--ISNUMBER(SEARCH("R122",G284)),0)+IFERROR(--ISNUMBER(SEARCH("R123",G284)),0)+IFERROR(--ISNUMBER(SEARCH("R124",G284)),0)+IFERROR(--ISNUMBER(SEARCH("R128",G284)),0)+IFERROR(--ISNUMBER(SEARCH("R130",G284)),0)+IFERROR(--ISNUMBER(SEARCH("R131",G284)),0)+IFERROR(--ISNUMBER(SEARCH("R132",G284)),0)+IFERROR(--ISNUMBER(SEARCH("R135",G284)),0)+IFERROR(--ISNUMBER(SEARCH("R138",G284)),0)+IFERROR(--ISNUMBER(SEARCH("R141",G284)),0))</f>
        <v/>
      </c>
      <c r="U284" s="58">
        <f>IF(A284="","",IFERROR(--ISNUMBER(SEARCH("R28",G284))*28,0)+IFERROR(--ISNUMBER(SEARCH("R29",G284))*29,0)+IFERROR(--ISNUMBER(SEARCH("R30",G284))*30,0)+IFERROR(--ISNUMBER(SEARCH("R31",G284))*31,0)+IFERROR(--ISNUMBER(SEARCH("R32",G284))*32,0)+IFERROR(--ISNUMBER(SEARCH("R33",G284))*33,0)+IFERROR(--ISNUMBER(SEARCH("R34",G284))*34,0)+IFERROR(--ISNUMBER(SEARCH("R35",G284))*35,0)+IFERROR(--ISNUMBER(SEARCH("R36",G284))*36,0)+IFERROR(--ISNUMBER(SEARCH("R37",G284))*37,0)+IFERROR(--ISNUMBER(SEARCH("R38",G284))*38,0)+IFERROR(--ISNUMBER(SEARCH("R39",G284))*39,0)+IFERROR(--ISNUMBER(SEARCH("R40",G284))*40,0)+IFERROR(--ISNUMBER(SEARCH("R41",G284))*41,0)+IFERROR(--ISNUMBER(SEARCH("R42",G284))*42,0)+IFERROR(--ISNUMBER(SEARCH("R43",G284))*43,0)+IFERROR(--ISNUMBER(SEARCH("R44",G284))*44,0)+IFERROR(--ISNUMBER(SEARCH("R45",G284))*45,0)+IFERROR(--ISNUMBER(SEARCH("R46",G284))*46,0)+IFERROR(--ISNUMBER(SEARCH("R47",G284))*47,0)+IFERROR(--ISNUMBER(SEARCH("R48",G284))*48,0)+IFERROR(--ISNUMBER(SEARCH("R49",G284))*49,0)+IFERROR(--ISNUMBER(SEARCH("R50",G284))*50,0)+IFERROR(--ISNUMBER(SEARCH("R51",G284))*51,0)+IFERROR(--ISNUMBER(SEARCH("R52",G284))*52,0)+IFERROR(--ISNUMBER(SEARCH("R53",G284))*53,0)+IFERROR(--ISNUMBER(SEARCH("R54",G284))*54,0)+IFERROR(--ISNUMBER(SEARCH("R55",G284))*55,0)+IFERROR(--ISNUMBER(SEARCH("R56",G284))*56,0)+IFERROR(--ISNUMBER(SEARCH("R57",G284))*57,0)+IFERROR(--ISNUMBER(SEARCH("R58",G284))*58,0)+IFERROR(--ISNUMBER(SEARCH("R59",G284))*59,0)+IFERROR(--ISNUMBER(SEARCH("R60",G284))*60,0)+IFERROR(--ISNUMBER(SEARCH("R61",G284))*61,0)+IFERROR(--ISNUMBER(SEARCH("R62",G284))*62,0)+IFERROR(--ISNUMBER(SEARCH("R63",G284))*63,0)+IFERROR(--ISNUMBER(SEARCH("R64",G284))*64,0)+IFERROR(--ISNUMBER(SEARCH("R65",G284))*65,0)+IFERROR(--ISNUMBER(SEARCH("R66",G284))*66,0)+IFERROR(--ISNUMBER(SEARCH("R67",G284))*67,0)+IFERROR(--ISNUMBER(SEARCH("R68",G284))*68,0)+IFERROR(--ISNUMBER(SEARCH("R69",G284))*69,0)+IFERROR(--ISNUMBER(SEARCH("R70",G284))*70,0)+IFERROR(--ISNUMBER(SEARCH("R71",G284))*71,0)+IFERROR(--ISNUMBER(SEARCH("R72",G284))*72,0)+IFERROR(--ISNUMBER(SEARCH("R73",G284))*73,0)+IFERROR(--ISNUMBER(SEARCH("R74",G284))*74,0)+IFERROR(--ISNUMBER(SEARCH("R75",G284))*75,0)+IFERROR(--ISNUMBER(SEARCH("R76",G284))*76,0)+IFERROR(--ISNUMBER(SEARCH("R77",G284))*77,0)+IFERROR(--ISNUMBER(SEARCH("R78",G284))*78,0)+IFERROR(--ISNUMBER(SEARCH("R79",G284))*79,0)+IFERROR(--ISNUMBER(SEARCH("R80",G284))*80,0)+IFERROR(--ISNUMBER(SEARCH("R81",G284))*81,0)+IFERROR(--ISNUMBER(SEARCH("R82",G284))*82,0)+IFERROR(--ISNUMBER(SEARCH("R83",G284))*83,0)+IFERROR(--ISNUMBER(SEARCH("R84",G284))*84,0)+IFERROR(--ISNUMBER(SEARCH("R85",G284))*85,0)+IFERROR(--ISNUMBER(SEARCH("R86",G284))*86,0)+IFERROR(--ISNUMBER(SEARCH("R87",G284))*87,0)+IFERROR(--ISNUMBER(SEARCH("R88",G284))*88,0)+IFERROR(--ISNUMBER(SEARCH("R89",G284))*89,0)+IFERROR(--ISNUMBER(SEARCH("R90",G284))*90,0)+IFERROR(--ISNUMBER(SEARCH("R91",G284))*91,0)+IFERROR(--ISNUMBER(SEARCH("R92",G284))*92,0)+IFERROR(--ISNUMBER(SEARCH("R93",G284))*93,0)+IFERROR(--ISNUMBER(SEARCH("R94",G284))*94,0)+IFERROR(--ISNUMBER(SEARCH("R95",G284))*95,0)+IFERROR(--ISNUMBER(SEARCH("R96",G284))*96,0)+IFERROR(--ISNUMBER(SEARCH("R97",G284))*97,0)+IFERROR(--ISNUMBER(SEARCH("R98",G284))*98,0)+IFERROR(--ISNUMBER(SEARCH("R99",G284))*99,0)+IFERROR(--ISNUMBER(SEARCH("R100",G284))*100,0)+IFERROR(--ISNUMBER(SEARCH("R101",G284))*101,0)+IFERROR(--ISNUMBER(SEARCH("R102",G284))*102,0)+IFERROR(--ISNUMBER(SEARCH("R103",G284))*103,0)+IFERROR(--ISNUMBER(SEARCH("R104",G284))*104,0)+IFERROR(--ISNUMBER(SEARCH("R105",G284))*105,0)+IFERROR(--ISNUMBER(SEARCH("R106",G284))*106,0)+IFERROR(--ISNUMBER(SEARCH("R107",G284))*107,0)+IFERROR(--ISNUMBER(SEARCH("R108",G284))*108,0)+IFERROR(--ISNUMBER(SEARCH("R109",G284))*109,0)+IFERROR(--ISNUMBER(SEARCH("R110",G284))*110,0)+IFERROR(--ISNUMBER(SEARCH("R111",G284))*111,0)+IFERROR(--ISNUMBER(SEARCH("R112",G284))*112,0)+IFERROR(--ISNUMBER(SEARCH("R113",G284))*113,0)+IFERROR(--ISNUMBER(SEARCH("R114",G284))*114,0)+IFERROR(--ISNUMBER(SEARCH("R115",G284))*115,0)+IFERROR(--ISNUMBER(SEARCH("R116",G284))*116,0)+IFERROR(--ISNUMBER(SEARCH("R117",G284))*117,0)+IFERROR(--ISNUMBER(SEARCH("R118",G284))*118,0)+IFERROR(--ISNUMBER(SEARCH("R119",G284))*119,0)+IFERROR(--ISNUMBER(SEARCH("R120",G284))*120,0)+IFERROR(--ISNUMBER(SEARCH("R121",G284))*121,0)+IFERROR(--ISNUMBER(SEARCH("R122",G284))*122,0)+IFERROR(--ISNUMBER(SEARCH("R123",G284))*123,0)+IFERROR(--ISNUMBER(SEARCH("R124",G284))*124,0)+IFERROR(--ISNUMBER(SEARCH("R125",G284))*125,0)+IFERROR(--ISNUMBER(SEARCH("R126",G284))*126,0)+IFERROR(--ISNUMBER(SEARCH("R127",G284))*127,0)+IFERROR(--ISNUMBER(SEARCH("R128",G284))*128,0)+IFERROR(--ISNUMBER(SEARCH("R129",G284))*129,0)+IFERROR(--ISNUMBER(SEARCH("R130",G284))*130,0)+IFERROR(--ISNUMBER(SEARCH("R131",G284))*131,0)+IFERROR(--ISNUMBER(SEARCH("R132",G284))*132,0)+IFERROR(--ISNUMBER(SEARCH("R133",G284))*133,0)+IFERROR(--ISNUMBER(SEARCH("R134",G284))*134,0)+IFERROR(--ISNUMBER(SEARCH("R135",G284))*135,0)+IFERROR(--ISNUMBER(SEARCH("R136",G284))*136,0)+IFERROR(--ISNUMBER(SEARCH("R137",G284))*137,0)+IFERROR(--ISNUMBER(SEARCH("R138",G284))*138,0)+IFERROR(--ISNUMBER(SEARCH("R139",G284))*139,0)+IFERROR(--ISNUMBER(SEARCH("R140",G284))*140,0)+IFERROR(--ISNUMBER(SEARCH("R141",G284))*141,0))</f>
        <v/>
      </c>
      <c r="V284" s="59">
        <f>IF(A284="","",IF(K284&lt;&gt;"",K284,J284))</f>
        <v/>
      </c>
      <c r="W284" s="59">
        <f>IF(A284="","",IF(AND(V284=29,O284&lt;&gt;"",COUNTIFS($V$6:$V$505,29,$F$6:$F$505,F284,$C$6:$C$505,C284,$O$6:$O$505,"&lt;&gt;")&gt;1),IF(COUNTIFS($V$6:V284,29,$F$6:F284,F284,$C$6:C284,C284,$O$6:O284,"&lt;&gt;")=1,"Esta es la fila que se debe CONSERVAR (aparición 1 de "&amp;COUNTIFS($V$6:$V$505,29,$F$6:$F$505,F284,$C$6:$C$505,C284,$O$6:$O$505,"&lt;&gt;")&amp;" con el mismo tercero y valor, casilla 29). Si hay más filas iguales, bórreles el valor a ELLAS, no a esta.","DUPLICADO — ya existe otra fila con el mismo tercero y valor para casilla 29 (aparición "&amp;COUNTIFS($V$6:V284,29,$F$6:F284,F284,$C$6:C284,C284,$O$6:O284,"&lt;&gt;")&amp;" de "&amp;COUNTIFS($V$6:$V$505,29,$F$6:$F$505,F284,$C$6:$C$505,C284,$O$6:$O$505,"&lt;&gt;")&amp;"). Para resolverlo: seleccione la celda O"&amp;ROW()&amp;" (columna Valor a declarar de ESTA fila) y presione Supr."),""))</f>
        <v/>
      </c>
      <c r="X284" s="463">
        <f>IF(A284="","",F284)</f>
        <v/>
      </c>
      <c r="Y284" s="463">
        <f>IF(A284="","",SUMIF(Entrada_Manual!$I$88:$I$187,A284,Entrada_Manual!$F$88:$F$187))</f>
        <v/>
      </c>
      <c r="Z284" s="463">
        <f>IF(A284="","",X284-Y284)</f>
        <v/>
      </c>
      <c r="AA284">
        <f>IF(A284="","",SUMPRODUCT((Entrada_Manual!$I$88:$I$187=A284)*1))</f>
        <v/>
      </c>
      <c r="AB284">
        <f>IF(A284="","",IF(S284&lt;=1,"",IF(AA284=0,"PENDIENTE — SIN ASIGNAR",IF(Z284=0,"RESUELTO","PARCIAL — DIFERENCIA "&amp;TEXT(Z284,"#,##0")))))</f>
        <v/>
      </c>
    </row>
    <row r="285" ht="14.25" customHeight="1" s="235">
      <c r="A285" s="47">
        <f>IF(Exogena_RAW!E294&lt;&gt;"",ROW()-5,"")</f>
        <v/>
      </c>
      <c r="B285" s="48">
        <f>IF(A285="","",294)</f>
        <v/>
      </c>
      <c r="C285" s="48">
        <f>IF(A285="","",IFERROR(Exogena_RAW!A294,""))</f>
        <v/>
      </c>
      <c r="D285" s="48">
        <f>IF(A285="","",IFERROR(Exogena_RAW!B294,""))</f>
        <v/>
      </c>
      <c r="E285" s="48">
        <f>IF(A285="","",Exogena_RAW!E294)</f>
        <v/>
      </c>
      <c r="F285" s="461">
        <f>IF(A285="","",Exogena_RAW!F294)</f>
        <v/>
      </c>
      <c r="G285" s="48">
        <f>IF(A285="","",IFERROR(Exogena_RAW!G294,""))</f>
        <v/>
      </c>
      <c r="H285" s="48">
        <f>IF(A285="","",IFERROR(Exogena_RAW!H294,""))</f>
        <v/>
      </c>
      <c r="I285" s="48">
        <f>IF(A285="","",IFERROR(IF(S285&gt;1,"VARIAS CASILLAS",IF(S285=1,IF(T285=1,"PROPUESTA DE CASILLA","REVISIÓN: CASILLA NO DIRECTA"),IF(OR(ISNUMBER(SEARCH("TOPE",UPPER(E285))),ISNUMBER(SEARCH("TOPE",UPPER(G285)))),"SOLO CONTROL",IF(ISNUMBER(SEARCH("RETEN",UPPER(E285))),"RETENCIÓN","REVISAR")))),"REVISAR"))</f>
        <v/>
      </c>
      <c r="J285" s="48">
        <f>IF(A285="","",IF(ISNUMBER(SEARCH("ingreso laboral promedio de los últimos seis meses",E285)),"",IFERROR(IF(AND(S285=1,T285=1),U285,""),"")))</f>
        <v/>
      </c>
      <c r="K285" s="216" t="n"/>
      <c r="L285" s="48">
        <f>IF(A285="","",IFERROR(IF(K285&lt;&gt;"","Casilla elegida por usuario",IF(S285&gt;1,"Varias casillas — elegir en K",IF(J285&lt;&gt;"","Sugerencia directa",IF(S285=1,"No trasladar directo — revisar",IF(OR(ISNUMBER(SEARCH("TOPE",UPPER(E285))),ISNUMBER(SEARCH("TOPE",UPPER(G285)))),"Solo control","Revisar manualmente"))))),"Revisar manualmente"))</f>
        <v/>
      </c>
      <c r="M285" s="461">
        <f>IF(A285="","",IF(IF(K285&lt;&gt;"",K285,J285)="",0,IF(COUNTIFS(Reglas!$I$5:$I$118,IF(K285&lt;&gt;"",K285,J285),Reglas!$J$5:$J$118,"Sí")=1,F285,0)))</f>
        <v/>
      </c>
      <c r="N285" s="56" t="n"/>
      <c r="O285" s="462">
        <f>IF(A285="","",IF(M285=0,"",M285))</f>
        <v/>
      </c>
      <c r="P285" s="461">
        <f>IF(A285="","",IF(O285="",0,IF(ISNUMBER(O285),O285,0)))</f>
        <v/>
      </c>
      <c r="Q285" s="48">
        <f>IF(A285="","",IF(Exogena_RAW!$C$4="","BLOQUEADO: FALTA AÑO",IF(Exogena_RAW!$K$10&lt;&gt;Reglas!$B$5,"BLOQUEADO: AÑO",IF(IF(K285&lt;&gt;"",K285,J285)="",IF(S285&gt;1,"REQUIERE ASIGNACIÓN MANUAL (VARIAS CASILLAS)","INFORMATIVO (sin casilla — no se declara)"),IF(COUNTIFS(Reglas!$I$5:$I$118,IF(K285&lt;&gt;"",K285,J285),Reglas!$J$5:$J$118,"Sí")=0,"BLOQUEADO: CASILLA NO DIRECTA",IF(O285="","EXCLUIDO (valor borrado por el usuario)",IF(_xlfn.ISFORMULA(O285),IF(W285&lt;&gt;"","BORRADOR — VALOR SUGERIDO DIAN ⚠ VER ALERTA","BORRADOR — VALOR SUGERIDO DIAN"),IF(W285&lt;&gt;"","ACEPTADO ⚠ VER ALERTA","ACEPTADO"))))))))</f>
        <v/>
      </c>
      <c r="R285" s="218" t="n"/>
      <c r="S285" s="58">
        <f>IF(A285="","",IFERROR(--ISNUMBER(SEARCH("R28",G285)),0)+IFERROR(--ISNUMBER(SEARCH("R29",G285)),0)+IFERROR(--ISNUMBER(SEARCH("R30",G285)),0)+IFERROR(--ISNUMBER(SEARCH("R31",G285)),0)+IFERROR(--ISNUMBER(SEARCH("R32",G285)),0)+IFERROR(--ISNUMBER(SEARCH("R33",G285)),0)+IFERROR(--ISNUMBER(SEARCH("R34",G285)),0)+IFERROR(--ISNUMBER(SEARCH("R35",G285)),0)+IFERROR(--ISNUMBER(SEARCH("R36",G285)),0)+IFERROR(--ISNUMBER(SEARCH("R37",G285)),0)+IFERROR(--ISNUMBER(SEARCH("R38",G285)),0)+IFERROR(--ISNUMBER(SEARCH("R39",G285)),0)+IFERROR(--ISNUMBER(SEARCH("R40",G285)),0)+IFERROR(--ISNUMBER(SEARCH("R41",G285)),0)+IFERROR(--ISNUMBER(SEARCH("R42",G285)),0)+IFERROR(--ISNUMBER(SEARCH("R43",G285)),0)+IFERROR(--ISNUMBER(SEARCH("R44",G285)),0)+IFERROR(--ISNUMBER(SEARCH("R45",G285)),0)+IFERROR(--ISNUMBER(SEARCH("R46",G285)),0)+IFERROR(--ISNUMBER(SEARCH("R47",G285)),0)+IFERROR(--ISNUMBER(SEARCH("R48",G285)),0)+IFERROR(--ISNUMBER(SEARCH("R49",G285)),0)+IFERROR(--ISNUMBER(SEARCH("R50",G285)),0)+IFERROR(--ISNUMBER(SEARCH("R51",G285)),0)+IFERROR(--ISNUMBER(SEARCH("R52",G285)),0)+IFERROR(--ISNUMBER(SEARCH("R53",G285)),0)+IFERROR(--ISNUMBER(SEARCH("R54",G285)),0)+IFERROR(--ISNUMBER(SEARCH("R55",G285)),0)+IFERROR(--ISNUMBER(SEARCH("R56",G285)),0)+IFERROR(--ISNUMBER(SEARCH("R57",G285)),0)+IFERROR(--ISNUMBER(SEARCH("R58",G285)),0)+IFERROR(--ISNUMBER(SEARCH("R59",G285)),0)+IFERROR(--ISNUMBER(SEARCH("R60",G285)),0)+IFERROR(--ISNUMBER(SEARCH("R61",G285)),0)+IFERROR(--ISNUMBER(SEARCH("R62",G285)),0)+IFERROR(--ISNUMBER(SEARCH("R63",G285)),0)+IFERROR(--ISNUMBER(SEARCH("R64",G285)),0)+IFERROR(--ISNUMBER(SEARCH("R65",G285)),0)+IFERROR(--ISNUMBER(SEARCH("R66",G285)),0)+IFERROR(--ISNUMBER(SEARCH("R67",G285)),0)+IFERROR(--ISNUMBER(SEARCH("R68",G285)),0)+IFERROR(--ISNUMBER(SEARCH("R69",G285)),0)+IFERROR(--ISNUMBER(SEARCH("R70",G285)),0)+IFERROR(--ISNUMBER(SEARCH("R71",G285)),0)+IFERROR(--ISNUMBER(SEARCH("R72",G285)),0)+IFERROR(--ISNUMBER(SEARCH("R73",G285)),0)+IFERROR(--ISNUMBER(SEARCH("R74",G285)),0)+IFERROR(--ISNUMBER(SEARCH("R75",G285)),0)+IFERROR(--ISNUMBER(SEARCH("R76",G285)),0)+IFERROR(--ISNUMBER(SEARCH("R77",G285)),0)+IFERROR(--ISNUMBER(SEARCH("R78",G285)),0)+IFERROR(--ISNUMBER(SEARCH("R79",G285)),0)+IFERROR(--ISNUMBER(SEARCH("R80",G285)),0)+IFERROR(--ISNUMBER(SEARCH("R81",G285)),0)+IFERROR(--ISNUMBER(SEARCH("R82",G285)),0)+IFERROR(--ISNUMBER(SEARCH("R83",G285)),0)+IFERROR(--ISNUMBER(SEARCH("R84",G285)),0)+IFERROR(--ISNUMBER(SEARCH("R85",G285)),0)+IFERROR(--ISNUMBER(SEARCH("R86",G285)),0)+IFERROR(--ISNUMBER(SEARCH("R87",G285)),0)+IFERROR(--ISNUMBER(SEARCH("R88",G285)),0)+IFERROR(--ISNUMBER(SEARCH("R89",G285)),0)+IFERROR(--ISNUMBER(SEARCH("R90",G285)),0)+IFERROR(--ISNUMBER(SEARCH("R91",G285)),0)+IFERROR(--ISNUMBER(SEARCH("R92",G285)),0)+IFERROR(--ISNUMBER(SEARCH("R93",G285)),0)+IFERROR(--ISNUMBER(SEARCH("R94",G285)),0)+IFERROR(--ISNUMBER(SEARCH("R95",G285)),0)+IFERROR(--ISNUMBER(SEARCH("R96",G285)),0)+IFERROR(--ISNUMBER(SEARCH("R97",G285)),0)+IFERROR(--ISNUMBER(SEARCH("R98",G285)),0)+IFERROR(--ISNUMBER(SEARCH("R99",G285)),0)+IFERROR(--ISNUMBER(SEARCH("R100",G285)),0)+IFERROR(--ISNUMBER(SEARCH("R101",G285)),0)+IFERROR(--ISNUMBER(SEARCH("R102",G285)),0)+IFERROR(--ISNUMBER(SEARCH("R103",G285)),0)+IFERROR(--ISNUMBER(SEARCH("R104",G285)),0)+IFERROR(--ISNUMBER(SEARCH("R105",G285)),0)+IFERROR(--ISNUMBER(SEARCH("R106",G285)),0)+IFERROR(--ISNUMBER(SEARCH("R107",G285)),0)+IFERROR(--ISNUMBER(SEARCH("R108",G285)),0)+IFERROR(--ISNUMBER(SEARCH("R109",G285)),0)+IFERROR(--ISNUMBER(SEARCH("R110",G285)),0)+IFERROR(--ISNUMBER(SEARCH("R111",G285)),0)+IFERROR(--ISNUMBER(SEARCH("R112",G285)),0)+IFERROR(--ISNUMBER(SEARCH("R113",G285)),0)+IFERROR(--ISNUMBER(SEARCH("R114",G285)),0)+IFERROR(--ISNUMBER(SEARCH("R115",G285)),0)+IFERROR(--ISNUMBER(SEARCH("R116",G285)),0)+IFERROR(--ISNUMBER(SEARCH("R117",G285)),0)+IFERROR(--ISNUMBER(SEARCH("R118",G285)),0)+IFERROR(--ISNUMBER(SEARCH("R119",G285)),0)+IFERROR(--ISNUMBER(SEARCH("R120",G285)),0)+IFERROR(--ISNUMBER(SEARCH("R121",G285)),0)+IFERROR(--ISNUMBER(SEARCH("R122",G285)),0)+IFERROR(--ISNUMBER(SEARCH("R123",G285)),0)+IFERROR(--ISNUMBER(SEARCH("R124",G285)),0)+IFERROR(--ISNUMBER(SEARCH("R125",G285)),0)+IFERROR(--ISNUMBER(SEARCH("R126",G285)),0)+IFERROR(--ISNUMBER(SEARCH("R127",G285)),0)+IFERROR(--ISNUMBER(SEARCH("R128",G285)),0)+IFERROR(--ISNUMBER(SEARCH("R129",G285)),0)+IFERROR(--ISNUMBER(SEARCH("R130",G285)),0)+IFERROR(--ISNUMBER(SEARCH("R131",G285)),0)+IFERROR(--ISNUMBER(SEARCH("R132",G285)),0)+IFERROR(--ISNUMBER(SEARCH("R133",G285)),0)+IFERROR(--ISNUMBER(SEARCH("R134",G285)),0)+IFERROR(--ISNUMBER(SEARCH("R135",G285)),0)+IFERROR(--ISNUMBER(SEARCH("R136",G285)),0)+IFERROR(--ISNUMBER(SEARCH("R137",G285)),0)+IFERROR(--ISNUMBER(SEARCH("R138",G285)),0)+IFERROR(--ISNUMBER(SEARCH("R139",G285)),0)+IFERROR(--ISNUMBER(SEARCH("R140",G285)),0)+IFERROR(--ISNUMBER(SEARCH("R141",G285)),0))</f>
        <v/>
      </c>
      <c r="T285" s="58">
        <f>IF(A285="","",IFERROR(--ISNUMBER(SEARCH("R28",G285)),0)+IFERROR(--ISNUMBER(SEARCH("R29",G285)),0)+IFERROR(--ISNUMBER(SEARCH("R30",G285)),0)+IFERROR(--ISNUMBER(SEARCH("R32",G285)),0)+IFERROR(--ISNUMBER(SEARCH("R33",G285)),0)+IFERROR(--ISNUMBER(SEARCH("R35",G285)),0)+IFERROR(--ISNUMBER(SEARCH("R36",G285)),0)+IFERROR(--ISNUMBER(SEARCH("R38",G285)),0)+IFERROR(--ISNUMBER(SEARCH("R39",G285)),0)+IFERROR(--ISNUMBER(SEARCH("R43",G285)),0)+IFERROR(--ISNUMBER(SEARCH("R44",G285)),0)+IFERROR(--ISNUMBER(SEARCH("R45",G285)),0)+IFERROR(--ISNUMBER(SEARCH("R47",G285)),0)+IFERROR(--ISNUMBER(SEARCH("R48",G285)),0)+IFERROR(--ISNUMBER(SEARCH("R50",G285)),0)+IFERROR(--ISNUMBER(SEARCH("R51",G285)),0)+IFERROR(--ISNUMBER(SEARCH("R56",G285)),0)+IFERROR(--ISNUMBER(SEARCH("R58",G285)),0)+IFERROR(--ISNUMBER(SEARCH("R59",G285)),0)+IFERROR(--ISNUMBER(SEARCH("R60",G285)),0)+IFERROR(--ISNUMBER(SEARCH("R62",G285)),0)+IFERROR(--ISNUMBER(SEARCH("R63",G285)),0)+IFERROR(--ISNUMBER(SEARCH("R64",G285)),0)+IFERROR(--ISNUMBER(SEARCH("R66",G285)),0)+IFERROR(--ISNUMBER(SEARCH("R67",G285)),0)+IFERROR(--ISNUMBER(SEARCH("R72",G285)),0)+IFERROR(--ISNUMBER(SEARCH("R74",G285)),0)+IFERROR(--ISNUMBER(SEARCH("R75",G285)),0)+IFERROR(--ISNUMBER(SEARCH("R76",G285)),0)+IFERROR(--ISNUMBER(SEARCH("R77",G285)),0)+IFERROR(--ISNUMBER(SEARCH("R79",G285)),0)+IFERROR(--ISNUMBER(SEARCH("R80",G285)),0)+IFERROR(--ISNUMBER(SEARCH("R81",G285)),0)+IFERROR(--ISNUMBER(SEARCH("R83",G285)),0)+IFERROR(--ISNUMBER(SEARCH("R84",G285)),0)+IFERROR(--ISNUMBER(SEARCH("R89",G285)),0)+IFERROR(--ISNUMBER(SEARCH("R94",G285)),0)+IFERROR(--ISNUMBER(SEARCH("R95",G285)),0)+IFERROR(--ISNUMBER(SEARCH("R96",G285)),0)+IFERROR(--ISNUMBER(SEARCH("R98",G285)),0)+IFERROR(--ISNUMBER(SEARCH("R99",G285)),0)+IFERROR(--ISNUMBER(SEARCH("R100",G285)),0)+IFERROR(--ISNUMBER(SEARCH("R104",G285)),0)+IFERROR(--ISNUMBER(SEARCH("R105",G285)),0)+IFERROR(--ISNUMBER(SEARCH("R107",G285)),0)+IFERROR(--ISNUMBER(SEARCH("R108",G285)),0)+IFERROR(--ISNUMBER(SEARCH("R109",G285)),0)+IFERROR(--ISNUMBER(SEARCH("R110",G285)),0)+IFERROR(--ISNUMBER(SEARCH("R112",G285)),0)+IFERROR(--ISNUMBER(SEARCH("R113",G285)),0)+IFERROR(--ISNUMBER(SEARCH("R114",G285)),0)+IFERROR(--ISNUMBER(SEARCH("R118",G285)),0)+IFERROR(--ISNUMBER(SEARCH("R119",G285)),0)+IFERROR(--ISNUMBER(SEARCH("R120",G285)),0)+IFERROR(--ISNUMBER(SEARCH("R122",G285)),0)+IFERROR(--ISNUMBER(SEARCH("R123",G285)),0)+IFERROR(--ISNUMBER(SEARCH("R124",G285)),0)+IFERROR(--ISNUMBER(SEARCH("R128",G285)),0)+IFERROR(--ISNUMBER(SEARCH("R130",G285)),0)+IFERROR(--ISNUMBER(SEARCH("R131",G285)),0)+IFERROR(--ISNUMBER(SEARCH("R132",G285)),0)+IFERROR(--ISNUMBER(SEARCH("R135",G285)),0)+IFERROR(--ISNUMBER(SEARCH("R138",G285)),0)+IFERROR(--ISNUMBER(SEARCH("R141",G285)),0))</f>
        <v/>
      </c>
      <c r="U285" s="58">
        <f>IF(A285="","",IFERROR(--ISNUMBER(SEARCH("R28",G285))*28,0)+IFERROR(--ISNUMBER(SEARCH("R29",G285))*29,0)+IFERROR(--ISNUMBER(SEARCH("R30",G285))*30,0)+IFERROR(--ISNUMBER(SEARCH("R31",G285))*31,0)+IFERROR(--ISNUMBER(SEARCH("R32",G285))*32,0)+IFERROR(--ISNUMBER(SEARCH("R33",G285))*33,0)+IFERROR(--ISNUMBER(SEARCH("R34",G285))*34,0)+IFERROR(--ISNUMBER(SEARCH("R35",G285))*35,0)+IFERROR(--ISNUMBER(SEARCH("R36",G285))*36,0)+IFERROR(--ISNUMBER(SEARCH("R37",G285))*37,0)+IFERROR(--ISNUMBER(SEARCH("R38",G285))*38,0)+IFERROR(--ISNUMBER(SEARCH("R39",G285))*39,0)+IFERROR(--ISNUMBER(SEARCH("R40",G285))*40,0)+IFERROR(--ISNUMBER(SEARCH("R41",G285))*41,0)+IFERROR(--ISNUMBER(SEARCH("R42",G285))*42,0)+IFERROR(--ISNUMBER(SEARCH("R43",G285))*43,0)+IFERROR(--ISNUMBER(SEARCH("R44",G285))*44,0)+IFERROR(--ISNUMBER(SEARCH("R45",G285))*45,0)+IFERROR(--ISNUMBER(SEARCH("R46",G285))*46,0)+IFERROR(--ISNUMBER(SEARCH("R47",G285))*47,0)+IFERROR(--ISNUMBER(SEARCH("R48",G285))*48,0)+IFERROR(--ISNUMBER(SEARCH("R49",G285))*49,0)+IFERROR(--ISNUMBER(SEARCH("R50",G285))*50,0)+IFERROR(--ISNUMBER(SEARCH("R51",G285))*51,0)+IFERROR(--ISNUMBER(SEARCH("R52",G285))*52,0)+IFERROR(--ISNUMBER(SEARCH("R53",G285))*53,0)+IFERROR(--ISNUMBER(SEARCH("R54",G285))*54,0)+IFERROR(--ISNUMBER(SEARCH("R55",G285))*55,0)+IFERROR(--ISNUMBER(SEARCH("R56",G285))*56,0)+IFERROR(--ISNUMBER(SEARCH("R57",G285))*57,0)+IFERROR(--ISNUMBER(SEARCH("R58",G285))*58,0)+IFERROR(--ISNUMBER(SEARCH("R59",G285))*59,0)+IFERROR(--ISNUMBER(SEARCH("R60",G285))*60,0)+IFERROR(--ISNUMBER(SEARCH("R61",G285))*61,0)+IFERROR(--ISNUMBER(SEARCH("R62",G285))*62,0)+IFERROR(--ISNUMBER(SEARCH("R63",G285))*63,0)+IFERROR(--ISNUMBER(SEARCH("R64",G285))*64,0)+IFERROR(--ISNUMBER(SEARCH("R65",G285))*65,0)+IFERROR(--ISNUMBER(SEARCH("R66",G285))*66,0)+IFERROR(--ISNUMBER(SEARCH("R67",G285))*67,0)+IFERROR(--ISNUMBER(SEARCH("R68",G285))*68,0)+IFERROR(--ISNUMBER(SEARCH("R69",G285))*69,0)+IFERROR(--ISNUMBER(SEARCH("R70",G285))*70,0)+IFERROR(--ISNUMBER(SEARCH("R71",G285))*71,0)+IFERROR(--ISNUMBER(SEARCH("R72",G285))*72,0)+IFERROR(--ISNUMBER(SEARCH("R73",G285))*73,0)+IFERROR(--ISNUMBER(SEARCH("R74",G285))*74,0)+IFERROR(--ISNUMBER(SEARCH("R75",G285))*75,0)+IFERROR(--ISNUMBER(SEARCH("R76",G285))*76,0)+IFERROR(--ISNUMBER(SEARCH("R77",G285))*77,0)+IFERROR(--ISNUMBER(SEARCH("R78",G285))*78,0)+IFERROR(--ISNUMBER(SEARCH("R79",G285))*79,0)+IFERROR(--ISNUMBER(SEARCH("R80",G285))*80,0)+IFERROR(--ISNUMBER(SEARCH("R81",G285))*81,0)+IFERROR(--ISNUMBER(SEARCH("R82",G285))*82,0)+IFERROR(--ISNUMBER(SEARCH("R83",G285))*83,0)+IFERROR(--ISNUMBER(SEARCH("R84",G285))*84,0)+IFERROR(--ISNUMBER(SEARCH("R85",G285))*85,0)+IFERROR(--ISNUMBER(SEARCH("R86",G285))*86,0)+IFERROR(--ISNUMBER(SEARCH("R87",G285))*87,0)+IFERROR(--ISNUMBER(SEARCH("R88",G285))*88,0)+IFERROR(--ISNUMBER(SEARCH("R89",G285))*89,0)+IFERROR(--ISNUMBER(SEARCH("R90",G285))*90,0)+IFERROR(--ISNUMBER(SEARCH("R91",G285))*91,0)+IFERROR(--ISNUMBER(SEARCH("R92",G285))*92,0)+IFERROR(--ISNUMBER(SEARCH("R93",G285))*93,0)+IFERROR(--ISNUMBER(SEARCH("R94",G285))*94,0)+IFERROR(--ISNUMBER(SEARCH("R95",G285))*95,0)+IFERROR(--ISNUMBER(SEARCH("R96",G285))*96,0)+IFERROR(--ISNUMBER(SEARCH("R97",G285))*97,0)+IFERROR(--ISNUMBER(SEARCH("R98",G285))*98,0)+IFERROR(--ISNUMBER(SEARCH("R99",G285))*99,0)+IFERROR(--ISNUMBER(SEARCH("R100",G285))*100,0)+IFERROR(--ISNUMBER(SEARCH("R101",G285))*101,0)+IFERROR(--ISNUMBER(SEARCH("R102",G285))*102,0)+IFERROR(--ISNUMBER(SEARCH("R103",G285))*103,0)+IFERROR(--ISNUMBER(SEARCH("R104",G285))*104,0)+IFERROR(--ISNUMBER(SEARCH("R105",G285))*105,0)+IFERROR(--ISNUMBER(SEARCH("R106",G285))*106,0)+IFERROR(--ISNUMBER(SEARCH("R107",G285))*107,0)+IFERROR(--ISNUMBER(SEARCH("R108",G285))*108,0)+IFERROR(--ISNUMBER(SEARCH("R109",G285))*109,0)+IFERROR(--ISNUMBER(SEARCH("R110",G285))*110,0)+IFERROR(--ISNUMBER(SEARCH("R111",G285))*111,0)+IFERROR(--ISNUMBER(SEARCH("R112",G285))*112,0)+IFERROR(--ISNUMBER(SEARCH("R113",G285))*113,0)+IFERROR(--ISNUMBER(SEARCH("R114",G285))*114,0)+IFERROR(--ISNUMBER(SEARCH("R115",G285))*115,0)+IFERROR(--ISNUMBER(SEARCH("R116",G285))*116,0)+IFERROR(--ISNUMBER(SEARCH("R117",G285))*117,0)+IFERROR(--ISNUMBER(SEARCH("R118",G285))*118,0)+IFERROR(--ISNUMBER(SEARCH("R119",G285))*119,0)+IFERROR(--ISNUMBER(SEARCH("R120",G285))*120,0)+IFERROR(--ISNUMBER(SEARCH("R121",G285))*121,0)+IFERROR(--ISNUMBER(SEARCH("R122",G285))*122,0)+IFERROR(--ISNUMBER(SEARCH("R123",G285))*123,0)+IFERROR(--ISNUMBER(SEARCH("R124",G285))*124,0)+IFERROR(--ISNUMBER(SEARCH("R125",G285))*125,0)+IFERROR(--ISNUMBER(SEARCH("R126",G285))*126,0)+IFERROR(--ISNUMBER(SEARCH("R127",G285))*127,0)+IFERROR(--ISNUMBER(SEARCH("R128",G285))*128,0)+IFERROR(--ISNUMBER(SEARCH("R129",G285))*129,0)+IFERROR(--ISNUMBER(SEARCH("R130",G285))*130,0)+IFERROR(--ISNUMBER(SEARCH("R131",G285))*131,0)+IFERROR(--ISNUMBER(SEARCH("R132",G285))*132,0)+IFERROR(--ISNUMBER(SEARCH("R133",G285))*133,0)+IFERROR(--ISNUMBER(SEARCH("R134",G285))*134,0)+IFERROR(--ISNUMBER(SEARCH("R135",G285))*135,0)+IFERROR(--ISNUMBER(SEARCH("R136",G285))*136,0)+IFERROR(--ISNUMBER(SEARCH("R137",G285))*137,0)+IFERROR(--ISNUMBER(SEARCH("R138",G285))*138,0)+IFERROR(--ISNUMBER(SEARCH("R139",G285))*139,0)+IFERROR(--ISNUMBER(SEARCH("R140",G285))*140,0)+IFERROR(--ISNUMBER(SEARCH("R141",G285))*141,0))</f>
        <v/>
      </c>
      <c r="V285" s="59">
        <f>IF(A285="","",IF(K285&lt;&gt;"",K285,J285))</f>
        <v/>
      </c>
      <c r="W285" s="59">
        <f>IF(A285="","",IF(AND(V285=29,O285&lt;&gt;"",COUNTIFS($V$6:$V$505,29,$F$6:$F$505,F285,$C$6:$C$505,C285,$O$6:$O$505,"&lt;&gt;")&gt;1),IF(COUNTIFS($V$6:V285,29,$F$6:F285,F285,$C$6:C285,C285,$O$6:O285,"&lt;&gt;")=1,"Esta es la fila que se debe CONSERVAR (aparición 1 de "&amp;COUNTIFS($V$6:$V$505,29,$F$6:$F$505,F285,$C$6:$C$505,C285,$O$6:$O$505,"&lt;&gt;")&amp;" con el mismo tercero y valor, casilla 29). Si hay más filas iguales, bórreles el valor a ELLAS, no a esta.","DUPLICADO — ya existe otra fila con el mismo tercero y valor para casilla 29 (aparición "&amp;COUNTIFS($V$6:V285,29,$F$6:F285,F285,$C$6:C285,C285,$O$6:O285,"&lt;&gt;")&amp;" de "&amp;COUNTIFS($V$6:$V$505,29,$F$6:$F$505,F285,$C$6:$C$505,C285,$O$6:$O$505,"&lt;&gt;")&amp;"). Para resolverlo: seleccione la celda O"&amp;ROW()&amp;" (columna Valor a declarar de ESTA fila) y presione Supr."),""))</f>
        <v/>
      </c>
      <c r="X285" s="463">
        <f>IF(A285="","",F285)</f>
        <v/>
      </c>
      <c r="Y285" s="463">
        <f>IF(A285="","",SUMIF(Entrada_Manual!$I$88:$I$187,A285,Entrada_Manual!$F$88:$F$187))</f>
        <v/>
      </c>
      <c r="Z285" s="463">
        <f>IF(A285="","",X285-Y285)</f>
        <v/>
      </c>
      <c r="AA285">
        <f>IF(A285="","",SUMPRODUCT((Entrada_Manual!$I$88:$I$187=A285)*1))</f>
        <v/>
      </c>
      <c r="AB285">
        <f>IF(A285="","",IF(S285&lt;=1,"",IF(AA285=0,"PENDIENTE — SIN ASIGNAR",IF(Z285=0,"RESUELTO","PARCIAL — DIFERENCIA "&amp;TEXT(Z285,"#,##0")))))</f>
        <v/>
      </c>
    </row>
    <row r="286" ht="14.25" customHeight="1" s="235">
      <c r="A286" s="47">
        <f>IF(Exogena_RAW!E295&lt;&gt;"",ROW()-5,"")</f>
        <v/>
      </c>
      <c r="B286" s="48">
        <f>IF(A286="","",295)</f>
        <v/>
      </c>
      <c r="C286" s="48">
        <f>IF(A286="","",IFERROR(Exogena_RAW!A295,""))</f>
        <v/>
      </c>
      <c r="D286" s="48">
        <f>IF(A286="","",IFERROR(Exogena_RAW!B295,""))</f>
        <v/>
      </c>
      <c r="E286" s="48">
        <f>IF(A286="","",Exogena_RAW!E295)</f>
        <v/>
      </c>
      <c r="F286" s="461">
        <f>IF(A286="","",Exogena_RAW!F295)</f>
        <v/>
      </c>
      <c r="G286" s="48">
        <f>IF(A286="","",IFERROR(Exogena_RAW!G295,""))</f>
        <v/>
      </c>
      <c r="H286" s="48">
        <f>IF(A286="","",IFERROR(Exogena_RAW!H295,""))</f>
        <v/>
      </c>
      <c r="I286" s="48">
        <f>IF(A286="","",IFERROR(IF(S286&gt;1,"VARIAS CASILLAS",IF(S286=1,IF(T286=1,"PROPUESTA DE CASILLA","REVISIÓN: CASILLA NO DIRECTA"),IF(OR(ISNUMBER(SEARCH("TOPE",UPPER(E286))),ISNUMBER(SEARCH("TOPE",UPPER(G286)))),"SOLO CONTROL",IF(ISNUMBER(SEARCH("RETEN",UPPER(E286))),"RETENCIÓN","REVISAR")))),"REVISAR"))</f>
        <v/>
      </c>
      <c r="J286" s="48">
        <f>IF(A286="","",IF(ISNUMBER(SEARCH("ingreso laboral promedio de los últimos seis meses",E286)),"",IFERROR(IF(AND(S286=1,T286=1),U286,""),"")))</f>
        <v/>
      </c>
      <c r="K286" s="216" t="n"/>
      <c r="L286" s="48">
        <f>IF(A286="","",IFERROR(IF(K286&lt;&gt;"","Casilla elegida por usuario",IF(S286&gt;1,"Varias casillas — elegir en K",IF(J286&lt;&gt;"","Sugerencia directa",IF(S286=1,"No trasladar directo — revisar",IF(OR(ISNUMBER(SEARCH("TOPE",UPPER(E286))),ISNUMBER(SEARCH("TOPE",UPPER(G286)))),"Solo control","Revisar manualmente"))))),"Revisar manualmente"))</f>
        <v/>
      </c>
      <c r="M286" s="461">
        <f>IF(A286="","",IF(IF(K286&lt;&gt;"",K286,J286)="",0,IF(COUNTIFS(Reglas!$I$5:$I$118,IF(K286&lt;&gt;"",K286,J286),Reglas!$J$5:$J$118,"Sí")=1,F286,0)))</f>
        <v/>
      </c>
      <c r="N286" s="56" t="n"/>
      <c r="O286" s="462">
        <f>IF(A286="","",IF(M286=0,"",M286))</f>
        <v/>
      </c>
      <c r="P286" s="461">
        <f>IF(A286="","",IF(O286="",0,IF(ISNUMBER(O286),O286,0)))</f>
        <v/>
      </c>
      <c r="Q286" s="48">
        <f>IF(A286="","",IF(Exogena_RAW!$C$4="","BLOQUEADO: FALTA AÑO",IF(Exogena_RAW!$K$10&lt;&gt;Reglas!$B$5,"BLOQUEADO: AÑO",IF(IF(K286&lt;&gt;"",K286,J286)="",IF(S286&gt;1,"REQUIERE ASIGNACIÓN MANUAL (VARIAS CASILLAS)","INFORMATIVO (sin casilla — no se declara)"),IF(COUNTIFS(Reglas!$I$5:$I$118,IF(K286&lt;&gt;"",K286,J286),Reglas!$J$5:$J$118,"Sí")=0,"BLOQUEADO: CASILLA NO DIRECTA",IF(O286="","EXCLUIDO (valor borrado por el usuario)",IF(_xlfn.ISFORMULA(O286),IF(W286&lt;&gt;"","BORRADOR — VALOR SUGERIDO DIAN ⚠ VER ALERTA","BORRADOR — VALOR SUGERIDO DIAN"),IF(W286&lt;&gt;"","ACEPTADO ⚠ VER ALERTA","ACEPTADO"))))))))</f>
        <v/>
      </c>
      <c r="R286" s="218" t="n"/>
      <c r="S286" s="58">
        <f>IF(A286="","",IFERROR(--ISNUMBER(SEARCH("R28",G286)),0)+IFERROR(--ISNUMBER(SEARCH("R29",G286)),0)+IFERROR(--ISNUMBER(SEARCH("R30",G286)),0)+IFERROR(--ISNUMBER(SEARCH("R31",G286)),0)+IFERROR(--ISNUMBER(SEARCH("R32",G286)),0)+IFERROR(--ISNUMBER(SEARCH("R33",G286)),0)+IFERROR(--ISNUMBER(SEARCH("R34",G286)),0)+IFERROR(--ISNUMBER(SEARCH("R35",G286)),0)+IFERROR(--ISNUMBER(SEARCH("R36",G286)),0)+IFERROR(--ISNUMBER(SEARCH("R37",G286)),0)+IFERROR(--ISNUMBER(SEARCH("R38",G286)),0)+IFERROR(--ISNUMBER(SEARCH("R39",G286)),0)+IFERROR(--ISNUMBER(SEARCH("R40",G286)),0)+IFERROR(--ISNUMBER(SEARCH("R41",G286)),0)+IFERROR(--ISNUMBER(SEARCH("R42",G286)),0)+IFERROR(--ISNUMBER(SEARCH("R43",G286)),0)+IFERROR(--ISNUMBER(SEARCH("R44",G286)),0)+IFERROR(--ISNUMBER(SEARCH("R45",G286)),0)+IFERROR(--ISNUMBER(SEARCH("R46",G286)),0)+IFERROR(--ISNUMBER(SEARCH("R47",G286)),0)+IFERROR(--ISNUMBER(SEARCH("R48",G286)),0)+IFERROR(--ISNUMBER(SEARCH("R49",G286)),0)+IFERROR(--ISNUMBER(SEARCH("R50",G286)),0)+IFERROR(--ISNUMBER(SEARCH("R51",G286)),0)+IFERROR(--ISNUMBER(SEARCH("R52",G286)),0)+IFERROR(--ISNUMBER(SEARCH("R53",G286)),0)+IFERROR(--ISNUMBER(SEARCH("R54",G286)),0)+IFERROR(--ISNUMBER(SEARCH("R55",G286)),0)+IFERROR(--ISNUMBER(SEARCH("R56",G286)),0)+IFERROR(--ISNUMBER(SEARCH("R57",G286)),0)+IFERROR(--ISNUMBER(SEARCH("R58",G286)),0)+IFERROR(--ISNUMBER(SEARCH("R59",G286)),0)+IFERROR(--ISNUMBER(SEARCH("R60",G286)),0)+IFERROR(--ISNUMBER(SEARCH("R61",G286)),0)+IFERROR(--ISNUMBER(SEARCH("R62",G286)),0)+IFERROR(--ISNUMBER(SEARCH("R63",G286)),0)+IFERROR(--ISNUMBER(SEARCH("R64",G286)),0)+IFERROR(--ISNUMBER(SEARCH("R65",G286)),0)+IFERROR(--ISNUMBER(SEARCH("R66",G286)),0)+IFERROR(--ISNUMBER(SEARCH("R67",G286)),0)+IFERROR(--ISNUMBER(SEARCH("R68",G286)),0)+IFERROR(--ISNUMBER(SEARCH("R69",G286)),0)+IFERROR(--ISNUMBER(SEARCH("R70",G286)),0)+IFERROR(--ISNUMBER(SEARCH("R71",G286)),0)+IFERROR(--ISNUMBER(SEARCH("R72",G286)),0)+IFERROR(--ISNUMBER(SEARCH("R73",G286)),0)+IFERROR(--ISNUMBER(SEARCH("R74",G286)),0)+IFERROR(--ISNUMBER(SEARCH("R75",G286)),0)+IFERROR(--ISNUMBER(SEARCH("R76",G286)),0)+IFERROR(--ISNUMBER(SEARCH("R77",G286)),0)+IFERROR(--ISNUMBER(SEARCH("R78",G286)),0)+IFERROR(--ISNUMBER(SEARCH("R79",G286)),0)+IFERROR(--ISNUMBER(SEARCH("R80",G286)),0)+IFERROR(--ISNUMBER(SEARCH("R81",G286)),0)+IFERROR(--ISNUMBER(SEARCH("R82",G286)),0)+IFERROR(--ISNUMBER(SEARCH("R83",G286)),0)+IFERROR(--ISNUMBER(SEARCH("R84",G286)),0)+IFERROR(--ISNUMBER(SEARCH("R85",G286)),0)+IFERROR(--ISNUMBER(SEARCH("R86",G286)),0)+IFERROR(--ISNUMBER(SEARCH("R87",G286)),0)+IFERROR(--ISNUMBER(SEARCH("R88",G286)),0)+IFERROR(--ISNUMBER(SEARCH("R89",G286)),0)+IFERROR(--ISNUMBER(SEARCH("R90",G286)),0)+IFERROR(--ISNUMBER(SEARCH("R91",G286)),0)+IFERROR(--ISNUMBER(SEARCH("R92",G286)),0)+IFERROR(--ISNUMBER(SEARCH("R93",G286)),0)+IFERROR(--ISNUMBER(SEARCH("R94",G286)),0)+IFERROR(--ISNUMBER(SEARCH("R95",G286)),0)+IFERROR(--ISNUMBER(SEARCH("R96",G286)),0)+IFERROR(--ISNUMBER(SEARCH("R97",G286)),0)+IFERROR(--ISNUMBER(SEARCH("R98",G286)),0)+IFERROR(--ISNUMBER(SEARCH("R99",G286)),0)+IFERROR(--ISNUMBER(SEARCH("R100",G286)),0)+IFERROR(--ISNUMBER(SEARCH("R101",G286)),0)+IFERROR(--ISNUMBER(SEARCH("R102",G286)),0)+IFERROR(--ISNUMBER(SEARCH("R103",G286)),0)+IFERROR(--ISNUMBER(SEARCH("R104",G286)),0)+IFERROR(--ISNUMBER(SEARCH("R105",G286)),0)+IFERROR(--ISNUMBER(SEARCH("R106",G286)),0)+IFERROR(--ISNUMBER(SEARCH("R107",G286)),0)+IFERROR(--ISNUMBER(SEARCH("R108",G286)),0)+IFERROR(--ISNUMBER(SEARCH("R109",G286)),0)+IFERROR(--ISNUMBER(SEARCH("R110",G286)),0)+IFERROR(--ISNUMBER(SEARCH("R111",G286)),0)+IFERROR(--ISNUMBER(SEARCH("R112",G286)),0)+IFERROR(--ISNUMBER(SEARCH("R113",G286)),0)+IFERROR(--ISNUMBER(SEARCH("R114",G286)),0)+IFERROR(--ISNUMBER(SEARCH("R115",G286)),0)+IFERROR(--ISNUMBER(SEARCH("R116",G286)),0)+IFERROR(--ISNUMBER(SEARCH("R117",G286)),0)+IFERROR(--ISNUMBER(SEARCH("R118",G286)),0)+IFERROR(--ISNUMBER(SEARCH("R119",G286)),0)+IFERROR(--ISNUMBER(SEARCH("R120",G286)),0)+IFERROR(--ISNUMBER(SEARCH("R121",G286)),0)+IFERROR(--ISNUMBER(SEARCH("R122",G286)),0)+IFERROR(--ISNUMBER(SEARCH("R123",G286)),0)+IFERROR(--ISNUMBER(SEARCH("R124",G286)),0)+IFERROR(--ISNUMBER(SEARCH("R125",G286)),0)+IFERROR(--ISNUMBER(SEARCH("R126",G286)),0)+IFERROR(--ISNUMBER(SEARCH("R127",G286)),0)+IFERROR(--ISNUMBER(SEARCH("R128",G286)),0)+IFERROR(--ISNUMBER(SEARCH("R129",G286)),0)+IFERROR(--ISNUMBER(SEARCH("R130",G286)),0)+IFERROR(--ISNUMBER(SEARCH("R131",G286)),0)+IFERROR(--ISNUMBER(SEARCH("R132",G286)),0)+IFERROR(--ISNUMBER(SEARCH("R133",G286)),0)+IFERROR(--ISNUMBER(SEARCH("R134",G286)),0)+IFERROR(--ISNUMBER(SEARCH("R135",G286)),0)+IFERROR(--ISNUMBER(SEARCH("R136",G286)),0)+IFERROR(--ISNUMBER(SEARCH("R137",G286)),0)+IFERROR(--ISNUMBER(SEARCH("R138",G286)),0)+IFERROR(--ISNUMBER(SEARCH("R139",G286)),0)+IFERROR(--ISNUMBER(SEARCH("R140",G286)),0)+IFERROR(--ISNUMBER(SEARCH("R141",G286)),0))</f>
        <v/>
      </c>
      <c r="T286" s="58">
        <f>IF(A286="","",IFERROR(--ISNUMBER(SEARCH("R28",G286)),0)+IFERROR(--ISNUMBER(SEARCH("R29",G286)),0)+IFERROR(--ISNUMBER(SEARCH("R30",G286)),0)+IFERROR(--ISNUMBER(SEARCH("R32",G286)),0)+IFERROR(--ISNUMBER(SEARCH("R33",G286)),0)+IFERROR(--ISNUMBER(SEARCH("R35",G286)),0)+IFERROR(--ISNUMBER(SEARCH("R36",G286)),0)+IFERROR(--ISNUMBER(SEARCH("R38",G286)),0)+IFERROR(--ISNUMBER(SEARCH("R39",G286)),0)+IFERROR(--ISNUMBER(SEARCH("R43",G286)),0)+IFERROR(--ISNUMBER(SEARCH("R44",G286)),0)+IFERROR(--ISNUMBER(SEARCH("R45",G286)),0)+IFERROR(--ISNUMBER(SEARCH("R47",G286)),0)+IFERROR(--ISNUMBER(SEARCH("R48",G286)),0)+IFERROR(--ISNUMBER(SEARCH("R50",G286)),0)+IFERROR(--ISNUMBER(SEARCH("R51",G286)),0)+IFERROR(--ISNUMBER(SEARCH("R56",G286)),0)+IFERROR(--ISNUMBER(SEARCH("R58",G286)),0)+IFERROR(--ISNUMBER(SEARCH("R59",G286)),0)+IFERROR(--ISNUMBER(SEARCH("R60",G286)),0)+IFERROR(--ISNUMBER(SEARCH("R62",G286)),0)+IFERROR(--ISNUMBER(SEARCH("R63",G286)),0)+IFERROR(--ISNUMBER(SEARCH("R64",G286)),0)+IFERROR(--ISNUMBER(SEARCH("R66",G286)),0)+IFERROR(--ISNUMBER(SEARCH("R67",G286)),0)+IFERROR(--ISNUMBER(SEARCH("R72",G286)),0)+IFERROR(--ISNUMBER(SEARCH("R74",G286)),0)+IFERROR(--ISNUMBER(SEARCH("R75",G286)),0)+IFERROR(--ISNUMBER(SEARCH("R76",G286)),0)+IFERROR(--ISNUMBER(SEARCH("R77",G286)),0)+IFERROR(--ISNUMBER(SEARCH("R79",G286)),0)+IFERROR(--ISNUMBER(SEARCH("R80",G286)),0)+IFERROR(--ISNUMBER(SEARCH("R81",G286)),0)+IFERROR(--ISNUMBER(SEARCH("R83",G286)),0)+IFERROR(--ISNUMBER(SEARCH("R84",G286)),0)+IFERROR(--ISNUMBER(SEARCH("R89",G286)),0)+IFERROR(--ISNUMBER(SEARCH("R94",G286)),0)+IFERROR(--ISNUMBER(SEARCH("R95",G286)),0)+IFERROR(--ISNUMBER(SEARCH("R96",G286)),0)+IFERROR(--ISNUMBER(SEARCH("R98",G286)),0)+IFERROR(--ISNUMBER(SEARCH("R99",G286)),0)+IFERROR(--ISNUMBER(SEARCH("R100",G286)),0)+IFERROR(--ISNUMBER(SEARCH("R104",G286)),0)+IFERROR(--ISNUMBER(SEARCH("R105",G286)),0)+IFERROR(--ISNUMBER(SEARCH("R107",G286)),0)+IFERROR(--ISNUMBER(SEARCH("R108",G286)),0)+IFERROR(--ISNUMBER(SEARCH("R109",G286)),0)+IFERROR(--ISNUMBER(SEARCH("R110",G286)),0)+IFERROR(--ISNUMBER(SEARCH("R112",G286)),0)+IFERROR(--ISNUMBER(SEARCH("R113",G286)),0)+IFERROR(--ISNUMBER(SEARCH("R114",G286)),0)+IFERROR(--ISNUMBER(SEARCH("R118",G286)),0)+IFERROR(--ISNUMBER(SEARCH("R119",G286)),0)+IFERROR(--ISNUMBER(SEARCH("R120",G286)),0)+IFERROR(--ISNUMBER(SEARCH("R122",G286)),0)+IFERROR(--ISNUMBER(SEARCH("R123",G286)),0)+IFERROR(--ISNUMBER(SEARCH("R124",G286)),0)+IFERROR(--ISNUMBER(SEARCH("R128",G286)),0)+IFERROR(--ISNUMBER(SEARCH("R130",G286)),0)+IFERROR(--ISNUMBER(SEARCH("R131",G286)),0)+IFERROR(--ISNUMBER(SEARCH("R132",G286)),0)+IFERROR(--ISNUMBER(SEARCH("R135",G286)),0)+IFERROR(--ISNUMBER(SEARCH("R138",G286)),0)+IFERROR(--ISNUMBER(SEARCH("R141",G286)),0))</f>
        <v/>
      </c>
      <c r="U286" s="58">
        <f>IF(A286="","",IFERROR(--ISNUMBER(SEARCH("R28",G286))*28,0)+IFERROR(--ISNUMBER(SEARCH("R29",G286))*29,0)+IFERROR(--ISNUMBER(SEARCH("R30",G286))*30,0)+IFERROR(--ISNUMBER(SEARCH("R31",G286))*31,0)+IFERROR(--ISNUMBER(SEARCH("R32",G286))*32,0)+IFERROR(--ISNUMBER(SEARCH("R33",G286))*33,0)+IFERROR(--ISNUMBER(SEARCH("R34",G286))*34,0)+IFERROR(--ISNUMBER(SEARCH("R35",G286))*35,0)+IFERROR(--ISNUMBER(SEARCH("R36",G286))*36,0)+IFERROR(--ISNUMBER(SEARCH("R37",G286))*37,0)+IFERROR(--ISNUMBER(SEARCH("R38",G286))*38,0)+IFERROR(--ISNUMBER(SEARCH("R39",G286))*39,0)+IFERROR(--ISNUMBER(SEARCH("R40",G286))*40,0)+IFERROR(--ISNUMBER(SEARCH("R41",G286))*41,0)+IFERROR(--ISNUMBER(SEARCH("R42",G286))*42,0)+IFERROR(--ISNUMBER(SEARCH("R43",G286))*43,0)+IFERROR(--ISNUMBER(SEARCH("R44",G286))*44,0)+IFERROR(--ISNUMBER(SEARCH("R45",G286))*45,0)+IFERROR(--ISNUMBER(SEARCH("R46",G286))*46,0)+IFERROR(--ISNUMBER(SEARCH("R47",G286))*47,0)+IFERROR(--ISNUMBER(SEARCH("R48",G286))*48,0)+IFERROR(--ISNUMBER(SEARCH("R49",G286))*49,0)+IFERROR(--ISNUMBER(SEARCH("R50",G286))*50,0)+IFERROR(--ISNUMBER(SEARCH("R51",G286))*51,0)+IFERROR(--ISNUMBER(SEARCH("R52",G286))*52,0)+IFERROR(--ISNUMBER(SEARCH("R53",G286))*53,0)+IFERROR(--ISNUMBER(SEARCH("R54",G286))*54,0)+IFERROR(--ISNUMBER(SEARCH("R55",G286))*55,0)+IFERROR(--ISNUMBER(SEARCH("R56",G286))*56,0)+IFERROR(--ISNUMBER(SEARCH("R57",G286))*57,0)+IFERROR(--ISNUMBER(SEARCH("R58",G286))*58,0)+IFERROR(--ISNUMBER(SEARCH("R59",G286))*59,0)+IFERROR(--ISNUMBER(SEARCH("R60",G286))*60,0)+IFERROR(--ISNUMBER(SEARCH("R61",G286))*61,0)+IFERROR(--ISNUMBER(SEARCH("R62",G286))*62,0)+IFERROR(--ISNUMBER(SEARCH("R63",G286))*63,0)+IFERROR(--ISNUMBER(SEARCH("R64",G286))*64,0)+IFERROR(--ISNUMBER(SEARCH("R65",G286))*65,0)+IFERROR(--ISNUMBER(SEARCH("R66",G286))*66,0)+IFERROR(--ISNUMBER(SEARCH("R67",G286))*67,0)+IFERROR(--ISNUMBER(SEARCH("R68",G286))*68,0)+IFERROR(--ISNUMBER(SEARCH("R69",G286))*69,0)+IFERROR(--ISNUMBER(SEARCH("R70",G286))*70,0)+IFERROR(--ISNUMBER(SEARCH("R71",G286))*71,0)+IFERROR(--ISNUMBER(SEARCH("R72",G286))*72,0)+IFERROR(--ISNUMBER(SEARCH("R73",G286))*73,0)+IFERROR(--ISNUMBER(SEARCH("R74",G286))*74,0)+IFERROR(--ISNUMBER(SEARCH("R75",G286))*75,0)+IFERROR(--ISNUMBER(SEARCH("R76",G286))*76,0)+IFERROR(--ISNUMBER(SEARCH("R77",G286))*77,0)+IFERROR(--ISNUMBER(SEARCH("R78",G286))*78,0)+IFERROR(--ISNUMBER(SEARCH("R79",G286))*79,0)+IFERROR(--ISNUMBER(SEARCH("R80",G286))*80,0)+IFERROR(--ISNUMBER(SEARCH("R81",G286))*81,0)+IFERROR(--ISNUMBER(SEARCH("R82",G286))*82,0)+IFERROR(--ISNUMBER(SEARCH("R83",G286))*83,0)+IFERROR(--ISNUMBER(SEARCH("R84",G286))*84,0)+IFERROR(--ISNUMBER(SEARCH("R85",G286))*85,0)+IFERROR(--ISNUMBER(SEARCH("R86",G286))*86,0)+IFERROR(--ISNUMBER(SEARCH("R87",G286))*87,0)+IFERROR(--ISNUMBER(SEARCH("R88",G286))*88,0)+IFERROR(--ISNUMBER(SEARCH("R89",G286))*89,0)+IFERROR(--ISNUMBER(SEARCH("R90",G286))*90,0)+IFERROR(--ISNUMBER(SEARCH("R91",G286))*91,0)+IFERROR(--ISNUMBER(SEARCH("R92",G286))*92,0)+IFERROR(--ISNUMBER(SEARCH("R93",G286))*93,0)+IFERROR(--ISNUMBER(SEARCH("R94",G286))*94,0)+IFERROR(--ISNUMBER(SEARCH("R95",G286))*95,0)+IFERROR(--ISNUMBER(SEARCH("R96",G286))*96,0)+IFERROR(--ISNUMBER(SEARCH("R97",G286))*97,0)+IFERROR(--ISNUMBER(SEARCH("R98",G286))*98,0)+IFERROR(--ISNUMBER(SEARCH("R99",G286))*99,0)+IFERROR(--ISNUMBER(SEARCH("R100",G286))*100,0)+IFERROR(--ISNUMBER(SEARCH("R101",G286))*101,0)+IFERROR(--ISNUMBER(SEARCH("R102",G286))*102,0)+IFERROR(--ISNUMBER(SEARCH("R103",G286))*103,0)+IFERROR(--ISNUMBER(SEARCH("R104",G286))*104,0)+IFERROR(--ISNUMBER(SEARCH("R105",G286))*105,0)+IFERROR(--ISNUMBER(SEARCH("R106",G286))*106,0)+IFERROR(--ISNUMBER(SEARCH("R107",G286))*107,0)+IFERROR(--ISNUMBER(SEARCH("R108",G286))*108,0)+IFERROR(--ISNUMBER(SEARCH("R109",G286))*109,0)+IFERROR(--ISNUMBER(SEARCH("R110",G286))*110,0)+IFERROR(--ISNUMBER(SEARCH("R111",G286))*111,0)+IFERROR(--ISNUMBER(SEARCH("R112",G286))*112,0)+IFERROR(--ISNUMBER(SEARCH("R113",G286))*113,0)+IFERROR(--ISNUMBER(SEARCH("R114",G286))*114,0)+IFERROR(--ISNUMBER(SEARCH("R115",G286))*115,0)+IFERROR(--ISNUMBER(SEARCH("R116",G286))*116,0)+IFERROR(--ISNUMBER(SEARCH("R117",G286))*117,0)+IFERROR(--ISNUMBER(SEARCH("R118",G286))*118,0)+IFERROR(--ISNUMBER(SEARCH("R119",G286))*119,0)+IFERROR(--ISNUMBER(SEARCH("R120",G286))*120,0)+IFERROR(--ISNUMBER(SEARCH("R121",G286))*121,0)+IFERROR(--ISNUMBER(SEARCH("R122",G286))*122,0)+IFERROR(--ISNUMBER(SEARCH("R123",G286))*123,0)+IFERROR(--ISNUMBER(SEARCH("R124",G286))*124,0)+IFERROR(--ISNUMBER(SEARCH("R125",G286))*125,0)+IFERROR(--ISNUMBER(SEARCH("R126",G286))*126,0)+IFERROR(--ISNUMBER(SEARCH("R127",G286))*127,0)+IFERROR(--ISNUMBER(SEARCH("R128",G286))*128,0)+IFERROR(--ISNUMBER(SEARCH("R129",G286))*129,0)+IFERROR(--ISNUMBER(SEARCH("R130",G286))*130,0)+IFERROR(--ISNUMBER(SEARCH("R131",G286))*131,0)+IFERROR(--ISNUMBER(SEARCH("R132",G286))*132,0)+IFERROR(--ISNUMBER(SEARCH("R133",G286))*133,0)+IFERROR(--ISNUMBER(SEARCH("R134",G286))*134,0)+IFERROR(--ISNUMBER(SEARCH("R135",G286))*135,0)+IFERROR(--ISNUMBER(SEARCH("R136",G286))*136,0)+IFERROR(--ISNUMBER(SEARCH("R137",G286))*137,0)+IFERROR(--ISNUMBER(SEARCH("R138",G286))*138,0)+IFERROR(--ISNUMBER(SEARCH("R139",G286))*139,0)+IFERROR(--ISNUMBER(SEARCH("R140",G286))*140,0)+IFERROR(--ISNUMBER(SEARCH("R141",G286))*141,0))</f>
        <v/>
      </c>
      <c r="V286" s="59">
        <f>IF(A286="","",IF(K286&lt;&gt;"",K286,J286))</f>
        <v/>
      </c>
      <c r="W286" s="59">
        <f>IF(A286="","",IF(AND(V286=29,O286&lt;&gt;"",COUNTIFS($V$6:$V$505,29,$F$6:$F$505,F286,$C$6:$C$505,C286,$O$6:$O$505,"&lt;&gt;")&gt;1),IF(COUNTIFS($V$6:V286,29,$F$6:F286,F286,$C$6:C286,C286,$O$6:O286,"&lt;&gt;")=1,"Esta es la fila que se debe CONSERVAR (aparición 1 de "&amp;COUNTIFS($V$6:$V$505,29,$F$6:$F$505,F286,$C$6:$C$505,C286,$O$6:$O$505,"&lt;&gt;")&amp;" con el mismo tercero y valor, casilla 29). Si hay más filas iguales, bórreles el valor a ELLAS, no a esta.","DUPLICADO — ya existe otra fila con el mismo tercero y valor para casilla 29 (aparición "&amp;COUNTIFS($V$6:V286,29,$F$6:F286,F286,$C$6:C286,C286,$O$6:O286,"&lt;&gt;")&amp;" de "&amp;COUNTIFS($V$6:$V$505,29,$F$6:$F$505,F286,$C$6:$C$505,C286,$O$6:$O$505,"&lt;&gt;")&amp;"). Para resolverlo: seleccione la celda O"&amp;ROW()&amp;" (columna Valor a declarar de ESTA fila) y presione Supr."),""))</f>
        <v/>
      </c>
      <c r="X286" s="463">
        <f>IF(A286="","",F286)</f>
        <v/>
      </c>
      <c r="Y286" s="463">
        <f>IF(A286="","",SUMIF(Entrada_Manual!$I$88:$I$187,A286,Entrada_Manual!$F$88:$F$187))</f>
        <v/>
      </c>
      <c r="Z286" s="463">
        <f>IF(A286="","",X286-Y286)</f>
        <v/>
      </c>
      <c r="AA286">
        <f>IF(A286="","",SUMPRODUCT((Entrada_Manual!$I$88:$I$187=A286)*1))</f>
        <v/>
      </c>
      <c r="AB286">
        <f>IF(A286="","",IF(S286&lt;=1,"",IF(AA286=0,"PENDIENTE — SIN ASIGNAR",IF(Z286=0,"RESUELTO","PARCIAL — DIFERENCIA "&amp;TEXT(Z286,"#,##0")))))</f>
        <v/>
      </c>
    </row>
    <row r="287" ht="14.25" customHeight="1" s="235">
      <c r="A287" s="47">
        <f>IF(Exogena_RAW!E296&lt;&gt;"",ROW()-5,"")</f>
        <v/>
      </c>
      <c r="B287" s="48">
        <f>IF(A287="","",296)</f>
        <v/>
      </c>
      <c r="C287" s="48">
        <f>IF(A287="","",IFERROR(Exogena_RAW!A296,""))</f>
        <v/>
      </c>
      <c r="D287" s="48">
        <f>IF(A287="","",IFERROR(Exogena_RAW!B296,""))</f>
        <v/>
      </c>
      <c r="E287" s="48">
        <f>IF(A287="","",Exogena_RAW!E296)</f>
        <v/>
      </c>
      <c r="F287" s="461">
        <f>IF(A287="","",Exogena_RAW!F296)</f>
        <v/>
      </c>
      <c r="G287" s="48">
        <f>IF(A287="","",IFERROR(Exogena_RAW!G296,""))</f>
        <v/>
      </c>
      <c r="H287" s="48">
        <f>IF(A287="","",IFERROR(Exogena_RAW!H296,""))</f>
        <v/>
      </c>
      <c r="I287" s="48">
        <f>IF(A287="","",IFERROR(IF(S287&gt;1,"VARIAS CASILLAS",IF(S287=1,IF(T287=1,"PROPUESTA DE CASILLA","REVISIÓN: CASILLA NO DIRECTA"),IF(OR(ISNUMBER(SEARCH("TOPE",UPPER(E287))),ISNUMBER(SEARCH("TOPE",UPPER(G287)))),"SOLO CONTROL",IF(ISNUMBER(SEARCH("RETEN",UPPER(E287))),"RETENCIÓN","REVISAR")))),"REVISAR"))</f>
        <v/>
      </c>
      <c r="J287" s="48">
        <f>IF(A287="","",IF(ISNUMBER(SEARCH("ingreso laboral promedio de los últimos seis meses",E287)),"",IFERROR(IF(AND(S287=1,T287=1),U287,""),"")))</f>
        <v/>
      </c>
      <c r="K287" s="216" t="n"/>
      <c r="L287" s="48">
        <f>IF(A287="","",IFERROR(IF(K287&lt;&gt;"","Casilla elegida por usuario",IF(S287&gt;1,"Varias casillas — elegir en K",IF(J287&lt;&gt;"","Sugerencia directa",IF(S287=1,"No trasladar directo — revisar",IF(OR(ISNUMBER(SEARCH("TOPE",UPPER(E287))),ISNUMBER(SEARCH("TOPE",UPPER(G287)))),"Solo control","Revisar manualmente"))))),"Revisar manualmente"))</f>
        <v/>
      </c>
      <c r="M287" s="461">
        <f>IF(A287="","",IF(IF(K287&lt;&gt;"",K287,J287)="",0,IF(COUNTIFS(Reglas!$I$5:$I$118,IF(K287&lt;&gt;"",K287,J287),Reglas!$J$5:$J$118,"Sí")=1,F287,0)))</f>
        <v/>
      </c>
      <c r="N287" s="56" t="n"/>
      <c r="O287" s="462">
        <f>IF(A287="","",IF(M287=0,"",M287))</f>
        <v/>
      </c>
      <c r="P287" s="461">
        <f>IF(A287="","",IF(O287="",0,IF(ISNUMBER(O287),O287,0)))</f>
        <v/>
      </c>
      <c r="Q287" s="48">
        <f>IF(A287="","",IF(Exogena_RAW!$C$4="","BLOQUEADO: FALTA AÑO",IF(Exogena_RAW!$K$10&lt;&gt;Reglas!$B$5,"BLOQUEADO: AÑO",IF(IF(K287&lt;&gt;"",K287,J287)="",IF(S287&gt;1,"REQUIERE ASIGNACIÓN MANUAL (VARIAS CASILLAS)","INFORMATIVO (sin casilla — no se declara)"),IF(COUNTIFS(Reglas!$I$5:$I$118,IF(K287&lt;&gt;"",K287,J287),Reglas!$J$5:$J$118,"Sí")=0,"BLOQUEADO: CASILLA NO DIRECTA",IF(O287="","EXCLUIDO (valor borrado por el usuario)",IF(_xlfn.ISFORMULA(O287),IF(W287&lt;&gt;"","BORRADOR — VALOR SUGERIDO DIAN ⚠ VER ALERTA","BORRADOR — VALOR SUGERIDO DIAN"),IF(W287&lt;&gt;"","ACEPTADO ⚠ VER ALERTA","ACEPTADO"))))))))</f>
        <v/>
      </c>
      <c r="R287" s="218" t="n"/>
      <c r="S287" s="58">
        <f>IF(A287="","",IFERROR(--ISNUMBER(SEARCH("R28",G287)),0)+IFERROR(--ISNUMBER(SEARCH("R29",G287)),0)+IFERROR(--ISNUMBER(SEARCH("R30",G287)),0)+IFERROR(--ISNUMBER(SEARCH("R31",G287)),0)+IFERROR(--ISNUMBER(SEARCH("R32",G287)),0)+IFERROR(--ISNUMBER(SEARCH("R33",G287)),0)+IFERROR(--ISNUMBER(SEARCH("R34",G287)),0)+IFERROR(--ISNUMBER(SEARCH("R35",G287)),0)+IFERROR(--ISNUMBER(SEARCH("R36",G287)),0)+IFERROR(--ISNUMBER(SEARCH("R37",G287)),0)+IFERROR(--ISNUMBER(SEARCH("R38",G287)),0)+IFERROR(--ISNUMBER(SEARCH("R39",G287)),0)+IFERROR(--ISNUMBER(SEARCH("R40",G287)),0)+IFERROR(--ISNUMBER(SEARCH("R41",G287)),0)+IFERROR(--ISNUMBER(SEARCH("R42",G287)),0)+IFERROR(--ISNUMBER(SEARCH("R43",G287)),0)+IFERROR(--ISNUMBER(SEARCH("R44",G287)),0)+IFERROR(--ISNUMBER(SEARCH("R45",G287)),0)+IFERROR(--ISNUMBER(SEARCH("R46",G287)),0)+IFERROR(--ISNUMBER(SEARCH("R47",G287)),0)+IFERROR(--ISNUMBER(SEARCH("R48",G287)),0)+IFERROR(--ISNUMBER(SEARCH("R49",G287)),0)+IFERROR(--ISNUMBER(SEARCH("R50",G287)),0)+IFERROR(--ISNUMBER(SEARCH("R51",G287)),0)+IFERROR(--ISNUMBER(SEARCH("R52",G287)),0)+IFERROR(--ISNUMBER(SEARCH("R53",G287)),0)+IFERROR(--ISNUMBER(SEARCH("R54",G287)),0)+IFERROR(--ISNUMBER(SEARCH("R55",G287)),0)+IFERROR(--ISNUMBER(SEARCH("R56",G287)),0)+IFERROR(--ISNUMBER(SEARCH("R57",G287)),0)+IFERROR(--ISNUMBER(SEARCH("R58",G287)),0)+IFERROR(--ISNUMBER(SEARCH("R59",G287)),0)+IFERROR(--ISNUMBER(SEARCH("R60",G287)),0)+IFERROR(--ISNUMBER(SEARCH("R61",G287)),0)+IFERROR(--ISNUMBER(SEARCH("R62",G287)),0)+IFERROR(--ISNUMBER(SEARCH("R63",G287)),0)+IFERROR(--ISNUMBER(SEARCH("R64",G287)),0)+IFERROR(--ISNUMBER(SEARCH("R65",G287)),0)+IFERROR(--ISNUMBER(SEARCH("R66",G287)),0)+IFERROR(--ISNUMBER(SEARCH("R67",G287)),0)+IFERROR(--ISNUMBER(SEARCH("R68",G287)),0)+IFERROR(--ISNUMBER(SEARCH("R69",G287)),0)+IFERROR(--ISNUMBER(SEARCH("R70",G287)),0)+IFERROR(--ISNUMBER(SEARCH("R71",G287)),0)+IFERROR(--ISNUMBER(SEARCH("R72",G287)),0)+IFERROR(--ISNUMBER(SEARCH("R73",G287)),0)+IFERROR(--ISNUMBER(SEARCH("R74",G287)),0)+IFERROR(--ISNUMBER(SEARCH("R75",G287)),0)+IFERROR(--ISNUMBER(SEARCH("R76",G287)),0)+IFERROR(--ISNUMBER(SEARCH("R77",G287)),0)+IFERROR(--ISNUMBER(SEARCH("R78",G287)),0)+IFERROR(--ISNUMBER(SEARCH("R79",G287)),0)+IFERROR(--ISNUMBER(SEARCH("R80",G287)),0)+IFERROR(--ISNUMBER(SEARCH("R81",G287)),0)+IFERROR(--ISNUMBER(SEARCH("R82",G287)),0)+IFERROR(--ISNUMBER(SEARCH("R83",G287)),0)+IFERROR(--ISNUMBER(SEARCH("R84",G287)),0)+IFERROR(--ISNUMBER(SEARCH("R85",G287)),0)+IFERROR(--ISNUMBER(SEARCH("R86",G287)),0)+IFERROR(--ISNUMBER(SEARCH("R87",G287)),0)+IFERROR(--ISNUMBER(SEARCH("R88",G287)),0)+IFERROR(--ISNUMBER(SEARCH("R89",G287)),0)+IFERROR(--ISNUMBER(SEARCH("R90",G287)),0)+IFERROR(--ISNUMBER(SEARCH("R91",G287)),0)+IFERROR(--ISNUMBER(SEARCH("R92",G287)),0)+IFERROR(--ISNUMBER(SEARCH("R93",G287)),0)+IFERROR(--ISNUMBER(SEARCH("R94",G287)),0)+IFERROR(--ISNUMBER(SEARCH("R95",G287)),0)+IFERROR(--ISNUMBER(SEARCH("R96",G287)),0)+IFERROR(--ISNUMBER(SEARCH("R97",G287)),0)+IFERROR(--ISNUMBER(SEARCH("R98",G287)),0)+IFERROR(--ISNUMBER(SEARCH("R99",G287)),0)+IFERROR(--ISNUMBER(SEARCH("R100",G287)),0)+IFERROR(--ISNUMBER(SEARCH("R101",G287)),0)+IFERROR(--ISNUMBER(SEARCH("R102",G287)),0)+IFERROR(--ISNUMBER(SEARCH("R103",G287)),0)+IFERROR(--ISNUMBER(SEARCH("R104",G287)),0)+IFERROR(--ISNUMBER(SEARCH("R105",G287)),0)+IFERROR(--ISNUMBER(SEARCH("R106",G287)),0)+IFERROR(--ISNUMBER(SEARCH("R107",G287)),0)+IFERROR(--ISNUMBER(SEARCH("R108",G287)),0)+IFERROR(--ISNUMBER(SEARCH("R109",G287)),0)+IFERROR(--ISNUMBER(SEARCH("R110",G287)),0)+IFERROR(--ISNUMBER(SEARCH("R111",G287)),0)+IFERROR(--ISNUMBER(SEARCH("R112",G287)),0)+IFERROR(--ISNUMBER(SEARCH("R113",G287)),0)+IFERROR(--ISNUMBER(SEARCH("R114",G287)),0)+IFERROR(--ISNUMBER(SEARCH("R115",G287)),0)+IFERROR(--ISNUMBER(SEARCH("R116",G287)),0)+IFERROR(--ISNUMBER(SEARCH("R117",G287)),0)+IFERROR(--ISNUMBER(SEARCH("R118",G287)),0)+IFERROR(--ISNUMBER(SEARCH("R119",G287)),0)+IFERROR(--ISNUMBER(SEARCH("R120",G287)),0)+IFERROR(--ISNUMBER(SEARCH("R121",G287)),0)+IFERROR(--ISNUMBER(SEARCH("R122",G287)),0)+IFERROR(--ISNUMBER(SEARCH("R123",G287)),0)+IFERROR(--ISNUMBER(SEARCH("R124",G287)),0)+IFERROR(--ISNUMBER(SEARCH("R125",G287)),0)+IFERROR(--ISNUMBER(SEARCH("R126",G287)),0)+IFERROR(--ISNUMBER(SEARCH("R127",G287)),0)+IFERROR(--ISNUMBER(SEARCH("R128",G287)),0)+IFERROR(--ISNUMBER(SEARCH("R129",G287)),0)+IFERROR(--ISNUMBER(SEARCH("R130",G287)),0)+IFERROR(--ISNUMBER(SEARCH("R131",G287)),0)+IFERROR(--ISNUMBER(SEARCH("R132",G287)),0)+IFERROR(--ISNUMBER(SEARCH("R133",G287)),0)+IFERROR(--ISNUMBER(SEARCH("R134",G287)),0)+IFERROR(--ISNUMBER(SEARCH("R135",G287)),0)+IFERROR(--ISNUMBER(SEARCH("R136",G287)),0)+IFERROR(--ISNUMBER(SEARCH("R137",G287)),0)+IFERROR(--ISNUMBER(SEARCH("R138",G287)),0)+IFERROR(--ISNUMBER(SEARCH("R139",G287)),0)+IFERROR(--ISNUMBER(SEARCH("R140",G287)),0)+IFERROR(--ISNUMBER(SEARCH("R141",G287)),0))</f>
        <v/>
      </c>
      <c r="T287" s="58">
        <f>IF(A287="","",IFERROR(--ISNUMBER(SEARCH("R28",G287)),0)+IFERROR(--ISNUMBER(SEARCH("R29",G287)),0)+IFERROR(--ISNUMBER(SEARCH("R30",G287)),0)+IFERROR(--ISNUMBER(SEARCH("R32",G287)),0)+IFERROR(--ISNUMBER(SEARCH("R33",G287)),0)+IFERROR(--ISNUMBER(SEARCH("R35",G287)),0)+IFERROR(--ISNUMBER(SEARCH("R36",G287)),0)+IFERROR(--ISNUMBER(SEARCH("R38",G287)),0)+IFERROR(--ISNUMBER(SEARCH("R39",G287)),0)+IFERROR(--ISNUMBER(SEARCH("R43",G287)),0)+IFERROR(--ISNUMBER(SEARCH("R44",G287)),0)+IFERROR(--ISNUMBER(SEARCH("R45",G287)),0)+IFERROR(--ISNUMBER(SEARCH("R47",G287)),0)+IFERROR(--ISNUMBER(SEARCH("R48",G287)),0)+IFERROR(--ISNUMBER(SEARCH("R50",G287)),0)+IFERROR(--ISNUMBER(SEARCH("R51",G287)),0)+IFERROR(--ISNUMBER(SEARCH("R56",G287)),0)+IFERROR(--ISNUMBER(SEARCH("R58",G287)),0)+IFERROR(--ISNUMBER(SEARCH("R59",G287)),0)+IFERROR(--ISNUMBER(SEARCH("R60",G287)),0)+IFERROR(--ISNUMBER(SEARCH("R62",G287)),0)+IFERROR(--ISNUMBER(SEARCH("R63",G287)),0)+IFERROR(--ISNUMBER(SEARCH("R64",G287)),0)+IFERROR(--ISNUMBER(SEARCH("R66",G287)),0)+IFERROR(--ISNUMBER(SEARCH("R67",G287)),0)+IFERROR(--ISNUMBER(SEARCH("R72",G287)),0)+IFERROR(--ISNUMBER(SEARCH("R74",G287)),0)+IFERROR(--ISNUMBER(SEARCH("R75",G287)),0)+IFERROR(--ISNUMBER(SEARCH("R76",G287)),0)+IFERROR(--ISNUMBER(SEARCH("R77",G287)),0)+IFERROR(--ISNUMBER(SEARCH("R79",G287)),0)+IFERROR(--ISNUMBER(SEARCH("R80",G287)),0)+IFERROR(--ISNUMBER(SEARCH("R81",G287)),0)+IFERROR(--ISNUMBER(SEARCH("R83",G287)),0)+IFERROR(--ISNUMBER(SEARCH("R84",G287)),0)+IFERROR(--ISNUMBER(SEARCH("R89",G287)),0)+IFERROR(--ISNUMBER(SEARCH("R94",G287)),0)+IFERROR(--ISNUMBER(SEARCH("R95",G287)),0)+IFERROR(--ISNUMBER(SEARCH("R96",G287)),0)+IFERROR(--ISNUMBER(SEARCH("R98",G287)),0)+IFERROR(--ISNUMBER(SEARCH("R99",G287)),0)+IFERROR(--ISNUMBER(SEARCH("R100",G287)),0)+IFERROR(--ISNUMBER(SEARCH("R104",G287)),0)+IFERROR(--ISNUMBER(SEARCH("R105",G287)),0)+IFERROR(--ISNUMBER(SEARCH("R107",G287)),0)+IFERROR(--ISNUMBER(SEARCH("R108",G287)),0)+IFERROR(--ISNUMBER(SEARCH("R109",G287)),0)+IFERROR(--ISNUMBER(SEARCH("R110",G287)),0)+IFERROR(--ISNUMBER(SEARCH("R112",G287)),0)+IFERROR(--ISNUMBER(SEARCH("R113",G287)),0)+IFERROR(--ISNUMBER(SEARCH("R114",G287)),0)+IFERROR(--ISNUMBER(SEARCH("R118",G287)),0)+IFERROR(--ISNUMBER(SEARCH("R119",G287)),0)+IFERROR(--ISNUMBER(SEARCH("R120",G287)),0)+IFERROR(--ISNUMBER(SEARCH("R122",G287)),0)+IFERROR(--ISNUMBER(SEARCH("R123",G287)),0)+IFERROR(--ISNUMBER(SEARCH("R124",G287)),0)+IFERROR(--ISNUMBER(SEARCH("R128",G287)),0)+IFERROR(--ISNUMBER(SEARCH("R130",G287)),0)+IFERROR(--ISNUMBER(SEARCH("R131",G287)),0)+IFERROR(--ISNUMBER(SEARCH("R132",G287)),0)+IFERROR(--ISNUMBER(SEARCH("R135",G287)),0)+IFERROR(--ISNUMBER(SEARCH("R138",G287)),0)+IFERROR(--ISNUMBER(SEARCH("R141",G287)),0))</f>
        <v/>
      </c>
      <c r="U287" s="58">
        <f>IF(A287="","",IFERROR(--ISNUMBER(SEARCH("R28",G287))*28,0)+IFERROR(--ISNUMBER(SEARCH("R29",G287))*29,0)+IFERROR(--ISNUMBER(SEARCH("R30",G287))*30,0)+IFERROR(--ISNUMBER(SEARCH("R31",G287))*31,0)+IFERROR(--ISNUMBER(SEARCH("R32",G287))*32,0)+IFERROR(--ISNUMBER(SEARCH("R33",G287))*33,0)+IFERROR(--ISNUMBER(SEARCH("R34",G287))*34,0)+IFERROR(--ISNUMBER(SEARCH("R35",G287))*35,0)+IFERROR(--ISNUMBER(SEARCH("R36",G287))*36,0)+IFERROR(--ISNUMBER(SEARCH("R37",G287))*37,0)+IFERROR(--ISNUMBER(SEARCH("R38",G287))*38,0)+IFERROR(--ISNUMBER(SEARCH("R39",G287))*39,0)+IFERROR(--ISNUMBER(SEARCH("R40",G287))*40,0)+IFERROR(--ISNUMBER(SEARCH("R41",G287))*41,0)+IFERROR(--ISNUMBER(SEARCH("R42",G287))*42,0)+IFERROR(--ISNUMBER(SEARCH("R43",G287))*43,0)+IFERROR(--ISNUMBER(SEARCH("R44",G287))*44,0)+IFERROR(--ISNUMBER(SEARCH("R45",G287))*45,0)+IFERROR(--ISNUMBER(SEARCH("R46",G287))*46,0)+IFERROR(--ISNUMBER(SEARCH("R47",G287))*47,0)+IFERROR(--ISNUMBER(SEARCH("R48",G287))*48,0)+IFERROR(--ISNUMBER(SEARCH("R49",G287))*49,0)+IFERROR(--ISNUMBER(SEARCH("R50",G287))*50,0)+IFERROR(--ISNUMBER(SEARCH("R51",G287))*51,0)+IFERROR(--ISNUMBER(SEARCH("R52",G287))*52,0)+IFERROR(--ISNUMBER(SEARCH("R53",G287))*53,0)+IFERROR(--ISNUMBER(SEARCH("R54",G287))*54,0)+IFERROR(--ISNUMBER(SEARCH("R55",G287))*55,0)+IFERROR(--ISNUMBER(SEARCH("R56",G287))*56,0)+IFERROR(--ISNUMBER(SEARCH("R57",G287))*57,0)+IFERROR(--ISNUMBER(SEARCH("R58",G287))*58,0)+IFERROR(--ISNUMBER(SEARCH("R59",G287))*59,0)+IFERROR(--ISNUMBER(SEARCH("R60",G287))*60,0)+IFERROR(--ISNUMBER(SEARCH("R61",G287))*61,0)+IFERROR(--ISNUMBER(SEARCH("R62",G287))*62,0)+IFERROR(--ISNUMBER(SEARCH("R63",G287))*63,0)+IFERROR(--ISNUMBER(SEARCH("R64",G287))*64,0)+IFERROR(--ISNUMBER(SEARCH("R65",G287))*65,0)+IFERROR(--ISNUMBER(SEARCH("R66",G287))*66,0)+IFERROR(--ISNUMBER(SEARCH("R67",G287))*67,0)+IFERROR(--ISNUMBER(SEARCH("R68",G287))*68,0)+IFERROR(--ISNUMBER(SEARCH("R69",G287))*69,0)+IFERROR(--ISNUMBER(SEARCH("R70",G287))*70,0)+IFERROR(--ISNUMBER(SEARCH("R71",G287))*71,0)+IFERROR(--ISNUMBER(SEARCH("R72",G287))*72,0)+IFERROR(--ISNUMBER(SEARCH("R73",G287))*73,0)+IFERROR(--ISNUMBER(SEARCH("R74",G287))*74,0)+IFERROR(--ISNUMBER(SEARCH("R75",G287))*75,0)+IFERROR(--ISNUMBER(SEARCH("R76",G287))*76,0)+IFERROR(--ISNUMBER(SEARCH("R77",G287))*77,0)+IFERROR(--ISNUMBER(SEARCH("R78",G287))*78,0)+IFERROR(--ISNUMBER(SEARCH("R79",G287))*79,0)+IFERROR(--ISNUMBER(SEARCH("R80",G287))*80,0)+IFERROR(--ISNUMBER(SEARCH("R81",G287))*81,0)+IFERROR(--ISNUMBER(SEARCH("R82",G287))*82,0)+IFERROR(--ISNUMBER(SEARCH("R83",G287))*83,0)+IFERROR(--ISNUMBER(SEARCH("R84",G287))*84,0)+IFERROR(--ISNUMBER(SEARCH("R85",G287))*85,0)+IFERROR(--ISNUMBER(SEARCH("R86",G287))*86,0)+IFERROR(--ISNUMBER(SEARCH("R87",G287))*87,0)+IFERROR(--ISNUMBER(SEARCH("R88",G287))*88,0)+IFERROR(--ISNUMBER(SEARCH("R89",G287))*89,0)+IFERROR(--ISNUMBER(SEARCH("R90",G287))*90,0)+IFERROR(--ISNUMBER(SEARCH("R91",G287))*91,0)+IFERROR(--ISNUMBER(SEARCH("R92",G287))*92,0)+IFERROR(--ISNUMBER(SEARCH("R93",G287))*93,0)+IFERROR(--ISNUMBER(SEARCH("R94",G287))*94,0)+IFERROR(--ISNUMBER(SEARCH("R95",G287))*95,0)+IFERROR(--ISNUMBER(SEARCH("R96",G287))*96,0)+IFERROR(--ISNUMBER(SEARCH("R97",G287))*97,0)+IFERROR(--ISNUMBER(SEARCH("R98",G287))*98,0)+IFERROR(--ISNUMBER(SEARCH("R99",G287))*99,0)+IFERROR(--ISNUMBER(SEARCH("R100",G287))*100,0)+IFERROR(--ISNUMBER(SEARCH("R101",G287))*101,0)+IFERROR(--ISNUMBER(SEARCH("R102",G287))*102,0)+IFERROR(--ISNUMBER(SEARCH("R103",G287))*103,0)+IFERROR(--ISNUMBER(SEARCH("R104",G287))*104,0)+IFERROR(--ISNUMBER(SEARCH("R105",G287))*105,0)+IFERROR(--ISNUMBER(SEARCH("R106",G287))*106,0)+IFERROR(--ISNUMBER(SEARCH("R107",G287))*107,0)+IFERROR(--ISNUMBER(SEARCH("R108",G287))*108,0)+IFERROR(--ISNUMBER(SEARCH("R109",G287))*109,0)+IFERROR(--ISNUMBER(SEARCH("R110",G287))*110,0)+IFERROR(--ISNUMBER(SEARCH("R111",G287))*111,0)+IFERROR(--ISNUMBER(SEARCH("R112",G287))*112,0)+IFERROR(--ISNUMBER(SEARCH("R113",G287))*113,0)+IFERROR(--ISNUMBER(SEARCH("R114",G287))*114,0)+IFERROR(--ISNUMBER(SEARCH("R115",G287))*115,0)+IFERROR(--ISNUMBER(SEARCH("R116",G287))*116,0)+IFERROR(--ISNUMBER(SEARCH("R117",G287))*117,0)+IFERROR(--ISNUMBER(SEARCH("R118",G287))*118,0)+IFERROR(--ISNUMBER(SEARCH("R119",G287))*119,0)+IFERROR(--ISNUMBER(SEARCH("R120",G287))*120,0)+IFERROR(--ISNUMBER(SEARCH("R121",G287))*121,0)+IFERROR(--ISNUMBER(SEARCH("R122",G287))*122,0)+IFERROR(--ISNUMBER(SEARCH("R123",G287))*123,0)+IFERROR(--ISNUMBER(SEARCH("R124",G287))*124,0)+IFERROR(--ISNUMBER(SEARCH("R125",G287))*125,0)+IFERROR(--ISNUMBER(SEARCH("R126",G287))*126,0)+IFERROR(--ISNUMBER(SEARCH("R127",G287))*127,0)+IFERROR(--ISNUMBER(SEARCH("R128",G287))*128,0)+IFERROR(--ISNUMBER(SEARCH("R129",G287))*129,0)+IFERROR(--ISNUMBER(SEARCH("R130",G287))*130,0)+IFERROR(--ISNUMBER(SEARCH("R131",G287))*131,0)+IFERROR(--ISNUMBER(SEARCH("R132",G287))*132,0)+IFERROR(--ISNUMBER(SEARCH("R133",G287))*133,0)+IFERROR(--ISNUMBER(SEARCH("R134",G287))*134,0)+IFERROR(--ISNUMBER(SEARCH("R135",G287))*135,0)+IFERROR(--ISNUMBER(SEARCH("R136",G287))*136,0)+IFERROR(--ISNUMBER(SEARCH("R137",G287))*137,0)+IFERROR(--ISNUMBER(SEARCH("R138",G287))*138,0)+IFERROR(--ISNUMBER(SEARCH("R139",G287))*139,0)+IFERROR(--ISNUMBER(SEARCH("R140",G287))*140,0)+IFERROR(--ISNUMBER(SEARCH("R141",G287))*141,0))</f>
        <v/>
      </c>
      <c r="V287" s="59">
        <f>IF(A287="","",IF(K287&lt;&gt;"",K287,J287))</f>
        <v/>
      </c>
      <c r="W287" s="59">
        <f>IF(A287="","",IF(AND(V287=29,O287&lt;&gt;"",COUNTIFS($V$6:$V$505,29,$F$6:$F$505,F287,$C$6:$C$505,C287,$O$6:$O$505,"&lt;&gt;")&gt;1),IF(COUNTIFS($V$6:V287,29,$F$6:F287,F287,$C$6:C287,C287,$O$6:O287,"&lt;&gt;")=1,"Esta es la fila que se debe CONSERVAR (aparición 1 de "&amp;COUNTIFS($V$6:$V$505,29,$F$6:$F$505,F287,$C$6:$C$505,C287,$O$6:$O$505,"&lt;&gt;")&amp;" con el mismo tercero y valor, casilla 29). Si hay más filas iguales, bórreles el valor a ELLAS, no a esta.","DUPLICADO — ya existe otra fila con el mismo tercero y valor para casilla 29 (aparición "&amp;COUNTIFS($V$6:V287,29,$F$6:F287,F287,$C$6:C287,C287,$O$6:O287,"&lt;&gt;")&amp;" de "&amp;COUNTIFS($V$6:$V$505,29,$F$6:$F$505,F287,$C$6:$C$505,C287,$O$6:$O$505,"&lt;&gt;")&amp;"). Para resolverlo: seleccione la celda O"&amp;ROW()&amp;" (columna Valor a declarar de ESTA fila) y presione Supr."),""))</f>
        <v/>
      </c>
      <c r="X287" s="463">
        <f>IF(A287="","",F287)</f>
        <v/>
      </c>
      <c r="Y287" s="463">
        <f>IF(A287="","",SUMIF(Entrada_Manual!$I$88:$I$187,A287,Entrada_Manual!$F$88:$F$187))</f>
        <v/>
      </c>
      <c r="Z287" s="463">
        <f>IF(A287="","",X287-Y287)</f>
        <v/>
      </c>
      <c r="AA287">
        <f>IF(A287="","",SUMPRODUCT((Entrada_Manual!$I$88:$I$187=A287)*1))</f>
        <v/>
      </c>
      <c r="AB287">
        <f>IF(A287="","",IF(S287&lt;=1,"",IF(AA287=0,"PENDIENTE — SIN ASIGNAR",IF(Z287=0,"RESUELTO","PARCIAL — DIFERENCIA "&amp;TEXT(Z287,"#,##0")))))</f>
        <v/>
      </c>
    </row>
    <row r="288" ht="14.25" customHeight="1" s="235">
      <c r="A288" s="47">
        <f>IF(Exogena_RAW!E297&lt;&gt;"",ROW()-5,"")</f>
        <v/>
      </c>
      <c r="B288" s="48">
        <f>IF(A288="","",297)</f>
        <v/>
      </c>
      <c r="C288" s="48">
        <f>IF(A288="","",IFERROR(Exogena_RAW!A297,""))</f>
        <v/>
      </c>
      <c r="D288" s="48">
        <f>IF(A288="","",IFERROR(Exogena_RAW!B297,""))</f>
        <v/>
      </c>
      <c r="E288" s="48">
        <f>IF(A288="","",Exogena_RAW!E297)</f>
        <v/>
      </c>
      <c r="F288" s="461">
        <f>IF(A288="","",Exogena_RAW!F297)</f>
        <v/>
      </c>
      <c r="G288" s="48">
        <f>IF(A288="","",IFERROR(Exogena_RAW!G297,""))</f>
        <v/>
      </c>
      <c r="H288" s="48">
        <f>IF(A288="","",IFERROR(Exogena_RAW!H297,""))</f>
        <v/>
      </c>
      <c r="I288" s="48">
        <f>IF(A288="","",IFERROR(IF(S288&gt;1,"VARIAS CASILLAS",IF(S288=1,IF(T288=1,"PROPUESTA DE CASILLA","REVISIÓN: CASILLA NO DIRECTA"),IF(OR(ISNUMBER(SEARCH("TOPE",UPPER(E288))),ISNUMBER(SEARCH("TOPE",UPPER(G288)))),"SOLO CONTROL",IF(ISNUMBER(SEARCH("RETEN",UPPER(E288))),"RETENCIÓN","REVISAR")))),"REVISAR"))</f>
        <v/>
      </c>
      <c r="J288" s="48">
        <f>IF(A288="","",IF(ISNUMBER(SEARCH("ingreso laboral promedio de los últimos seis meses",E288)),"",IFERROR(IF(AND(S288=1,T288=1),U288,""),"")))</f>
        <v/>
      </c>
      <c r="K288" s="216" t="n"/>
      <c r="L288" s="48">
        <f>IF(A288="","",IFERROR(IF(K288&lt;&gt;"","Casilla elegida por usuario",IF(S288&gt;1,"Varias casillas — elegir en K",IF(J288&lt;&gt;"","Sugerencia directa",IF(S288=1,"No trasladar directo — revisar",IF(OR(ISNUMBER(SEARCH("TOPE",UPPER(E288))),ISNUMBER(SEARCH("TOPE",UPPER(G288)))),"Solo control","Revisar manualmente"))))),"Revisar manualmente"))</f>
        <v/>
      </c>
      <c r="M288" s="461">
        <f>IF(A288="","",IF(IF(K288&lt;&gt;"",K288,J288)="",0,IF(COUNTIFS(Reglas!$I$5:$I$118,IF(K288&lt;&gt;"",K288,J288),Reglas!$J$5:$J$118,"Sí")=1,F288,0)))</f>
        <v/>
      </c>
      <c r="N288" s="56" t="n"/>
      <c r="O288" s="462">
        <f>IF(A288="","",IF(M288=0,"",M288))</f>
        <v/>
      </c>
      <c r="P288" s="461">
        <f>IF(A288="","",IF(O288="",0,IF(ISNUMBER(O288),O288,0)))</f>
        <v/>
      </c>
      <c r="Q288" s="48">
        <f>IF(A288="","",IF(Exogena_RAW!$C$4="","BLOQUEADO: FALTA AÑO",IF(Exogena_RAW!$K$10&lt;&gt;Reglas!$B$5,"BLOQUEADO: AÑO",IF(IF(K288&lt;&gt;"",K288,J288)="",IF(S288&gt;1,"REQUIERE ASIGNACIÓN MANUAL (VARIAS CASILLAS)","INFORMATIVO (sin casilla — no se declara)"),IF(COUNTIFS(Reglas!$I$5:$I$118,IF(K288&lt;&gt;"",K288,J288),Reglas!$J$5:$J$118,"Sí")=0,"BLOQUEADO: CASILLA NO DIRECTA",IF(O288="","EXCLUIDO (valor borrado por el usuario)",IF(_xlfn.ISFORMULA(O288),IF(W288&lt;&gt;"","BORRADOR — VALOR SUGERIDO DIAN ⚠ VER ALERTA","BORRADOR — VALOR SUGERIDO DIAN"),IF(W288&lt;&gt;"","ACEPTADO ⚠ VER ALERTA","ACEPTADO"))))))))</f>
        <v/>
      </c>
      <c r="R288" s="218" t="n"/>
      <c r="S288" s="58">
        <f>IF(A288="","",IFERROR(--ISNUMBER(SEARCH("R28",G288)),0)+IFERROR(--ISNUMBER(SEARCH("R29",G288)),0)+IFERROR(--ISNUMBER(SEARCH("R30",G288)),0)+IFERROR(--ISNUMBER(SEARCH("R31",G288)),0)+IFERROR(--ISNUMBER(SEARCH("R32",G288)),0)+IFERROR(--ISNUMBER(SEARCH("R33",G288)),0)+IFERROR(--ISNUMBER(SEARCH("R34",G288)),0)+IFERROR(--ISNUMBER(SEARCH("R35",G288)),0)+IFERROR(--ISNUMBER(SEARCH("R36",G288)),0)+IFERROR(--ISNUMBER(SEARCH("R37",G288)),0)+IFERROR(--ISNUMBER(SEARCH("R38",G288)),0)+IFERROR(--ISNUMBER(SEARCH("R39",G288)),0)+IFERROR(--ISNUMBER(SEARCH("R40",G288)),0)+IFERROR(--ISNUMBER(SEARCH("R41",G288)),0)+IFERROR(--ISNUMBER(SEARCH("R42",G288)),0)+IFERROR(--ISNUMBER(SEARCH("R43",G288)),0)+IFERROR(--ISNUMBER(SEARCH("R44",G288)),0)+IFERROR(--ISNUMBER(SEARCH("R45",G288)),0)+IFERROR(--ISNUMBER(SEARCH("R46",G288)),0)+IFERROR(--ISNUMBER(SEARCH("R47",G288)),0)+IFERROR(--ISNUMBER(SEARCH("R48",G288)),0)+IFERROR(--ISNUMBER(SEARCH("R49",G288)),0)+IFERROR(--ISNUMBER(SEARCH("R50",G288)),0)+IFERROR(--ISNUMBER(SEARCH("R51",G288)),0)+IFERROR(--ISNUMBER(SEARCH("R52",G288)),0)+IFERROR(--ISNUMBER(SEARCH("R53",G288)),0)+IFERROR(--ISNUMBER(SEARCH("R54",G288)),0)+IFERROR(--ISNUMBER(SEARCH("R55",G288)),0)+IFERROR(--ISNUMBER(SEARCH("R56",G288)),0)+IFERROR(--ISNUMBER(SEARCH("R57",G288)),0)+IFERROR(--ISNUMBER(SEARCH("R58",G288)),0)+IFERROR(--ISNUMBER(SEARCH("R59",G288)),0)+IFERROR(--ISNUMBER(SEARCH("R60",G288)),0)+IFERROR(--ISNUMBER(SEARCH("R61",G288)),0)+IFERROR(--ISNUMBER(SEARCH("R62",G288)),0)+IFERROR(--ISNUMBER(SEARCH("R63",G288)),0)+IFERROR(--ISNUMBER(SEARCH("R64",G288)),0)+IFERROR(--ISNUMBER(SEARCH("R65",G288)),0)+IFERROR(--ISNUMBER(SEARCH("R66",G288)),0)+IFERROR(--ISNUMBER(SEARCH("R67",G288)),0)+IFERROR(--ISNUMBER(SEARCH("R68",G288)),0)+IFERROR(--ISNUMBER(SEARCH("R69",G288)),0)+IFERROR(--ISNUMBER(SEARCH("R70",G288)),0)+IFERROR(--ISNUMBER(SEARCH("R71",G288)),0)+IFERROR(--ISNUMBER(SEARCH("R72",G288)),0)+IFERROR(--ISNUMBER(SEARCH("R73",G288)),0)+IFERROR(--ISNUMBER(SEARCH("R74",G288)),0)+IFERROR(--ISNUMBER(SEARCH("R75",G288)),0)+IFERROR(--ISNUMBER(SEARCH("R76",G288)),0)+IFERROR(--ISNUMBER(SEARCH("R77",G288)),0)+IFERROR(--ISNUMBER(SEARCH("R78",G288)),0)+IFERROR(--ISNUMBER(SEARCH("R79",G288)),0)+IFERROR(--ISNUMBER(SEARCH("R80",G288)),0)+IFERROR(--ISNUMBER(SEARCH("R81",G288)),0)+IFERROR(--ISNUMBER(SEARCH("R82",G288)),0)+IFERROR(--ISNUMBER(SEARCH("R83",G288)),0)+IFERROR(--ISNUMBER(SEARCH("R84",G288)),0)+IFERROR(--ISNUMBER(SEARCH("R85",G288)),0)+IFERROR(--ISNUMBER(SEARCH("R86",G288)),0)+IFERROR(--ISNUMBER(SEARCH("R87",G288)),0)+IFERROR(--ISNUMBER(SEARCH("R88",G288)),0)+IFERROR(--ISNUMBER(SEARCH("R89",G288)),0)+IFERROR(--ISNUMBER(SEARCH("R90",G288)),0)+IFERROR(--ISNUMBER(SEARCH("R91",G288)),0)+IFERROR(--ISNUMBER(SEARCH("R92",G288)),0)+IFERROR(--ISNUMBER(SEARCH("R93",G288)),0)+IFERROR(--ISNUMBER(SEARCH("R94",G288)),0)+IFERROR(--ISNUMBER(SEARCH("R95",G288)),0)+IFERROR(--ISNUMBER(SEARCH("R96",G288)),0)+IFERROR(--ISNUMBER(SEARCH("R97",G288)),0)+IFERROR(--ISNUMBER(SEARCH("R98",G288)),0)+IFERROR(--ISNUMBER(SEARCH("R99",G288)),0)+IFERROR(--ISNUMBER(SEARCH("R100",G288)),0)+IFERROR(--ISNUMBER(SEARCH("R101",G288)),0)+IFERROR(--ISNUMBER(SEARCH("R102",G288)),0)+IFERROR(--ISNUMBER(SEARCH("R103",G288)),0)+IFERROR(--ISNUMBER(SEARCH("R104",G288)),0)+IFERROR(--ISNUMBER(SEARCH("R105",G288)),0)+IFERROR(--ISNUMBER(SEARCH("R106",G288)),0)+IFERROR(--ISNUMBER(SEARCH("R107",G288)),0)+IFERROR(--ISNUMBER(SEARCH("R108",G288)),0)+IFERROR(--ISNUMBER(SEARCH("R109",G288)),0)+IFERROR(--ISNUMBER(SEARCH("R110",G288)),0)+IFERROR(--ISNUMBER(SEARCH("R111",G288)),0)+IFERROR(--ISNUMBER(SEARCH("R112",G288)),0)+IFERROR(--ISNUMBER(SEARCH("R113",G288)),0)+IFERROR(--ISNUMBER(SEARCH("R114",G288)),0)+IFERROR(--ISNUMBER(SEARCH("R115",G288)),0)+IFERROR(--ISNUMBER(SEARCH("R116",G288)),0)+IFERROR(--ISNUMBER(SEARCH("R117",G288)),0)+IFERROR(--ISNUMBER(SEARCH("R118",G288)),0)+IFERROR(--ISNUMBER(SEARCH("R119",G288)),0)+IFERROR(--ISNUMBER(SEARCH("R120",G288)),0)+IFERROR(--ISNUMBER(SEARCH("R121",G288)),0)+IFERROR(--ISNUMBER(SEARCH("R122",G288)),0)+IFERROR(--ISNUMBER(SEARCH("R123",G288)),0)+IFERROR(--ISNUMBER(SEARCH("R124",G288)),0)+IFERROR(--ISNUMBER(SEARCH("R125",G288)),0)+IFERROR(--ISNUMBER(SEARCH("R126",G288)),0)+IFERROR(--ISNUMBER(SEARCH("R127",G288)),0)+IFERROR(--ISNUMBER(SEARCH("R128",G288)),0)+IFERROR(--ISNUMBER(SEARCH("R129",G288)),0)+IFERROR(--ISNUMBER(SEARCH("R130",G288)),0)+IFERROR(--ISNUMBER(SEARCH("R131",G288)),0)+IFERROR(--ISNUMBER(SEARCH("R132",G288)),0)+IFERROR(--ISNUMBER(SEARCH("R133",G288)),0)+IFERROR(--ISNUMBER(SEARCH("R134",G288)),0)+IFERROR(--ISNUMBER(SEARCH("R135",G288)),0)+IFERROR(--ISNUMBER(SEARCH("R136",G288)),0)+IFERROR(--ISNUMBER(SEARCH("R137",G288)),0)+IFERROR(--ISNUMBER(SEARCH("R138",G288)),0)+IFERROR(--ISNUMBER(SEARCH("R139",G288)),0)+IFERROR(--ISNUMBER(SEARCH("R140",G288)),0)+IFERROR(--ISNUMBER(SEARCH("R141",G288)),0))</f>
        <v/>
      </c>
      <c r="T288" s="58">
        <f>IF(A288="","",IFERROR(--ISNUMBER(SEARCH("R28",G288)),0)+IFERROR(--ISNUMBER(SEARCH("R29",G288)),0)+IFERROR(--ISNUMBER(SEARCH("R30",G288)),0)+IFERROR(--ISNUMBER(SEARCH("R32",G288)),0)+IFERROR(--ISNUMBER(SEARCH("R33",G288)),0)+IFERROR(--ISNUMBER(SEARCH("R35",G288)),0)+IFERROR(--ISNUMBER(SEARCH("R36",G288)),0)+IFERROR(--ISNUMBER(SEARCH("R38",G288)),0)+IFERROR(--ISNUMBER(SEARCH("R39",G288)),0)+IFERROR(--ISNUMBER(SEARCH("R43",G288)),0)+IFERROR(--ISNUMBER(SEARCH("R44",G288)),0)+IFERROR(--ISNUMBER(SEARCH("R45",G288)),0)+IFERROR(--ISNUMBER(SEARCH("R47",G288)),0)+IFERROR(--ISNUMBER(SEARCH("R48",G288)),0)+IFERROR(--ISNUMBER(SEARCH("R50",G288)),0)+IFERROR(--ISNUMBER(SEARCH("R51",G288)),0)+IFERROR(--ISNUMBER(SEARCH("R56",G288)),0)+IFERROR(--ISNUMBER(SEARCH("R58",G288)),0)+IFERROR(--ISNUMBER(SEARCH("R59",G288)),0)+IFERROR(--ISNUMBER(SEARCH("R60",G288)),0)+IFERROR(--ISNUMBER(SEARCH("R62",G288)),0)+IFERROR(--ISNUMBER(SEARCH("R63",G288)),0)+IFERROR(--ISNUMBER(SEARCH("R64",G288)),0)+IFERROR(--ISNUMBER(SEARCH("R66",G288)),0)+IFERROR(--ISNUMBER(SEARCH("R67",G288)),0)+IFERROR(--ISNUMBER(SEARCH("R72",G288)),0)+IFERROR(--ISNUMBER(SEARCH("R74",G288)),0)+IFERROR(--ISNUMBER(SEARCH("R75",G288)),0)+IFERROR(--ISNUMBER(SEARCH("R76",G288)),0)+IFERROR(--ISNUMBER(SEARCH("R77",G288)),0)+IFERROR(--ISNUMBER(SEARCH("R79",G288)),0)+IFERROR(--ISNUMBER(SEARCH("R80",G288)),0)+IFERROR(--ISNUMBER(SEARCH("R81",G288)),0)+IFERROR(--ISNUMBER(SEARCH("R83",G288)),0)+IFERROR(--ISNUMBER(SEARCH("R84",G288)),0)+IFERROR(--ISNUMBER(SEARCH("R89",G288)),0)+IFERROR(--ISNUMBER(SEARCH("R94",G288)),0)+IFERROR(--ISNUMBER(SEARCH("R95",G288)),0)+IFERROR(--ISNUMBER(SEARCH("R96",G288)),0)+IFERROR(--ISNUMBER(SEARCH("R98",G288)),0)+IFERROR(--ISNUMBER(SEARCH("R99",G288)),0)+IFERROR(--ISNUMBER(SEARCH("R100",G288)),0)+IFERROR(--ISNUMBER(SEARCH("R104",G288)),0)+IFERROR(--ISNUMBER(SEARCH("R105",G288)),0)+IFERROR(--ISNUMBER(SEARCH("R107",G288)),0)+IFERROR(--ISNUMBER(SEARCH("R108",G288)),0)+IFERROR(--ISNUMBER(SEARCH("R109",G288)),0)+IFERROR(--ISNUMBER(SEARCH("R110",G288)),0)+IFERROR(--ISNUMBER(SEARCH("R112",G288)),0)+IFERROR(--ISNUMBER(SEARCH("R113",G288)),0)+IFERROR(--ISNUMBER(SEARCH("R114",G288)),0)+IFERROR(--ISNUMBER(SEARCH("R118",G288)),0)+IFERROR(--ISNUMBER(SEARCH("R119",G288)),0)+IFERROR(--ISNUMBER(SEARCH("R120",G288)),0)+IFERROR(--ISNUMBER(SEARCH("R122",G288)),0)+IFERROR(--ISNUMBER(SEARCH("R123",G288)),0)+IFERROR(--ISNUMBER(SEARCH("R124",G288)),0)+IFERROR(--ISNUMBER(SEARCH("R128",G288)),0)+IFERROR(--ISNUMBER(SEARCH("R130",G288)),0)+IFERROR(--ISNUMBER(SEARCH("R131",G288)),0)+IFERROR(--ISNUMBER(SEARCH("R132",G288)),0)+IFERROR(--ISNUMBER(SEARCH("R135",G288)),0)+IFERROR(--ISNUMBER(SEARCH("R138",G288)),0)+IFERROR(--ISNUMBER(SEARCH("R141",G288)),0))</f>
        <v/>
      </c>
      <c r="U288" s="58">
        <f>IF(A288="","",IFERROR(--ISNUMBER(SEARCH("R28",G288))*28,0)+IFERROR(--ISNUMBER(SEARCH("R29",G288))*29,0)+IFERROR(--ISNUMBER(SEARCH("R30",G288))*30,0)+IFERROR(--ISNUMBER(SEARCH("R31",G288))*31,0)+IFERROR(--ISNUMBER(SEARCH("R32",G288))*32,0)+IFERROR(--ISNUMBER(SEARCH("R33",G288))*33,0)+IFERROR(--ISNUMBER(SEARCH("R34",G288))*34,0)+IFERROR(--ISNUMBER(SEARCH("R35",G288))*35,0)+IFERROR(--ISNUMBER(SEARCH("R36",G288))*36,0)+IFERROR(--ISNUMBER(SEARCH("R37",G288))*37,0)+IFERROR(--ISNUMBER(SEARCH("R38",G288))*38,0)+IFERROR(--ISNUMBER(SEARCH("R39",G288))*39,0)+IFERROR(--ISNUMBER(SEARCH("R40",G288))*40,0)+IFERROR(--ISNUMBER(SEARCH("R41",G288))*41,0)+IFERROR(--ISNUMBER(SEARCH("R42",G288))*42,0)+IFERROR(--ISNUMBER(SEARCH("R43",G288))*43,0)+IFERROR(--ISNUMBER(SEARCH("R44",G288))*44,0)+IFERROR(--ISNUMBER(SEARCH("R45",G288))*45,0)+IFERROR(--ISNUMBER(SEARCH("R46",G288))*46,0)+IFERROR(--ISNUMBER(SEARCH("R47",G288))*47,0)+IFERROR(--ISNUMBER(SEARCH("R48",G288))*48,0)+IFERROR(--ISNUMBER(SEARCH("R49",G288))*49,0)+IFERROR(--ISNUMBER(SEARCH("R50",G288))*50,0)+IFERROR(--ISNUMBER(SEARCH("R51",G288))*51,0)+IFERROR(--ISNUMBER(SEARCH("R52",G288))*52,0)+IFERROR(--ISNUMBER(SEARCH("R53",G288))*53,0)+IFERROR(--ISNUMBER(SEARCH("R54",G288))*54,0)+IFERROR(--ISNUMBER(SEARCH("R55",G288))*55,0)+IFERROR(--ISNUMBER(SEARCH("R56",G288))*56,0)+IFERROR(--ISNUMBER(SEARCH("R57",G288))*57,0)+IFERROR(--ISNUMBER(SEARCH("R58",G288))*58,0)+IFERROR(--ISNUMBER(SEARCH("R59",G288))*59,0)+IFERROR(--ISNUMBER(SEARCH("R60",G288))*60,0)+IFERROR(--ISNUMBER(SEARCH("R61",G288))*61,0)+IFERROR(--ISNUMBER(SEARCH("R62",G288))*62,0)+IFERROR(--ISNUMBER(SEARCH("R63",G288))*63,0)+IFERROR(--ISNUMBER(SEARCH("R64",G288))*64,0)+IFERROR(--ISNUMBER(SEARCH("R65",G288))*65,0)+IFERROR(--ISNUMBER(SEARCH("R66",G288))*66,0)+IFERROR(--ISNUMBER(SEARCH("R67",G288))*67,0)+IFERROR(--ISNUMBER(SEARCH("R68",G288))*68,0)+IFERROR(--ISNUMBER(SEARCH("R69",G288))*69,0)+IFERROR(--ISNUMBER(SEARCH("R70",G288))*70,0)+IFERROR(--ISNUMBER(SEARCH("R71",G288))*71,0)+IFERROR(--ISNUMBER(SEARCH("R72",G288))*72,0)+IFERROR(--ISNUMBER(SEARCH("R73",G288))*73,0)+IFERROR(--ISNUMBER(SEARCH("R74",G288))*74,0)+IFERROR(--ISNUMBER(SEARCH("R75",G288))*75,0)+IFERROR(--ISNUMBER(SEARCH("R76",G288))*76,0)+IFERROR(--ISNUMBER(SEARCH("R77",G288))*77,0)+IFERROR(--ISNUMBER(SEARCH("R78",G288))*78,0)+IFERROR(--ISNUMBER(SEARCH("R79",G288))*79,0)+IFERROR(--ISNUMBER(SEARCH("R80",G288))*80,0)+IFERROR(--ISNUMBER(SEARCH("R81",G288))*81,0)+IFERROR(--ISNUMBER(SEARCH("R82",G288))*82,0)+IFERROR(--ISNUMBER(SEARCH("R83",G288))*83,0)+IFERROR(--ISNUMBER(SEARCH("R84",G288))*84,0)+IFERROR(--ISNUMBER(SEARCH("R85",G288))*85,0)+IFERROR(--ISNUMBER(SEARCH("R86",G288))*86,0)+IFERROR(--ISNUMBER(SEARCH("R87",G288))*87,0)+IFERROR(--ISNUMBER(SEARCH("R88",G288))*88,0)+IFERROR(--ISNUMBER(SEARCH("R89",G288))*89,0)+IFERROR(--ISNUMBER(SEARCH("R90",G288))*90,0)+IFERROR(--ISNUMBER(SEARCH("R91",G288))*91,0)+IFERROR(--ISNUMBER(SEARCH("R92",G288))*92,0)+IFERROR(--ISNUMBER(SEARCH("R93",G288))*93,0)+IFERROR(--ISNUMBER(SEARCH("R94",G288))*94,0)+IFERROR(--ISNUMBER(SEARCH("R95",G288))*95,0)+IFERROR(--ISNUMBER(SEARCH("R96",G288))*96,0)+IFERROR(--ISNUMBER(SEARCH("R97",G288))*97,0)+IFERROR(--ISNUMBER(SEARCH("R98",G288))*98,0)+IFERROR(--ISNUMBER(SEARCH("R99",G288))*99,0)+IFERROR(--ISNUMBER(SEARCH("R100",G288))*100,0)+IFERROR(--ISNUMBER(SEARCH("R101",G288))*101,0)+IFERROR(--ISNUMBER(SEARCH("R102",G288))*102,0)+IFERROR(--ISNUMBER(SEARCH("R103",G288))*103,0)+IFERROR(--ISNUMBER(SEARCH("R104",G288))*104,0)+IFERROR(--ISNUMBER(SEARCH("R105",G288))*105,0)+IFERROR(--ISNUMBER(SEARCH("R106",G288))*106,0)+IFERROR(--ISNUMBER(SEARCH("R107",G288))*107,0)+IFERROR(--ISNUMBER(SEARCH("R108",G288))*108,0)+IFERROR(--ISNUMBER(SEARCH("R109",G288))*109,0)+IFERROR(--ISNUMBER(SEARCH("R110",G288))*110,0)+IFERROR(--ISNUMBER(SEARCH("R111",G288))*111,0)+IFERROR(--ISNUMBER(SEARCH("R112",G288))*112,0)+IFERROR(--ISNUMBER(SEARCH("R113",G288))*113,0)+IFERROR(--ISNUMBER(SEARCH("R114",G288))*114,0)+IFERROR(--ISNUMBER(SEARCH("R115",G288))*115,0)+IFERROR(--ISNUMBER(SEARCH("R116",G288))*116,0)+IFERROR(--ISNUMBER(SEARCH("R117",G288))*117,0)+IFERROR(--ISNUMBER(SEARCH("R118",G288))*118,0)+IFERROR(--ISNUMBER(SEARCH("R119",G288))*119,0)+IFERROR(--ISNUMBER(SEARCH("R120",G288))*120,0)+IFERROR(--ISNUMBER(SEARCH("R121",G288))*121,0)+IFERROR(--ISNUMBER(SEARCH("R122",G288))*122,0)+IFERROR(--ISNUMBER(SEARCH("R123",G288))*123,0)+IFERROR(--ISNUMBER(SEARCH("R124",G288))*124,0)+IFERROR(--ISNUMBER(SEARCH("R125",G288))*125,0)+IFERROR(--ISNUMBER(SEARCH("R126",G288))*126,0)+IFERROR(--ISNUMBER(SEARCH("R127",G288))*127,0)+IFERROR(--ISNUMBER(SEARCH("R128",G288))*128,0)+IFERROR(--ISNUMBER(SEARCH("R129",G288))*129,0)+IFERROR(--ISNUMBER(SEARCH("R130",G288))*130,0)+IFERROR(--ISNUMBER(SEARCH("R131",G288))*131,0)+IFERROR(--ISNUMBER(SEARCH("R132",G288))*132,0)+IFERROR(--ISNUMBER(SEARCH("R133",G288))*133,0)+IFERROR(--ISNUMBER(SEARCH("R134",G288))*134,0)+IFERROR(--ISNUMBER(SEARCH("R135",G288))*135,0)+IFERROR(--ISNUMBER(SEARCH("R136",G288))*136,0)+IFERROR(--ISNUMBER(SEARCH("R137",G288))*137,0)+IFERROR(--ISNUMBER(SEARCH("R138",G288))*138,0)+IFERROR(--ISNUMBER(SEARCH("R139",G288))*139,0)+IFERROR(--ISNUMBER(SEARCH("R140",G288))*140,0)+IFERROR(--ISNUMBER(SEARCH("R141",G288))*141,0))</f>
        <v/>
      </c>
      <c r="V288" s="59">
        <f>IF(A288="","",IF(K288&lt;&gt;"",K288,J288))</f>
        <v/>
      </c>
      <c r="W288" s="59">
        <f>IF(A288="","",IF(AND(V288=29,O288&lt;&gt;"",COUNTIFS($V$6:$V$505,29,$F$6:$F$505,F288,$C$6:$C$505,C288,$O$6:$O$505,"&lt;&gt;")&gt;1),IF(COUNTIFS($V$6:V288,29,$F$6:F288,F288,$C$6:C288,C288,$O$6:O288,"&lt;&gt;")=1,"Esta es la fila que se debe CONSERVAR (aparición 1 de "&amp;COUNTIFS($V$6:$V$505,29,$F$6:$F$505,F288,$C$6:$C$505,C288,$O$6:$O$505,"&lt;&gt;")&amp;" con el mismo tercero y valor, casilla 29). Si hay más filas iguales, bórreles el valor a ELLAS, no a esta.","DUPLICADO — ya existe otra fila con el mismo tercero y valor para casilla 29 (aparición "&amp;COUNTIFS($V$6:V288,29,$F$6:F288,F288,$C$6:C288,C288,$O$6:O288,"&lt;&gt;")&amp;" de "&amp;COUNTIFS($V$6:$V$505,29,$F$6:$F$505,F288,$C$6:$C$505,C288,$O$6:$O$505,"&lt;&gt;")&amp;"). Para resolverlo: seleccione la celda O"&amp;ROW()&amp;" (columna Valor a declarar de ESTA fila) y presione Supr."),""))</f>
        <v/>
      </c>
      <c r="X288" s="463">
        <f>IF(A288="","",F288)</f>
        <v/>
      </c>
      <c r="Y288" s="463">
        <f>IF(A288="","",SUMIF(Entrada_Manual!$I$88:$I$187,A288,Entrada_Manual!$F$88:$F$187))</f>
        <v/>
      </c>
      <c r="Z288" s="463">
        <f>IF(A288="","",X288-Y288)</f>
        <v/>
      </c>
      <c r="AA288">
        <f>IF(A288="","",SUMPRODUCT((Entrada_Manual!$I$88:$I$187=A288)*1))</f>
        <v/>
      </c>
      <c r="AB288">
        <f>IF(A288="","",IF(S288&lt;=1,"",IF(AA288=0,"PENDIENTE — SIN ASIGNAR",IF(Z288=0,"RESUELTO","PARCIAL — DIFERENCIA "&amp;TEXT(Z288,"#,##0")))))</f>
        <v/>
      </c>
    </row>
    <row r="289" ht="14.25" customHeight="1" s="235">
      <c r="A289" s="47">
        <f>IF(Exogena_RAW!E298&lt;&gt;"",ROW()-5,"")</f>
        <v/>
      </c>
      <c r="B289" s="48">
        <f>IF(A289="","",298)</f>
        <v/>
      </c>
      <c r="C289" s="48">
        <f>IF(A289="","",IFERROR(Exogena_RAW!A298,""))</f>
        <v/>
      </c>
      <c r="D289" s="48">
        <f>IF(A289="","",IFERROR(Exogena_RAW!B298,""))</f>
        <v/>
      </c>
      <c r="E289" s="48">
        <f>IF(A289="","",Exogena_RAW!E298)</f>
        <v/>
      </c>
      <c r="F289" s="461">
        <f>IF(A289="","",Exogena_RAW!F298)</f>
        <v/>
      </c>
      <c r="G289" s="48">
        <f>IF(A289="","",IFERROR(Exogena_RAW!G298,""))</f>
        <v/>
      </c>
      <c r="H289" s="48">
        <f>IF(A289="","",IFERROR(Exogena_RAW!H298,""))</f>
        <v/>
      </c>
      <c r="I289" s="48">
        <f>IF(A289="","",IFERROR(IF(S289&gt;1,"VARIAS CASILLAS",IF(S289=1,IF(T289=1,"PROPUESTA DE CASILLA","REVISIÓN: CASILLA NO DIRECTA"),IF(OR(ISNUMBER(SEARCH("TOPE",UPPER(E289))),ISNUMBER(SEARCH("TOPE",UPPER(G289)))),"SOLO CONTROL",IF(ISNUMBER(SEARCH("RETEN",UPPER(E289))),"RETENCIÓN","REVISAR")))),"REVISAR"))</f>
        <v/>
      </c>
      <c r="J289" s="48">
        <f>IF(A289="","",IF(ISNUMBER(SEARCH("ingreso laboral promedio de los últimos seis meses",E289)),"",IFERROR(IF(AND(S289=1,T289=1),U289,""),"")))</f>
        <v/>
      </c>
      <c r="K289" s="216" t="n"/>
      <c r="L289" s="48">
        <f>IF(A289="","",IFERROR(IF(K289&lt;&gt;"","Casilla elegida por usuario",IF(S289&gt;1,"Varias casillas — elegir en K",IF(J289&lt;&gt;"","Sugerencia directa",IF(S289=1,"No trasladar directo — revisar",IF(OR(ISNUMBER(SEARCH("TOPE",UPPER(E289))),ISNUMBER(SEARCH("TOPE",UPPER(G289)))),"Solo control","Revisar manualmente"))))),"Revisar manualmente"))</f>
        <v/>
      </c>
      <c r="M289" s="461">
        <f>IF(A289="","",IF(IF(K289&lt;&gt;"",K289,J289)="",0,IF(COUNTIFS(Reglas!$I$5:$I$118,IF(K289&lt;&gt;"",K289,J289),Reglas!$J$5:$J$118,"Sí")=1,F289,0)))</f>
        <v/>
      </c>
      <c r="N289" s="56" t="n"/>
      <c r="O289" s="462">
        <f>IF(A289="","",IF(M289=0,"",M289))</f>
        <v/>
      </c>
      <c r="P289" s="461">
        <f>IF(A289="","",IF(O289="",0,IF(ISNUMBER(O289),O289,0)))</f>
        <v/>
      </c>
      <c r="Q289" s="48">
        <f>IF(A289="","",IF(Exogena_RAW!$C$4="","BLOQUEADO: FALTA AÑO",IF(Exogena_RAW!$K$10&lt;&gt;Reglas!$B$5,"BLOQUEADO: AÑO",IF(IF(K289&lt;&gt;"",K289,J289)="",IF(S289&gt;1,"REQUIERE ASIGNACIÓN MANUAL (VARIAS CASILLAS)","INFORMATIVO (sin casilla — no se declara)"),IF(COUNTIFS(Reglas!$I$5:$I$118,IF(K289&lt;&gt;"",K289,J289),Reglas!$J$5:$J$118,"Sí")=0,"BLOQUEADO: CASILLA NO DIRECTA",IF(O289="","EXCLUIDO (valor borrado por el usuario)",IF(_xlfn.ISFORMULA(O289),IF(W289&lt;&gt;"","BORRADOR — VALOR SUGERIDO DIAN ⚠ VER ALERTA","BORRADOR — VALOR SUGERIDO DIAN"),IF(W289&lt;&gt;"","ACEPTADO ⚠ VER ALERTA","ACEPTADO"))))))))</f>
        <v/>
      </c>
      <c r="R289" s="218" t="n"/>
      <c r="S289" s="58">
        <f>IF(A289="","",IFERROR(--ISNUMBER(SEARCH("R28",G289)),0)+IFERROR(--ISNUMBER(SEARCH("R29",G289)),0)+IFERROR(--ISNUMBER(SEARCH("R30",G289)),0)+IFERROR(--ISNUMBER(SEARCH("R31",G289)),0)+IFERROR(--ISNUMBER(SEARCH("R32",G289)),0)+IFERROR(--ISNUMBER(SEARCH("R33",G289)),0)+IFERROR(--ISNUMBER(SEARCH("R34",G289)),0)+IFERROR(--ISNUMBER(SEARCH("R35",G289)),0)+IFERROR(--ISNUMBER(SEARCH("R36",G289)),0)+IFERROR(--ISNUMBER(SEARCH("R37",G289)),0)+IFERROR(--ISNUMBER(SEARCH("R38",G289)),0)+IFERROR(--ISNUMBER(SEARCH("R39",G289)),0)+IFERROR(--ISNUMBER(SEARCH("R40",G289)),0)+IFERROR(--ISNUMBER(SEARCH("R41",G289)),0)+IFERROR(--ISNUMBER(SEARCH("R42",G289)),0)+IFERROR(--ISNUMBER(SEARCH("R43",G289)),0)+IFERROR(--ISNUMBER(SEARCH("R44",G289)),0)+IFERROR(--ISNUMBER(SEARCH("R45",G289)),0)+IFERROR(--ISNUMBER(SEARCH("R46",G289)),0)+IFERROR(--ISNUMBER(SEARCH("R47",G289)),0)+IFERROR(--ISNUMBER(SEARCH("R48",G289)),0)+IFERROR(--ISNUMBER(SEARCH("R49",G289)),0)+IFERROR(--ISNUMBER(SEARCH("R50",G289)),0)+IFERROR(--ISNUMBER(SEARCH("R51",G289)),0)+IFERROR(--ISNUMBER(SEARCH("R52",G289)),0)+IFERROR(--ISNUMBER(SEARCH("R53",G289)),0)+IFERROR(--ISNUMBER(SEARCH("R54",G289)),0)+IFERROR(--ISNUMBER(SEARCH("R55",G289)),0)+IFERROR(--ISNUMBER(SEARCH("R56",G289)),0)+IFERROR(--ISNUMBER(SEARCH("R57",G289)),0)+IFERROR(--ISNUMBER(SEARCH("R58",G289)),0)+IFERROR(--ISNUMBER(SEARCH("R59",G289)),0)+IFERROR(--ISNUMBER(SEARCH("R60",G289)),0)+IFERROR(--ISNUMBER(SEARCH("R61",G289)),0)+IFERROR(--ISNUMBER(SEARCH("R62",G289)),0)+IFERROR(--ISNUMBER(SEARCH("R63",G289)),0)+IFERROR(--ISNUMBER(SEARCH("R64",G289)),0)+IFERROR(--ISNUMBER(SEARCH("R65",G289)),0)+IFERROR(--ISNUMBER(SEARCH("R66",G289)),0)+IFERROR(--ISNUMBER(SEARCH("R67",G289)),0)+IFERROR(--ISNUMBER(SEARCH("R68",G289)),0)+IFERROR(--ISNUMBER(SEARCH("R69",G289)),0)+IFERROR(--ISNUMBER(SEARCH("R70",G289)),0)+IFERROR(--ISNUMBER(SEARCH("R71",G289)),0)+IFERROR(--ISNUMBER(SEARCH("R72",G289)),0)+IFERROR(--ISNUMBER(SEARCH("R73",G289)),0)+IFERROR(--ISNUMBER(SEARCH("R74",G289)),0)+IFERROR(--ISNUMBER(SEARCH("R75",G289)),0)+IFERROR(--ISNUMBER(SEARCH("R76",G289)),0)+IFERROR(--ISNUMBER(SEARCH("R77",G289)),0)+IFERROR(--ISNUMBER(SEARCH("R78",G289)),0)+IFERROR(--ISNUMBER(SEARCH("R79",G289)),0)+IFERROR(--ISNUMBER(SEARCH("R80",G289)),0)+IFERROR(--ISNUMBER(SEARCH("R81",G289)),0)+IFERROR(--ISNUMBER(SEARCH("R82",G289)),0)+IFERROR(--ISNUMBER(SEARCH("R83",G289)),0)+IFERROR(--ISNUMBER(SEARCH("R84",G289)),0)+IFERROR(--ISNUMBER(SEARCH("R85",G289)),0)+IFERROR(--ISNUMBER(SEARCH("R86",G289)),0)+IFERROR(--ISNUMBER(SEARCH("R87",G289)),0)+IFERROR(--ISNUMBER(SEARCH("R88",G289)),0)+IFERROR(--ISNUMBER(SEARCH("R89",G289)),0)+IFERROR(--ISNUMBER(SEARCH("R90",G289)),0)+IFERROR(--ISNUMBER(SEARCH("R91",G289)),0)+IFERROR(--ISNUMBER(SEARCH("R92",G289)),0)+IFERROR(--ISNUMBER(SEARCH("R93",G289)),0)+IFERROR(--ISNUMBER(SEARCH("R94",G289)),0)+IFERROR(--ISNUMBER(SEARCH("R95",G289)),0)+IFERROR(--ISNUMBER(SEARCH("R96",G289)),0)+IFERROR(--ISNUMBER(SEARCH("R97",G289)),0)+IFERROR(--ISNUMBER(SEARCH("R98",G289)),0)+IFERROR(--ISNUMBER(SEARCH("R99",G289)),0)+IFERROR(--ISNUMBER(SEARCH("R100",G289)),0)+IFERROR(--ISNUMBER(SEARCH("R101",G289)),0)+IFERROR(--ISNUMBER(SEARCH("R102",G289)),0)+IFERROR(--ISNUMBER(SEARCH("R103",G289)),0)+IFERROR(--ISNUMBER(SEARCH("R104",G289)),0)+IFERROR(--ISNUMBER(SEARCH("R105",G289)),0)+IFERROR(--ISNUMBER(SEARCH("R106",G289)),0)+IFERROR(--ISNUMBER(SEARCH("R107",G289)),0)+IFERROR(--ISNUMBER(SEARCH("R108",G289)),0)+IFERROR(--ISNUMBER(SEARCH("R109",G289)),0)+IFERROR(--ISNUMBER(SEARCH("R110",G289)),0)+IFERROR(--ISNUMBER(SEARCH("R111",G289)),0)+IFERROR(--ISNUMBER(SEARCH("R112",G289)),0)+IFERROR(--ISNUMBER(SEARCH("R113",G289)),0)+IFERROR(--ISNUMBER(SEARCH("R114",G289)),0)+IFERROR(--ISNUMBER(SEARCH("R115",G289)),0)+IFERROR(--ISNUMBER(SEARCH("R116",G289)),0)+IFERROR(--ISNUMBER(SEARCH("R117",G289)),0)+IFERROR(--ISNUMBER(SEARCH("R118",G289)),0)+IFERROR(--ISNUMBER(SEARCH("R119",G289)),0)+IFERROR(--ISNUMBER(SEARCH("R120",G289)),0)+IFERROR(--ISNUMBER(SEARCH("R121",G289)),0)+IFERROR(--ISNUMBER(SEARCH("R122",G289)),0)+IFERROR(--ISNUMBER(SEARCH("R123",G289)),0)+IFERROR(--ISNUMBER(SEARCH("R124",G289)),0)+IFERROR(--ISNUMBER(SEARCH("R125",G289)),0)+IFERROR(--ISNUMBER(SEARCH("R126",G289)),0)+IFERROR(--ISNUMBER(SEARCH("R127",G289)),0)+IFERROR(--ISNUMBER(SEARCH("R128",G289)),0)+IFERROR(--ISNUMBER(SEARCH("R129",G289)),0)+IFERROR(--ISNUMBER(SEARCH("R130",G289)),0)+IFERROR(--ISNUMBER(SEARCH("R131",G289)),0)+IFERROR(--ISNUMBER(SEARCH("R132",G289)),0)+IFERROR(--ISNUMBER(SEARCH("R133",G289)),0)+IFERROR(--ISNUMBER(SEARCH("R134",G289)),0)+IFERROR(--ISNUMBER(SEARCH("R135",G289)),0)+IFERROR(--ISNUMBER(SEARCH("R136",G289)),0)+IFERROR(--ISNUMBER(SEARCH("R137",G289)),0)+IFERROR(--ISNUMBER(SEARCH("R138",G289)),0)+IFERROR(--ISNUMBER(SEARCH("R139",G289)),0)+IFERROR(--ISNUMBER(SEARCH("R140",G289)),0)+IFERROR(--ISNUMBER(SEARCH("R141",G289)),0))</f>
        <v/>
      </c>
      <c r="T289" s="58">
        <f>IF(A289="","",IFERROR(--ISNUMBER(SEARCH("R28",G289)),0)+IFERROR(--ISNUMBER(SEARCH("R29",G289)),0)+IFERROR(--ISNUMBER(SEARCH("R30",G289)),0)+IFERROR(--ISNUMBER(SEARCH("R32",G289)),0)+IFERROR(--ISNUMBER(SEARCH("R33",G289)),0)+IFERROR(--ISNUMBER(SEARCH("R35",G289)),0)+IFERROR(--ISNUMBER(SEARCH("R36",G289)),0)+IFERROR(--ISNUMBER(SEARCH("R38",G289)),0)+IFERROR(--ISNUMBER(SEARCH("R39",G289)),0)+IFERROR(--ISNUMBER(SEARCH("R43",G289)),0)+IFERROR(--ISNUMBER(SEARCH("R44",G289)),0)+IFERROR(--ISNUMBER(SEARCH("R45",G289)),0)+IFERROR(--ISNUMBER(SEARCH("R47",G289)),0)+IFERROR(--ISNUMBER(SEARCH("R48",G289)),0)+IFERROR(--ISNUMBER(SEARCH("R50",G289)),0)+IFERROR(--ISNUMBER(SEARCH("R51",G289)),0)+IFERROR(--ISNUMBER(SEARCH("R56",G289)),0)+IFERROR(--ISNUMBER(SEARCH("R58",G289)),0)+IFERROR(--ISNUMBER(SEARCH("R59",G289)),0)+IFERROR(--ISNUMBER(SEARCH("R60",G289)),0)+IFERROR(--ISNUMBER(SEARCH("R62",G289)),0)+IFERROR(--ISNUMBER(SEARCH("R63",G289)),0)+IFERROR(--ISNUMBER(SEARCH("R64",G289)),0)+IFERROR(--ISNUMBER(SEARCH("R66",G289)),0)+IFERROR(--ISNUMBER(SEARCH("R67",G289)),0)+IFERROR(--ISNUMBER(SEARCH("R72",G289)),0)+IFERROR(--ISNUMBER(SEARCH("R74",G289)),0)+IFERROR(--ISNUMBER(SEARCH("R75",G289)),0)+IFERROR(--ISNUMBER(SEARCH("R76",G289)),0)+IFERROR(--ISNUMBER(SEARCH("R77",G289)),0)+IFERROR(--ISNUMBER(SEARCH("R79",G289)),0)+IFERROR(--ISNUMBER(SEARCH("R80",G289)),0)+IFERROR(--ISNUMBER(SEARCH("R81",G289)),0)+IFERROR(--ISNUMBER(SEARCH("R83",G289)),0)+IFERROR(--ISNUMBER(SEARCH("R84",G289)),0)+IFERROR(--ISNUMBER(SEARCH("R89",G289)),0)+IFERROR(--ISNUMBER(SEARCH("R94",G289)),0)+IFERROR(--ISNUMBER(SEARCH("R95",G289)),0)+IFERROR(--ISNUMBER(SEARCH("R96",G289)),0)+IFERROR(--ISNUMBER(SEARCH("R98",G289)),0)+IFERROR(--ISNUMBER(SEARCH("R99",G289)),0)+IFERROR(--ISNUMBER(SEARCH("R100",G289)),0)+IFERROR(--ISNUMBER(SEARCH("R104",G289)),0)+IFERROR(--ISNUMBER(SEARCH("R105",G289)),0)+IFERROR(--ISNUMBER(SEARCH("R107",G289)),0)+IFERROR(--ISNUMBER(SEARCH("R108",G289)),0)+IFERROR(--ISNUMBER(SEARCH("R109",G289)),0)+IFERROR(--ISNUMBER(SEARCH("R110",G289)),0)+IFERROR(--ISNUMBER(SEARCH("R112",G289)),0)+IFERROR(--ISNUMBER(SEARCH("R113",G289)),0)+IFERROR(--ISNUMBER(SEARCH("R114",G289)),0)+IFERROR(--ISNUMBER(SEARCH("R118",G289)),0)+IFERROR(--ISNUMBER(SEARCH("R119",G289)),0)+IFERROR(--ISNUMBER(SEARCH("R120",G289)),0)+IFERROR(--ISNUMBER(SEARCH("R122",G289)),0)+IFERROR(--ISNUMBER(SEARCH("R123",G289)),0)+IFERROR(--ISNUMBER(SEARCH("R124",G289)),0)+IFERROR(--ISNUMBER(SEARCH("R128",G289)),0)+IFERROR(--ISNUMBER(SEARCH("R130",G289)),0)+IFERROR(--ISNUMBER(SEARCH("R131",G289)),0)+IFERROR(--ISNUMBER(SEARCH("R132",G289)),0)+IFERROR(--ISNUMBER(SEARCH("R135",G289)),0)+IFERROR(--ISNUMBER(SEARCH("R138",G289)),0)+IFERROR(--ISNUMBER(SEARCH("R141",G289)),0))</f>
        <v/>
      </c>
      <c r="U289" s="58">
        <f>IF(A289="","",IFERROR(--ISNUMBER(SEARCH("R28",G289))*28,0)+IFERROR(--ISNUMBER(SEARCH("R29",G289))*29,0)+IFERROR(--ISNUMBER(SEARCH("R30",G289))*30,0)+IFERROR(--ISNUMBER(SEARCH("R31",G289))*31,0)+IFERROR(--ISNUMBER(SEARCH("R32",G289))*32,0)+IFERROR(--ISNUMBER(SEARCH("R33",G289))*33,0)+IFERROR(--ISNUMBER(SEARCH("R34",G289))*34,0)+IFERROR(--ISNUMBER(SEARCH("R35",G289))*35,0)+IFERROR(--ISNUMBER(SEARCH("R36",G289))*36,0)+IFERROR(--ISNUMBER(SEARCH("R37",G289))*37,0)+IFERROR(--ISNUMBER(SEARCH("R38",G289))*38,0)+IFERROR(--ISNUMBER(SEARCH("R39",G289))*39,0)+IFERROR(--ISNUMBER(SEARCH("R40",G289))*40,0)+IFERROR(--ISNUMBER(SEARCH("R41",G289))*41,0)+IFERROR(--ISNUMBER(SEARCH("R42",G289))*42,0)+IFERROR(--ISNUMBER(SEARCH("R43",G289))*43,0)+IFERROR(--ISNUMBER(SEARCH("R44",G289))*44,0)+IFERROR(--ISNUMBER(SEARCH("R45",G289))*45,0)+IFERROR(--ISNUMBER(SEARCH("R46",G289))*46,0)+IFERROR(--ISNUMBER(SEARCH("R47",G289))*47,0)+IFERROR(--ISNUMBER(SEARCH("R48",G289))*48,0)+IFERROR(--ISNUMBER(SEARCH("R49",G289))*49,0)+IFERROR(--ISNUMBER(SEARCH("R50",G289))*50,0)+IFERROR(--ISNUMBER(SEARCH("R51",G289))*51,0)+IFERROR(--ISNUMBER(SEARCH("R52",G289))*52,0)+IFERROR(--ISNUMBER(SEARCH("R53",G289))*53,0)+IFERROR(--ISNUMBER(SEARCH("R54",G289))*54,0)+IFERROR(--ISNUMBER(SEARCH("R55",G289))*55,0)+IFERROR(--ISNUMBER(SEARCH("R56",G289))*56,0)+IFERROR(--ISNUMBER(SEARCH("R57",G289))*57,0)+IFERROR(--ISNUMBER(SEARCH("R58",G289))*58,0)+IFERROR(--ISNUMBER(SEARCH("R59",G289))*59,0)+IFERROR(--ISNUMBER(SEARCH("R60",G289))*60,0)+IFERROR(--ISNUMBER(SEARCH("R61",G289))*61,0)+IFERROR(--ISNUMBER(SEARCH("R62",G289))*62,0)+IFERROR(--ISNUMBER(SEARCH("R63",G289))*63,0)+IFERROR(--ISNUMBER(SEARCH("R64",G289))*64,0)+IFERROR(--ISNUMBER(SEARCH("R65",G289))*65,0)+IFERROR(--ISNUMBER(SEARCH("R66",G289))*66,0)+IFERROR(--ISNUMBER(SEARCH("R67",G289))*67,0)+IFERROR(--ISNUMBER(SEARCH("R68",G289))*68,0)+IFERROR(--ISNUMBER(SEARCH("R69",G289))*69,0)+IFERROR(--ISNUMBER(SEARCH("R70",G289))*70,0)+IFERROR(--ISNUMBER(SEARCH("R71",G289))*71,0)+IFERROR(--ISNUMBER(SEARCH("R72",G289))*72,0)+IFERROR(--ISNUMBER(SEARCH("R73",G289))*73,0)+IFERROR(--ISNUMBER(SEARCH("R74",G289))*74,0)+IFERROR(--ISNUMBER(SEARCH("R75",G289))*75,0)+IFERROR(--ISNUMBER(SEARCH("R76",G289))*76,0)+IFERROR(--ISNUMBER(SEARCH("R77",G289))*77,0)+IFERROR(--ISNUMBER(SEARCH("R78",G289))*78,0)+IFERROR(--ISNUMBER(SEARCH("R79",G289))*79,0)+IFERROR(--ISNUMBER(SEARCH("R80",G289))*80,0)+IFERROR(--ISNUMBER(SEARCH("R81",G289))*81,0)+IFERROR(--ISNUMBER(SEARCH("R82",G289))*82,0)+IFERROR(--ISNUMBER(SEARCH("R83",G289))*83,0)+IFERROR(--ISNUMBER(SEARCH("R84",G289))*84,0)+IFERROR(--ISNUMBER(SEARCH("R85",G289))*85,0)+IFERROR(--ISNUMBER(SEARCH("R86",G289))*86,0)+IFERROR(--ISNUMBER(SEARCH("R87",G289))*87,0)+IFERROR(--ISNUMBER(SEARCH("R88",G289))*88,0)+IFERROR(--ISNUMBER(SEARCH("R89",G289))*89,0)+IFERROR(--ISNUMBER(SEARCH("R90",G289))*90,0)+IFERROR(--ISNUMBER(SEARCH("R91",G289))*91,0)+IFERROR(--ISNUMBER(SEARCH("R92",G289))*92,0)+IFERROR(--ISNUMBER(SEARCH("R93",G289))*93,0)+IFERROR(--ISNUMBER(SEARCH("R94",G289))*94,0)+IFERROR(--ISNUMBER(SEARCH("R95",G289))*95,0)+IFERROR(--ISNUMBER(SEARCH("R96",G289))*96,0)+IFERROR(--ISNUMBER(SEARCH("R97",G289))*97,0)+IFERROR(--ISNUMBER(SEARCH("R98",G289))*98,0)+IFERROR(--ISNUMBER(SEARCH("R99",G289))*99,0)+IFERROR(--ISNUMBER(SEARCH("R100",G289))*100,0)+IFERROR(--ISNUMBER(SEARCH("R101",G289))*101,0)+IFERROR(--ISNUMBER(SEARCH("R102",G289))*102,0)+IFERROR(--ISNUMBER(SEARCH("R103",G289))*103,0)+IFERROR(--ISNUMBER(SEARCH("R104",G289))*104,0)+IFERROR(--ISNUMBER(SEARCH("R105",G289))*105,0)+IFERROR(--ISNUMBER(SEARCH("R106",G289))*106,0)+IFERROR(--ISNUMBER(SEARCH("R107",G289))*107,0)+IFERROR(--ISNUMBER(SEARCH("R108",G289))*108,0)+IFERROR(--ISNUMBER(SEARCH("R109",G289))*109,0)+IFERROR(--ISNUMBER(SEARCH("R110",G289))*110,0)+IFERROR(--ISNUMBER(SEARCH("R111",G289))*111,0)+IFERROR(--ISNUMBER(SEARCH("R112",G289))*112,0)+IFERROR(--ISNUMBER(SEARCH("R113",G289))*113,0)+IFERROR(--ISNUMBER(SEARCH("R114",G289))*114,0)+IFERROR(--ISNUMBER(SEARCH("R115",G289))*115,0)+IFERROR(--ISNUMBER(SEARCH("R116",G289))*116,0)+IFERROR(--ISNUMBER(SEARCH("R117",G289))*117,0)+IFERROR(--ISNUMBER(SEARCH("R118",G289))*118,0)+IFERROR(--ISNUMBER(SEARCH("R119",G289))*119,0)+IFERROR(--ISNUMBER(SEARCH("R120",G289))*120,0)+IFERROR(--ISNUMBER(SEARCH("R121",G289))*121,0)+IFERROR(--ISNUMBER(SEARCH("R122",G289))*122,0)+IFERROR(--ISNUMBER(SEARCH("R123",G289))*123,0)+IFERROR(--ISNUMBER(SEARCH("R124",G289))*124,0)+IFERROR(--ISNUMBER(SEARCH("R125",G289))*125,0)+IFERROR(--ISNUMBER(SEARCH("R126",G289))*126,0)+IFERROR(--ISNUMBER(SEARCH("R127",G289))*127,0)+IFERROR(--ISNUMBER(SEARCH("R128",G289))*128,0)+IFERROR(--ISNUMBER(SEARCH("R129",G289))*129,0)+IFERROR(--ISNUMBER(SEARCH("R130",G289))*130,0)+IFERROR(--ISNUMBER(SEARCH("R131",G289))*131,0)+IFERROR(--ISNUMBER(SEARCH("R132",G289))*132,0)+IFERROR(--ISNUMBER(SEARCH("R133",G289))*133,0)+IFERROR(--ISNUMBER(SEARCH("R134",G289))*134,0)+IFERROR(--ISNUMBER(SEARCH("R135",G289))*135,0)+IFERROR(--ISNUMBER(SEARCH("R136",G289))*136,0)+IFERROR(--ISNUMBER(SEARCH("R137",G289))*137,0)+IFERROR(--ISNUMBER(SEARCH("R138",G289))*138,0)+IFERROR(--ISNUMBER(SEARCH("R139",G289))*139,0)+IFERROR(--ISNUMBER(SEARCH("R140",G289))*140,0)+IFERROR(--ISNUMBER(SEARCH("R141",G289))*141,0))</f>
        <v/>
      </c>
      <c r="V289" s="59">
        <f>IF(A289="","",IF(K289&lt;&gt;"",K289,J289))</f>
        <v/>
      </c>
      <c r="W289" s="59">
        <f>IF(A289="","",IF(AND(V289=29,O289&lt;&gt;"",COUNTIFS($V$6:$V$505,29,$F$6:$F$505,F289,$C$6:$C$505,C289,$O$6:$O$505,"&lt;&gt;")&gt;1),IF(COUNTIFS($V$6:V289,29,$F$6:F289,F289,$C$6:C289,C289,$O$6:O289,"&lt;&gt;")=1,"Esta es la fila que se debe CONSERVAR (aparición 1 de "&amp;COUNTIFS($V$6:$V$505,29,$F$6:$F$505,F289,$C$6:$C$505,C289,$O$6:$O$505,"&lt;&gt;")&amp;" con el mismo tercero y valor, casilla 29). Si hay más filas iguales, bórreles el valor a ELLAS, no a esta.","DUPLICADO — ya existe otra fila con el mismo tercero y valor para casilla 29 (aparición "&amp;COUNTIFS($V$6:V289,29,$F$6:F289,F289,$C$6:C289,C289,$O$6:O289,"&lt;&gt;")&amp;" de "&amp;COUNTIFS($V$6:$V$505,29,$F$6:$F$505,F289,$C$6:$C$505,C289,$O$6:$O$505,"&lt;&gt;")&amp;"). Para resolverlo: seleccione la celda O"&amp;ROW()&amp;" (columna Valor a declarar de ESTA fila) y presione Supr."),""))</f>
        <v/>
      </c>
      <c r="X289" s="463">
        <f>IF(A289="","",F289)</f>
        <v/>
      </c>
      <c r="Y289" s="463">
        <f>IF(A289="","",SUMIF(Entrada_Manual!$I$88:$I$187,A289,Entrada_Manual!$F$88:$F$187))</f>
        <v/>
      </c>
      <c r="Z289" s="463">
        <f>IF(A289="","",X289-Y289)</f>
        <v/>
      </c>
      <c r="AA289">
        <f>IF(A289="","",SUMPRODUCT((Entrada_Manual!$I$88:$I$187=A289)*1))</f>
        <v/>
      </c>
      <c r="AB289">
        <f>IF(A289="","",IF(S289&lt;=1,"",IF(AA289=0,"PENDIENTE — SIN ASIGNAR",IF(Z289=0,"RESUELTO","PARCIAL — DIFERENCIA "&amp;TEXT(Z289,"#,##0")))))</f>
        <v/>
      </c>
    </row>
    <row r="290" ht="14.25" customHeight="1" s="235">
      <c r="A290" s="47">
        <f>IF(Exogena_RAW!E299&lt;&gt;"",ROW()-5,"")</f>
        <v/>
      </c>
      <c r="B290" s="48">
        <f>IF(A290="","",299)</f>
        <v/>
      </c>
      <c r="C290" s="48">
        <f>IF(A290="","",IFERROR(Exogena_RAW!A299,""))</f>
        <v/>
      </c>
      <c r="D290" s="48">
        <f>IF(A290="","",IFERROR(Exogena_RAW!B299,""))</f>
        <v/>
      </c>
      <c r="E290" s="48">
        <f>IF(A290="","",Exogena_RAW!E299)</f>
        <v/>
      </c>
      <c r="F290" s="461">
        <f>IF(A290="","",Exogena_RAW!F299)</f>
        <v/>
      </c>
      <c r="G290" s="48">
        <f>IF(A290="","",IFERROR(Exogena_RAW!G299,""))</f>
        <v/>
      </c>
      <c r="H290" s="48">
        <f>IF(A290="","",IFERROR(Exogena_RAW!H299,""))</f>
        <v/>
      </c>
      <c r="I290" s="48">
        <f>IF(A290="","",IFERROR(IF(S290&gt;1,"VARIAS CASILLAS",IF(S290=1,IF(T290=1,"PROPUESTA DE CASILLA","REVISIÓN: CASILLA NO DIRECTA"),IF(OR(ISNUMBER(SEARCH("TOPE",UPPER(E290))),ISNUMBER(SEARCH("TOPE",UPPER(G290)))),"SOLO CONTROL",IF(ISNUMBER(SEARCH("RETEN",UPPER(E290))),"RETENCIÓN","REVISAR")))),"REVISAR"))</f>
        <v/>
      </c>
      <c r="J290" s="48">
        <f>IF(A290="","",IF(ISNUMBER(SEARCH("ingreso laboral promedio de los últimos seis meses",E290)),"",IFERROR(IF(AND(S290=1,T290=1),U290,""),"")))</f>
        <v/>
      </c>
      <c r="K290" s="216" t="n"/>
      <c r="L290" s="48">
        <f>IF(A290="","",IFERROR(IF(K290&lt;&gt;"","Casilla elegida por usuario",IF(S290&gt;1,"Varias casillas — elegir en K",IF(J290&lt;&gt;"","Sugerencia directa",IF(S290=1,"No trasladar directo — revisar",IF(OR(ISNUMBER(SEARCH("TOPE",UPPER(E290))),ISNUMBER(SEARCH("TOPE",UPPER(G290)))),"Solo control","Revisar manualmente"))))),"Revisar manualmente"))</f>
        <v/>
      </c>
      <c r="M290" s="461">
        <f>IF(A290="","",IF(IF(K290&lt;&gt;"",K290,J290)="",0,IF(COUNTIFS(Reglas!$I$5:$I$118,IF(K290&lt;&gt;"",K290,J290),Reglas!$J$5:$J$118,"Sí")=1,F290,0)))</f>
        <v/>
      </c>
      <c r="N290" s="56" t="n"/>
      <c r="O290" s="462">
        <f>IF(A290="","",IF(M290=0,"",M290))</f>
        <v/>
      </c>
      <c r="P290" s="461">
        <f>IF(A290="","",IF(O290="",0,IF(ISNUMBER(O290),O290,0)))</f>
        <v/>
      </c>
      <c r="Q290" s="48">
        <f>IF(A290="","",IF(Exogena_RAW!$C$4="","BLOQUEADO: FALTA AÑO",IF(Exogena_RAW!$K$10&lt;&gt;Reglas!$B$5,"BLOQUEADO: AÑO",IF(IF(K290&lt;&gt;"",K290,J290)="",IF(S290&gt;1,"REQUIERE ASIGNACIÓN MANUAL (VARIAS CASILLAS)","INFORMATIVO (sin casilla — no se declara)"),IF(COUNTIFS(Reglas!$I$5:$I$118,IF(K290&lt;&gt;"",K290,J290),Reglas!$J$5:$J$118,"Sí")=0,"BLOQUEADO: CASILLA NO DIRECTA",IF(O290="","EXCLUIDO (valor borrado por el usuario)",IF(_xlfn.ISFORMULA(O290),IF(W290&lt;&gt;"","BORRADOR — VALOR SUGERIDO DIAN ⚠ VER ALERTA","BORRADOR — VALOR SUGERIDO DIAN"),IF(W290&lt;&gt;"","ACEPTADO ⚠ VER ALERTA","ACEPTADO"))))))))</f>
        <v/>
      </c>
      <c r="R290" s="218" t="n"/>
      <c r="S290" s="58">
        <f>IF(A290="","",IFERROR(--ISNUMBER(SEARCH("R28",G290)),0)+IFERROR(--ISNUMBER(SEARCH("R29",G290)),0)+IFERROR(--ISNUMBER(SEARCH("R30",G290)),0)+IFERROR(--ISNUMBER(SEARCH("R31",G290)),0)+IFERROR(--ISNUMBER(SEARCH("R32",G290)),0)+IFERROR(--ISNUMBER(SEARCH("R33",G290)),0)+IFERROR(--ISNUMBER(SEARCH("R34",G290)),0)+IFERROR(--ISNUMBER(SEARCH("R35",G290)),0)+IFERROR(--ISNUMBER(SEARCH("R36",G290)),0)+IFERROR(--ISNUMBER(SEARCH("R37",G290)),0)+IFERROR(--ISNUMBER(SEARCH("R38",G290)),0)+IFERROR(--ISNUMBER(SEARCH("R39",G290)),0)+IFERROR(--ISNUMBER(SEARCH("R40",G290)),0)+IFERROR(--ISNUMBER(SEARCH("R41",G290)),0)+IFERROR(--ISNUMBER(SEARCH("R42",G290)),0)+IFERROR(--ISNUMBER(SEARCH("R43",G290)),0)+IFERROR(--ISNUMBER(SEARCH("R44",G290)),0)+IFERROR(--ISNUMBER(SEARCH("R45",G290)),0)+IFERROR(--ISNUMBER(SEARCH("R46",G290)),0)+IFERROR(--ISNUMBER(SEARCH("R47",G290)),0)+IFERROR(--ISNUMBER(SEARCH("R48",G290)),0)+IFERROR(--ISNUMBER(SEARCH("R49",G290)),0)+IFERROR(--ISNUMBER(SEARCH("R50",G290)),0)+IFERROR(--ISNUMBER(SEARCH("R51",G290)),0)+IFERROR(--ISNUMBER(SEARCH("R52",G290)),0)+IFERROR(--ISNUMBER(SEARCH("R53",G290)),0)+IFERROR(--ISNUMBER(SEARCH("R54",G290)),0)+IFERROR(--ISNUMBER(SEARCH("R55",G290)),0)+IFERROR(--ISNUMBER(SEARCH("R56",G290)),0)+IFERROR(--ISNUMBER(SEARCH("R57",G290)),0)+IFERROR(--ISNUMBER(SEARCH("R58",G290)),0)+IFERROR(--ISNUMBER(SEARCH("R59",G290)),0)+IFERROR(--ISNUMBER(SEARCH("R60",G290)),0)+IFERROR(--ISNUMBER(SEARCH("R61",G290)),0)+IFERROR(--ISNUMBER(SEARCH("R62",G290)),0)+IFERROR(--ISNUMBER(SEARCH("R63",G290)),0)+IFERROR(--ISNUMBER(SEARCH("R64",G290)),0)+IFERROR(--ISNUMBER(SEARCH("R65",G290)),0)+IFERROR(--ISNUMBER(SEARCH("R66",G290)),0)+IFERROR(--ISNUMBER(SEARCH("R67",G290)),0)+IFERROR(--ISNUMBER(SEARCH("R68",G290)),0)+IFERROR(--ISNUMBER(SEARCH("R69",G290)),0)+IFERROR(--ISNUMBER(SEARCH("R70",G290)),0)+IFERROR(--ISNUMBER(SEARCH("R71",G290)),0)+IFERROR(--ISNUMBER(SEARCH("R72",G290)),0)+IFERROR(--ISNUMBER(SEARCH("R73",G290)),0)+IFERROR(--ISNUMBER(SEARCH("R74",G290)),0)+IFERROR(--ISNUMBER(SEARCH("R75",G290)),0)+IFERROR(--ISNUMBER(SEARCH("R76",G290)),0)+IFERROR(--ISNUMBER(SEARCH("R77",G290)),0)+IFERROR(--ISNUMBER(SEARCH("R78",G290)),0)+IFERROR(--ISNUMBER(SEARCH("R79",G290)),0)+IFERROR(--ISNUMBER(SEARCH("R80",G290)),0)+IFERROR(--ISNUMBER(SEARCH("R81",G290)),0)+IFERROR(--ISNUMBER(SEARCH("R82",G290)),0)+IFERROR(--ISNUMBER(SEARCH("R83",G290)),0)+IFERROR(--ISNUMBER(SEARCH("R84",G290)),0)+IFERROR(--ISNUMBER(SEARCH("R85",G290)),0)+IFERROR(--ISNUMBER(SEARCH("R86",G290)),0)+IFERROR(--ISNUMBER(SEARCH("R87",G290)),0)+IFERROR(--ISNUMBER(SEARCH("R88",G290)),0)+IFERROR(--ISNUMBER(SEARCH("R89",G290)),0)+IFERROR(--ISNUMBER(SEARCH("R90",G290)),0)+IFERROR(--ISNUMBER(SEARCH("R91",G290)),0)+IFERROR(--ISNUMBER(SEARCH("R92",G290)),0)+IFERROR(--ISNUMBER(SEARCH("R93",G290)),0)+IFERROR(--ISNUMBER(SEARCH("R94",G290)),0)+IFERROR(--ISNUMBER(SEARCH("R95",G290)),0)+IFERROR(--ISNUMBER(SEARCH("R96",G290)),0)+IFERROR(--ISNUMBER(SEARCH("R97",G290)),0)+IFERROR(--ISNUMBER(SEARCH("R98",G290)),0)+IFERROR(--ISNUMBER(SEARCH("R99",G290)),0)+IFERROR(--ISNUMBER(SEARCH("R100",G290)),0)+IFERROR(--ISNUMBER(SEARCH("R101",G290)),0)+IFERROR(--ISNUMBER(SEARCH("R102",G290)),0)+IFERROR(--ISNUMBER(SEARCH("R103",G290)),0)+IFERROR(--ISNUMBER(SEARCH("R104",G290)),0)+IFERROR(--ISNUMBER(SEARCH("R105",G290)),0)+IFERROR(--ISNUMBER(SEARCH("R106",G290)),0)+IFERROR(--ISNUMBER(SEARCH("R107",G290)),0)+IFERROR(--ISNUMBER(SEARCH("R108",G290)),0)+IFERROR(--ISNUMBER(SEARCH("R109",G290)),0)+IFERROR(--ISNUMBER(SEARCH("R110",G290)),0)+IFERROR(--ISNUMBER(SEARCH("R111",G290)),0)+IFERROR(--ISNUMBER(SEARCH("R112",G290)),0)+IFERROR(--ISNUMBER(SEARCH("R113",G290)),0)+IFERROR(--ISNUMBER(SEARCH("R114",G290)),0)+IFERROR(--ISNUMBER(SEARCH("R115",G290)),0)+IFERROR(--ISNUMBER(SEARCH("R116",G290)),0)+IFERROR(--ISNUMBER(SEARCH("R117",G290)),0)+IFERROR(--ISNUMBER(SEARCH("R118",G290)),0)+IFERROR(--ISNUMBER(SEARCH("R119",G290)),0)+IFERROR(--ISNUMBER(SEARCH("R120",G290)),0)+IFERROR(--ISNUMBER(SEARCH("R121",G290)),0)+IFERROR(--ISNUMBER(SEARCH("R122",G290)),0)+IFERROR(--ISNUMBER(SEARCH("R123",G290)),0)+IFERROR(--ISNUMBER(SEARCH("R124",G290)),0)+IFERROR(--ISNUMBER(SEARCH("R125",G290)),0)+IFERROR(--ISNUMBER(SEARCH("R126",G290)),0)+IFERROR(--ISNUMBER(SEARCH("R127",G290)),0)+IFERROR(--ISNUMBER(SEARCH("R128",G290)),0)+IFERROR(--ISNUMBER(SEARCH("R129",G290)),0)+IFERROR(--ISNUMBER(SEARCH("R130",G290)),0)+IFERROR(--ISNUMBER(SEARCH("R131",G290)),0)+IFERROR(--ISNUMBER(SEARCH("R132",G290)),0)+IFERROR(--ISNUMBER(SEARCH("R133",G290)),0)+IFERROR(--ISNUMBER(SEARCH("R134",G290)),0)+IFERROR(--ISNUMBER(SEARCH("R135",G290)),0)+IFERROR(--ISNUMBER(SEARCH("R136",G290)),0)+IFERROR(--ISNUMBER(SEARCH("R137",G290)),0)+IFERROR(--ISNUMBER(SEARCH("R138",G290)),0)+IFERROR(--ISNUMBER(SEARCH("R139",G290)),0)+IFERROR(--ISNUMBER(SEARCH("R140",G290)),0)+IFERROR(--ISNUMBER(SEARCH("R141",G290)),0))</f>
        <v/>
      </c>
      <c r="T290" s="58">
        <f>IF(A290="","",IFERROR(--ISNUMBER(SEARCH("R28",G290)),0)+IFERROR(--ISNUMBER(SEARCH("R29",G290)),0)+IFERROR(--ISNUMBER(SEARCH("R30",G290)),0)+IFERROR(--ISNUMBER(SEARCH("R32",G290)),0)+IFERROR(--ISNUMBER(SEARCH("R33",G290)),0)+IFERROR(--ISNUMBER(SEARCH("R35",G290)),0)+IFERROR(--ISNUMBER(SEARCH("R36",G290)),0)+IFERROR(--ISNUMBER(SEARCH("R38",G290)),0)+IFERROR(--ISNUMBER(SEARCH("R39",G290)),0)+IFERROR(--ISNUMBER(SEARCH("R43",G290)),0)+IFERROR(--ISNUMBER(SEARCH("R44",G290)),0)+IFERROR(--ISNUMBER(SEARCH("R45",G290)),0)+IFERROR(--ISNUMBER(SEARCH("R47",G290)),0)+IFERROR(--ISNUMBER(SEARCH("R48",G290)),0)+IFERROR(--ISNUMBER(SEARCH("R50",G290)),0)+IFERROR(--ISNUMBER(SEARCH("R51",G290)),0)+IFERROR(--ISNUMBER(SEARCH("R56",G290)),0)+IFERROR(--ISNUMBER(SEARCH("R58",G290)),0)+IFERROR(--ISNUMBER(SEARCH("R59",G290)),0)+IFERROR(--ISNUMBER(SEARCH("R60",G290)),0)+IFERROR(--ISNUMBER(SEARCH("R62",G290)),0)+IFERROR(--ISNUMBER(SEARCH("R63",G290)),0)+IFERROR(--ISNUMBER(SEARCH("R64",G290)),0)+IFERROR(--ISNUMBER(SEARCH("R66",G290)),0)+IFERROR(--ISNUMBER(SEARCH("R67",G290)),0)+IFERROR(--ISNUMBER(SEARCH("R72",G290)),0)+IFERROR(--ISNUMBER(SEARCH("R74",G290)),0)+IFERROR(--ISNUMBER(SEARCH("R75",G290)),0)+IFERROR(--ISNUMBER(SEARCH("R76",G290)),0)+IFERROR(--ISNUMBER(SEARCH("R77",G290)),0)+IFERROR(--ISNUMBER(SEARCH("R79",G290)),0)+IFERROR(--ISNUMBER(SEARCH("R80",G290)),0)+IFERROR(--ISNUMBER(SEARCH("R81",G290)),0)+IFERROR(--ISNUMBER(SEARCH("R83",G290)),0)+IFERROR(--ISNUMBER(SEARCH("R84",G290)),0)+IFERROR(--ISNUMBER(SEARCH("R89",G290)),0)+IFERROR(--ISNUMBER(SEARCH("R94",G290)),0)+IFERROR(--ISNUMBER(SEARCH("R95",G290)),0)+IFERROR(--ISNUMBER(SEARCH("R96",G290)),0)+IFERROR(--ISNUMBER(SEARCH("R98",G290)),0)+IFERROR(--ISNUMBER(SEARCH("R99",G290)),0)+IFERROR(--ISNUMBER(SEARCH("R100",G290)),0)+IFERROR(--ISNUMBER(SEARCH("R104",G290)),0)+IFERROR(--ISNUMBER(SEARCH("R105",G290)),0)+IFERROR(--ISNUMBER(SEARCH("R107",G290)),0)+IFERROR(--ISNUMBER(SEARCH("R108",G290)),0)+IFERROR(--ISNUMBER(SEARCH("R109",G290)),0)+IFERROR(--ISNUMBER(SEARCH("R110",G290)),0)+IFERROR(--ISNUMBER(SEARCH("R112",G290)),0)+IFERROR(--ISNUMBER(SEARCH("R113",G290)),0)+IFERROR(--ISNUMBER(SEARCH("R114",G290)),0)+IFERROR(--ISNUMBER(SEARCH("R118",G290)),0)+IFERROR(--ISNUMBER(SEARCH("R119",G290)),0)+IFERROR(--ISNUMBER(SEARCH("R120",G290)),0)+IFERROR(--ISNUMBER(SEARCH("R122",G290)),0)+IFERROR(--ISNUMBER(SEARCH("R123",G290)),0)+IFERROR(--ISNUMBER(SEARCH("R124",G290)),0)+IFERROR(--ISNUMBER(SEARCH("R128",G290)),0)+IFERROR(--ISNUMBER(SEARCH("R130",G290)),0)+IFERROR(--ISNUMBER(SEARCH("R131",G290)),0)+IFERROR(--ISNUMBER(SEARCH("R132",G290)),0)+IFERROR(--ISNUMBER(SEARCH("R135",G290)),0)+IFERROR(--ISNUMBER(SEARCH("R138",G290)),0)+IFERROR(--ISNUMBER(SEARCH("R141",G290)),0))</f>
        <v/>
      </c>
      <c r="U290" s="58">
        <f>IF(A290="","",IFERROR(--ISNUMBER(SEARCH("R28",G290))*28,0)+IFERROR(--ISNUMBER(SEARCH("R29",G290))*29,0)+IFERROR(--ISNUMBER(SEARCH("R30",G290))*30,0)+IFERROR(--ISNUMBER(SEARCH("R31",G290))*31,0)+IFERROR(--ISNUMBER(SEARCH("R32",G290))*32,0)+IFERROR(--ISNUMBER(SEARCH("R33",G290))*33,0)+IFERROR(--ISNUMBER(SEARCH("R34",G290))*34,0)+IFERROR(--ISNUMBER(SEARCH("R35",G290))*35,0)+IFERROR(--ISNUMBER(SEARCH("R36",G290))*36,0)+IFERROR(--ISNUMBER(SEARCH("R37",G290))*37,0)+IFERROR(--ISNUMBER(SEARCH("R38",G290))*38,0)+IFERROR(--ISNUMBER(SEARCH("R39",G290))*39,0)+IFERROR(--ISNUMBER(SEARCH("R40",G290))*40,0)+IFERROR(--ISNUMBER(SEARCH("R41",G290))*41,0)+IFERROR(--ISNUMBER(SEARCH("R42",G290))*42,0)+IFERROR(--ISNUMBER(SEARCH("R43",G290))*43,0)+IFERROR(--ISNUMBER(SEARCH("R44",G290))*44,0)+IFERROR(--ISNUMBER(SEARCH("R45",G290))*45,0)+IFERROR(--ISNUMBER(SEARCH("R46",G290))*46,0)+IFERROR(--ISNUMBER(SEARCH("R47",G290))*47,0)+IFERROR(--ISNUMBER(SEARCH("R48",G290))*48,0)+IFERROR(--ISNUMBER(SEARCH("R49",G290))*49,0)+IFERROR(--ISNUMBER(SEARCH("R50",G290))*50,0)+IFERROR(--ISNUMBER(SEARCH("R51",G290))*51,0)+IFERROR(--ISNUMBER(SEARCH("R52",G290))*52,0)+IFERROR(--ISNUMBER(SEARCH("R53",G290))*53,0)+IFERROR(--ISNUMBER(SEARCH("R54",G290))*54,0)+IFERROR(--ISNUMBER(SEARCH("R55",G290))*55,0)+IFERROR(--ISNUMBER(SEARCH("R56",G290))*56,0)+IFERROR(--ISNUMBER(SEARCH("R57",G290))*57,0)+IFERROR(--ISNUMBER(SEARCH("R58",G290))*58,0)+IFERROR(--ISNUMBER(SEARCH("R59",G290))*59,0)+IFERROR(--ISNUMBER(SEARCH("R60",G290))*60,0)+IFERROR(--ISNUMBER(SEARCH("R61",G290))*61,0)+IFERROR(--ISNUMBER(SEARCH("R62",G290))*62,0)+IFERROR(--ISNUMBER(SEARCH("R63",G290))*63,0)+IFERROR(--ISNUMBER(SEARCH("R64",G290))*64,0)+IFERROR(--ISNUMBER(SEARCH("R65",G290))*65,0)+IFERROR(--ISNUMBER(SEARCH("R66",G290))*66,0)+IFERROR(--ISNUMBER(SEARCH("R67",G290))*67,0)+IFERROR(--ISNUMBER(SEARCH("R68",G290))*68,0)+IFERROR(--ISNUMBER(SEARCH("R69",G290))*69,0)+IFERROR(--ISNUMBER(SEARCH("R70",G290))*70,0)+IFERROR(--ISNUMBER(SEARCH("R71",G290))*71,0)+IFERROR(--ISNUMBER(SEARCH("R72",G290))*72,0)+IFERROR(--ISNUMBER(SEARCH("R73",G290))*73,0)+IFERROR(--ISNUMBER(SEARCH("R74",G290))*74,0)+IFERROR(--ISNUMBER(SEARCH("R75",G290))*75,0)+IFERROR(--ISNUMBER(SEARCH("R76",G290))*76,0)+IFERROR(--ISNUMBER(SEARCH("R77",G290))*77,0)+IFERROR(--ISNUMBER(SEARCH("R78",G290))*78,0)+IFERROR(--ISNUMBER(SEARCH("R79",G290))*79,0)+IFERROR(--ISNUMBER(SEARCH("R80",G290))*80,0)+IFERROR(--ISNUMBER(SEARCH("R81",G290))*81,0)+IFERROR(--ISNUMBER(SEARCH("R82",G290))*82,0)+IFERROR(--ISNUMBER(SEARCH("R83",G290))*83,0)+IFERROR(--ISNUMBER(SEARCH("R84",G290))*84,0)+IFERROR(--ISNUMBER(SEARCH("R85",G290))*85,0)+IFERROR(--ISNUMBER(SEARCH("R86",G290))*86,0)+IFERROR(--ISNUMBER(SEARCH("R87",G290))*87,0)+IFERROR(--ISNUMBER(SEARCH("R88",G290))*88,0)+IFERROR(--ISNUMBER(SEARCH("R89",G290))*89,0)+IFERROR(--ISNUMBER(SEARCH("R90",G290))*90,0)+IFERROR(--ISNUMBER(SEARCH("R91",G290))*91,0)+IFERROR(--ISNUMBER(SEARCH("R92",G290))*92,0)+IFERROR(--ISNUMBER(SEARCH("R93",G290))*93,0)+IFERROR(--ISNUMBER(SEARCH("R94",G290))*94,0)+IFERROR(--ISNUMBER(SEARCH("R95",G290))*95,0)+IFERROR(--ISNUMBER(SEARCH("R96",G290))*96,0)+IFERROR(--ISNUMBER(SEARCH("R97",G290))*97,0)+IFERROR(--ISNUMBER(SEARCH("R98",G290))*98,0)+IFERROR(--ISNUMBER(SEARCH("R99",G290))*99,0)+IFERROR(--ISNUMBER(SEARCH("R100",G290))*100,0)+IFERROR(--ISNUMBER(SEARCH("R101",G290))*101,0)+IFERROR(--ISNUMBER(SEARCH("R102",G290))*102,0)+IFERROR(--ISNUMBER(SEARCH("R103",G290))*103,0)+IFERROR(--ISNUMBER(SEARCH("R104",G290))*104,0)+IFERROR(--ISNUMBER(SEARCH("R105",G290))*105,0)+IFERROR(--ISNUMBER(SEARCH("R106",G290))*106,0)+IFERROR(--ISNUMBER(SEARCH("R107",G290))*107,0)+IFERROR(--ISNUMBER(SEARCH("R108",G290))*108,0)+IFERROR(--ISNUMBER(SEARCH("R109",G290))*109,0)+IFERROR(--ISNUMBER(SEARCH("R110",G290))*110,0)+IFERROR(--ISNUMBER(SEARCH("R111",G290))*111,0)+IFERROR(--ISNUMBER(SEARCH("R112",G290))*112,0)+IFERROR(--ISNUMBER(SEARCH("R113",G290))*113,0)+IFERROR(--ISNUMBER(SEARCH("R114",G290))*114,0)+IFERROR(--ISNUMBER(SEARCH("R115",G290))*115,0)+IFERROR(--ISNUMBER(SEARCH("R116",G290))*116,0)+IFERROR(--ISNUMBER(SEARCH("R117",G290))*117,0)+IFERROR(--ISNUMBER(SEARCH("R118",G290))*118,0)+IFERROR(--ISNUMBER(SEARCH("R119",G290))*119,0)+IFERROR(--ISNUMBER(SEARCH("R120",G290))*120,0)+IFERROR(--ISNUMBER(SEARCH("R121",G290))*121,0)+IFERROR(--ISNUMBER(SEARCH("R122",G290))*122,0)+IFERROR(--ISNUMBER(SEARCH("R123",G290))*123,0)+IFERROR(--ISNUMBER(SEARCH("R124",G290))*124,0)+IFERROR(--ISNUMBER(SEARCH("R125",G290))*125,0)+IFERROR(--ISNUMBER(SEARCH("R126",G290))*126,0)+IFERROR(--ISNUMBER(SEARCH("R127",G290))*127,0)+IFERROR(--ISNUMBER(SEARCH("R128",G290))*128,0)+IFERROR(--ISNUMBER(SEARCH("R129",G290))*129,0)+IFERROR(--ISNUMBER(SEARCH("R130",G290))*130,0)+IFERROR(--ISNUMBER(SEARCH("R131",G290))*131,0)+IFERROR(--ISNUMBER(SEARCH("R132",G290))*132,0)+IFERROR(--ISNUMBER(SEARCH("R133",G290))*133,0)+IFERROR(--ISNUMBER(SEARCH("R134",G290))*134,0)+IFERROR(--ISNUMBER(SEARCH("R135",G290))*135,0)+IFERROR(--ISNUMBER(SEARCH("R136",G290))*136,0)+IFERROR(--ISNUMBER(SEARCH("R137",G290))*137,0)+IFERROR(--ISNUMBER(SEARCH("R138",G290))*138,0)+IFERROR(--ISNUMBER(SEARCH("R139",G290))*139,0)+IFERROR(--ISNUMBER(SEARCH("R140",G290))*140,0)+IFERROR(--ISNUMBER(SEARCH("R141",G290))*141,0))</f>
        <v/>
      </c>
      <c r="V290" s="59">
        <f>IF(A290="","",IF(K290&lt;&gt;"",K290,J290))</f>
        <v/>
      </c>
      <c r="W290" s="59">
        <f>IF(A290="","",IF(AND(V290=29,O290&lt;&gt;"",COUNTIFS($V$6:$V$505,29,$F$6:$F$505,F290,$C$6:$C$505,C290,$O$6:$O$505,"&lt;&gt;")&gt;1),IF(COUNTIFS($V$6:V290,29,$F$6:F290,F290,$C$6:C290,C290,$O$6:O290,"&lt;&gt;")=1,"Esta es la fila que se debe CONSERVAR (aparición 1 de "&amp;COUNTIFS($V$6:$V$505,29,$F$6:$F$505,F290,$C$6:$C$505,C290,$O$6:$O$505,"&lt;&gt;")&amp;" con el mismo tercero y valor, casilla 29). Si hay más filas iguales, bórreles el valor a ELLAS, no a esta.","DUPLICADO — ya existe otra fila con el mismo tercero y valor para casilla 29 (aparición "&amp;COUNTIFS($V$6:V290,29,$F$6:F290,F290,$C$6:C290,C290,$O$6:O290,"&lt;&gt;")&amp;" de "&amp;COUNTIFS($V$6:$V$505,29,$F$6:$F$505,F290,$C$6:$C$505,C290,$O$6:$O$505,"&lt;&gt;")&amp;"). Para resolverlo: seleccione la celda O"&amp;ROW()&amp;" (columna Valor a declarar de ESTA fila) y presione Supr."),""))</f>
        <v/>
      </c>
      <c r="X290" s="463">
        <f>IF(A290="","",F290)</f>
        <v/>
      </c>
      <c r="Y290" s="463">
        <f>IF(A290="","",SUMIF(Entrada_Manual!$I$88:$I$187,A290,Entrada_Manual!$F$88:$F$187))</f>
        <v/>
      </c>
      <c r="Z290" s="463">
        <f>IF(A290="","",X290-Y290)</f>
        <v/>
      </c>
      <c r="AA290">
        <f>IF(A290="","",SUMPRODUCT((Entrada_Manual!$I$88:$I$187=A290)*1))</f>
        <v/>
      </c>
      <c r="AB290">
        <f>IF(A290="","",IF(S290&lt;=1,"",IF(AA290=0,"PENDIENTE — SIN ASIGNAR",IF(Z290=0,"RESUELTO","PARCIAL — DIFERENCIA "&amp;TEXT(Z290,"#,##0")))))</f>
        <v/>
      </c>
    </row>
    <row r="291" ht="14.25" customHeight="1" s="235">
      <c r="A291" s="47">
        <f>IF(Exogena_RAW!E300&lt;&gt;"",ROW()-5,"")</f>
        <v/>
      </c>
      <c r="B291" s="48">
        <f>IF(A291="","",300)</f>
        <v/>
      </c>
      <c r="C291" s="48">
        <f>IF(A291="","",IFERROR(Exogena_RAW!A300,""))</f>
        <v/>
      </c>
      <c r="D291" s="48">
        <f>IF(A291="","",IFERROR(Exogena_RAW!B300,""))</f>
        <v/>
      </c>
      <c r="E291" s="48">
        <f>IF(A291="","",Exogena_RAW!E300)</f>
        <v/>
      </c>
      <c r="F291" s="461">
        <f>IF(A291="","",Exogena_RAW!F300)</f>
        <v/>
      </c>
      <c r="G291" s="48">
        <f>IF(A291="","",IFERROR(Exogena_RAW!G300,""))</f>
        <v/>
      </c>
      <c r="H291" s="48">
        <f>IF(A291="","",IFERROR(Exogena_RAW!H300,""))</f>
        <v/>
      </c>
      <c r="I291" s="48">
        <f>IF(A291="","",IFERROR(IF(S291&gt;1,"VARIAS CASILLAS",IF(S291=1,IF(T291=1,"PROPUESTA DE CASILLA","REVISIÓN: CASILLA NO DIRECTA"),IF(OR(ISNUMBER(SEARCH("TOPE",UPPER(E291))),ISNUMBER(SEARCH("TOPE",UPPER(G291)))),"SOLO CONTROL",IF(ISNUMBER(SEARCH("RETEN",UPPER(E291))),"RETENCIÓN","REVISAR")))),"REVISAR"))</f>
        <v/>
      </c>
      <c r="J291" s="48">
        <f>IF(A291="","",IF(ISNUMBER(SEARCH("ingreso laboral promedio de los últimos seis meses",E291)),"",IFERROR(IF(AND(S291=1,T291=1),U291,""),"")))</f>
        <v/>
      </c>
      <c r="K291" s="216" t="n"/>
      <c r="L291" s="48">
        <f>IF(A291="","",IFERROR(IF(K291&lt;&gt;"","Casilla elegida por usuario",IF(S291&gt;1,"Varias casillas — elegir en K",IF(J291&lt;&gt;"","Sugerencia directa",IF(S291=1,"No trasladar directo — revisar",IF(OR(ISNUMBER(SEARCH("TOPE",UPPER(E291))),ISNUMBER(SEARCH("TOPE",UPPER(G291)))),"Solo control","Revisar manualmente"))))),"Revisar manualmente"))</f>
        <v/>
      </c>
      <c r="M291" s="461">
        <f>IF(A291="","",IF(IF(K291&lt;&gt;"",K291,J291)="",0,IF(COUNTIFS(Reglas!$I$5:$I$118,IF(K291&lt;&gt;"",K291,J291),Reglas!$J$5:$J$118,"Sí")=1,F291,0)))</f>
        <v/>
      </c>
      <c r="N291" s="56" t="n"/>
      <c r="O291" s="462">
        <f>IF(A291="","",IF(M291=0,"",M291))</f>
        <v/>
      </c>
      <c r="P291" s="461">
        <f>IF(A291="","",IF(O291="",0,IF(ISNUMBER(O291),O291,0)))</f>
        <v/>
      </c>
      <c r="Q291" s="48">
        <f>IF(A291="","",IF(Exogena_RAW!$C$4="","BLOQUEADO: FALTA AÑO",IF(Exogena_RAW!$K$10&lt;&gt;Reglas!$B$5,"BLOQUEADO: AÑO",IF(IF(K291&lt;&gt;"",K291,J291)="",IF(S291&gt;1,"REQUIERE ASIGNACIÓN MANUAL (VARIAS CASILLAS)","INFORMATIVO (sin casilla — no se declara)"),IF(COUNTIFS(Reglas!$I$5:$I$118,IF(K291&lt;&gt;"",K291,J291),Reglas!$J$5:$J$118,"Sí")=0,"BLOQUEADO: CASILLA NO DIRECTA",IF(O291="","EXCLUIDO (valor borrado por el usuario)",IF(_xlfn.ISFORMULA(O291),IF(W291&lt;&gt;"","BORRADOR — VALOR SUGERIDO DIAN ⚠ VER ALERTA","BORRADOR — VALOR SUGERIDO DIAN"),IF(W291&lt;&gt;"","ACEPTADO ⚠ VER ALERTA","ACEPTADO"))))))))</f>
        <v/>
      </c>
      <c r="R291" s="218" t="n"/>
      <c r="S291" s="58">
        <f>IF(A291="","",IFERROR(--ISNUMBER(SEARCH("R28",G291)),0)+IFERROR(--ISNUMBER(SEARCH("R29",G291)),0)+IFERROR(--ISNUMBER(SEARCH("R30",G291)),0)+IFERROR(--ISNUMBER(SEARCH("R31",G291)),0)+IFERROR(--ISNUMBER(SEARCH("R32",G291)),0)+IFERROR(--ISNUMBER(SEARCH("R33",G291)),0)+IFERROR(--ISNUMBER(SEARCH("R34",G291)),0)+IFERROR(--ISNUMBER(SEARCH("R35",G291)),0)+IFERROR(--ISNUMBER(SEARCH("R36",G291)),0)+IFERROR(--ISNUMBER(SEARCH("R37",G291)),0)+IFERROR(--ISNUMBER(SEARCH("R38",G291)),0)+IFERROR(--ISNUMBER(SEARCH("R39",G291)),0)+IFERROR(--ISNUMBER(SEARCH("R40",G291)),0)+IFERROR(--ISNUMBER(SEARCH("R41",G291)),0)+IFERROR(--ISNUMBER(SEARCH("R42",G291)),0)+IFERROR(--ISNUMBER(SEARCH("R43",G291)),0)+IFERROR(--ISNUMBER(SEARCH("R44",G291)),0)+IFERROR(--ISNUMBER(SEARCH("R45",G291)),0)+IFERROR(--ISNUMBER(SEARCH("R46",G291)),0)+IFERROR(--ISNUMBER(SEARCH("R47",G291)),0)+IFERROR(--ISNUMBER(SEARCH("R48",G291)),0)+IFERROR(--ISNUMBER(SEARCH("R49",G291)),0)+IFERROR(--ISNUMBER(SEARCH("R50",G291)),0)+IFERROR(--ISNUMBER(SEARCH("R51",G291)),0)+IFERROR(--ISNUMBER(SEARCH("R52",G291)),0)+IFERROR(--ISNUMBER(SEARCH("R53",G291)),0)+IFERROR(--ISNUMBER(SEARCH("R54",G291)),0)+IFERROR(--ISNUMBER(SEARCH("R55",G291)),0)+IFERROR(--ISNUMBER(SEARCH("R56",G291)),0)+IFERROR(--ISNUMBER(SEARCH("R57",G291)),0)+IFERROR(--ISNUMBER(SEARCH("R58",G291)),0)+IFERROR(--ISNUMBER(SEARCH("R59",G291)),0)+IFERROR(--ISNUMBER(SEARCH("R60",G291)),0)+IFERROR(--ISNUMBER(SEARCH("R61",G291)),0)+IFERROR(--ISNUMBER(SEARCH("R62",G291)),0)+IFERROR(--ISNUMBER(SEARCH("R63",G291)),0)+IFERROR(--ISNUMBER(SEARCH("R64",G291)),0)+IFERROR(--ISNUMBER(SEARCH("R65",G291)),0)+IFERROR(--ISNUMBER(SEARCH("R66",G291)),0)+IFERROR(--ISNUMBER(SEARCH("R67",G291)),0)+IFERROR(--ISNUMBER(SEARCH("R68",G291)),0)+IFERROR(--ISNUMBER(SEARCH("R69",G291)),0)+IFERROR(--ISNUMBER(SEARCH("R70",G291)),0)+IFERROR(--ISNUMBER(SEARCH("R71",G291)),0)+IFERROR(--ISNUMBER(SEARCH("R72",G291)),0)+IFERROR(--ISNUMBER(SEARCH("R73",G291)),0)+IFERROR(--ISNUMBER(SEARCH("R74",G291)),0)+IFERROR(--ISNUMBER(SEARCH("R75",G291)),0)+IFERROR(--ISNUMBER(SEARCH("R76",G291)),0)+IFERROR(--ISNUMBER(SEARCH("R77",G291)),0)+IFERROR(--ISNUMBER(SEARCH("R78",G291)),0)+IFERROR(--ISNUMBER(SEARCH("R79",G291)),0)+IFERROR(--ISNUMBER(SEARCH("R80",G291)),0)+IFERROR(--ISNUMBER(SEARCH("R81",G291)),0)+IFERROR(--ISNUMBER(SEARCH("R82",G291)),0)+IFERROR(--ISNUMBER(SEARCH("R83",G291)),0)+IFERROR(--ISNUMBER(SEARCH("R84",G291)),0)+IFERROR(--ISNUMBER(SEARCH("R85",G291)),0)+IFERROR(--ISNUMBER(SEARCH("R86",G291)),0)+IFERROR(--ISNUMBER(SEARCH("R87",G291)),0)+IFERROR(--ISNUMBER(SEARCH("R88",G291)),0)+IFERROR(--ISNUMBER(SEARCH("R89",G291)),0)+IFERROR(--ISNUMBER(SEARCH("R90",G291)),0)+IFERROR(--ISNUMBER(SEARCH("R91",G291)),0)+IFERROR(--ISNUMBER(SEARCH("R92",G291)),0)+IFERROR(--ISNUMBER(SEARCH("R93",G291)),0)+IFERROR(--ISNUMBER(SEARCH("R94",G291)),0)+IFERROR(--ISNUMBER(SEARCH("R95",G291)),0)+IFERROR(--ISNUMBER(SEARCH("R96",G291)),0)+IFERROR(--ISNUMBER(SEARCH("R97",G291)),0)+IFERROR(--ISNUMBER(SEARCH("R98",G291)),0)+IFERROR(--ISNUMBER(SEARCH("R99",G291)),0)+IFERROR(--ISNUMBER(SEARCH("R100",G291)),0)+IFERROR(--ISNUMBER(SEARCH("R101",G291)),0)+IFERROR(--ISNUMBER(SEARCH("R102",G291)),0)+IFERROR(--ISNUMBER(SEARCH("R103",G291)),0)+IFERROR(--ISNUMBER(SEARCH("R104",G291)),0)+IFERROR(--ISNUMBER(SEARCH("R105",G291)),0)+IFERROR(--ISNUMBER(SEARCH("R106",G291)),0)+IFERROR(--ISNUMBER(SEARCH("R107",G291)),0)+IFERROR(--ISNUMBER(SEARCH("R108",G291)),0)+IFERROR(--ISNUMBER(SEARCH("R109",G291)),0)+IFERROR(--ISNUMBER(SEARCH("R110",G291)),0)+IFERROR(--ISNUMBER(SEARCH("R111",G291)),0)+IFERROR(--ISNUMBER(SEARCH("R112",G291)),0)+IFERROR(--ISNUMBER(SEARCH("R113",G291)),0)+IFERROR(--ISNUMBER(SEARCH("R114",G291)),0)+IFERROR(--ISNUMBER(SEARCH("R115",G291)),0)+IFERROR(--ISNUMBER(SEARCH("R116",G291)),0)+IFERROR(--ISNUMBER(SEARCH("R117",G291)),0)+IFERROR(--ISNUMBER(SEARCH("R118",G291)),0)+IFERROR(--ISNUMBER(SEARCH("R119",G291)),0)+IFERROR(--ISNUMBER(SEARCH("R120",G291)),0)+IFERROR(--ISNUMBER(SEARCH("R121",G291)),0)+IFERROR(--ISNUMBER(SEARCH("R122",G291)),0)+IFERROR(--ISNUMBER(SEARCH("R123",G291)),0)+IFERROR(--ISNUMBER(SEARCH("R124",G291)),0)+IFERROR(--ISNUMBER(SEARCH("R125",G291)),0)+IFERROR(--ISNUMBER(SEARCH("R126",G291)),0)+IFERROR(--ISNUMBER(SEARCH("R127",G291)),0)+IFERROR(--ISNUMBER(SEARCH("R128",G291)),0)+IFERROR(--ISNUMBER(SEARCH("R129",G291)),0)+IFERROR(--ISNUMBER(SEARCH("R130",G291)),0)+IFERROR(--ISNUMBER(SEARCH("R131",G291)),0)+IFERROR(--ISNUMBER(SEARCH("R132",G291)),0)+IFERROR(--ISNUMBER(SEARCH("R133",G291)),0)+IFERROR(--ISNUMBER(SEARCH("R134",G291)),0)+IFERROR(--ISNUMBER(SEARCH("R135",G291)),0)+IFERROR(--ISNUMBER(SEARCH("R136",G291)),0)+IFERROR(--ISNUMBER(SEARCH("R137",G291)),0)+IFERROR(--ISNUMBER(SEARCH("R138",G291)),0)+IFERROR(--ISNUMBER(SEARCH("R139",G291)),0)+IFERROR(--ISNUMBER(SEARCH("R140",G291)),0)+IFERROR(--ISNUMBER(SEARCH("R141",G291)),0))</f>
        <v/>
      </c>
      <c r="T291" s="58">
        <f>IF(A291="","",IFERROR(--ISNUMBER(SEARCH("R28",G291)),0)+IFERROR(--ISNUMBER(SEARCH("R29",G291)),0)+IFERROR(--ISNUMBER(SEARCH("R30",G291)),0)+IFERROR(--ISNUMBER(SEARCH("R32",G291)),0)+IFERROR(--ISNUMBER(SEARCH("R33",G291)),0)+IFERROR(--ISNUMBER(SEARCH("R35",G291)),0)+IFERROR(--ISNUMBER(SEARCH("R36",G291)),0)+IFERROR(--ISNUMBER(SEARCH("R38",G291)),0)+IFERROR(--ISNUMBER(SEARCH("R39",G291)),0)+IFERROR(--ISNUMBER(SEARCH("R43",G291)),0)+IFERROR(--ISNUMBER(SEARCH("R44",G291)),0)+IFERROR(--ISNUMBER(SEARCH("R45",G291)),0)+IFERROR(--ISNUMBER(SEARCH("R47",G291)),0)+IFERROR(--ISNUMBER(SEARCH("R48",G291)),0)+IFERROR(--ISNUMBER(SEARCH("R50",G291)),0)+IFERROR(--ISNUMBER(SEARCH("R51",G291)),0)+IFERROR(--ISNUMBER(SEARCH("R56",G291)),0)+IFERROR(--ISNUMBER(SEARCH("R58",G291)),0)+IFERROR(--ISNUMBER(SEARCH("R59",G291)),0)+IFERROR(--ISNUMBER(SEARCH("R60",G291)),0)+IFERROR(--ISNUMBER(SEARCH("R62",G291)),0)+IFERROR(--ISNUMBER(SEARCH("R63",G291)),0)+IFERROR(--ISNUMBER(SEARCH("R64",G291)),0)+IFERROR(--ISNUMBER(SEARCH("R66",G291)),0)+IFERROR(--ISNUMBER(SEARCH("R67",G291)),0)+IFERROR(--ISNUMBER(SEARCH("R72",G291)),0)+IFERROR(--ISNUMBER(SEARCH("R74",G291)),0)+IFERROR(--ISNUMBER(SEARCH("R75",G291)),0)+IFERROR(--ISNUMBER(SEARCH("R76",G291)),0)+IFERROR(--ISNUMBER(SEARCH("R77",G291)),0)+IFERROR(--ISNUMBER(SEARCH("R79",G291)),0)+IFERROR(--ISNUMBER(SEARCH("R80",G291)),0)+IFERROR(--ISNUMBER(SEARCH("R81",G291)),0)+IFERROR(--ISNUMBER(SEARCH("R83",G291)),0)+IFERROR(--ISNUMBER(SEARCH("R84",G291)),0)+IFERROR(--ISNUMBER(SEARCH("R89",G291)),0)+IFERROR(--ISNUMBER(SEARCH("R94",G291)),0)+IFERROR(--ISNUMBER(SEARCH("R95",G291)),0)+IFERROR(--ISNUMBER(SEARCH("R96",G291)),0)+IFERROR(--ISNUMBER(SEARCH("R98",G291)),0)+IFERROR(--ISNUMBER(SEARCH("R99",G291)),0)+IFERROR(--ISNUMBER(SEARCH("R100",G291)),0)+IFERROR(--ISNUMBER(SEARCH("R104",G291)),0)+IFERROR(--ISNUMBER(SEARCH("R105",G291)),0)+IFERROR(--ISNUMBER(SEARCH("R107",G291)),0)+IFERROR(--ISNUMBER(SEARCH("R108",G291)),0)+IFERROR(--ISNUMBER(SEARCH("R109",G291)),0)+IFERROR(--ISNUMBER(SEARCH("R110",G291)),0)+IFERROR(--ISNUMBER(SEARCH("R112",G291)),0)+IFERROR(--ISNUMBER(SEARCH("R113",G291)),0)+IFERROR(--ISNUMBER(SEARCH("R114",G291)),0)+IFERROR(--ISNUMBER(SEARCH("R118",G291)),0)+IFERROR(--ISNUMBER(SEARCH("R119",G291)),0)+IFERROR(--ISNUMBER(SEARCH("R120",G291)),0)+IFERROR(--ISNUMBER(SEARCH("R122",G291)),0)+IFERROR(--ISNUMBER(SEARCH("R123",G291)),0)+IFERROR(--ISNUMBER(SEARCH("R124",G291)),0)+IFERROR(--ISNUMBER(SEARCH("R128",G291)),0)+IFERROR(--ISNUMBER(SEARCH("R130",G291)),0)+IFERROR(--ISNUMBER(SEARCH("R131",G291)),0)+IFERROR(--ISNUMBER(SEARCH("R132",G291)),0)+IFERROR(--ISNUMBER(SEARCH("R135",G291)),0)+IFERROR(--ISNUMBER(SEARCH("R138",G291)),0)+IFERROR(--ISNUMBER(SEARCH("R141",G291)),0))</f>
        <v/>
      </c>
      <c r="U291" s="58">
        <f>IF(A291="","",IFERROR(--ISNUMBER(SEARCH("R28",G291))*28,0)+IFERROR(--ISNUMBER(SEARCH("R29",G291))*29,0)+IFERROR(--ISNUMBER(SEARCH("R30",G291))*30,0)+IFERROR(--ISNUMBER(SEARCH("R31",G291))*31,0)+IFERROR(--ISNUMBER(SEARCH("R32",G291))*32,0)+IFERROR(--ISNUMBER(SEARCH("R33",G291))*33,0)+IFERROR(--ISNUMBER(SEARCH("R34",G291))*34,0)+IFERROR(--ISNUMBER(SEARCH("R35",G291))*35,0)+IFERROR(--ISNUMBER(SEARCH("R36",G291))*36,0)+IFERROR(--ISNUMBER(SEARCH("R37",G291))*37,0)+IFERROR(--ISNUMBER(SEARCH("R38",G291))*38,0)+IFERROR(--ISNUMBER(SEARCH("R39",G291))*39,0)+IFERROR(--ISNUMBER(SEARCH("R40",G291))*40,0)+IFERROR(--ISNUMBER(SEARCH("R41",G291))*41,0)+IFERROR(--ISNUMBER(SEARCH("R42",G291))*42,0)+IFERROR(--ISNUMBER(SEARCH("R43",G291))*43,0)+IFERROR(--ISNUMBER(SEARCH("R44",G291))*44,0)+IFERROR(--ISNUMBER(SEARCH("R45",G291))*45,0)+IFERROR(--ISNUMBER(SEARCH("R46",G291))*46,0)+IFERROR(--ISNUMBER(SEARCH("R47",G291))*47,0)+IFERROR(--ISNUMBER(SEARCH("R48",G291))*48,0)+IFERROR(--ISNUMBER(SEARCH("R49",G291))*49,0)+IFERROR(--ISNUMBER(SEARCH("R50",G291))*50,0)+IFERROR(--ISNUMBER(SEARCH("R51",G291))*51,0)+IFERROR(--ISNUMBER(SEARCH("R52",G291))*52,0)+IFERROR(--ISNUMBER(SEARCH("R53",G291))*53,0)+IFERROR(--ISNUMBER(SEARCH("R54",G291))*54,0)+IFERROR(--ISNUMBER(SEARCH("R55",G291))*55,0)+IFERROR(--ISNUMBER(SEARCH("R56",G291))*56,0)+IFERROR(--ISNUMBER(SEARCH("R57",G291))*57,0)+IFERROR(--ISNUMBER(SEARCH("R58",G291))*58,0)+IFERROR(--ISNUMBER(SEARCH("R59",G291))*59,0)+IFERROR(--ISNUMBER(SEARCH("R60",G291))*60,0)+IFERROR(--ISNUMBER(SEARCH("R61",G291))*61,0)+IFERROR(--ISNUMBER(SEARCH("R62",G291))*62,0)+IFERROR(--ISNUMBER(SEARCH("R63",G291))*63,0)+IFERROR(--ISNUMBER(SEARCH("R64",G291))*64,0)+IFERROR(--ISNUMBER(SEARCH("R65",G291))*65,0)+IFERROR(--ISNUMBER(SEARCH("R66",G291))*66,0)+IFERROR(--ISNUMBER(SEARCH("R67",G291))*67,0)+IFERROR(--ISNUMBER(SEARCH("R68",G291))*68,0)+IFERROR(--ISNUMBER(SEARCH("R69",G291))*69,0)+IFERROR(--ISNUMBER(SEARCH("R70",G291))*70,0)+IFERROR(--ISNUMBER(SEARCH("R71",G291))*71,0)+IFERROR(--ISNUMBER(SEARCH("R72",G291))*72,0)+IFERROR(--ISNUMBER(SEARCH("R73",G291))*73,0)+IFERROR(--ISNUMBER(SEARCH("R74",G291))*74,0)+IFERROR(--ISNUMBER(SEARCH("R75",G291))*75,0)+IFERROR(--ISNUMBER(SEARCH("R76",G291))*76,0)+IFERROR(--ISNUMBER(SEARCH("R77",G291))*77,0)+IFERROR(--ISNUMBER(SEARCH("R78",G291))*78,0)+IFERROR(--ISNUMBER(SEARCH("R79",G291))*79,0)+IFERROR(--ISNUMBER(SEARCH("R80",G291))*80,0)+IFERROR(--ISNUMBER(SEARCH("R81",G291))*81,0)+IFERROR(--ISNUMBER(SEARCH("R82",G291))*82,0)+IFERROR(--ISNUMBER(SEARCH("R83",G291))*83,0)+IFERROR(--ISNUMBER(SEARCH("R84",G291))*84,0)+IFERROR(--ISNUMBER(SEARCH("R85",G291))*85,0)+IFERROR(--ISNUMBER(SEARCH("R86",G291))*86,0)+IFERROR(--ISNUMBER(SEARCH("R87",G291))*87,0)+IFERROR(--ISNUMBER(SEARCH("R88",G291))*88,0)+IFERROR(--ISNUMBER(SEARCH("R89",G291))*89,0)+IFERROR(--ISNUMBER(SEARCH("R90",G291))*90,0)+IFERROR(--ISNUMBER(SEARCH("R91",G291))*91,0)+IFERROR(--ISNUMBER(SEARCH("R92",G291))*92,0)+IFERROR(--ISNUMBER(SEARCH("R93",G291))*93,0)+IFERROR(--ISNUMBER(SEARCH("R94",G291))*94,0)+IFERROR(--ISNUMBER(SEARCH("R95",G291))*95,0)+IFERROR(--ISNUMBER(SEARCH("R96",G291))*96,0)+IFERROR(--ISNUMBER(SEARCH("R97",G291))*97,0)+IFERROR(--ISNUMBER(SEARCH("R98",G291))*98,0)+IFERROR(--ISNUMBER(SEARCH("R99",G291))*99,0)+IFERROR(--ISNUMBER(SEARCH("R100",G291))*100,0)+IFERROR(--ISNUMBER(SEARCH("R101",G291))*101,0)+IFERROR(--ISNUMBER(SEARCH("R102",G291))*102,0)+IFERROR(--ISNUMBER(SEARCH("R103",G291))*103,0)+IFERROR(--ISNUMBER(SEARCH("R104",G291))*104,0)+IFERROR(--ISNUMBER(SEARCH("R105",G291))*105,0)+IFERROR(--ISNUMBER(SEARCH("R106",G291))*106,0)+IFERROR(--ISNUMBER(SEARCH("R107",G291))*107,0)+IFERROR(--ISNUMBER(SEARCH("R108",G291))*108,0)+IFERROR(--ISNUMBER(SEARCH("R109",G291))*109,0)+IFERROR(--ISNUMBER(SEARCH("R110",G291))*110,0)+IFERROR(--ISNUMBER(SEARCH("R111",G291))*111,0)+IFERROR(--ISNUMBER(SEARCH("R112",G291))*112,0)+IFERROR(--ISNUMBER(SEARCH("R113",G291))*113,0)+IFERROR(--ISNUMBER(SEARCH("R114",G291))*114,0)+IFERROR(--ISNUMBER(SEARCH("R115",G291))*115,0)+IFERROR(--ISNUMBER(SEARCH("R116",G291))*116,0)+IFERROR(--ISNUMBER(SEARCH("R117",G291))*117,0)+IFERROR(--ISNUMBER(SEARCH("R118",G291))*118,0)+IFERROR(--ISNUMBER(SEARCH("R119",G291))*119,0)+IFERROR(--ISNUMBER(SEARCH("R120",G291))*120,0)+IFERROR(--ISNUMBER(SEARCH("R121",G291))*121,0)+IFERROR(--ISNUMBER(SEARCH("R122",G291))*122,0)+IFERROR(--ISNUMBER(SEARCH("R123",G291))*123,0)+IFERROR(--ISNUMBER(SEARCH("R124",G291))*124,0)+IFERROR(--ISNUMBER(SEARCH("R125",G291))*125,0)+IFERROR(--ISNUMBER(SEARCH("R126",G291))*126,0)+IFERROR(--ISNUMBER(SEARCH("R127",G291))*127,0)+IFERROR(--ISNUMBER(SEARCH("R128",G291))*128,0)+IFERROR(--ISNUMBER(SEARCH("R129",G291))*129,0)+IFERROR(--ISNUMBER(SEARCH("R130",G291))*130,0)+IFERROR(--ISNUMBER(SEARCH("R131",G291))*131,0)+IFERROR(--ISNUMBER(SEARCH("R132",G291))*132,0)+IFERROR(--ISNUMBER(SEARCH("R133",G291))*133,0)+IFERROR(--ISNUMBER(SEARCH("R134",G291))*134,0)+IFERROR(--ISNUMBER(SEARCH("R135",G291))*135,0)+IFERROR(--ISNUMBER(SEARCH("R136",G291))*136,0)+IFERROR(--ISNUMBER(SEARCH("R137",G291))*137,0)+IFERROR(--ISNUMBER(SEARCH("R138",G291))*138,0)+IFERROR(--ISNUMBER(SEARCH("R139",G291))*139,0)+IFERROR(--ISNUMBER(SEARCH("R140",G291))*140,0)+IFERROR(--ISNUMBER(SEARCH("R141",G291))*141,0))</f>
        <v/>
      </c>
      <c r="V291" s="59">
        <f>IF(A291="","",IF(K291&lt;&gt;"",K291,J291))</f>
        <v/>
      </c>
      <c r="W291" s="59">
        <f>IF(A291="","",IF(AND(V291=29,O291&lt;&gt;"",COUNTIFS($V$6:$V$505,29,$F$6:$F$505,F291,$C$6:$C$505,C291,$O$6:$O$505,"&lt;&gt;")&gt;1),IF(COUNTIFS($V$6:V291,29,$F$6:F291,F291,$C$6:C291,C291,$O$6:O291,"&lt;&gt;")=1,"Esta es la fila que se debe CONSERVAR (aparición 1 de "&amp;COUNTIFS($V$6:$V$505,29,$F$6:$F$505,F291,$C$6:$C$505,C291,$O$6:$O$505,"&lt;&gt;")&amp;" con el mismo tercero y valor, casilla 29). Si hay más filas iguales, bórreles el valor a ELLAS, no a esta.","DUPLICADO — ya existe otra fila con el mismo tercero y valor para casilla 29 (aparición "&amp;COUNTIFS($V$6:V291,29,$F$6:F291,F291,$C$6:C291,C291,$O$6:O291,"&lt;&gt;")&amp;" de "&amp;COUNTIFS($V$6:$V$505,29,$F$6:$F$505,F291,$C$6:$C$505,C291,$O$6:$O$505,"&lt;&gt;")&amp;"). Para resolverlo: seleccione la celda O"&amp;ROW()&amp;" (columna Valor a declarar de ESTA fila) y presione Supr."),""))</f>
        <v/>
      </c>
      <c r="X291" s="463">
        <f>IF(A291="","",F291)</f>
        <v/>
      </c>
      <c r="Y291" s="463">
        <f>IF(A291="","",SUMIF(Entrada_Manual!$I$88:$I$187,A291,Entrada_Manual!$F$88:$F$187))</f>
        <v/>
      </c>
      <c r="Z291" s="463">
        <f>IF(A291="","",X291-Y291)</f>
        <v/>
      </c>
      <c r="AA291">
        <f>IF(A291="","",SUMPRODUCT((Entrada_Manual!$I$88:$I$187=A291)*1))</f>
        <v/>
      </c>
      <c r="AB291">
        <f>IF(A291="","",IF(S291&lt;=1,"",IF(AA291=0,"PENDIENTE — SIN ASIGNAR",IF(Z291=0,"RESUELTO","PARCIAL — DIFERENCIA "&amp;TEXT(Z291,"#,##0")))))</f>
        <v/>
      </c>
    </row>
    <row r="292" ht="14.25" customHeight="1" s="235">
      <c r="A292" s="47">
        <f>IF(Exogena_RAW!E301&lt;&gt;"",ROW()-5,"")</f>
        <v/>
      </c>
      <c r="B292" s="48">
        <f>IF(A292="","",301)</f>
        <v/>
      </c>
      <c r="C292" s="48">
        <f>IF(A292="","",IFERROR(Exogena_RAW!A301,""))</f>
        <v/>
      </c>
      <c r="D292" s="48">
        <f>IF(A292="","",IFERROR(Exogena_RAW!B301,""))</f>
        <v/>
      </c>
      <c r="E292" s="48">
        <f>IF(A292="","",Exogena_RAW!E301)</f>
        <v/>
      </c>
      <c r="F292" s="461">
        <f>IF(A292="","",Exogena_RAW!F301)</f>
        <v/>
      </c>
      <c r="G292" s="48">
        <f>IF(A292="","",IFERROR(Exogena_RAW!G301,""))</f>
        <v/>
      </c>
      <c r="H292" s="48">
        <f>IF(A292="","",IFERROR(Exogena_RAW!H301,""))</f>
        <v/>
      </c>
      <c r="I292" s="48">
        <f>IF(A292="","",IFERROR(IF(S292&gt;1,"VARIAS CASILLAS",IF(S292=1,IF(T292=1,"PROPUESTA DE CASILLA","REVISIÓN: CASILLA NO DIRECTA"),IF(OR(ISNUMBER(SEARCH("TOPE",UPPER(E292))),ISNUMBER(SEARCH("TOPE",UPPER(G292)))),"SOLO CONTROL",IF(ISNUMBER(SEARCH("RETEN",UPPER(E292))),"RETENCIÓN","REVISAR")))),"REVISAR"))</f>
        <v/>
      </c>
      <c r="J292" s="48">
        <f>IF(A292="","",IF(ISNUMBER(SEARCH("ingreso laboral promedio de los últimos seis meses",E292)),"",IFERROR(IF(AND(S292=1,T292=1),U292,""),"")))</f>
        <v/>
      </c>
      <c r="K292" s="216" t="n"/>
      <c r="L292" s="48">
        <f>IF(A292="","",IFERROR(IF(K292&lt;&gt;"","Casilla elegida por usuario",IF(S292&gt;1,"Varias casillas — elegir en K",IF(J292&lt;&gt;"","Sugerencia directa",IF(S292=1,"No trasladar directo — revisar",IF(OR(ISNUMBER(SEARCH("TOPE",UPPER(E292))),ISNUMBER(SEARCH("TOPE",UPPER(G292)))),"Solo control","Revisar manualmente"))))),"Revisar manualmente"))</f>
        <v/>
      </c>
      <c r="M292" s="461">
        <f>IF(A292="","",IF(IF(K292&lt;&gt;"",K292,J292)="",0,IF(COUNTIFS(Reglas!$I$5:$I$118,IF(K292&lt;&gt;"",K292,J292),Reglas!$J$5:$J$118,"Sí")=1,F292,0)))</f>
        <v/>
      </c>
      <c r="N292" s="56" t="n"/>
      <c r="O292" s="462">
        <f>IF(A292="","",IF(M292=0,"",M292))</f>
        <v/>
      </c>
      <c r="P292" s="461">
        <f>IF(A292="","",IF(O292="",0,IF(ISNUMBER(O292),O292,0)))</f>
        <v/>
      </c>
      <c r="Q292" s="48">
        <f>IF(A292="","",IF(Exogena_RAW!$C$4="","BLOQUEADO: FALTA AÑO",IF(Exogena_RAW!$K$10&lt;&gt;Reglas!$B$5,"BLOQUEADO: AÑO",IF(IF(K292&lt;&gt;"",K292,J292)="",IF(S292&gt;1,"REQUIERE ASIGNACIÓN MANUAL (VARIAS CASILLAS)","INFORMATIVO (sin casilla — no se declara)"),IF(COUNTIFS(Reglas!$I$5:$I$118,IF(K292&lt;&gt;"",K292,J292),Reglas!$J$5:$J$118,"Sí")=0,"BLOQUEADO: CASILLA NO DIRECTA",IF(O292="","EXCLUIDO (valor borrado por el usuario)",IF(_xlfn.ISFORMULA(O292),IF(W292&lt;&gt;"","BORRADOR — VALOR SUGERIDO DIAN ⚠ VER ALERTA","BORRADOR — VALOR SUGERIDO DIAN"),IF(W292&lt;&gt;"","ACEPTADO ⚠ VER ALERTA","ACEPTADO"))))))))</f>
        <v/>
      </c>
      <c r="R292" s="218" t="n"/>
      <c r="S292" s="58">
        <f>IF(A292="","",IFERROR(--ISNUMBER(SEARCH("R28",G292)),0)+IFERROR(--ISNUMBER(SEARCH("R29",G292)),0)+IFERROR(--ISNUMBER(SEARCH("R30",G292)),0)+IFERROR(--ISNUMBER(SEARCH("R31",G292)),0)+IFERROR(--ISNUMBER(SEARCH("R32",G292)),0)+IFERROR(--ISNUMBER(SEARCH("R33",G292)),0)+IFERROR(--ISNUMBER(SEARCH("R34",G292)),0)+IFERROR(--ISNUMBER(SEARCH("R35",G292)),0)+IFERROR(--ISNUMBER(SEARCH("R36",G292)),0)+IFERROR(--ISNUMBER(SEARCH("R37",G292)),0)+IFERROR(--ISNUMBER(SEARCH("R38",G292)),0)+IFERROR(--ISNUMBER(SEARCH("R39",G292)),0)+IFERROR(--ISNUMBER(SEARCH("R40",G292)),0)+IFERROR(--ISNUMBER(SEARCH("R41",G292)),0)+IFERROR(--ISNUMBER(SEARCH("R42",G292)),0)+IFERROR(--ISNUMBER(SEARCH("R43",G292)),0)+IFERROR(--ISNUMBER(SEARCH("R44",G292)),0)+IFERROR(--ISNUMBER(SEARCH("R45",G292)),0)+IFERROR(--ISNUMBER(SEARCH("R46",G292)),0)+IFERROR(--ISNUMBER(SEARCH("R47",G292)),0)+IFERROR(--ISNUMBER(SEARCH("R48",G292)),0)+IFERROR(--ISNUMBER(SEARCH("R49",G292)),0)+IFERROR(--ISNUMBER(SEARCH("R50",G292)),0)+IFERROR(--ISNUMBER(SEARCH("R51",G292)),0)+IFERROR(--ISNUMBER(SEARCH("R52",G292)),0)+IFERROR(--ISNUMBER(SEARCH("R53",G292)),0)+IFERROR(--ISNUMBER(SEARCH("R54",G292)),0)+IFERROR(--ISNUMBER(SEARCH("R55",G292)),0)+IFERROR(--ISNUMBER(SEARCH("R56",G292)),0)+IFERROR(--ISNUMBER(SEARCH("R57",G292)),0)+IFERROR(--ISNUMBER(SEARCH("R58",G292)),0)+IFERROR(--ISNUMBER(SEARCH("R59",G292)),0)+IFERROR(--ISNUMBER(SEARCH("R60",G292)),0)+IFERROR(--ISNUMBER(SEARCH("R61",G292)),0)+IFERROR(--ISNUMBER(SEARCH("R62",G292)),0)+IFERROR(--ISNUMBER(SEARCH("R63",G292)),0)+IFERROR(--ISNUMBER(SEARCH("R64",G292)),0)+IFERROR(--ISNUMBER(SEARCH("R65",G292)),0)+IFERROR(--ISNUMBER(SEARCH("R66",G292)),0)+IFERROR(--ISNUMBER(SEARCH("R67",G292)),0)+IFERROR(--ISNUMBER(SEARCH("R68",G292)),0)+IFERROR(--ISNUMBER(SEARCH("R69",G292)),0)+IFERROR(--ISNUMBER(SEARCH("R70",G292)),0)+IFERROR(--ISNUMBER(SEARCH("R71",G292)),0)+IFERROR(--ISNUMBER(SEARCH("R72",G292)),0)+IFERROR(--ISNUMBER(SEARCH("R73",G292)),0)+IFERROR(--ISNUMBER(SEARCH("R74",G292)),0)+IFERROR(--ISNUMBER(SEARCH("R75",G292)),0)+IFERROR(--ISNUMBER(SEARCH("R76",G292)),0)+IFERROR(--ISNUMBER(SEARCH("R77",G292)),0)+IFERROR(--ISNUMBER(SEARCH("R78",G292)),0)+IFERROR(--ISNUMBER(SEARCH("R79",G292)),0)+IFERROR(--ISNUMBER(SEARCH("R80",G292)),0)+IFERROR(--ISNUMBER(SEARCH("R81",G292)),0)+IFERROR(--ISNUMBER(SEARCH("R82",G292)),0)+IFERROR(--ISNUMBER(SEARCH("R83",G292)),0)+IFERROR(--ISNUMBER(SEARCH("R84",G292)),0)+IFERROR(--ISNUMBER(SEARCH("R85",G292)),0)+IFERROR(--ISNUMBER(SEARCH("R86",G292)),0)+IFERROR(--ISNUMBER(SEARCH("R87",G292)),0)+IFERROR(--ISNUMBER(SEARCH("R88",G292)),0)+IFERROR(--ISNUMBER(SEARCH("R89",G292)),0)+IFERROR(--ISNUMBER(SEARCH("R90",G292)),0)+IFERROR(--ISNUMBER(SEARCH("R91",G292)),0)+IFERROR(--ISNUMBER(SEARCH("R92",G292)),0)+IFERROR(--ISNUMBER(SEARCH("R93",G292)),0)+IFERROR(--ISNUMBER(SEARCH("R94",G292)),0)+IFERROR(--ISNUMBER(SEARCH("R95",G292)),0)+IFERROR(--ISNUMBER(SEARCH("R96",G292)),0)+IFERROR(--ISNUMBER(SEARCH("R97",G292)),0)+IFERROR(--ISNUMBER(SEARCH("R98",G292)),0)+IFERROR(--ISNUMBER(SEARCH("R99",G292)),0)+IFERROR(--ISNUMBER(SEARCH("R100",G292)),0)+IFERROR(--ISNUMBER(SEARCH("R101",G292)),0)+IFERROR(--ISNUMBER(SEARCH("R102",G292)),0)+IFERROR(--ISNUMBER(SEARCH("R103",G292)),0)+IFERROR(--ISNUMBER(SEARCH("R104",G292)),0)+IFERROR(--ISNUMBER(SEARCH("R105",G292)),0)+IFERROR(--ISNUMBER(SEARCH("R106",G292)),0)+IFERROR(--ISNUMBER(SEARCH("R107",G292)),0)+IFERROR(--ISNUMBER(SEARCH("R108",G292)),0)+IFERROR(--ISNUMBER(SEARCH("R109",G292)),0)+IFERROR(--ISNUMBER(SEARCH("R110",G292)),0)+IFERROR(--ISNUMBER(SEARCH("R111",G292)),0)+IFERROR(--ISNUMBER(SEARCH("R112",G292)),0)+IFERROR(--ISNUMBER(SEARCH("R113",G292)),0)+IFERROR(--ISNUMBER(SEARCH("R114",G292)),0)+IFERROR(--ISNUMBER(SEARCH("R115",G292)),0)+IFERROR(--ISNUMBER(SEARCH("R116",G292)),0)+IFERROR(--ISNUMBER(SEARCH("R117",G292)),0)+IFERROR(--ISNUMBER(SEARCH("R118",G292)),0)+IFERROR(--ISNUMBER(SEARCH("R119",G292)),0)+IFERROR(--ISNUMBER(SEARCH("R120",G292)),0)+IFERROR(--ISNUMBER(SEARCH("R121",G292)),0)+IFERROR(--ISNUMBER(SEARCH("R122",G292)),0)+IFERROR(--ISNUMBER(SEARCH("R123",G292)),0)+IFERROR(--ISNUMBER(SEARCH("R124",G292)),0)+IFERROR(--ISNUMBER(SEARCH("R125",G292)),0)+IFERROR(--ISNUMBER(SEARCH("R126",G292)),0)+IFERROR(--ISNUMBER(SEARCH("R127",G292)),0)+IFERROR(--ISNUMBER(SEARCH("R128",G292)),0)+IFERROR(--ISNUMBER(SEARCH("R129",G292)),0)+IFERROR(--ISNUMBER(SEARCH("R130",G292)),0)+IFERROR(--ISNUMBER(SEARCH("R131",G292)),0)+IFERROR(--ISNUMBER(SEARCH("R132",G292)),0)+IFERROR(--ISNUMBER(SEARCH("R133",G292)),0)+IFERROR(--ISNUMBER(SEARCH("R134",G292)),0)+IFERROR(--ISNUMBER(SEARCH("R135",G292)),0)+IFERROR(--ISNUMBER(SEARCH("R136",G292)),0)+IFERROR(--ISNUMBER(SEARCH("R137",G292)),0)+IFERROR(--ISNUMBER(SEARCH("R138",G292)),0)+IFERROR(--ISNUMBER(SEARCH("R139",G292)),0)+IFERROR(--ISNUMBER(SEARCH("R140",G292)),0)+IFERROR(--ISNUMBER(SEARCH("R141",G292)),0))</f>
        <v/>
      </c>
      <c r="T292" s="58">
        <f>IF(A292="","",IFERROR(--ISNUMBER(SEARCH("R28",G292)),0)+IFERROR(--ISNUMBER(SEARCH("R29",G292)),0)+IFERROR(--ISNUMBER(SEARCH("R30",G292)),0)+IFERROR(--ISNUMBER(SEARCH("R32",G292)),0)+IFERROR(--ISNUMBER(SEARCH("R33",G292)),0)+IFERROR(--ISNUMBER(SEARCH("R35",G292)),0)+IFERROR(--ISNUMBER(SEARCH("R36",G292)),0)+IFERROR(--ISNUMBER(SEARCH("R38",G292)),0)+IFERROR(--ISNUMBER(SEARCH("R39",G292)),0)+IFERROR(--ISNUMBER(SEARCH("R43",G292)),0)+IFERROR(--ISNUMBER(SEARCH("R44",G292)),0)+IFERROR(--ISNUMBER(SEARCH("R45",G292)),0)+IFERROR(--ISNUMBER(SEARCH("R47",G292)),0)+IFERROR(--ISNUMBER(SEARCH("R48",G292)),0)+IFERROR(--ISNUMBER(SEARCH("R50",G292)),0)+IFERROR(--ISNUMBER(SEARCH("R51",G292)),0)+IFERROR(--ISNUMBER(SEARCH("R56",G292)),0)+IFERROR(--ISNUMBER(SEARCH("R58",G292)),0)+IFERROR(--ISNUMBER(SEARCH("R59",G292)),0)+IFERROR(--ISNUMBER(SEARCH("R60",G292)),0)+IFERROR(--ISNUMBER(SEARCH("R62",G292)),0)+IFERROR(--ISNUMBER(SEARCH("R63",G292)),0)+IFERROR(--ISNUMBER(SEARCH("R64",G292)),0)+IFERROR(--ISNUMBER(SEARCH("R66",G292)),0)+IFERROR(--ISNUMBER(SEARCH("R67",G292)),0)+IFERROR(--ISNUMBER(SEARCH("R72",G292)),0)+IFERROR(--ISNUMBER(SEARCH("R74",G292)),0)+IFERROR(--ISNUMBER(SEARCH("R75",G292)),0)+IFERROR(--ISNUMBER(SEARCH("R76",G292)),0)+IFERROR(--ISNUMBER(SEARCH("R77",G292)),0)+IFERROR(--ISNUMBER(SEARCH("R79",G292)),0)+IFERROR(--ISNUMBER(SEARCH("R80",G292)),0)+IFERROR(--ISNUMBER(SEARCH("R81",G292)),0)+IFERROR(--ISNUMBER(SEARCH("R83",G292)),0)+IFERROR(--ISNUMBER(SEARCH("R84",G292)),0)+IFERROR(--ISNUMBER(SEARCH("R89",G292)),0)+IFERROR(--ISNUMBER(SEARCH("R94",G292)),0)+IFERROR(--ISNUMBER(SEARCH("R95",G292)),0)+IFERROR(--ISNUMBER(SEARCH("R96",G292)),0)+IFERROR(--ISNUMBER(SEARCH("R98",G292)),0)+IFERROR(--ISNUMBER(SEARCH("R99",G292)),0)+IFERROR(--ISNUMBER(SEARCH("R100",G292)),0)+IFERROR(--ISNUMBER(SEARCH("R104",G292)),0)+IFERROR(--ISNUMBER(SEARCH("R105",G292)),0)+IFERROR(--ISNUMBER(SEARCH("R107",G292)),0)+IFERROR(--ISNUMBER(SEARCH("R108",G292)),0)+IFERROR(--ISNUMBER(SEARCH("R109",G292)),0)+IFERROR(--ISNUMBER(SEARCH("R110",G292)),0)+IFERROR(--ISNUMBER(SEARCH("R112",G292)),0)+IFERROR(--ISNUMBER(SEARCH("R113",G292)),0)+IFERROR(--ISNUMBER(SEARCH("R114",G292)),0)+IFERROR(--ISNUMBER(SEARCH("R118",G292)),0)+IFERROR(--ISNUMBER(SEARCH("R119",G292)),0)+IFERROR(--ISNUMBER(SEARCH("R120",G292)),0)+IFERROR(--ISNUMBER(SEARCH("R122",G292)),0)+IFERROR(--ISNUMBER(SEARCH("R123",G292)),0)+IFERROR(--ISNUMBER(SEARCH("R124",G292)),0)+IFERROR(--ISNUMBER(SEARCH("R128",G292)),0)+IFERROR(--ISNUMBER(SEARCH("R130",G292)),0)+IFERROR(--ISNUMBER(SEARCH("R131",G292)),0)+IFERROR(--ISNUMBER(SEARCH("R132",G292)),0)+IFERROR(--ISNUMBER(SEARCH("R135",G292)),0)+IFERROR(--ISNUMBER(SEARCH("R138",G292)),0)+IFERROR(--ISNUMBER(SEARCH("R141",G292)),0))</f>
        <v/>
      </c>
      <c r="U292" s="58">
        <f>IF(A292="","",IFERROR(--ISNUMBER(SEARCH("R28",G292))*28,0)+IFERROR(--ISNUMBER(SEARCH("R29",G292))*29,0)+IFERROR(--ISNUMBER(SEARCH("R30",G292))*30,0)+IFERROR(--ISNUMBER(SEARCH("R31",G292))*31,0)+IFERROR(--ISNUMBER(SEARCH("R32",G292))*32,0)+IFERROR(--ISNUMBER(SEARCH("R33",G292))*33,0)+IFERROR(--ISNUMBER(SEARCH("R34",G292))*34,0)+IFERROR(--ISNUMBER(SEARCH("R35",G292))*35,0)+IFERROR(--ISNUMBER(SEARCH("R36",G292))*36,0)+IFERROR(--ISNUMBER(SEARCH("R37",G292))*37,0)+IFERROR(--ISNUMBER(SEARCH("R38",G292))*38,0)+IFERROR(--ISNUMBER(SEARCH("R39",G292))*39,0)+IFERROR(--ISNUMBER(SEARCH("R40",G292))*40,0)+IFERROR(--ISNUMBER(SEARCH("R41",G292))*41,0)+IFERROR(--ISNUMBER(SEARCH("R42",G292))*42,0)+IFERROR(--ISNUMBER(SEARCH("R43",G292))*43,0)+IFERROR(--ISNUMBER(SEARCH("R44",G292))*44,0)+IFERROR(--ISNUMBER(SEARCH("R45",G292))*45,0)+IFERROR(--ISNUMBER(SEARCH("R46",G292))*46,0)+IFERROR(--ISNUMBER(SEARCH("R47",G292))*47,0)+IFERROR(--ISNUMBER(SEARCH("R48",G292))*48,0)+IFERROR(--ISNUMBER(SEARCH("R49",G292))*49,0)+IFERROR(--ISNUMBER(SEARCH("R50",G292))*50,0)+IFERROR(--ISNUMBER(SEARCH("R51",G292))*51,0)+IFERROR(--ISNUMBER(SEARCH("R52",G292))*52,0)+IFERROR(--ISNUMBER(SEARCH("R53",G292))*53,0)+IFERROR(--ISNUMBER(SEARCH("R54",G292))*54,0)+IFERROR(--ISNUMBER(SEARCH("R55",G292))*55,0)+IFERROR(--ISNUMBER(SEARCH("R56",G292))*56,0)+IFERROR(--ISNUMBER(SEARCH("R57",G292))*57,0)+IFERROR(--ISNUMBER(SEARCH("R58",G292))*58,0)+IFERROR(--ISNUMBER(SEARCH("R59",G292))*59,0)+IFERROR(--ISNUMBER(SEARCH("R60",G292))*60,0)+IFERROR(--ISNUMBER(SEARCH("R61",G292))*61,0)+IFERROR(--ISNUMBER(SEARCH("R62",G292))*62,0)+IFERROR(--ISNUMBER(SEARCH("R63",G292))*63,0)+IFERROR(--ISNUMBER(SEARCH("R64",G292))*64,0)+IFERROR(--ISNUMBER(SEARCH("R65",G292))*65,0)+IFERROR(--ISNUMBER(SEARCH("R66",G292))*66,0)+IFERROR(--ISNUMBER(SEARCH("R67",G292))*67,0)+IFERROR(--ISNUMBER(SEARCH("R68",G292))*68,0)+IFERROR(--ISNUMBER(SEARCH("R69",G292))*69,0)+IFERROR(--ISNUMBER(SEARCH("R70",G292))*70,0)+IFERROR(--ISNUMBER(SEARCH("R71",G292))*71,0)+IFERROR(--ISNUMBER(SEARCH("R72",G292))*72,0)+IFERROR(--ISNUMBER(SEARCH("R73",G292))*73,0)+IFERROR(--ISNUMBER(SEARCH("R74",G292))*74,0)+IFERROR(--ISNUMBER(SEARCH("R75",G292))*75,0)+IFERROR(--ISNUMBER(SEARCH("R76",G292))*76,0)+IFERROR(--ISNUMBER(SEARCH("R77",G292))*77,0)+IFERROR(--ISNUMBER(SEARCH("R78",G292))*78,0)+IFERROR(--ISNUMBER(SEARCH("R79",G292))*79,0)+IFERROR(--ISNUMBER(SEARCH("R80",G292))*80,0)+IFERROR(--ISNUMBER(SEARCH("R81",G292))*81,0)+IFERROR(--ISNUMBER(SEARCH("R82",G292))*82,0)+IFERROR(--ISNUMBER(SEARCH("R83",G292))*83,0)+IFERROR(--ISNUMBER(SEARCH("R84",G292))*84,0)+IFERROR(--ISNUMBER(SEARCH("R85",G292))*85,0)+IFERROR(--ISNUMBER(SEARCH("R86",G292))*86,0)+IFERROR(--ISNUMBER(SEARCH("R87",G292))*87,0)+IFERROR(--ISNUMBER(SEARCH("R88",G292))*88,0)+IFERROR(--ISNUMBER(SEARCH("R89",G292))*89,0)+IFERROR(--ISNUMBER(SEARCH("R90",G292))*90,0)+IFERROR(--ISNUMBER(SEARCH("R91",G292))*91,0)+IFERROR(--ISNUMBER(SEARCH("R92",G292))*92,0)+IFERROR(--ISNUMBER(SEARCH("R93",G292))*93,0)+IFERROR(--ISNUMBER(SEARCH("R94",G292))*94,0)+IFERROR(--ISNUMBER(SEARCH("R95",G292))*95,0)+IFERROR(--ISNUMBER(SEARCH("R96",G292))*96,0)+IFERROR(--ISNUMBER(SEARCH("R97",G292))*97,0)+IFERROR(--ISNUMBER(SEARCH("R98",G292))*98,0)+IFERROR(--ISNUMBER(SEARCH("R99",G292))*99,0)+IFERROR(--ISNUMBER(SEARCH("R100",G292))*100,0)+IFERROR(--ISNUMBER(SEARCH("R101",G292))*101,0)+IFERROR(--ISNUMBER(SEARCH("R102",G292))*102,0)+IFERROR(--ISNUMBER(SEARCH("R103",G292))*103,0)+IFERROR(--ISNUMBER(SEARCH("R104",G292))*104,0)+IFERROR(--ISNUMBER(SEARCH("R105",G292))*105,0)+IFERROR(--ISNUMBER(SEARCH("R106",G292))*106,0)+IFERROR(--ISNUMBER(SEARCH("R107",G292))*107,0)+IFERROR(--ISNUMBER(SEARCH("R108",G292))*108,0)+IFERROR(--ISNUMBER(SEARCH("R109",G292))*109,0)+IFERROR(--ISNUMBER(SEARCH("R110",G292))*110,0)+IFERROR(--ISNUMBER(SEARCH("R111",G292))*111,0)+IFERROR(--ISNUMBER(SEARCH("R112",G292))*112,0)+IFERROR(--ISNUMBER(SEARCH("R113",G292))*113,0)+IFERROR(--ISNUMBER(SEARCH("R114",G292))*114,0)+IFERROR(--ISNUMBER(SEARCH("R115",G292))*115,0)+IFERROR(--ISNUMBER(SEARCH("R116",G292))*116,0)+IFERROR(--ISNUMBER(SEARCH("R117",G292))*117,0)+IFERROR(--ISNUMBER(SEARCH("R118",G292))*118,0)+IFERROR(--ISNUMBER(SEARCH("R119",G292))*119,0)+IFERROR(--ISNUMBER(SEARCH("R120",G292))*120,0)+IFERROR(--ISNUMBER(SEARCH("R121",G292))*121,0)+IFERROR(--ISNUMBER(SEARCH("R122",G292))*122,0)+IFERROR(--ISNUMBER(SEARCH("R123",G292))*123,0)+IFERROR(--ISNUMBER(SEARCH("R124",G292))*124,0)+IFERROR(--ISNUMBER(SEARCH("R125",G292))*125,0)+IFERROR(--ISNUMBER(SEARCH("R126",G292))*126,0)+IFERROR(--ISNUMBER(SEARCH("R127",G292))*127,0)+IFERROR(--ISNUMBER(SEARCH("R128",G292))*128,0)+IFERROR(--ISNUMBER(SEARCH("R129",G292))*129,0)+IFERROR(--ISNUMBER(SEARCH("R130",G292))*130,0)+IFERROR(--ISNUMBER(SEARCH("R131",G292))*131,0)+IFERROR(--ISNUMBER(SEARCH("R132",G292))*132,0)+IFERROR(--ISNUMBER(SEARCH("R133",G292))*133,0)+IFERROR(--ISNUMBER(SEARCH("R134",G292))*134,0)+IFERROR(--ISNUMBER(SEARCH("R135",G292))*135,0)+IFERROR(--ISNUMBER(SEARCH("R136",G292))*136,0)+IFERROR(--ISNUMBER(SEARCH("R137",G292))*137,0)+IFERROR(--ISNUMBER(SEARCH("R138",G292))*138,0)+IFERROR(--ISNUMBER(SEARCH("R139",G292))*139,0)+IFERROR(--ISNUMBER(SEARCH("R140",G292))*140,0)+IFERROR(--ISNUMBER(SEARCH("R141",G292))*141,0))</f>
        <v/>
      </c>
      <c r="V292" s="59">
        <f>IF(A292="","",IF(K292&lt;&gt;"",K292,J292))</f>
        <v/>
      </c>
      <c r="W292" s="59">
        <f>IF(A292="","",IF(AND(V292=29,O292&lt;&gt;"",COUNTIFS($V$6:$V$505,29,$F$6:$F$505,F292,$C$6:$C$505,C292,$O$6:$O$505,"&lt;&gt;")&gt;1),IF(COUNTIFS($V$6:V292,29,$F$6:F292,F292,$C$6:C292,C292,$O$6:O292,"&lt;&gt;")=1,"Esta es la fila que se debe CONSERVAR (aparición 1 de "&amp;COUNTIFS($V$6:$V$505,29,$F$6:$F$505,F292,$C$6:$C$505,C292,$O$6:$O$505,"&lt;&gt;")&amp;" con el mismo tercero y valor, casilla 29). Si hay más filas iguales, bórreles el valor a ELLAS, no a esta.","DUPLICADO — ya existe otra fila con el mismo tercero y valor para casilla 29 (aparición "&amp;COUNTIFS($V$6:V292,29,$F$6:F292,F292,$C$6:C292,C292,$O$6:O292,"&lt;&gt;")&amp;" de "&amp;COUNTIFS($V$6:$V$505,29,$F$6:$F$505,F292,$C$6:$C$505,C292,$O$6:$O$505,"&lt;&gt;")&amp;"). Para resolverlo: seleccione la celda O"&amp;ROW()&amp;" (columna Valor a declarar de ESTA fila) y presione Supr."),""))</f>
        <v/>
      </c>
      <c r="X292" s="463">
        <f>IF(A292="","",F292)</f>
        <v/>
      </c>
      <c r="Y292" s="463">
        <f>IF(A292="","",SUMIF(Entrada_Manual!$I$88:$I$187,A292,Entrada_Manual!$F$88:$F$187))</f>
        <v/>
      </c>
      <c r="Z292" s="463">
        <f>IF(A292="","",X292-Y292)</f>
        <v/>
      </c>
      <c r="AA292">
        <f>IF(A292="","",SUMPRODUCT((Entrada_Manual!$I$88:$I$187=A292)*1))</f>
        <v/>
      </c>
      <c r="AB292">
        <f>IF(A292="","",IF(S292&lt;=1,"",IF(AA292=0,"PENDIENTE — SIN ASIGNAR",IF(Z292=0,"RESUELTO","PARCIAL — DIFERENCIA "&amp;TEXT(Z292,"#,##0")))))</f>
        <v/>
      </c>
    </row>
    <row r="293" ht="14.25" customHeight="1" s="235">
      <c r="A293" s="47">
        <f>IF(Exogena_RAW!E302&lt;&gt;"",ROW()-5,"")</f>
        <v/>
      </c>
      <c r="B293" s="48">
        <f>IF(A293="","",302)</f>
        <v/>
      </c>
      <c r="C293" s="48">
        <f>IF(A293="","",IFERROR(Exogena_RAW!A302,""))</f>
        <v/>
      </c>
      <c r="D293" s="48">
        <f>IF(A293="","",IFERROR(Exogena_RAW!B302,""))</f>
        <v/>
      </c>
      <c r="E293" s="48">
        <f>IF(A293="","",Exogena_RAW!E302)</f>
        <v/>
      </c>
      <c r="F293" s="461">
        <f>IF(A293="","",Exogena_RAW!F302)</f>
        <v/>
      </c>
      <c r="G293" s="48">
        <f>IF(A293="","",IFERROR(Exogena_RAW!G302,""))</f>
        <v/>
      </c>
      <c r="H293" s="48">
        <f>IF(A293="","",IFERROR(Exogena_RAW!H302,""))</f>
        <v/>
      </c>
      <c r="I293" s="48">
        <f>IF(A293="","",IFERROR(IF(S293&gt;1,"VARIAS CASILLAS",IF(S293=1,IF(T293=1,"PROPUESTA DE CASILLA","REVISIÓN: CASILLA NO DIRECTA"),IF(OR(ISNUMBER(SEARCH("TOPE",UPPER(E293))),ISNUMBER(SEARCH("TOPE",UPPER(G293)))),"SOLO CONTROL",IF(ISNUMBER(SEARCH("RETEN",UPPER(E293))),"RETENCIÓN","REVISAR")))),"REVISAR"))</f>
        <v/>
      </c>
      <c r="J293" s="48">
        <f>IF(A293="","",IF(ISNUMBER(SEARCH("ingreso laboral promedio de los últimos seis meses",E293)),"",IFERROR(IF(AND(S293=1,T293=1),U293,""),"")))</f>
        <v/>
      </c>
      <c r="K293" s="216" t="n"/>
      <c r="L293" s="48">
        <f>IF(A293="","",IFERROR(IF(K293&lt;&gt;"","Casilla elegida por usuario",IF(S293&gt;1,"Varias casillas — elegir en K",IF(J293&lt;&gt;"","Sugerencia directa",IF(S293=1,"No trasladar directo — revisar",IF(OR(ISNUMBER(SEARCH("TOPE",UPPER(E293))),ISNUMBER(SEARCH("TOPE",UPPER(G293)))),"Solo control","Revisar manualmente"))))),"Revisar manualmente"))</f>
        <v/>
      </c>
      <c r="M293" s="461">
        <f>IF(A293="","",IF(IF(K293&lt;&gt;"",K293,J293)="",0,IF(COUNTIFS(Reglas!$I$5:$I$118,IF(K293&lt;&gt;"",K293,J293),Reglas!$J$5:$J$118,"Sí")=1,F293,0)))</f>
        <v/>
      </c>
      <c r="N293" s="56" t="n"/>
      <c r="O293" s="462">
        <f>IF(A293="","",IF(M293=0,"",M293))</f>
        <v/>
      </c>
      <c r="P293" s="461">
        <f>IF(A293="","",IF(O293="",0,IF(ISNUMBER(O293),O293,0)))</f>
        <v/>
      </c>
      <c r="Q293" s="48">
        <f>IF(A293="","",IF(Exogena_RAW!$C$4="","BLOQUEADO: FALTA AÑO",IF(Exogena_RAW!$K$10&lt;&gt;Reglas!$B$5,"BLOQUEADO: AÑO",IF(IF(K293&lt;&gt;"",K293,J293)="",IF(S293&gt;1,"REQUIERE ASIGNACIÓN MANUAL (VARIAS CASILLAS)","INFORMATIVO (sin casilla — no se declara)"),IF(COUNTIFS(Reglas!$I$5:$I$118,IF(K293&lt;&gt;"",K293,J293),Reglas!$J$5:$J$118,"Sí")=0,"BLOQUEADO: CASILLA NO DIRECTA",IF(O293="","EXCLUIDO (valor borrado por el usuario)",IF(_xlfn.ISFORMULA(O293),IF(W293&lt;&gt;"","BORRADOR — VALOR SUGERIDO DIAN ⚠ VER ALERTA","BORRADOR — VALOR SUGERIDO DIAN"),IF(W293&lt;&gt;"","ACEPTADO ⚠ VER ALERTA","ACEPTADO"))))))))</f>
        <v/>
      </c>
      <c r="R293" s="218" t="n"/>
      <c r="S293" s="58">
        <f>IF(A293="","",IFERROR(--ISNUMBER(SEARCH("R28",G293)),0)+IFERROR(--ISNUMBER(SEARCH("R29",G293)),0)+IFERROR(--ISNUMBER(SEARCH("R30",G293)),0)+IFERROR(--ISNUMBER(SEARCH("R31",G293)),0)+IFERROR(--ISNUMBER(SEARCH("R32",G293)),0)+IFERROR(--ISNUMBER(SEARCH("R33",G293)),0)+IFERROR(--ISNUMBER(SEARCH("R34",G293)),0)+IFERROR(--ISNUMBER(SEARCH("R35",G293)),0)+IFERROR(--ISNUMBER(SEARCH("R36",G293)),0)+IFERROR(--ISNUMBER(SEARCH("R37",G293)),0)+IFERROR(--ISNUMBER(SEARCH("R38",G293)),0)+IFERROR(--ISNUMBER(SEARCH("R39",G293)),0)+IFERROR(--ISNUMBER(SEARCH("R40",G293)),0)+IFERROR(--ISNUMBER(SEARCH("R41",G293)),0)+IFERROR(--ISNUMBER(SEARCH("R42",G293)),0)+IFERROR(--ISNUMBER(SEARCH("R43",G293)),0)+IFERROR(--ISNUMBER(SEARCH("R44",G293)),0)+IFERROR(--ISNUMBER(SEARCH("R45",G293)),0)+IFERROR(--ISNUMBER(SEARCH("R46",G293)),0)+IFERROR(--ISNUMBER(SEARCH("R47",G293)),0)+IFERROR(--ISNUMBER(SEARCH("R48",G293)),0)+IFERROR(--ISNUMBER(SEARCH("R49",G293)),0)+IFERROR(--ISNUMBER(SEARCH("R50",G293)),0)+IFERROR(--ISNUMBER(SEARCH("R51",G293)),0)+IFERROR(--ISNUMBER(SEARCH("R52",G293)),0)+IFERROR(--ISNUMBER(SEARCH("R53",G293)),0)+IFERROR(--ISNUMBER(SEARCH("R54",G293)),0)+IFERROR(--ISNUMBER(SEARCH("R55",G293)),0)+IFERROR(--ISNUMBER(SEARCH("R56",G293)),0)+IFERROR(--ISNUMBER(SEARCH("R57",G293)),0)+IFERROR(--ISNUMBER(SEARCH("R58",G293)),0)+IFERROR(--ISNUMBER(SEARCH("R59",G293)),0)+IFERROR(--ISNUMBER(SEARCH("R60",G293)),0)+IFERROR(--ISNUMBER(SEARCH("R61",G293)),0)+IFERROR(--ISNUMBER(SEARCH("R62",G293)),0)+IFERROR(--ISNUMBER(SEARCH("R63",G293)),0)+IFERROR(--ISNUMBER(SEARCH("R64",G293)),0)+IFERROR(--ISNUMBER(SEARCH("R65",G293)),0)+IFERROR(--ISNUMBER(SEARCH("R66",G293)),0)+IFERROR(--ISNUMBER(SEARCH("R67",G293)),0)+IFERROR(--ISNUMBER(SEARCH("R68",G293)),0)+IFERROR(--ISNUMBER(SEARCH("R69",G293)),0)+IFERROR(--ISNUMBER(SEARCH("R70",G293)),0)+IFERROR(--ISNUMBER(SEARCH("R71",G293)),0)+IFERROR(--ISNUMBER(SEARCH("R72",G293)),0)+IFERROR(--ISNUMBER(SEARCH("R73",G293)),0)+IFERROR(--ISNUMBER(SEARCH("R74",G293)),0)+IFERROR(--ISNUMBER(SEARCH("R75",G293)),0)+IFERROR(--ISNUMBER(SEARCH("R76",G293)),0)+IFERROR(--ISNUMBER(SEARCH("R77",G293)),0)+IFERROR(--ISNUMBER(SEARCH("R78",G293)),0)+IFERROR(--ISNUMBER(SEARCH("R79",G293)),0)+IFERROR(--ISNUMBER(SEARCH("R80",G293)),0)+IFERROR(--ISNUMBER(SEARCH("R81",G293)),0)+IFERROR(--ISNUMBER(SEARCH("R82",G293)),0)+IFERROR(--ISNUMBER(SEARCH("R83",G293)),0)+IFERROR(--ISNUMBER(SEARCH("R84",G293)),0)+IFERROR(--ISNUMBER(SEARCH("R85",G293)),0)+IFERROR(--ISNUMBER(SEARCH("R86",G293)),0)+IFERROR(--ISNUMBER(SEARCH("R87",G293)),0)+IFERROR(--ISNUMBER(SEARCH("R88",G293)),0)+IFERROR(--ISNUMBER(SEARCH("R89",G293)),0)+IFERROR(--ISNUMBER(SEARCH("R90",G293)),0)+IFERROR(--ISNUMBER(SEARCH("R91",G293)),0)+IFERROR(--ISNUMBER(SEARCH("R92",G293)),0)+IFERROR(--ISNUMBER(SEARCH("R93",G293)),0)+IFERROR(--ISNUMBER(SEARCH("R94",G293)),0)+IFERROR(--ISNUMBER(SEARCH("R95",G293)),0)+IFERROR(--ISNUMBER(SEARCH("R96",G293)),0)+IFERROR(--ISNUMBER(SEARCH("R97",G293)),0)+IFERROR(--ISNUMBER(SEARCH("R98",G293)),0)+IFERROR(--ISNUMBER(SEARCH("R99",G293)),0)+IFERROR(--ISNUMBER(SEARCH("R100",G293)),0)+IFERROR(--ISNUMBER(SEARCH("R101",G293)),0)+IFERROR(--ISNUMBER(SEARCH("R102",G293)),0)+IFERROR(--ISNUMBER(SEARCH("R103",G293)),0)+IFERROR(--ISNUMBER(SEARCH("R104",G293)),0)+IFERROR(--ISNUMBER(SEARCH("R105",G293)),0)+IFERROR(--ISNUMBER(SEARCH("R106",G293)),0)+IFERROR(--ISNUMBER(SEARCH("R107",G293)),0)+IFERROR(--ISNUMBER(SEARCH("R108",G293)),0)+IFERROR(--ISNUMBER(SEARCH("R109",G293)),0)+IFERROR(--ISNUMBER(SEARCH("R110",G293)),0)+IFERROR(--ISNUMBER(SEARCH("R111",G293)),0)+IFERROR(--ISNUMBER(SEARCH("R112",G293)),0)+IFERROR(--ISNUMBER(SEARCH("R113",G293)),0)+IFERROR(--ISNUMBER(SEARCH("R114",G293)),0)+IFERROR(--ISNUMBER(SEARCH("R115",G293)),0)+IFERROR(--ISNUMBER(SEARCH("R116",G293)),0)+IFERROR(--ISNUMBER(SEARCH("R117",G293)),0)+IFERROR(--ISNUMBER(SEARCH("R118",G293)),0)+IFERROR(--ISNUMBER(SEARCH("R119",G293)),0)+IFERROR(--ISNUMBER(SEARCH("R120",G293)),0)+IFERROR(--ISNUMBER(SEARCH("R121",G293)),0)+IFERROR(--ISNUMBER(SEARCH("R122",G293)),0)+IFERROR(--ISNUMBER(SEARCH("R123",G293)),0)+IFERROR(--ISNUMBER(SEARCH("R124",G293)),0)+IFERROR(--ISNUMBER(SEARCH("R125",G293)),0)+IFERROR(--ISNUMBER(SEARCH("R126",G293)),0)+IFERROR(--ISNUMBER(SEARCH("R127",G293)),0)+IFERROR(--ISNUMBER(SEARCH("R128",G293)),0)+IFERROR(--ISNUMBER(SEARCH("R129",G293)),0)+IFERROR(--ISNUMBER(SEARCH("R130",G293)),0)+IFERROR(--ISNUMBER(SEARCH("R131",G293)),0)+IFERROR(--ISNUMBER(SEARCH("R132",G293)),0)+IFERROR(--ISNUMBER(SEARCH("R133",G293)),0)+IFERROR(--ISNUMBER(SEARCH("R134",G293)),0)+IFERROR(--ISNUMBER(SEARCH("R135",G293)),0)+IFERROR(--ISNUMBER(SEARCH("R136",G293)),0)+IFERROR(--ISNUMBER(SEARCH("R137",G293)),0)+IFERROR(--ISNUMBER(SEARCH("R138",G293)),0)+IFERROR(--ISNUMBER(SEARCH("R139",G293)),0)+IFERROR(--ISNUMBER(SEARCH("R140",G293)),0)+IFERROR(--ISNUMBER(SEARCH("R141",G293)),0))</f>
        <v/>
      </c>
      <c r="T293" s="58">
        <f>IF(A293="","",IFERROR(--ISNUMBER(SEARCH("R28",G293)),0)+IFERROR(--ISNUMBER(SEARCH("R29",G293)),0)+IFERROR(--ISNUMBER(SEARCH("R30",G293)),0)+IFERROR(--ISNUMBER(SEARCH("R32",G293)),0)+IFERROR(--ISNUMBER(SEARCH("R33",G293)),0)+IFERROR(--ISNUMBER(SEARCH("R35",G293)),0)+IFERROR(--ISNUMBER(SEARCH("R36",G293)),0)+IFERROR(--ISNUMBER(SEARCH("R38",G293)),0)+IFERROR(--ISNUMBER(SEARCH("R39",G293)),0)+IFERROR(--ISNUMBER(SEARCH("R43",G293)),0)+IFERROR(--ISNUMBER(SEARCH("R44",G293)),0)+IFERROR(--ISNUMBER(SEARCH("R45",G293)),0)+IFERROR(--ISNUMBER(SEARCH("R47",G293)),0)+IFERROR(--ISNUMBER(SEARCH("R48",G293)),0)+IFERROR(--ISNUMBER(SEARCH("R50",G293)),0)+IFERROR(--ISNUMBER(SEARCH("R51",G293)),0)+IFERROR(--ISNUMBER(SEARCH("R56",G293)),0)+IFERROR(--ISNUMBER(SEARCH("R58",G293)),0)+IFERROR(--ISNUMBER(SEARCH("R59",G293)),0)+IFERROR(--ISNUMBER(SEARCH("R60",G293)),0)+IFERROR(--ISNUMBER(SEARCH("R62",G293)),0)+IFERROR(--ISNUMBER(SEARCH("R63",G293)),0)+IFERROR(--ISNUMBER(SEARCH("R64",G293)),0)+IFERROR(--ISNUMBER(SEARCH("R66",G293)),0)+IFERROR(--ISNUMBER(SEARCH("R67",G293)),0)+IFERROR(--ISNUMBER(SEARCH("R72",G293)),0)+IFERROR(--ISNUMBER(SEARCH("R74",G293)),0)+IFERROR(--ISNUMBER(SEARCH("R75",G293)),0)+IFERROR(--ISNUMBER(SEARCH("R76",G293)),0)+IFERROR(--ISNUMBER(SEARCH("R77",G293)),0)+IFERROR(--ISNUMBER(SEARCH("R79",G293)),0)+IFERROR(--ISNUMBER(SEARCH("R80",G293)),0)+IFERROR(--ISNUMBER(SEARCH("R81",G293)),0)+IFERROR(--ISNUMBER(SEARCH("R83",G293)),0)+IFERROR(--ISNUMBER(SEARCH("R84",G293)),0)+IFERROR(--ISNUMBER(SEARCH("R89",G293)),0)+IFERROR(--ISNUMBER(SEARCH("R94",G293)),0)+IFERROR(--ISNUMBER(SEARCH("R95",G293)),0)+IFERROR(--ISNUMBER(SEARCH("R96",G293)),0)+IFERROR(--ISNUMBER(SEARCH("R98",G293)),0)+IFERROR(--ISNUMBER(SEARCH("R99",G293)),0)+IFERROR(--ISNUMBER(SEARCH("R100",G293)),0)+IFERROR(--ISNUMBER(SEARCH("R104",G293)),0)+IFERROR(--ISNUMBER(SEARCH("R105",G293)),0)+IFERROR(--ISNUMBER(SEARCH("R107",G293)),0)+IFERROR(--ISNUMBER(SEARCH("R108",G293)),0)+IFERROR(--ISNUMBER(SEARCH("R109",G293)),0)+IFERROR(--ISNUMBER(SEARCH("R110",G293)),0)+IFERROR(--ISNUMBER(SEARCH("R112",G293)),0)+IFERROR(--ISNUMBER(SEARCH("R113",G293)),0)+IFERROR(--ISNUMBER(SEARCH("R114",G293)),0)+IFERROR(--ISNUMBER(SEARCH("R118",G293)),0)+IFERROR(--ISNUMBER(SEARCH("R119",G293)),0)+IFERROR(--ISNUMBER(SEARCH("R120",G293)),0)+IFERROR(--ISNUMBER(SEARCH("R122",G293)),0)+IFERROR(--ISNUMBER(SEARCH("R123",G293)),0)+IFERROR(--ISNUMBER(SEARCH("R124",G293)),0)+IFERROR(--ISNUMBER(SEARCH("R128",G293)),0)+IFERROR(--ISNUMBER(SEARCH("R130",G293)),0)+IFERROR(--ISNUMBER(SEARCH("R131",G293)),0)+IFERROR(--ISNUMBER(SEARCH("R132",G293)),0)+IFERROR(--ISNUMBER(SEARCH("R135",G293)),0)+IFERROR(--ISNUMBER(SEARCH("R138",G293)),0)+IFERROR(--ISNUMBER(SEARCH("R141",G293)),0))</f>
        <v/>
      </c>
      <c r="U293" s="58">
        <f>IF(A293="","",IFERROR(--ISNUMBER(SEARCH("R28",G293))*28,0)+IFERROR(--ISNUMBER(SEARCH("R29",G293))*29,0)+IFERROR(--ISNUMBER(SEARCH("R30",G293))*30,0)+IFERROR(--ISNUMBER(SEARCH("R31",G293))*31,0)+IFERROR(--ISNUMBER(SEARCH("R32",G293))*32,0)+IFERROR(--ISNUMBER(SEARCH("R33",G293))*33,0)+IFERROR(--ISNUMBER(SEARCH("R34",G293))*34,0)+IFERROR(--ISNUMBER(SEARCH("R35",G293))*35,0)+IFERROR(--ISNUMBER(SEARCH("R36",G293))*36,0)+IFERROR(--ISNUMBER(SEARCH("R37",G293))*37,0)+IFERROR(--ISNUMBER(SEARCH("R38",G293))*38,0)+IFERROR(--ISNUMBER(SEARCH("R39",G293))*39,0)+IFERROR(--ISNUMBER(SEARCH("R40",G293))*40,0)+IFERROR(--ISNUMBER(SEARCH("R41",G293))*41,0)+IFERROR(--ISNUMBER(SEARCH("R42",G293))*42,0)+IFERROR(--ISNUMBER(SEARCH("R43",G293))*43,0)+IFERROR(--ISNUMBER(SEARCH("R44",G293))*44,0)+IFERROR(--ISNUMBER(SEARCH("R45",G293))*45,0)+IFERROR(--ISNUMBER(SEARCH("R46",G293))*46,0)+IFERROR(--ISNUMBER(SEARCH("R47",G293))*47,0)+IFERROR(--ISNUMBER(SEARCH("R48",G293))*48,0)+IFERROR(--ISNUMBER(SEARCH("R49",G293))*49,0)+IFERROR(--ISNUMBER(SEARCH("R50",G293))*50,0)+IFERROR(--ISNUMBER(SEARCH("R51",G293))*51,0)+IFERROR(--ISNUMBER(SEARCH("R52",G293))*52,0)+IFERROR(--ISNUMBER(SEARCH("R53",G293))*53,0)+IFERROR(--ISNUMBER(SEARCH("R54",G293))*54,0)+IFERROR(--ISNUMBER(SEARCH("R55",G293))*55,0)+IFERROR(--ISNUMBER(SEARCH("R56",G293))*56,0)+IFERROR(--ISNUMBER(SEARCH("R57",G293))*57,0)+IFERROR(--ISNUMBER(SEARCH("R58",G293))*58,0)+IFERROR(--ISNUMBER(SEARCH("R59",G293))*59,0)+IFERROR(--ISNUMBER(SEARCH("R60",G293))*60,0)+IFERROR(--ISNUMBER(SEARCH("R61",G293))*61,0)+IFERROR(--ISNUMBER(SEARCH("R62",G293))*62,0)+IFERROR(--ISNUMBER(SEARCH("R63",G293))*63,0)+IFERROR(--ISNUMBER(SEARCH("R64",G293))*64,0)+IFERROR(--ISNUMBER(SEARCH("R65",G293))*65,0)+IFERROR(--ISNUMBER(SEARCH("R66",G293))*66,0)+IFERROR(--ISNUMBER(SEARCH("R67",G293))*67,0)+IFERROR(--ISNUMBER(SEARCH("R68",G293))*68,0)+IFERROR(--ISNUMBER(SEARCH("R69",G293))*69,0)+IFERROR(--ISNUMBER(SEARCH("R70",G293))*70,0)+IFERROR(--ISNUMBER(SEARCH("R71",G293))*71,0)+IFERROR(--ISNUMBER(SEARCH("R72",G293))*72,0)+IFERROR(--ISNUMBER(SEARCH("R73",G293))*73,0)+IFERROR(--ISNUMBER(SEARCH("R74",G293))*74,0)+IFERROR(--ISNUMBER(SEARCH("R75",G293))*75,0)+IFERROR(--ISNUMBER(SEARCH("R76",G293))*76,0)+IFERROR(--ISNUMBER(SEARCH("R77",G293))*77,0)+IFERROR(--ISNUMBER(SEARCH("R78",G293))*78,0)+IFERROR(--ISNUMBER(SEARCH("R79",G293))*79,0)+IFERROR(--ISNUMBER(SEARCH("R80",G293))*80,0)+IFERROR(--ISNUMBER(SEARCH("R81",G293))*81,0)+IFERROR(--ISNUMBER(SEARCH("R82",G293))*82,0)+IFERROR(--ISNUMBER(SEARCH("R83",G293))*83,0)+IFERROR(--ISNUMBER(SEARCH("R84",G293))*84,0)+IFERROR(--ISNUMBER(SEARCH("R85",G293))*85,0)+IFERROR(--ISNUMBER(SEARCH("R86",G293))*86,0)+IFERROR(--ISNUMBER(SEARCH("R87",G293))*87,0)+IFERROR(--ISNUMBER(SEARCH("R88",G293))*88,0)+IFERROR(--ISNUMBER(SEARCH("R89",G293))*89,0)+IFERROR(--ISNUMBER(SEARCH("R90",G293))*90,0)+IFERROR(--ISNUMBER(SEARCH("R91",G293))*91,0)+IFERROR(--ISNUMBER(SEARCH("R92",G293))*92,0)+IFERROR(--ISNUMBER(SEARCH("R93",G293))*93,0)+IFERROR(--ISNUMBER(SEARCH("R94",G293))*94,0)+IFERROR(--ISNUMBER(SEARCH("R95",G293))*95,0)+IFERROR(--ISNUMBER(SEARCH("R96",G293))*96,0)+IFERROR(--ISNUMBER(SEARCH("R97",G293))*97,0)+IFERROR(--ISNUMBER(SEARCH("R98",G293))*98,0)+IFERROR(--ISNUMBER(SEARCH("R99",G293))*99,0)+IFERROR(--ISNUMBER(SEARCH("R100",G293))*100,0)+IFERROR(--ISNUMBER(SEARCH("R101",G293))*101,0)+IFERROR(--ISNUMBER(SEARCH("R102",G293))*102,0)+IFERROR(--ISNUMBER(SEARCH("R103",G293))*103,0)+IFERROR(--ISNUMBER(SEARCH("R104",G293))*104,0)+IFERROR(--ISNUMBER(SEARCH("R105",G293))*105,0)+IFERROR(--ISNUMBER(SEARCH("R106",G293))*106,0)+IFERROR(--ISNUMBER(SEARCH("R107",G293))*107,0)+IFERROR(--ISNUMBER(SEARCH("R108",G293))*108,0)+IFERROR(--ISNUMBER(SEARCH("R109",G293))*109,0)+IFERROR(--ISNUMBER(SEARCH("R110",G293))*110,0)+IFERROR(--ISNUMBER(SEARCH("R111",G293))*111,0)+IFERROR(--ISNUMBER(SEARCH("R112",G293))*112,0)+IFERROR(--ISNUMBER(SEARCH("R113",G293))*113,0)+IFERROR(--ISNUMBER(SEARCH("R114",G293))*114,0)+IFERROR(--ISNUMBER(SEARCH("R115",G293))*115,0)+IFERROR(--ISNUMBER(SEARCH("R116",G293))*116,0)+IFERROR(--ISNUMBER(SEARCH("R117",G293))*117,0)+IFERROR(--ISNUMBER(SEARCH("R118",G293))*118,0)+IFERROR(--ISNUMBER(SEARCH("R119",G293))*119,0)+IFERROR(--ISNUMBER(SEARCH("R120",G293))*120,0)+IFERROR(--ISNUMBER(SEARCH("R121",G293))*121,0)+IFERROR(--ISNUMBER(SEARCH("R122",G293))*122,0)+IFERROR(--ISNUMBER(SEARCH("R123",G293))*123,0)+IFERROR(--ISNUMBER(SEARCH("R124",G293))*124,0)+IFERROR(--ISNUMBER(SEARCH("R125",G293))*125,0)+IFERROR(--ISNUMBER(SEARCH("R126",G293))*126,0)+IFERROR(--ISNUMBER(SEARCH("R127",G293))*127,0)+IFERROR(--ISNUMBER(SEARCH("R128",G293))*128,0)+IFERROR(--ISNUMBER(SEARCH("R129",G293))*129,0)+IFERROR(--ISNUMBER(SEARCH("R130",G293))*130,0)+IFERROR(--ISNUMBER(SEARCH("R131",G293))*131,0)+IFERROR(--ISNUMBER(SEARCH("R132",G293))*132,0)+IFERROR(--ISNUMBER(SEARCH("R133",G293))*133,0)+IFERROR(--ISNUMBER(SEARCH("R134",G293))*134,0)+IFERROR(--ISNUMBER(SEARCH("R135",G293))*135,0)+IFERROR(--ISNUMBER(SEARCH("R136",G293))*136,0)+IFERROR(--ISNUMBER(SEARCH("R137",G293))*137,0)+IFERROR(--ISNUMBER(SEARCH("R138",G293))*138,0)+IFERROR(--ISNUMBER(SEARCH("R139",G293))*139,0)+IFERROR(--ISNUMBER(SEARCH("R140",G293))*140,0)+IFERROR(--ISNUMBER(SEARCH("R141",G293))*141,0))</f>
        <v/>
      </c>
      <c r="V293" s="59">
        <f>IF(A293="","",IF(K293&lt;&gt;"",K293,J293))</f>
        <v/>
      </c>
      <c r="W293" s="59">
        <f>IF(A293="","",IF(AND(V293=29,O293&lt;&gt;"",COUNTIFS($V$6:$V$505,29,$F$6:$F$505,F293,$C$6:$C$505,C293,$O$6:$O$505,"&lt;&gt;")&gt;1),IF(COUNTIFS($V$6:V293,29,$F$6:F293,F293,$C$6:C293,C293,$O$6:O293,"&lt;&gt;")=1,"Esta es la fila que se debe CONSERVAR (aparición 1 de "&amp;COUNTIFS($V$6:$V$505,29,$F$6:$F$505,F293,$C$6:$C$505,C293,$O$6:$O$505,"&lt;&gt;")&amp;" con el mismo tercero y valor, casilla 29). Si hay más filas iguales, bórreles el valor a ELLAS, no a esta.","DUPLICADO — ya existe otra fila con el mismo tercero y valor para casilla 29 (aparición "&amp;COUNTIFS($V$6:V293,29,$F$6:F293,F293,$C$6:C293,C293,$O$6:O293,"&lt;&gt;")&amp;" de "&amp;COUNTIFS($V$6:$V$505,29,$F$6:$F$505,F293,$C$6:$C$505,C293,$O$6:$O$505,"&lt;&gt;")&amp;"). Para resolverlo: seleccione la celda O"&amp;ROW()&amp;" (columna Valor a declarar de ESTA fila) y presione Supr."),""))</f>
        <v/>
      </c>
      <c r="X293" s="463">
        <f>IF(A293="","",F293)</f>
        <v/>
      </c>
      <c r="Y293" s="463">
        <f>IF(A293="","",SUMIF(Entrada_Manual!$I$88:$I$187,A293,Entrada_Manual!$F$88:$F$187))</f>
        <v/>
      </c>
      <c r="Z293" s="463">
        <f>IF(A293="","",X293-Y293)</f>
        <v/>
      </c>
      <c r="AA293">
        <f>IF(A293="","",SUMPRODUCT((Entrada_Manual!$I$88:$I$187=A293)*1))</f>
        <v/>
      </c>
      <c r="AB293">
        <f>IF(A293="","",IF(S293&lt;=1,"",IF(AA293=0,"PENDIENTE — SIN ASIGNAR",IF(Z293=0,"RESUELTO","PARCIAL — DIFERENCIA "&amp;TEXT(Z293,"#,##0")))))</f>
        <v/>
      </c>
    </row>
    <row r="294" ht="14.25" customHeight="1" s="235">
      <c r="A294" s="47">
        <f>IF(Exogena_RAW!E303&lt;&gt;"",ROW()-5,"")</f>
        <v/>
      </c>
      <c r="B294" s="48">
        <f>IF(A294="","",303)</f>
        <v/>
      </c>
      <c r="C294" s="48">
        <f>IF(A294="","",IFERROR(Exogena_RAW!A303,""))</f>
        <v/>
      </c>
      <c r="D294" s="48">
        <f>IF(A294="","",IFERROR(Exogena_RAW!B303,""))</f>
        <v/>
      </c>
      <c r="E294" s="48">
        <f>IF(A294="","",Exogena_RAW!E303)</f>
        <v/>
      </c>
      <c r="F294" s="461">
        <f>IF(A294="","",Exogena_RAW!F303)</f>
        <v/>
      </c>
      <c r="G294" s="48">
        <f>IF(A294="","",IFERROR(Exogena_RAW!G303,""))</f>
        <v/>
      </c>
      <c r="H294" s="48">
        <f>IF(A294="","",IFERROR(Exogena_RAW!H303,""))</f>
        <v/>
      </c>
      <c r="I294" s="48">
        <f>IF(A294="","",IFERROR(IF(S294&gt;1,"VARIAS CASILLAS",IF(S294=1,IF(T294=1,"PROPUESTA DE CASILLA","REVISIÓN: CASILLA NO DIRECTA"),IF(OR(ISNUMBER(SEARCH("TOPE",UPPER(E294))),ISNUMBER(SEARCH("TOPE",UPPER(G294)))),"SOLO CONTROL",IF(ISNUMBER(SEARCH("RETEN",UPPER(E294))),"RETENCIÓN","REVISAR")))),"REVISAR"))</f>
        <v/>
      </c>
      <c r="J294" s="48">
        <f>IF(A294="","",IF(ISNUMBER(SEARCH("ingreso laboral promedio de los últimos seis meses",E294)),"",IFERROR(IF(AND(S294=1,T294=1),U294,""),"")))</f>
        <v/>
      </c>
      <c r="K294" s="216" t="n"/>
      <c r="L294" s="48">
        <f>IF(A294="","",IFERROR(IF(K294&lt;&gt;"","Casilla elegida por usuario",IF(S294&gt;1,"Varias casillas — elegir en K",IF(J294&lt;&gt;"","Sugerencia directa",IF(S294=1,"No trasladar directo — revisar",IF(OR(ISNUMBER(SEARCH("TOPE",UPPER(E294))),ISNUMBER(SEARCH("TOPE",UPPER(G294)))),"Solo control","Revisar manualmente"))))),"Revisar manualmente"))</f>
        <v/>
      </c>
      <c r="M294" s="461">
        <f>IF(A294="","",IF(IF(K294&lt;&gt;"",K294,J294)="",0,IF(COUNTIFS(Reglas!$I$5:$I$118,IF(K294&lt;&gt;"",K294,J294),Reglas!$J$5:$J$118,"Sí")=1,F294,0)))</f>
        <v/>
      </c>
      <c r="N294" s="56" t="n"/>
      <c r="O294" s="462">
        <f>IF(A294="","",IF(M294=0,"",M294))</f>
        <v/>
      </c>
      <c r="P294" s="461">
        <f>IF(A294="","",IF(O294="",0,IF(ISNUMBER(O294),O294,0)))</f>
        <v/>
      </c>
      <c r="Q294" s="48">
        <f>IF(A294="","",IF(Exogena_RAW!$C$4="","BLOQUEADO: FALTA AÑO",IF(Exogena_RAW!$K$10&lt;&gt;Reglas!$B$5,"BLOQUEADO: AÑO",IF(IF(K294&lt;&gt;"",K294,J294)="",IF(S294&gt;1,"REQUIERE ASIGNACIÓN MANUAL (VARIAS CASILLAS)","INFORMATIVO (sin casilla — no se declara)"),IF(COUNTIFS(Reglas!$I$5:$I$118,IF(K294&lt;&gt;"",K294,J294),Reglas!$J$5:$J$118,"Sí")=0,"BLOQUEADO: CASILLA NO DIRECTA",IF(O294="","EXCLUIDO (valor borrado por el usuario)",IF(_xlfn.ISFORMULA(O294),IF(W294&lt;&gt;"","BORRADOR — VALOR SUGERIDO DIAN ⚠ VER ALERTA","BORRADOR — VALOR SUGERIDO DIAN"),IF(W294&lt;&gt;"","ACEPTADO ⚠ VER ALERTA","ACEPTADO"))))))))</f>
        <v/>
      </c>
      <c r="R294" s="218" t="n"/>
      <c r="S294" s="58">
        <f>IF(A294="","",IFERROR(--ISNUMBER(SEARCH("R28",G294)),0)+IFERROR(--ISNUMBER(SEARCH("R29",G294)),0)+IFERROR(--ISNUMBER(SEARCH("R30",G294)),0)+IFERROR(--ISNUMBER(SEARCH("R31",G294)),0)+IFERROR(--ISNUMBER(SEARCH("R32",G294)),0)+IFERROR(--ISNUMBER(SEARCH("R33",G294)),0)+IFERROR(--ISNUMBER(SEARCH("R34",G294)),0)+IFERROR(--ISNUMBER(SEARCH("R35",G294)),0)+IFERROR(--ISNUMBER(SEARCH("R36",G294)),0)+IFERROR(--ISNUMBER(SEARCH("R37",G294)),0)+IFERROR(--ISNUMBER(SEARCH("R38",G294)),0)+IFERROR(--ISNUMBER(SEARCH("R39",G294)),0)+IFERROR(--ISNUMBER(SEARCH("R40",G294)),0)+IFERROR(--ISNUMBER(SEARCH("R41",G294)),0)+IFERROR(--ISNUMBER(SEARCH("R42",G294)),0)+IFERROR(--ISNUMBER(SEARCH("R43",G294)),0)+IFERROR(--ISNUMBER(SEARCH("R44",G294)),0)+IFERROR(--ISNUMBER(SEARCH("R45",G294)),0)+IFERROR(--ISNUMBER(SEARCH("R46",G294)),0)+IFERROR(--ISNUMBER(SEARCH("R47",G294)),0)+IFERROR(--ISNUMBER(SEARCH("R48",G294)),0)+IFERROR(--ISNUMBER(SEARCH("R49",G294)),0)+IFERROR(--ISNUMBER(SEARCH("R50",G294)),0)+IFERROR(--ISNUMBER(SEARCH("R51",G294)),0)+IFERROR(--ISNUMBER(SEARCH("R52",G294)),0)+IFERROR(--ISNUMBER(SEARCH("R53",G294)),0)+IFERROR(--ISNUMBER(SEARCH("R54",G294)),0)+IFERROR(--ISNUMBER(SEARCH("R55",G294)),0)+IFERROR(--ISNUMBER(SEARCH("R56",G294)),0)+IFERROR(--ISNUMBER(SEARCH("R57",G294)),0)+IFERROR(--ISNUMBER(SEARCH("R58",G294)),0)+IFERROR(--ISNUMBER(SEARCH("R59",G294)),0)+IFERROR(--ISNUMBER(SEARCH("R60",G294)),0)+IFERROR(--ISNUMBER(SEARCH("R61",G294)),0)+IFERROR(--ISNUMBER(SEARCH("R62",G294)),0)+IFERROR(--ISNUMBER(SEARCH("R63",G294)),0)+IFERROR(--ISNUMBER(SEARCH("R64",G294)),0)+IFERROR(--ISNUMBER(SEARCH("R65",G294)),0)+IFERROR(--ISNUMBER(SEARCH("R66",G294)),0)+IFERROR(--ISNUMBER(SEARCH("R67",G294)),0)+IFERROR(--ISNUMBER(SEARCH("R68",G294)),0)+IFERROR(--ISNUMBER(SEARCH("R69",G294)),0)+IFERROR(--ISNUMBER(SEARCH("R70",G294)),0)+IFERROR(--ISNUMBER(SEARCH("R71",G294)),0)+IFERROR(--ISNUMBER(SEARCH("R72",G294)),0)+IFERROR(--ISNUMBER(SEARCH("R73",G294)),0)+IFERROR(--ISNUMBER(SEARCH("R74",G294)),0)+IFERROR(--ISNUMBER(SEARCH("R75",G294)),0)+IFERROR(--ISNUMBER(SEARCH("R76",G294)),0)+IFERROR(--ISNUMBER(SEARCH("R77",G294)),0)+IFERROR(--ISNUMBER(SEARCH("R78",G294)),0)+IFERROR(--ISNUMBER(SEARCH("R79",G294)),0)+IFERROR(--ISNUMBER(SEARCH("R80",G294)),0)+IFERROR(--ISNUMBER(SEARCH("R81",G294)),0)+IFERROR(--ISNUMBER(SEARCH("R82",G294)),0)+IFERROR(--ISNUMBER(SEARCH("R83",G294)),0)+IFERROR(--ISNUMBER(SEARCH("R84",G294)),0)+IFERROR(--ISNUMBER(SEARCH("R85",G294)),0)+IFERROR(--ISNUMBER(SEARCH("R86",G294)),0)+IFERROR(--ISNUMBER(SEARCH("R87",G294)),0)+IFERROR(--ISNUMBER(SEARCH("R88",G294)),0)+IFERROR(--ISNUMBER(SEARCH("R89",G294)),0)+IFERROR(--ISNUMBER(SEARCH("R90",G294)),0)+IFERROR(--ISNUMBER(SEARCH("R91",G294)),0)+IFERROR(--ISNUMBER(SEARCH("R92",G294)),0)+IFERROR(--ISNUMBER(SEARCH("R93",G294)),0)+IFERROR(--ISNUMBER(SEARCH("R94",G294)),0)+IFERROR(--ISNUMBER(SEARCH("R95",G294)),0)+IFERROR(--ISNUMBER(SEARCH("R96",G294)),0)+IFERROR(--ISNUMBER(SEARCH("R97",G294)),0)+IFERROR(--ISNUMBER(SEARCH("R98",G294)),0)+IFERROR(--ISNUMBER(SEARCH("R99",G294)),0)+IFERROR(--ISNUMBER(SEARCH("R100",G294)),0)+IFERROR(--ISNUMBER(SEARCH("R101",G294)),0)+IFERROR(--ISNUMBER(SEARCH("R102",G294)),0)+IFERROR(--ISNUMBER(SEARCH("R103",G294)),0)+IFERROR(--ISNUMBER(SEARCH("R104",G294)),0)+IFERROR(--ISNUMBER(SEARCH("R105",G294)),0)+IFERROR(--ISNUMBER(SEARCH("R106",G294)),0)+IFERROR(--ISNUMBER(SEARCH("R107",G294)),0)+IFERROR(--ISNUMBER(SEARCH("R108",G294)),0)+IFERROR(--ISNUMBER(SEARCH("R109",G294)),0)+IFERROR(--ISNUMBER(SEARCH("R110",G294)),0)+IFERROR(--ISNUMBER(SEARCH("R111",G294)),0)+IFERROR(--ISNUMBER(SEARCH("R112",G294)),0)+IFERROR(--ISNUMBER(SEARCH("R113",G294)),0)+IFERROR(--ISNUMBER(SEARCH("R114",G294)),0)+IFERROR(--ISNUMBER(SEARCH("R115",G294)),0)+IFERROR(--ISNUMBER(SEARCH("R116",G294)),0)+IFERROR(--ISNUMBER(SEARCH("R117",G294)),0)+IFERROR(--ISNUMBER(SEARCH("R118",G294)),0)+IFERROR(--ISNUMBER(SEARCH("R119",G294)),0)+IFERROR(--ISNUMBER(SEARCH("R120",G294)),0)+IFERROR(--ISNUMBER(SEARCH("R121",G294)),0)+IFERROR(--ISNUMBER(SEARCH("R122",G294)),0)+IFERROR(--ISNUMBER(SEARCH("R123",G294)),0)+IFERROR(--ISNUMBER(SEARCH("R124",G294)),0)+IFERROR(--ISNUMBER(SEARCH("R125",G294)),0)+IFERROR(--ISNUMBER(SEARCH("R126",G294)),0)+IFERROR(--ISNUMBER(SEARCH("R127",G294)),0)+IFERROR(--ISNUMBER(SEARCH("R128",G294)),0)+IFERROR(--ISNUMBER(SEARCH("R129",G294)),0)+IFERROR(--ISNUMBER(SEARCH("R130",G294)),0)+IFERROR(--ISNUMBER(SEARCH("R131",G294)),0)+IFERROR(--ISNUMBER(SEARCH("R132",G294)),0)+IFERROR(--ISNUMBER(SEARCH("R133",G294)),0)+IFERROR(--ISNUMBER(SEARCH("R134",G294)),0)+IFERROR(--ISNUMBER(SEARCH("R135",G294)),0)+IFERROR(--ISNUMBER(SEARCH("R136",G294)),0)+IFERROR(--ISNUMBER(SEARCH("R137",G294)),0)+IFERROR(--ISNUMBER(SEARCH("R138",G294)),0)+IFERROR(--ISNUMBER(SEARCH("R139",G294)),0)+IFERROR(--ISNUMBER(SEARCH("R140",G294)),0)+IFERROR(--ISNUMBER(SEARCH("R141",G294)),0))</f>
        <v/>
      </c>
      <c r="T294" s="58">
        <f>IF(A294="","",IFERROR(--ISNUMBER(SEARCH("R28",G294)),0)+IFERROR(--ISNUMBER(SEARCH("R29",G294)),0)+IFERROR(--ISNUMBER(SEARCH("R30",G294)),0)+IFERROR(--ISNUMBER(SEARCH("R32",G294)),0)+IFERROR(--ISNUMBER(SEARCH("R33",G294)),0)+IFERROR(--ISNUMBER(SEARCH("R35",G294)),0)+IFERROR(--ISNUMBER(SEARCH("R36",G294)),0)+IFERROR(--ISNUMBER(SEARCH("R38",G294)),0)+IFERROR(--ISNUMBER(SEARCH("R39",G294)),0)+IFERROR(--ISNUMBER(SEARCH("R43",G294)),0)+IFERROR(--ISNUMBER(SEARCH("R44",G294)),0)+IFERROR(--ISNUMBER(SEARCH("R45",G294)),0)+IFERROR(--ISNUMBER(SEARCH("R47",G294)),0)+IFERROR(--ISNUMBER(SEARCH("R48",G294)),0)+IFERROR(--ISNUMBER(SEARCH("R50",G294)),0)+IFERROR(--ISNUMBER(SEARCH("R51",G294)),0)+IFERROR(--ISNUMBER(SEARCH("R56",G294)),0)+IFERROR(--ISNUMBER(SEARCH("R58",G294)),0)+IFERROR(--ISNUMBER(SEARCH("R59",G294)),0)+IFERROR(--ISNUMBER(SEARCH("R60",G294)),0)+IFERROR(--ISNUMBER(SEARCH("R62",G294)),0)+IFERROR(--ISNUMBER(SEARCH("R63",G294)),0)+IFERROR(--ISNUMBER(SEARCH("R64",G294)),0)+IFERROR(--ISNUMBER(SEARCH("R66",G294)),0)+IFERROR(--ISNUMBER(SEARCH("R67",G294)),0)+IFERROR(--ISNUMBER(SEARCH("R72",G294)),0)+IFERROR(--ISNUMBER(SEARCH("R74",G294)),0)+IFERROR(--ISNUMBER(SEARCH("R75",G294)),0)+IFERROR(--ISNUMBER(SEARCH("R76",G294)),0)+IFERROR(--ISNUMBER(SEARCH("R77",G294)),0)+IFERROR(--ISNUMBER(SEARCH("R79",G294)),0)+IFERROR(--ISNUMBER(SEARCH("R80",G294)),0)+IFERROR(--ISNUMBER(SEARCH("R81",G294)),0)+IFERROR(--ISNUMBER(SEARCH("R83",G294)),0)+IFERROR(--ISNUMBER(SEARCH("R84",G294)),0)+IFERROR(--ISNUMBER(SEARCH("R89",G294)),0)+IFERROR(--ISNUMBER(SEARCH("R94",G294)),0)+IFERROR(--ISNUMBER(SEARCH("R95",G294)),0)+IFERROR(--ISNUMBER(SEARCH("R96",G294)),0)+IFERROR(--ISNUMBER(SEARCH("R98",G294)),0)+IFERROR(--ISNUMBER(SEARCH("R99",G294)),0)+IFERROR(--ISNUMBER(SEARCH("R100",G294)),0)+IFERROR(--ISNUMBER(SEARCH("R104",G294)),0)+IFERROR(--ISNUMBER(SEARCH("R105",G294)),0)+IFERROR(--ISNUMBER(SEARCH("R107",G294)),0)+IFERROR(--ISNUMBER(SEARCH("R108",G294)),0)+IFERROR(--ISNUMBER(SEARCH("R109",G294)),0)+IFERROR(--ISNUMBER(SEARCH("R110",G294)),0)+IFERROR(--ISNUMBER(SEARCH("R112",G294)),0)+IFERROR(--ISNUMBER(SEARCH("R113",G294)),0)+IFERROR(--ISNUMBER(SEARCH("R114",G294)),0)+IFERROR(--ISNUMBER(SEARCH("R118",G294)),0)+IFERROR(--ISNUMBER(SEARCH("R119",G294)),0)+IFERROR(--ISNUMBER(SEARCH("R120",G294)),0)+IFERROR(--ISNUMBER(SEARCH("R122",G294)),0)+IFERROR(--ISNUMBER(SEARCH("R123",G294)),0)+IFERROR(--ISNUMBER(SEARCH("R124",G294)),0)+IFERROR(--ISNUMBER(SEARCH("R128",G294)),0)+IFERROR(--ISNUMBER(SEARCH("R130",G294)),0)+IFERROR(--ISNUMBER(SEARCH("R131",G294)),0)+IFERROR(--ISNUMBER(SEARCH("R132",G294)),0)+IFERROR(--ISNUMBER(SEARCH("R135",G294)),0)+IFERROR(--ISNUMBER(SEARCH("R138",G294)),0)+IFERROR(--ISNUMBER(SEARCH("R141",G294)),0))</f>
        <v/>
      </c>
      <c r="U294" s="58">
        <f>IF(A294="","",IFERROR(--ISNUMBER(SEARCH("R28",G294))*28,0)+IFERROR(--ISNUMBER(SEARCH("R29",G294))*29,0)+IFERROR(--ISNUMBER(SEARCH("R30",G294))*30,0)+IFERROR(--ISNUMBER(SEARCH("R31",G294))*31,0)+IFERROR(--ISNUMBER(SEARCH("R32",G294))*32,0)+IFERROR(--ISNUMBER(SEARCH("R33",G294))*33,0)+IFERROR(--ISNUMBER(SEARCH("R34",G294))*34,0)+IFERROR(--ISNUMBER(SEARCH("R35",G294))*35,0)+IFERROR(--ISNUMBER(SEARCH("R36",G294))*36,0)+IFERROR(--ISNUMBER(SEARCH("R37",G294))*37,0)+IFERROR(--ISNUMBER(SEARCH("R38",G294))*38,0)+IFERROR(--ISNUMBER(SEARCH("R39",G294))*39,0)+IFERROR(--ISNUMBER(SEARCH("R40",G294))*40,0)+IFERROR(--ISNUMBER(SEARCH("R41",G294))*41,0)+IFERROR(--ISNUMBER(SEARCH("R42",G294))*42,0)+IFERROR(--ISNUMBER(SEARCH("R43",G294))*43,0)+IFERROR(--ISNUMBER(SEARCH("R44",G294))*44,0)+IFERROR(--ISNUMBER(SEARCH("R45",G294))*45,0)+IFERROR(--ISNUMBER(SEARCH("R46",G294))*46,0)+IFERROR(--ISNUMBER(SEARCH("R47",G294))*47,0)+IFERROR(--ISNUMBER(SEARCH("R48",G294))*48,0)+IFERROR(--ISNUMBER(SEARCH("R49",G294))*49,0)+IFERROR(--ISNUMBER(SEARCH("R50",G294))*50,0)+IFERROR(--ISNUMBER(SEARCH("R51",G294))*51,0)+IFERROR(--ISNUMBER(SEARCH("R52",G294))*52,0)+IFERROR(--ISNUMBER(SEARCH("R53",G294))*53,0)+IFERROR(--ISNUMBER(SEARCH("R54",G294))*54,0)+IFERROR(--ISNUMBER(SEARCH("R55",G294))*55,0)+IFERROR(--ISNUMBER(SEARCH("R56",G294))*56,0)+IFERROR(--ISNUMBER(SEARCH("R57",G294))*57,0)+IFERROR(--ISNUMBER(SEARCH("R58",G294))*58,0)+IFERROR(--ISNUMBER(SEARCH("R59",G294))*59,0)+IFERROR(--ISNUMBER(SEARCH("R60",G294))*60,0)+IFERROR(--ISNUMBER(SEARCH("R61",G294))*61,0)+IFERROR(--ISNUMBER(SEARCH("R62",G294))*62,0)+IFERROR(--ISNUMBER(SEARCH("R63",G294))*63,0)+IFERROR(--ISNUMBER(SEARCH("R64",G294))*64,0)+IFERROR(--ISNUMBER(SEARCH("R65",G294))*65,0)+IFERROR(--ISNUMBER(SEARCH("R66",G294))*66,0)+IFERROR(--ISNUMBER(SEARCH("R67",G294))*67,0)+IFERROR(--ISNUMBER(SEARCH("R68",G294))*68,0)+IFERROR(--ISNUMBER(SEARCH("R69",G294))*69,0)+IFERROR(--ISNUMBER(SEARCH("R70",G294))*70,0)+IFERROR(--ISNUMBER(SEARCH("R71",G294))*71,0)+IFERROR(--ISNUMBER(SEARCH("R72",G294))*72,0)+IFERROR(--ISNUMBER(SEARCH("R73",G294))*73,0)+IFERROR(--ISNUMBER(SEARCH("R74",G294))*74,0)+IFERROR(--ISNUMBER(SEARCH("R75",G294))*75,0)+IFERROR(--ISNUMBER(SEARCH("R76",G294))*76,0)+IFERROR(--ISNUMBER(SEARCH("R77",G294))*77,0)+IFERROR(--ISNUMBER(SEARCH("R78",G294))*78,0)+IFERROR(--ISNUMBER(SEARCH("R79",G294))*79,0)+IFERROR(--ISNUMBER(SEARCH("R80",G294))*80,0)+IFERROR(--ISNUMBER(SEARCH("R81",G294))*81,0)+IFERROR(--ISNUMBER(SEARCH("R82",G294))*82,0)+IFERROR(--ISNUMBER(SEARCH("R83",G294))*83,0)+IFERROR(--ISNUMBER(SEARCH("R84",G294))*84,0)+IFERROR(--ISNUMBER(SEARCH("R85",G294))*85,0)+IFERROR(--ISNUMBER(SEARCH("R86",G294))*86,0)+IFERROR(--ISNUMBER(SEARCH("R87",G294))*87,0)+IFERROR(--ISNUMBER(SEARCH("R88",G294))*88,0)+IFERROR(--ISNUMBER(SEARCH("R89",G294))*89,0)+IFERROR(--ISNUMBER(SEARCH("R90",G294))*90,0)+IFERROR(--ISNUMBER(SEARCH("R91",G294))*91,0)+IFERROR(--ISNUMBER(SEARCH("R92",G294))*92,0)+IFERROR(--ISNUMBER(SEARCH("R93",G294))*93,0)+IFERROR(--ISNUMBER(SEARCH("R94",G294))*94,0)+IFERROR(--ISNUMBER(SEARCH("R95",G294))*95,0)+IFERROR(--ISNUMBER(SEARCH("R96",G294))*96,0)+IFERROR(--ISNUMBER(SEARCH("R97",G294))*97,0)+IFERROR(--ISNUMBER(SEARCH("R98",G294))*98,0)+IFERROR(--ISNUMBER(SEARCH("R99",G294))*99,0)+IFERROR(--ISNUMBER(SEARCH("R100",G294))*100,0)+IFERROR(--ISNUMBER(SEARCH("R101",G294))*101,0)+IFERROR(--ISNUMBER(SEARCH("R102",G294))*102,0)+IFERROR(--ISNUMBER(SEARCH("R103",G294))*103,0)+IFERROR(--ISNUMBER(SEARCH("R104",G294))*104,0)+IFERROR(--ISNUMBER(SEARCH("R105",G294))*105,0)+IFERROR(--ISNUMBER(SEARCH("R106",G294))*106,0)+IFERROR(--ISNUMBER(SEARCH("R107",G294))*107,0)+IFERROR(--ISNUMBER(SEARCH("R108",G294))*108,0)+IFERROR(--ISNUMBER(SEARCH("R109",G294))*109,0)+IFERROR(--ISNUMBER(SEARCH("R110",G294))*110,0)+IFERROR(--ISNUMBER(SEARCH("R111",G294))*111,0)+IFERROR(--ISNUMBER(SEARCH("R112",G294))*112,0)+IFERROR(--ISNUMBER(SEARCH("R113",G294))*113,0)+IFERROR(--ISNUMBER(SEARCH("R114",G294))*114,0)+IFERROR(--ISNUMBER(SEARCH("R115",G294))*115,0)+IFERROR(--ISNUMBER(SEARCH("R116",G294))*116,0)+IFERROR(--ISNUMBER(SEARCH("R117",G294))*117,0)+IFERROR(--ISNUMBER(SEARCH("R118",G294))*118,0)+IFERROR(--ISNUMBER(SEARCH("R119",G294))*119,0)+IFERROR(--ISNUMBER(SEARCH("R120",G294))*120,0)+IFERROR(--ISNUMBER(SEARCH("R121",G294))*121,0)+IFERROR(--ISNUMBER(SEARCH("R122",G294))*122,0)+IFERROR(--ISNUMBER(SEARCH("R123",G294))*123,0)+IFERROR(--ISNUMBER(SEARCH("R124",G294))*124,0)+IFERROR(--ISNUMBER(SEARCH("R125",G294))*125,0)+IFERROR(--ISNUMBER(SEARCH("R126",G294))*126,0)+IFERROR(--ISNUMBER(SEARCH("R127",G294))*127,0)+IFERROR(--ISNUMBER(SEARCH("R128",G294))*128,0)+IFERROR(--ISNUMBER(SEARCH("R129",G294))*129,0)+IFERROR(--ISNUMBER(SEARCH("R130",G294))*130,0)+IFERROR(--ISNUMBER(SEARCH("R131",G294))*131,0)+IFERROR(--ISNUMBER(SEARCH("R132",G294))*132,0)+IFERROR(--ISNUMBER(SEARCH("R133",G294))*133,0)+IFERROR(--ISNUMBER(SEARCH("R134",G294))*134,0)+IFERROR(--ISNUMBER(SEARCH("R135",G294))*135,0)+IFERROR(--ISNUMBER(SEARCH("R136",G294))*136,0)+IFERROR(--ISNUMBER(SEARCH("R137",G294))*137,0)+IFERROR(--ISNUMBER(SEARCH("R138",G294))*138,0)+IFERROR(--ISNUMBER(SEARCH("R139",G294))*139,0)+IFERROR(--ISNUMBER(SEARCH("R140",G294))*140,0)+IFERROR(--ISNUMBER(SEARCH("R141",G294))*141,0))</f>
        <v/>
      </c>
      <c r="V294" s="59">
        <f>IF(A294="","",IF(K294&lt;&gt;"",K294,J294))</f>
        <v/>
      </c>
      <c r="W294" s="59">
        <f>IF(A294="","",IF(AND(V294=29,O294&lt;&gt;"",COUNTIFS($V$6:$V$505,29,$F$6:$F$505,F294,$C$6:$C$505,C294,$O$6:$O$505,"&lt;&gt;")&gt;1),IF(COUNTIFS($V$6:V294,29,$F$6:F294,F294,$C$6:C294,C294,$O$6:O294,"&lt;&gt;")=1,"Esta es la fila que se debe CONSERVAR (aparición 1 de "&amp;COUNTIFS($V$6:$V$505,29,$F$6:$F$505,F294,$C$6:$C$505,C294,$O$6:$O$505,"&lt;&gt;")&amp;" con el mismo tercero y valor, casilla 29). Si hay más filas iguales, bórreles el valor a ELLAS, no a esta.","DUPLICADO — ya existe otra fila con el mismo tercero y valor para casilla 29 (aparición "&amp;COUNTIFS($V$6:V294,29,$F$6:F294,F294,$C$6:C294,C294,$O$6:O294,"&lt;&gt;")&amp;" de "&amp;COUNTIFS($V$6:$V$505,29,$F$6:$F$505,F294,$C$6:$C$505,C294,$O$6:$O$505,"&lt;&gt;")&amp;"). Para resolverlo: seleccione la celda O"&amp;ROW()&amp;" (columna Valor a declarar de ESTA fila) y presione Supr."),""))</f>
        <v/>
      </c>
      <c r="X294" s="463">
        <f>IF(A294="","",F294)</f>
        <v/>
      </c>
      <c r="Y294" s="463">
        <f>IF(A294="","",SUMIF(Entrada_Manual!$I$88:$I$187,A294,Entrada_Manual!$F$88:$F$187))</f>
        <v/>
      </c>
      <c r="Z294" s="463">
        <f>IF(A294="","",X294-Y294)</f>
        <v/>
      </c>
      <c r="AA294">
        <f>IF(A294="","",SUMPRODUCT((Entrada_Manual!$I$88:$I$187=A294)*1))</f>
        <v/>
      </c>
      <c r="AB294">
        <f>IF(A294="","",IF(S294&lt;=1,"",IF(AA294=0,"PENDIENTE — SIN ASIGNAR",IF(Z294=0,"RESUELTO","PARCIAL — DIFERENCIA "&amp;TEXT(Z294,"#,##0")))))</f>
        <v/>
      </c>
    </row>
    <row r="295" ht="14.25" customHeight="1" s="235">
      <c r="A295" s="47">
        <f>IF(Exogena_RAW!E304&lt;&gt;"",ROW()-5,"")</f>
        <v/>
      </c>
      <c r="B295" s="48">
        <f>IF(A295="","",304)</f>
        <v/>
      </c>
      <c r="C295" s="48">
        <f>IF(A295="","",IFERROR(Exogena_RAW!A304,""))</f>
        <v/>
      </c>
      <c r="D295" s="48">
        <f>IF(A295="","",IFERROR(Exogena_RAW!B304,""))</f>
        <v/>
      </c>
      <c r="E295" s="48">
        <f>IF(A295="","",Exogena_RAW!E304)</f>
        <v/>
      </c>
      <c r="F295" s="461">
        <f>IF(A295="","",Exogena_RAW!F304)</f>
        <v/>
      </c>
      <c r="G295" s="48">
        <f>IF(A295="","",IFERROR(Exogena_RAW!G304,""))</f>
        <v/>
      </c>
      <c r="H295" s="48">
        <f>IF(A295="","",IFERROR(Exogena_RAW!H304,""))</f>
        <v/>
      </c>
      <c r="I295" s="48">
        <f>IF(A295="","",IFERROR(IF(S295&gt;1,"VARIAS CASILLAS",IF(S295=1,IF(T295=1,"PROPUESTA DE CASILLA","REVISIÓN: CASILLA NO DIRECTA"),IF(OR(ISNUMBER(SEARCH("TOPE",UPPER(E295))),ISNUMBER(SEARCH("TOPE",UPPER(G295)))),"SOLO CONTROL",IF(ISNUMBER(SEARCH("RETEN",UPPER(E295))),"RETENCIÓN","REVISAR")))),"REVISAR"))</f>
        <v/>
      </c>
      <c r="J295" s="48">
        <f>IF(A295="","",IF(ISNUMBER(SEARCH("ingreso laboral promedio de los últimos seis meses",E295)),"",IFERROR(IF(AND(S295=1,T295=1),U295,""),"")))</f>
        <v/>
      </c>
      <c r="K295" s="216" t="n"/>
      <c r="L295" s="48">
        <f>IF(A295="","",IFERROR(IF(K295&lt;&gt;"","Casilla elegida por usuario",IF(S295&gt;1,"Varias casillas — elegir en K",IF(J295&lt;&gt;"","Sugerencia directa",IF(S295=1,"No trasladar directo — revisar",IF(OR(ISNUMBER(SEARCH("TOPE",UPPER(E295))),ISNUMBER(SEARCH("TOPE",UPPER(G295)))),"Solo control","Revisar manualmente"))))),"Revisar manualmente"))</f>
        <v/>
      </c>
      <c r="M295" s="461">
        <f>IF(A295="","",IF(IF(K295&lt;&gt;"",K295,J295)="",0,IF(COUNTIFS(Reglas!$I$5:$I$118,IF(K295&lt;&gt;"",K295,J295),Reglas!$J$5:$J$118,"Sí")=1,F295,0)))</f>
        <v/>
      </c>
      <c r="N295" s="56" t="n"/>
      <c r="O295" s="462">
        <f>IF(A295="","",IF(M295=0,"",M295))</f>
        <v/>
      </c>
      <c r="P295" s="461">
        <f>IF(A295="","",IF(O295="",0,IF(ISNUMBER(O295),O295,0)))</f>
        <v/>
      </c>
      <c r="Q295" s="48">
        <f>IF(A295="","",IF(Exogena_RAW!$C$4="","BLOQUEADO: FALTA AÑO",IF(Exogena_RAW!$K$10&lt;&gt;Reglas!$B$5,"BLOQUEADO: AÑO",IF(IF(K295&lt;&gt;"",K295,J295)="",IF(S295&gt;1,"REQUIERE ASIGNACIÓN MANUAL (VARIAS CASILLAS)","INFORMATIVO (sin casilla — no se declara)"),IF(COUNTIFS(Reglas!$I$5:$I$118,IF(K295&lt;&gt;"",K295,J295),Reglas!$J$5:$J$118,"Sí")=0,"BLOQUEADO: CASILLA NO DIRECTA",IF(O295="","EXCLUIDO (valor borrado por el usuario)",IF(_xlfn.ISFORMULA(O295),IF(W295&lt;&gt;"","BORRADOR — VALOR SUGERIDO DIAN ⚠ VER ALERTA","BORRADOR — VALOR SUGERIDO DIAN"),IF(W295&lt;&gt;"","ACEPTADO ⚠ VER ALERTA","ACEPTADO"))))))))</f>
        <v/>
      </c>
      <c r="R295" s="218" t="n"/>
      <c r="S295" s="58">
        <f>IF(A295="","",IFERROR(--ISNUMBER(SEARCH("R28",G295)),0)+IFERROR(--ISNUMBER(SEARCH("R29",G295)),0)+IFERROR(--ISNUMBER(SEARCH("R30",G295)),0)+IFERROR(--ISNUMBER(SEARCH("R31",G295)),0)+IFERROR(--ISNUMBER(SEARCH("R32",G295)),0)+IFERROR(--ISNUMBER(SEARCH("R33",G295)),0)+IFERROR(--ISNUMBER(SEARCH("R34",G295)),0)+IFERROR(--ISNUMBER(SEARCH("R35",G295)),0)+IFERROR(--ISNUMBER(SEARCH("R36",G295)),0)+IFERROR(--ISNUMBER(SEARCH("R37",G295)),0)+IFERROR(--ISNUMBER(SEARCH("R38",G295)),0)+IFERROR(--ISNUMBER(SEARCH("R39",G295)),0)+IFERROR(--ISNUMBER(SEARCH("R40",G295)),0)+IFERROR(--ISNUMBER(SEARCH("R41",G295)),0)+IFERROR(--ISNUMBER(SEARCH("R42",G295)),0)+IFERROR(--ISNUMBER(SEARCH("R43",G295)),0)+IFERROR(--ISNUMBER(SEARCH("R44",G295)),0)+IFERROR(--ISNUMBER(SEARCH("R45",G295)),0)+IFERROR(--ISNUMBER(SEARCH("R46",G295)),0)+IFERROR(--ISNUMBER(SEARCH("R47",G295)),0)+IFERROR(--ISNUMBER(SEARCH("R48",G295)),0)+IFERROR(--ISNUMBER(SEARCH("R49",G295)),0)+IFERROR(--ISNUMBER(SEARCH("R50",G295)),0)+IFERROR(--ISNUMBER(SEARCH("R51",G295)),0)+IFERROR(--ISNUMBER(SEARCH("R52",G295)),0)+IFERROR(--ISNUMBER(SEARCH("R53",G295)),0)+IFERROR(--ISNUMBER(SEARCH("R54",G295)),0)+IFERROR(--ISNUMBER(SEARCH("R55",G295)),0)+IFERROR(--ISNUMBER(SEARCH("R56",G295)),0)+IFERROR(--ISNUMBER(SEARCH("R57",G295)),0)+IFERROR(--ISNUMBER(SEARCH("R58",G295)),0)+IFERROR(--ISNUMBER(SEARCH("R59",G295)),0)+IFERROR(--ISNUMBER(SEARCH("R60",G295)),0)+IFERROR(--ISNUMBER(SEARCH("R61",G295)),0)+IFERROR(--ISNUMBER(SEARCH("R62",G295)),0)+IFERROR(--ISNUMBER(SEARCH("R63",G295)),0)+IFERROR(--ISNUMBER(SEARCH("R64",G295)),0)+IFERROR(--ISNUMBER(SEARCH("R65",G295)),0)+IFERROR(--ISNUMBER(SEARCH("R66",G295)),0)+IFERROR(--ISNUMBER(SEARCH("R67",G295)),0)+IFERROR(--ISNUMBER(SEARCH("R68",G295)),0)+IFERROR(--ISNUMBER(SEARCH("R69",G295)),0)+IFERROR(--ISNUMBER(SEARCH("R70",G295)),0)+IFERROR(--ISNUMBER(SEARCH("R71",G295)),0)+IFERROR(--ISNUMBER(SEARCH("R72",G295)),0)+IFERROR(--ISNUMBER(SEARCH("R73",G295)),0)+IFERROR(--ISNUMBER(SEARCH("R74",G295)),0)+IFERROR(--ISNUMBER(SEARCH("R75",G295)),0)+IFERROR(--ISNUMBER(SEARCH("R76",G295)),0)+IFERROR(--ISNUMBER(SEARCH("R77",G295)),0)+IFERROR(--ISNUMBER(SEARCH("R78",G295)),0)+IFERROR(--ISNUMBER(SEARCH("R79",G295)),0)+IFERROR(--ISNUMBER(SEARCH("R80",G295)),0)+IFERROR(--ISNUMBER(SEARCH("R81",G295)),0)+IFERROR(--ISNUMBER(SEARCH("R82",G295)),0)+IFERROR(--ISNUMBER(SEARCH("R83",G295)),0)+IFERROR(--ISNUMBER(SEARCH("R84",G295)),0)+IFERROR(--ISNUMBER(SEARCH("R85",G295)),0)+IFERROR(--ISNUMBER(SEARCH("R86",G295)),0)+IFERROR(--ISNUMBER(SEARCH("R87",G295)),0)+IFERROR(--ISNUMBER(SEARCH("R88",G295)),0)+IFERROR(--ISNUMBER(SEARCH("R89",G295)),0)+IFERROR(--ISNUMBER(SEARCH("R90",G295)),0)+IFERROR(--ISNUMBER(SEARCH("R91",G295)),0)+IFERROR(--ISNUMBER(SEARCH("R92",G295)),0)+IFERROR(--ISNUMBER(SEARCH("R93",G295)),0)+IFERROR(--ISNUMBER(SEARCH("R94",G295)),0)+IFERROR(--ISNUMBER(SEARCH("R95",G295)),0)+IFERROR(--ISNUMBER(SEARCH("R96",G295)),0)+IFERROR(--ISNUMBER(SEARCH("R97",G295)),0)+IFERROR(--ISNUMBER(SEARCH("R98",G295)),0)+IFERROR(--ISNUMBER(SEARCH("R99",G295)),0)+IFERROR(--ISNUMBER(SEARCH("R100",G295)),0)+IFERROR(--ISNUMBER(SEARCH("R101",G295)),0)+IFERROR(--ISNUMBER(SEARCH("R102",G295)),0)+IFERROR(--ISNUMBER(SEARCH("R103",G295)),0)+IFERROR(--ISNUMBER(SEARCH("R104",G295)),0)+IFERROR(--ISNUMBER(SEARCH("R105",G295)),0)+IFERROR(--ISNUMBER(SEARCH("R106",G295)),0)+IFERROR(--ISNUMBER(SEARCH("R107",G295)),0)+IFERROR(--ISNUMBER(SEARCH("R108",G295)),0)+IFERROR(--ISNUMBER(SEARCH("R109",G295)),0)+IFERROR(--ISNUMBER(SEARCH("R110",G295)),0)+IFERROR(--ISNUMBER(SEARCH("R111",G295)),0)+IFERROR(--ISNUMBER(SEARCH("R112",G295)),0)+IFERROR(--ISNUMBER(SEARCH("R113",G295)),0)+IFERROR(--ISNUMBER(SEARCH("R114",G295)),0)+IFERROR(--ISNUMBER(SEARCH("R115",G295)),0)+IFERROR(--ISNUMBER(SEARCH("R116",G295)),0)+IFERROR(--ISNUMBER(SEARCH("R117",G295)),0)+IFERROR(--ISNUMBER(SEARCH("R118",G295)),0)+IFERROR(--ISNUMBER(SEARCH("R119",G295)),0)+IFERROR(--ISNUMBER(SEARCH("R120",G295)),0)+IFERROR(--ISNUMBER(SEARCH("R121",G295)),0)+IFERROR(--ISNUMBER(SEARCH("R122",G295)),0)+IFERROR(--ISNUMBER(SEARCH("R123",G295)),0)+IFERROR(--ISNUMBER(SEARCH("R124",G295)),0)+IFERROR(--ISNUMBER(SEARCH("R125",G295)),0)+IFERROR(--ISNUMBER(SEARCH("R126",G295)),0)+IFERROR(--ISNUMBER(SEARCH("R127",G295)),0)+IFERROR(--ISNUMBER(SEARCH("R128",G295)),0)+IFERROR(--ISNUMBER(SEARCH("R129",G295)),0)+IFERROR(--ISNUMBER(SEARCH("R130",G295)),0)+IFERROR(--ISNUMBER(SEARCH("R131",G295)),0)+IFERROR(--ISNUMBER(SEARCH("R132",G295)),0)+IFERROR(--ISNUMBER(SEARCH("R133",G295)),0)+IFERROR(--ISNUMBER(SEARCH("R134",G295)),0)+IFERROR(--ISNUMBER(SEARCH("R135",G295)),0)+IFERROR(--ISNUMBER(SEARCH("R136",G295)),0)+IFERROR(--ISNUMBER(SEARCH("R137",G295)),0)+IFERROR(--ISNUMBER(SEARCH("R138",G295)),0)+IFERROR(--ISNUMBER(SEARCH("R139",G295)),0)+IFERROR(--ISNUMBER(SEARCH("R140",G295)),0)+IFERROR(--ISNUMBER(SEARCH("R141",G295)),0))</f>
        <v/>
      </c>
      <c r="T295" s="58">
        <f>IF(A295="","",IFERROR(--ISNUMBER(SEARCH("R28",G295)),0)+IFERROR(--ISNUMBER(SEARCH("R29",G295)),0)+IFERROR(--ISNUMBER(SEARCH("R30",G295)),0)+IFERROR(--ISNUMBER(SEARCH("R32",G295)),0)+IFERROR(--ISNUMBER(SEARCH("R33",G295)),0)+IFERROR(--ISNUMBER(SEARCH("R35",G295)),0)+IFERROR(--ISNUMBER(SEARCH("R36",G295)),0)+IFERROR(--ISNUMBER(SEARCH("R38",G295)),0)+IFERROR(--ISNUMBER(SEARCH("R39",G295)),0)+IFERROR(--ISNUMBER(SEARCH("R43",G295)),0)+IFERROR(--ISNUMBER(SEARCH("R44",G295)),0)+IFERROR(--ISNUMBER(SEARCH("R45",G295)),0)+IFERROR(--ISNUMBER(SEARCH("R47",G295)),0)+IFERROR(--ISNUMBER(SEARCH("R48",G295)),0)+IFERROR(--ISNUMBER(SEARCH("R50",G295)),0)+IFERROR(--ISNUMBER(SEARCH("R51",G295)),0)+IFERROR(--ISNUMBER(SEARCH("R56",G295)),0)+IFERROR(--ISNUMBER(SEARCH("R58",G295)),0)+IFERROR(--ISNUMBER(SEARCH("R59",G295)),0)+IFERROR(--ISNUMBER(SEARCH("R60",G295)),0)+IFERROR(--ISNUMBER(SEARCH("R62",G295)),0)+IFERROR(--ISNUMBER(SEARCH("R63",G295)),0)+IFERROR(--ISNUMBER(SEARCH("R64",G295)),0)+IFERROR(--ISNUMBER(SEARCH("R66",G295)),0)+IFERROR(--ISNUMBER(SEARCH("R67",G295)),0)+IFERROR(--ISNUMBER(SEARCH("R72",G295)),0)+IFERROR(--ISNUMBER(SEARCH("R74",G295)),0)+IFERROR(--ISNUMBER(SEARCH("R75",G295)),0)+IFERROR(--ISNUMBER(SEARCH("R76",G295)),0)+IFERROR(--ISNUMBER(SEARCH("R77",G295)),0)+IFERROR(--ISNUMBER(SEARCH("R79",G295)),0)+IFERROR(--ISNUMBER(SEARCH("R80",G295)),0)+IFERROR(--ISNUMBER(SEARCH("R81",G295)),0)+IFERROR(--ISNUMBER(SEARCH("R83",G295)),0)+IFERROR(--ISNUMBER(SEARCH("R84",G295)),0)+IFERROR(--ISNUMBER(SEARCH("R89",G295)),0)+IFERROR(--ISNUMBER(SEARCH("R94",G295)),0)+IFERROR(--ISNUMBER(SEARCH("R95",G295)),0)+IFERROR(--ISNUMBER(SEARCH("R96",G295)),0)+IFERROR(--ISNUMBER(SEARCH("R98",G295)),0)+IFERROR(--ISNUMBER(SEARCH("R99",G295)),0)+IFERROR(--ISNUMBER(SEARCH("R100",G295)),0)+IFERROR(--ISNUMBER(SEARCH("R104",G295)),0)+IFERROR(--ISNUMBER(SEARCH("R105",G295)),0)+IFERROR(--ISNUMBER(SEARCH("R107",G295)),0)+IFERROR(--ISNUMBER(SEARCH("R108",G295)),0)+IFERROR(--ISNUMBER(SEARCH("R109",G295)),0)+IFERROR(--ISNUMBER(SEARCH("R110",G295)),0)+IFERROR(--ISNUMBER(SEARCH("R112",G295)),0)+IFERROR(--ISNUMBER(SEARCH("R113",G295)),0)+IFERROR(--ISNUMBER(SEARCH("R114",G295)),0)+IFERROR(--ISNUMBER(SEARCH("R118",G295)),0)+IFERROR(--ISNUMBER(SEARCH("R119",G295)),0)+IFERROR(--ISNUMBER(SEARCH("R120",G295)),0)+IFERROR(--ISNUMBER(SEARCH("R122",G295)),0)+IFERROR(--ISNUMBER(SEARCH("R123",G295)),0)+IFERROR(--ISNUMBER(SEARCH("R124",G295)),0)+IFERROR(--ISNUMBER(SEARCH("R128",G295)),0)+IFERROR(--ISNUMBER(SEARCH("R130",G295)),0)+IFERROR(--ISNUMBER(SEARCH("R131",G295)),0)+IFERROR(--ISNUMBER(SEARCH("R132",G295)),0)+IFERROR(--ISNUMBER(SEARCH("R135",G295)),0)+IFERROR(--ISNUMBER(SEARCH("R138",G295)),0)+IFERROR(--ISNUMBER(SEARCH("R141",G295)),0))</f>
        <v/>
      </c>
      <c r="U295" s="58">
        <f>IF(A295="","",IFERROR(--ISNUMBER(SEARCH("R28",G295))*28,0)+IFERROR(--ISNUMBER(SEARCH("R29",G295))*29,0)+IFERROR(--ISNUMBER(SEARCH("R30",G295))*30,0)+IFERROR(--ISNUMBER(SEARCH("R31",G295))*31,0)+IFERROR(--ISNUMBER(SEARCH("R32",G295))*32,0)+IFERROR(--ISNUMBER(SEARCH("R33",G295))*33,0)+IFERROR(--ISNUMBER(SEARCH("R34",G295))*34,0)+IFERROR(--ISNUMBER(SEARCH("R35",G295))*35,0)+IFERROR(--ISNUMBER(SEARCH("R36",G295))*36,0)+IFERROR(--ISNUMBER(SEARCH("R37",G295))*37,0)+IFERROR(--ISNUMBER(SEARCH("R38",G295))*38,0)+IFERROR(--ISNUMBER(SEARCH("R39",G295))*39,0)+IFERROR(--ISNUMBER(SEARCH("R40",G295))*40,0)+IFERROR(--ISNUMBER(SEARCH("R41",G295))*41,0)+IFERROR(--ISNUMBER(SEARCH("R42",G295))*42,0)+IFERROR(--ISNUMBER(SEARCH("R43",G295))*43,0)+IFERROR(--ISNUMBER(SEARCH("R44",G295))*44,0)+IFERROR(--ISNUMBER(SEARCH("R45",G295))*45,0)+IFERROR(--ISNUMBER(SEARCH("R46",G295))*46,0)+IFERROR(--ISNUMBER(SEARCH("R47",G295))*47,0)+IFERROR(--ISNUMBER(SEARCH("R48",G295))*48,0)+IFERROR(--ISNUMBER(SEARCH("R49",G295))*49,0)+IFERROR(--ISNUMBER(SEARCH("R50",G295))*50,0)+IFERROR(--ISNUMBER(SEARCH("R51",G295))*51,0)+IFERROR(--ISNUMBER(SEARCH("R52",G295))*52,0)+IFERROR(--ISNUMBER(SEARCH("R53",G295))*53,0)+IFERROR(--ISNUMBER(SEARCH("R54",G295))*54,0)+IFERROR(--ISNUMBER(SEARCH("R55",G295))*55,0)+IFERROR(--ISNUMBER(SEARCH("R56",G295))*56,0)+IFERROR(--ISNUMBER(SEARCH("R57",G295))*57,0)+IFERROR(--ISNUMBER(SEARCH("R58",G295))*58,0)+IFERROR(--ISNUMBER(SEARCH("R59",G295))*59,0)+IFERROR(--ISNUMBER(SEARCH("R60",G295))*60,0)+IFERROR(--ISNUMBER(SEARCH("R61",G295))*61,0)+IFERROR(--ISNUMBER(SEARCH("R62",G295))*62,0)+IFERROR(--ISNUMBER(SEARCH("R63",G295))*63,0)+IFERROR(--ISNUMBER(SEARCH("R64",G295))*64,0)+IFERROR(--ISNUMBER(SEARCH("R65",G295))*65,0)+IFERROR(--ISNUMBER(SEARCH("R66",G295))*66,0)+IFERROR(--ISNUMBER(SEARCH("R67",G295))*67,0)+IFERROR(--ISNUMBER(SEARCH("R68",G295))*68,0)+IFERROR(--ISNUMBER(SEARCH("R69",G295))*69,0)+IFERROR(--ISNUMBER(SEARCH("R70",G295))*70,0)+IFERROR(--ISNUMBER(SEARCH("R71",G295))*71,0)+IFERROR(--ISNUMBER(SEARCH("R72",G295))*72,0)+IFERROR(--ISNUMBER(SEARCH("R73",G295))*73,0)+IFERROR(--ISNUMBER(SEARCH("R74",G295))*74,0)+IFERROR(--ISNUMBER(SEARCH("R75",G295))*75,0)+IFERROR(--ISNUMBER(SEARCH("R76",G295))*76,0)+IFERROR(--ISNUMBER(SEARCH("R77",G295))*77,0)+IFERROR(--ISNUMBER(SEARCH("R78",G295))*78,0)+IFERROR(--ISNUMBER(SEARCH("R79",G295))*79,0)+IFERROR(--ISNUMBER(SEARCH("R80",G295))*80,0)+IFERROR(--ISNUMBER(SEARCH("R81",G295))*81,0)+IFERROR(--ISNUMBER(SEARCH("R82",G295))*82,0)+IFERROR(--ISNUMBER(SEARCH("R83",G295))*83,0)+IFERROR(--ISNUMBER(SEARCH("R84",G295))*84,0)+IFERROR(--ISNUMBER(SEARCH("R85",G295))*85,0)+IFERROR(--ISNUMBER(SEARCH("R86",G295))*86,0)+IFERROR(--ISNUMBER(SEARCH("R87",G295))*87,0)+IFERROR(--ISNUMBER(SEARCH("R88",G295))*88,0)+IFERROR(--ISNUMBER(SEARCH("R89",G295))*89,0)+IFERROR(--ISNUMBER(SEARCH("R90",G295))*90,0)+IFERROR(--ISNUMBER(SEARCH("R91",G295))*91,0)+IFERROR(--ISNUMBER(SEARCH("R92",G295))*92,0)+IFERROR(--ISNUMBER(SEARCH("R93",G295))*93,0)+IFERROR(--ISNUMBER(SEARCH("R94",G295))*94,0)+IFERROR(--ISNUMBER(SEARCH("R95",G295))*95,0)+IFERROR(--ISNUMBER(SEARCH("R96",G295))*96,0)+IFERROR(--ISNUMBER(SEARCH("R97",G295))*97,0)+IFERROR(--ISNUMBER(SEARCH("R98",G295))*98,0)+IFERROR(--ISNUMBER(SEARCH("R99",G295))*99,0)+IFERROR(--ISNUMBER(SEARCH("R100",G295))*100,0)+IFERROR(--ISNUMBER(SEARCH("R101",G295))*101,0)+IFERROR(--ISNUMBER(SEARCH("R102",G295))*102,0)+IFERROR(--ISNUMBER(SEARCH("R103",G295))*103,0)+IFERROR(--ISNUMBER(SEARCH("R104",G295))*104,0)+IFERROR(--ISNUMBER(SEARCH("R105",G295))*105,0)+IFERROR(--ISNUMBER(SEARCH("R106",G295))*106,0)+IFERROR(--ISNUMBER(SEARCH("R107",G295))*107,0)+IFERROR(--ISNUMBER(SEARCH("R108",G295))*108,0)+IFERROR(--ISNUMBER(SEARCH("R109",G295))*109,0)+IFERROR(--ISNUMBER(SEARCH("R110",G295))*110,0)+IFERROR(--ISNUMBER(SEARCH("R111",G295))*111,0)+IFERROR(--ISNUMBER(SEARCH("R112",G295))*112,0)+IFERROR(--ISNUMBER(SEARCH("R113",G295))*113,0)+IFERROR(--ISNUMBER(SEARCH("R114",G295))*114,0)+IFERROR(--ISNUMBER(SEARCH("R115",G295))*115,0)+IFERROR(--ISNUMBER(SEARCH("R116",G295))*116,0)+IFERROR(--ISNUMBER(SEARCH("R117",G295))*117,0)+IFERROR(--ISNUMBER(SEARCH("R118",G295))*118,0)+IFERROR(--ISNUMBER(SEARCH("R119",G295))*119,0)+IFERROR(--ISNUMBER(SEARCH("R120",G295))*120,0)+IFERROR(--ISNUMBER(SEARCH("R121",G295))*121,0)+IFERROR(--ISNUMBER(SEARCH("R122",G295))*122,0)+IFERROR(--ISNUMBER(SEARCH("R123",G295))*123,0)+IFERROR(--ISNUMBER(SEARCH("R124",G295))*124,0)+IFERROR(--ISNUMBER(SEARCH("R125",G295))*125,0)+IFERROR(--ISNUMBER(SEARCH("R126",G295))*126,0)+IFERROR(--ISNUMBER(SEARCH("R127",G295))*127,0)+IFERROR(--ISNUMBER(SEARCH("R128",G295))*128,0)+IFERROR(--ISNUMBER(SEARCH("R129",G295))*129,0)+IFERROR(--ISNUMBER(SEARCH("R130",G295))*130,0)+IFERROR(--ISNUMBER(SEARCH("R131",G295))*131,0)+IFERROR(--ISNUMBER(SEARCH("R132",G295))*132,0)+IFERROR(--ISNUMBER(SEARCH("R133",G295))*133,0)+IFERROR(--ISNUMBER(SEARCH("R134",G295))*134,0)+IFERROR(--ISNUMBER(SEARCH("R135",G295))*135,0)+IFERROR(--ISNUMBER(SEARCH("R136",G295))*136,0)+IFERROR(--ISNUMBER(SEARCH("R137",G295))*137,0)+IFERROR(--ISNUMBER(SEARCH("R138",G295))*138,0)+IFERROR(--ISNUMBER(SEARCH("R139",G295))*139,0)+IFERROR(--ISNUMBER(SEARCH("R140",G295))*140,0)+IFERROR(--ISNUMBER(SEARCH("R141",G295))*141,0))</f>
        <v/>
      </c>
      <c r="V295" s="59">
        <f>IF(A295="","",IF(K295&lt;&gt;"",K295,J295))</f>
        <v/>
      </c>
      <c r="W295" s="59">
        <f>IF(A295="","",IF(AND(V295=29,O295&lt;&gt;"",COUNTIFS($V$6:$V$505,29,$F$6:$F$505,F295,$C$6:$C$505,C295,$O$6:$O$505,"&lt;&gt;")&gt;1),IF(COUNTIFS($V$6:V295,29,$F$6:F295,F295,$C$6:C295,C295,$O$6:O295,"&lt;&gt;")=1,"Esta es la fila que se debe CONSERVAR (aparición 1 de "&amp;COUNTIFS($V$6:$V$505,29,$F$6:$F$505,F295,$C$6:$C$505,C295,$O$6:$O$505,"&lt;&gt;")&amp;" con el mismo tercero y valor, casilla 29). Si hay más filas iguales, bórreles el valor a ELLAS, no a esta.","DUPLICADO — ya existe otra fila con el mismo tercero y valor para casilla 29 (aparición "&amp;COUNTIFS($V$6:V295,29,$F$6:F295,F295,$C$6:C295,C295,$O$6:O295,"&lt;&gt;")&amp;" de "&amp;COUNTIFS($V$6:$V$505,29,$F$6:$F$505,F295,$C$6:$C$505,C295,$O$6:$O$505,"&lt;&gt;")&amp;"). Para resolverlo: seleccione la celda O"&amp;ROW()&amp;" (columna Valor a declarar de ESTA fila) y presione Supr."),""))</f>
        <v/>
      </c>
      <c r="X295" s="463">
        <f>IF(A295="","",F295)</f>
        <v/>
      </c>
      <c r="Y295" s="463">
        <f>IF(A295="","",SUMIF(Entrada_Manual!$I$88:$I$187,A295,Entrada_Manual!$F$88:$F$187))</f>
        <v/>
      </c>
      <c r="Z295" s="463">
        <f>IF(A295="","",X295-Y295)</f>
        <v/>
      </c>
      <c r="AA295">
        <f>IF(A295="","",SUMPRODUCT((Entrada_Manual!$I$88:$I$187=A295)*1))</f>
        <v/>
      </c>
      <c r="AB295">
        <f>IF(A295="","",IF(S295&lt;=1,"",IF(AA295=0,"PENDIENTE — SIN ASIGNAR",IF(Z295=0,"RESUELTO","PARCIAL — DIFERENCIA "&amp;TEXT(Z295,"#,##0")))))</f>
        <v/>
      </c>
    </row>
    <row r="296" ht="14.25" customHeight="1" s="235">
      <c r="A296" s="47">
        <f>IF(Exogena_RAW!E305&lt;&gt;"",ROW()-5,"")</f>
        <v/>
      </c>
      <c r="B296" s="48">
        <f>IF(A296="","",305)</f>
        <v/>
      </c>
      <c r="C296" s="48">
        <f>IF(A296="","",IFERROR(Exogena_RAW!A305,""))</f>
        <v/>
      </c>
      <c r="D296" s="48">
        <f>IF(A296="","",IFERROR(Exogena_RAW!B305,""))</f>
        <v/>
      </c>
      <c r="E296" s="48">
        <f>IF(A296="","",Exogena_RAW!E305)</f>
        <v/>
      </c>
      <c r="F296" s="461">
        <f>IF(A296="","",Exogena_RAW!F305)</f>
        <v/>
      </c>
      <c r="G296" s="48">
        <f>IF(A296="","",IFERROR(Exogena_RAW!G305,""))</f>
        <v/>
      </c>
      <c r="H296" s="48">
        <f>IF(A296="","",IFERROR(Exogena_RAW!H305,""))</f>
        <v/>
      </c>
      <c r="I296" s="48">
        <f>IF(A296="","",IFERROR(IF(S296&gt;1,"VARIAS CASILLAS",IF(S296=1,IF(T296=1,"PROPUESTA DE CASILLA","REVISIÓN: CASILLA NO DIRECTA"),IF(OR(ISNUMBER(SEARCH("TOPE",UPPER(E296))),ISNUMBER(SEARCH("TOPE",UPPER(G296)))),"SOLO CONTROL",IF(ISNUMBER(SEARCH("RETEN",UPPER(E296))),"RETENCIÓN","REVISAR")))),"REVISAR"))</f>
        <v/>
      </c>
      <c r="J296" s="48">
        <f>IF(A296="","",IF(ISNUMBER(SEARCH("ingreso laboral promedio de los últimos seis meses",E296)),"",IFERROR(IF(AND(S296=1,T296=1),U296,""),"")))</f>
        <v/>
      </c>
      <c r="K296" s="216" t="n"/>
      <c r="L296" s="48">
        <f>IF(A296="","",IFERROR(IF(K296&lt;&gt;"","Casilla elegida por usuario",IF(S296&gt;1,"Varias casillas — elegir en K",IF(J296&lt;&gt;"","Sugerencia directa",IF(S296=1,"No trasladar directo — revisar",IF(OR(ISNUMBER(SEARCH("TOPE",UPPER(E296))),ISNUMBER(SEARCH("TOPE",UPPER(G296)))),"Solo control","Revisar manualmente"))))),"Revisar manualmente"))</f>
        <v/>
      </c>
      <c r="M296" s="461">
        <f>IF(A296="","",IF(IF(K296&lt;&gt;"",K296,J296)="",0,IF(COUNTIFS(Reglas!$I$5:$I$118,IF(K296&lt;&gt;"",K296,J296),Reglas!$J$5:$J$118,"Sí")=1,F296,0)))</f>
        <v/>
      </c>
      <c r="N296" s="56" t="n"/>
      <c r="O296" s="462">
        <f>IF(A296="","",IF(M296=0,"",M296))</f>
        <v/>
      </c>
      <c r="P296" s="461">
        <f>IF(A296="","",IF(O296="",0,IF(ISNUMBER(O296),O296,0)))</f>
        <v/>
      </c>
      <c r="Q296" s="48">
        <f>IF(A296="","",IF(Exogena_RAW!$C$4="","BLOQUEADO: FALTA AÑO",IF(Exogena_RAW!$K$10&lt;&gt;Reglas!$B$5,"BLOQUEADO: AÑO",IF(IF(K296&lt;&gt;"",K296,J296)="",IF(S296&gt;1,"REQUIERE ASIGNACIÓN MANUAL (VARIAS CASILLAS)","INFORMATIVO (sin casilla — no se declara)"),IF(COUNTIFS(Reglas!$I$5:$I$118,IF(K296&lt;&gt;"",K296,J296),Reglas!$J$5:$J$118,"Sí")=0,"BLOQUEADO: CASILLA NO DIRECTA",IF(O296="","EXCLUIDO (valor borrado por el usuario)",IF(_xlfn.ISFORMULA(O296),IF(W296&lt;&gt;"","BORRADOR — VALOR SUGERIDO DIAN ⚠ VER ALERTA","BORRADOR — VALOR SUGERIDO DIAN"),IF(W296&lt;&gt;"","ACEPTADO ⚠ VER ALERTA","ACEPTADO"))))))))</f>
        <v/>
      </c>
      <c r="R296" s="218" t="n"/>
      <c r="S296" s="58">
        <f>IF(A296="","",IFERROR(--ISNUMBER(SEARCH("R28",G296)),0)+IFERROR(--ISNUMBER(SEARCH("R29",G296)),0)+IFERROR(--ISNUMBER(SEARCH("R30",G296)),0)+IFERROR(--ISNUMBER(SEARCH("R31",G296)),0)+IFERROR(--ISNUMBER(SEARCH("R32",G296)),0)+IFERROR(--ISNUMBER(SEARCH("R33",G296)),0)+IFERROR(--ISNUMBER(SEARCH("R34",G296)),0)+IFERROR(--ISNUMBER(SEARCH("R35",G296)),0)+IFERROR(--ISNUMBER(SEARCH("R36",G296)),0)+IFERROR(--ISNUMBER(SEARCH("R37",G296)),0)+IFERROR(--ISNUMBER(SEARCH("R38",G296)),0)+IFERROR(--ISNUMBER(SEARCH("R39",G296)),0)+IFERROR(--ISNUMBER(SEARCH("R40",G296)),0)+IFERROR(--ISNUMBER(SEARCH("R41",G296)),0)+IFERROR(--ISNUMBER(SEARCH("R42",G296)),0)+IFERROR(--ISNUMBER(SEARCH("R43",G296)),0)+IFERROR(--ISNUMBER(SEARCH("R44",G296)),0)+IFERROR(--ISNUMBER(SEARCH("R45",G296)),0)+IFERROR(--ISNUMBER(SEARCH("R46",G296)),0)+IFERROR(--ISNUMBER(SEARCH("R47",G296)),0)+IFERROR(--ISNUMBER(SEARCH("R48",G296)),0)+IFERROR(--ISNUMBER(SEARCH("R49",G296)),0)+IFERROR(--ISNUMBER(SEARCH("R50",G296)),0)+IFERROR(--ISNUMBER(SEARCH("R51",G296)),0)+IFERROR(--ISNUMBER(SEARCH("R52",G296)),0)+IFERROR(--ISNUMBER(SEARCH("R53",G296)),0)+IFERROR(--ISNUMBER(SEARCH("R54",G296)),0)+IFERROR(--ISNUMBER(SEARCH("R55",G296)),0)+IFERROR(--ISNUMBER(SEARCH("R56",G296)),0)+IFERROR(--ISNUMBER(SEARCH("R57",G296)),0)+IFERROR(--ISNUMBER(SEARCH("R58",G296)),0)+IFERROR(--ISNUMBER(SEARCH("R59",G296)),0)+IFERROR(--ISNUMBER(SEARCH("R60",G296)),0)+IFERROR(--ISNUMBER(SEARCH("R61",G296)),0)+IFERROR(--ISNUMBER(SEARCH("R62",G296)),0)+IFERROR(--ISNUMBER(SEARCH("R63",G296)),0)+IFERROR(--ISNUMBER(SEARCH("R64",G296)),0)+IFERROR(--ISNUMBER(SEARCH("R65",G296)),0)+IFERROR(--ISNUMBER(SEARCH("R66",G296)),0)+IFERROR(--ISNUMBER(SEARCH("R67",G296)),0)+IFERROR(--ISNUMBER(SEARCH("R68",G296)),0)+IFERROR(--ISNUMBER(SEARCH("R69",G296)),0)+IFERROR(--ISNUMBER(SEARCH("R70",G296)),0)+IFERROR(--ISNUMBER(SEARCH("R71",G296)),0)+IFERROR(--ISNUMBER(SEARCH("R72",G296)),0)+IFERROR(--ISNUMBER(SEARCH("R73",G296)),0)+IFERROR(--ISNUMBER(SEARCH("R74",G296)),0)+IFERROR(--ISNUMBER(SEARCH("R75",G296)),0)+IFERROR(--ISNUMBER(SEARCH("R76",G296)),0)+IFERROR(--ISNUMBER(SEARCH("R77",G296)),0)+IFERROR(--ISNUMBER(SEARCH("R78",G296)),0)+IFERROR(--ISNUMBER(SEARCH("R79",G296)),0)+IFERROR(--ISNUMBER(SEARCH("R80",G296)),0)+IFERROR(--ISNUMBER(SEARCH("R81",G296)),0)+IFERROR(--ISNUMBER(SEARCH("R82",G296)),0)+IFERROR(--ISNUMBER(SEARCH("R83",G296)),0)+IFERROR(--ISNUMBER(SEARCH("R84",G296)),0)+IFERROR(--ISNUMBER(SEARCH("R85",G296)),0)+IFERROR(--ISNUMBER(SEARCH("R86",G296)),0)+IFERROR(--ISNUMBER(SEARCH("R87",G296)),0)+IFERROR(--ISNUMBER(SEARCH("R88",G296)),0)+IFERROR(--ISNUMBER(SEARCH("R89",G296)),0)+IFERROR(--ISNUMBER(SEARCH("R90",G296)),0)+IFERROR(--ISNUMBER(SEARCH("R91",G296)),0)+IFERROR(--ISNUMBER(SEARCH("R92",G296)),0)+IFERROR(--ISNUMBER(SEARCH("R93",G296)),0)+IFERROR(--ISNUMBER(SEARCH("R94",G296)),0)+IFERROR(--ISNUMBER(SEARCH("R95",G296)),0)+IFERROR(--ISNUMBER(SEARCH("R96",G296)),0)+IFERROR(--ISNUMBER(SEARCH("R97",G296)),0)+IFERROR(--ISNUMBER(SEARCH("R98",G296)),0)+IFERROR(--ISNUMBER(SEARCH("R99",G296)),0)+IFERROR(--ISNUMBER(SEARCH("R100",G296)),0)+IFERROR(--ISNUMBER(SEARCH("R101",G296)),0)+IFERROR(--ISNUMBER(SEARCH("R102",G296)),0)+IFERROR(--ISNUMBER(SEARCH("R103",G296)),0)+IFERROR(--ISNUMBER(SEARCH("R104",G296)),0)+IFERROR(--ISNUMBER(SEARCH("R105",G296)),0)+IFERROR(--ISNUMBER(SEARCH("R106",G296)),0)+IFERROR(--ISNUMBER(SEARCH("R107",G296)),0)+IFERROR(--ISNUMBER(SEARCH("R108",G296)),0)+IFERROR(--ISNUMBER(SEARCH("R109",G296)),0)+IFERROR(--ISNUMBER(SEARCH("R110",G296)),0)+IFERROR(--ISNUMBER(SEARCH("R111",G296)),0)+IFERROR(--ISNUMBER(SEARCH("R112",G296)),0)+IFERROR(--ISNUMBER(SEARCH("R113",G296)),0)+IFERROR(--ISNUMBER(SEARCH("R114",G296)),0)+IFERROR(--ISNUMBER(SEARCH("R115",G296)),0)+IFERROR(--ISNUMBER(SEARCH("R116",G296)),0)+IFERROR(--ISNUMBER(SEARCH("R117",G296)),0)+IFERROR(--ISNUMBER(SEARCH("R118",G296)),0)+IFERROR(--ISNUMBER(SEARCH("R119",G296)),0)+IFERROR(--ISNUMBER(SEARCH("R120",G296)),0)+IFERROR(--ISNUMBER(SEARCH("R121",G296)),0)+IFERROR(--ISNUMBER(SEARCH("R122",G296)),0)+IFERROR(--ISNUMBER(SEARCH("R123",G296)),0)+IFERROR(--ISNUMBER(SEARCH("R124",G296)),0)+IFERROR(--ISNUMBER(SEARCH("R125",G296)),0)+IFERROR(--ISNUMBER(SEARCH("R126",G296)),0)+IFERROR(--ISNUMBER(SEARCH("R127",G296)),0)+IFERROR(--ISNUMBER(SEARCH("R128",G296)),0)+IFERROR(--ISNUMBER(SEARCH("R129",G296)),0)+IFERROR(--ISNUMBER(SEARCH("R130",G296)),0)+IFERROR(--ISNUMBER(SEARCH("R131",G296)),0)+IFERROR(--ISNUMBER(SEARCH("R132",G296)),0)+IFERROR(--ISNUMBER(SEARCH("R133",G296)),0)+IFERROR(--ISNUMBER(SEARCH("R134",G296)),0)+IFERROR(--ISNUMBER(SEARCH("R135",G296)),0)+IFERROR(--ISNUMBER(SEARCH("R136",G296)),0)+IFERROR(--ISNUMBER(SEARCH("R137",G296)),0)+IFERROR(--ISNUMBER(SEARCH("R138",G296)),0)+IFERROR(--ISNUMBER(SEARCH("R139",G296)),0)+IFERROR(--ISNUMBER(SEARCH("R140",G296)),0)+IFERROR(--ISNUMBER(SEARCH("R141",G296)),0))</f>
        <v/>
      </c>
      <c r="T296" s="58">
        <f>IF(A296="","",IFERROR(--ISNUMBER(SEARCH("R28",G296)),0)+IFERROR(--ISNUMBER(SEARCH("R29",G296)),0)+IFERROR(--ISNUMBER(SEARCH("R30",G296)),0)+IFERROR(--ISNUMBER(SEARCH("R32",G296)),0)+IFERROR(--ISNUMBER(SEARCH("R33",G296)),0)+IFERROR(--ISNUMBER(SEARCH("R35",G296)),0)+IFERROR(--ISNUMBER(SEARCH("R36",G296)),0)+IFERROR(--ISNUMBER(SEARCH("R38",G296)),0)+IFERROR(--ISNUMBER(SEARCH("R39",G296)),0)+IFERROR(--ISNUMBER(SEARCH("R43",G296)),0)+IFERROR(--ISNUMBER(SEARCH("R44",G296)),0)+IFERROR(--ISNUMBER(SEARCH("R45",G296)),0)+IFERROR(--ISNUMBER(SEARCH("R47",G296)),0)+IFERROR(--ISNUMBER(SEARCH("R48",G296)),0)+IFERROR(--ISNUMBER(SEARCH("R50",G296)),0)+IFERROR(--ISNUMBER(SEARCH("R51",G296)),0)+IFERROR(--ISNUMBER(SEARCH("R56",G296)),0)+IFERROR(--ISNUMBER(SEARCH("R58",G296)),0)+IFERROR(--ISNUMBER(SEARCH("R59",G296)),0)+IFERROR(--ISNUMBER(SEARCH("R60",G296)),0)+IFERROR(--ISNUMBER(SEARCH("R62",G296)),0)+IFERROR(--ISNUMBER(SEARCH("R63",G296)),0)+IFERROR(--ISNUMBER(SEARCH("R64",G296)),0)+IFERROR(--ISNUMBER(SEARCH("R66",G296)),0)+IFERROR(--ISNUMBER(SEARCH("R67",G296)),0)+IFERROR(--ISNUMBER(SEARCH("R72",G296)),0)+IFERROR(--ISNUMBER(SEARCH("R74",G296)),0)+IFERROR(--ISNUMBER(SEARCH("R75",G296)),0)+IFERROR(--ISNUMBER(SEARCH("R76",G296)),0)+IFERROR(--ISNUMBER(SEARCH("R77",G296)),0)+IFERROR(--ISNUMBER(SEARCH("R79",G296)),0)+IFERROR(--ISNUMBER(SEARCH("R80",G296)),0)+IFERROR(--ISNUMBER(SEARCH("R81",G296)),0)+IFERROR(--ISNUMBER(SEARCH("R83",G296)),0)+IFERROR(--ISNUMBER(SEARCH("R84",G296)),0)+IFERROR(--ISNUMBER(SEARCH("R89",G296)),0)+IFERROR(--ISNUMBER(SEARCH("R94",G296)),0)+IFERROR(--ISNUMBER(SEARCH("R95",G296)),0)+IFERROR(--ISNUMBER(SEARCH("R96",G296)),0)+IFERROR(--ISNUMBER(SEARCH("R98",G296)),0)+IFERROR(--ISNUMBER(SEARCH("R99",G296)),0)+IFERROR(--ISNUMBER(SEARCH("R100",G296)),0)+IFERROR(--ISNUMBER(SEARCH("R104",G296)),0)+IFERROR(--ISNUMBER(SEARCH("R105",G296)),0)+IFERROR(--ISNUMBER(SEARCH("R107",G296)),0)+IFERROR(--ISNUMBER(SEARCH("R108",G296)),0)+IFERROR(--ISNUMBER(SEARCH("R109",G296)),0)+IFERROR(--ISNUMBER(SEARCH("R110",G296)),0)+IFERROR(--ISNUMBER(SEARCH("R112",G296)),0)+IFERROR(--ISNUMBER(SEARCH("R113",G296)),0)+IFERROR(--ISNUMBER(SEARCH("R114",G296)),0)+IFERROR(--ISNUMBER(SEARCH("R118",G296)),0)+IFERROR(--ISNUMBER(SEARCH("R119",G296)),0)+IFERROR(--ISNUMBER(SEARCH("R120",G296)),0)+IFERROR(--ISNUMBER(SEARCH("R122",G296)),0)+IFERROR(--ISNUMBER(SEARCH("R123",G296)),0)+IFERROR(--ISNUMBER(SEARCH("R124",G296)),0)+IFERROR(--ISNUMBER(SEARCH("R128",G296)),0)+IFERROR(--ISNUMBER(SEARCH("R130",G296)),0)+IFERROR(--ISNUMBER(SEARCH("R131",G296)),0)+IFERROR(--ISNUMBER(SEARCH("R132",G296)),0)+IFERROR(--ISNUMBER(SEARCH("R135",G296)),0)+IFERROR(--ISNUMBER(SEARCH("R138",G296)),0)+IFERROR(--ISNUMBER(SEARCH("R141",G296)),0))</f>
        <v/>
      </c>
      <c r="U296" s="58">
        <f>IF(A296="","",IFERROR(--ISNUMBER(SEARCH("R28",G296))*28,0)+IFERROR(--ISNUMBER(SEARCH("R29",G296))*29,0)+IFERROR(--ISNUMBER(SEARCH("R30",G296))*30,0)+IFERROR(--ISNUMBER(SEARCH("R31",G296))*31,0)+IFERROR(--ISNUMBER(SEARCH("R32",G296))*32,0)+IFERROR(--ISNUMBER(SEARCH("R33",G296))*33,0)+IFERROR(--ISNUMBER(SEARCH("R34",G296))*34,0)+IFERROR(--ISNUMBER(SEARCH("R35",G296))*35,0)+IFERROR(--ISNUMBER(SEARCH("R36",G296))*36,0)+IFERROR(--ISNUMBER(SEARCH("R37",G296))*37,0)+IFERROR(--ISNUMBER(SEARCH("R38",G296))*38,0)+IFERROR(--ISNUMBER(SEARCH("R39",G296))*39,0)+IFERROR(--ISNUMBER(SEARCH("R40",G296))*40,0)+IFERROR(--ISNUMBER(SEARCH("R41",G296))*41,0)+IFERROR(--ISNUMBER(SEARCH("R42",G296))*42,0)+IFERROR(--ISNUMBER(SEARCH("R43",G296))*43,0)+IFERROR(--ISNUMBER(SEARCH("R44",G296))*44,0)+IFERROR(--ISNUMBER(SEARCH("R45",G296))*45,0)+IFERROR(--ISNUMBER(SEARCH("R46",G296))*46,0)+IFERROR(--ISNUMBER(SEARCH("R47",G296))*47,0)+IFERROR(--ISNUMBER(SEARCH("R48",G296))*48,0)+IFERROR(--ISNUMBER(SEARCH("R49",G296))*49,0)+IFERROR(--ISNUMBER(SEARCH("R50",G296))*50,0)+IFERROR(--ISNUMBER(SEARCH("R51",G296))*51,0)+IFERROR(--ISNUMBER(SEARCH("R52",G296))*52,0)+IFERROR(--ISNUMBER(SEARCH("R53",G296))*53,0)+IFERROR(--ISNUMBER(SEARCH("R54",G296))*54,0)+IFERROR(--ISNUMBER(SEARCH("R55",G296))*55,0)+IFERROR(--ISNUMBER(SEARCH("R56",G296))*56,0)+IFERROR(--ISNUMBER(SEARCH("R57",G296))*57,0)+IFERROR(--ISNUMBER(SEARCH("R58",G296))*58,0)+IFERROR(--ISNUMBER(SEARCH("R59",G296))*59,0)+IFERROR(--ISNUMBER(SEARCH("R60",G296))*60,0)+IFERROR(--ISNUMBER(SEARCH("R61",G296))*61,0)+IFERROR(--ISNUMBER(SEARCH("R62",G296))*62,0)+IFERROR(--ISNUMBER(SEARCH("R63",G296))*63,0)+IFERROR(--ISNUMBER(SEARCH("R64",G296))*64,0)+IFERROR(--ISNUMBER(SEARCH("R65",G296))*65,0)+IFERROR(--ISNUMBER(SEARCH("R66",G296))*66,0)+IFERROR(--ISNUMBER(SEARCH("R67",G296))*67,0)+IFERROR(--ISNUMBER(SEARCH("R68",G296))*68,0)+IFERROR(--ISNUMBER(SEARCH("R69",G296))*69,0)+IFERROR(--ISNUMBER(SEARCH("R70",G296))*70,0)+IFERROR(--ISNUMBER(SEARCH("R71",G296))*71,0)+IFERROR(--ISNUMBER(SEARCH("R72",G296))*72,0)+IFERROR(--ISNUMBER(SEARCH("R73",G296))*73,0)+IFERROR(--ISNUMBER(SEARCH("R74",G296))*74,0)+IFERROR(--ISNUMBER(SEARCH("R75",G296))*75,0)+IFERROR(--ISNUMBER(SEARCH("R76",G296))*76,0)+IFERROR(--ISNUMBER(SEARCH("R77",G296))*77,0)+IFERROR(--ISNUMBER(SEARCH("R78",G296))*78,0)+IFERROR(--ISNUMBER(SEARCH("R79",G296))*79,0)+IFERROR(--ISNUMBER(SEARCH("R80",G296))*80,0)+IFERROR(--ISNUMBER(SEARCH("R81",G296))*81,0)+IFERROR(--ISNUMBER(SEARCH("R82",G296))*82,0)+IFERROR(--ISNUMBER(SEARCH("R83",G296))*83,0)+IFERROR(--ISNUMBER(SEARCH("R84",G296))*84,0)+IFERROR(--ISNUMBER(SEARCH("R85",G296))*85,0)+IFERROR(--ISNUMBER(SEARCH("R86",G296))*86,0)+IFERROR(--ISNUMBER(SEARCH("R87",G296))*87,0)+IFERROR(--ISNUMBER(SEARCH("R88",G296))*88,0)+IFERROR(--ISNUMBER(SEARCH("R89",G296))*89,0)+IFERROR(--ISNUMBER(SEARCH("R90",G296))*90,0)+IFERROR(--ISNUMBER(SEARCH("R91",G296))*91,0)+IFERROR(--ISNUMBER(SEARCH("R92",G296))*92,0)+IFERROR(--ISNUMBER(SEARCH("R93",G296))*93,0)+IFERROR(--ISNUMBER(SEARCH("R94",G296))*94,0)+IFERROR(--ISNUMBER(SEARCH("R95",G296))*95,0)+IFERROR(--ISNUMBER(SEARCH("R96",G296))*96,0)+IFERROR(--ISNUMBER(SEARCH("R97",G296))*97,0)+IFERROR(--ISNUMBER(SEARCH("R98",G296))*98,0)+IFERROR(--ISNUMBER(SEARCH("R99",G296))*99,0)+IFERROR(--ISNUMBER(SEARCH("R100",G296))*100,0)+IFERROR(--ISNUMBER(SEARCH("R101",G296))*101,0)+IFERROR(--ISNUMBER(SEARCH("R102",G296))*102,0)+IFERROR(--ISNUMBER(SEARCH("R103",G296))*103,0)+IFERROR(--ISNUMBER(SEARCH("R104",G296))*104,0)+IFERROR(--ISNUMBER(SEARCH("R105",G296))*105,0)+IFERROR(--ISNUMBER(SEARCH("R106",G296))*106,0)+IFERROR(--ISNUMBER(SEARCH("R107",G296))*107,0)+IFERROR(--ISNUMBER(SEARCH("R108",G296))*108,0)+IFERROR(--ISNUMBER(SEARCH("R109",G296))*109,0)+IFERROR(--ISNUMBER(SEARCH("R110",G296))*110,0)+IFERROR(--ISNUMBER(SEARCH("R111",G296))*111,0)+IFERROR(--ISNUMBER(SEARCH("R112",G296))*112,0)+IFERROR(--ISNUMBER(SEARCH("R113",G296))*113,0)+IFERROR(--ISNUMBER(SEARCH("R114",G296))*114,0)+IFERROR(--ISNUMBER(SEARCH("R115",G296))*115,0)+IFERROR(--ISNUMBER(SEARCH("R116",G296))*116,0)+IFERROR(--ISNUMBER(SEARCH("R117",G296))*117,0)+IFERROR(--ISNUMBER(SEARCH("R118",G296))*118,0)+IFERROR(--ISNUMBER(SEARCH("R119",G296))*119,0)+IFERROR(--ISNUMBER(SEARCH("R120",G296))*120,0)+IFERROR(--ISNUMBER(SEARCH("R121",G296))*121,0)+IFERROR(--ISNUMBER(SEARCH("R122",G296))*122,0)+IFERROR(--ISNUMBER(SEARCH("R123",G296))*123,0)+IFERROR(--ISNUMBER(SEARCH("R124",G296))*124,0)+IFERROR(--ISNUMBER(SEARCH("R125",G296))*125,0)+IFERROR(--ISNUMBER(SEARCH("R126",G296))*126,0)+IFERROR(--ISNUMBER(SEARCH("R127",G296))*127,0)+IFERROR(--ISNUMBER(SEARCH("R128",G296))*128,0)+IFERROR(--ISNUMBER(SEARCH("R129",G296))*129,0)+IFERROR(--ISNUMBER(SEARCH("R130",G296))*130,0)+IFERROR(--ISNUMBER(SEARCH("R131",G296))*131,0)+IFERROR(--ISNUMBER(SEARCH("R132",G296))*132,0)+IFERROR(--ISNUMBER(SEARCH("R133",G296))*133,0)+IFERROR(--ISNUMBER(SEARCH("R134",G296))*134,0)+IFERROR(--ISNUMBER(SEARCH("R135",G296))*135,0)+IFERROR(--ISNUMBER(SEARCH("R136",G296))*136,0)+IFERROR(--ISNUMBER(SEARCH("R137",G296))*137,0)+IFERROR(--ISNUMBER(SEARCH("R138",G296))*138,0)+IFERROR(--ISNUMBER(SEARCH("R139",G296))*139,0)+IFERROR(--ISNUMBER(SEARCH("R140",G296))*140,0)+IFERROR(--ISNUMBER(SEARCH("R141",G296))*141,0))</f>
        <v/>
      </c>
      <c r="V296" s="59">
        <f>IF(A296="","",IF(K296&lt;&gt;"",K296,J296))</f>
        <v/>
      </c>
      <c r="W296" s="59">
        <f>IF(A296="","",IF(AND(V296=29,O296&lt;&gt;"",COUNTIFS($V$6:$V$505,29,$F$6:$F$505,F296,$C$6:$C$505,C296,$O$6:$O$505,"&lt;&gt;")&gt;1),IF(COUNTIFS($V$6:V296,29,$F$6:F296,F296,$C$6:C296,C296,$O$6:O296,"&lt;&gt;")=1,"Esta es la fila que se debe CONSERVAR (aparición 1 de "&amp;COUNTIFS($V$6:$V$505,29,$F$6:$F$505,F296,$C$6:$C$505,C296,$O$6:$O$505,"&lt;&gt;")&amp;" con el mismo tercero y valor, casilla 29). Si hay más filas iguales, bórreles el valor a ELLAS, no a esta.","DUPLICADO — ya existe otra fila con el mismo tercero y valor para casilla 29 (aparición "&amp;COUNTIFS($V$6:V296,29,$F$6:F296,F296,$C$6:C296,C296,$O$6:O296,"&lt;&gt;")&amp;" de "&amp;COUNTIFS($V$6:$V$505,29,$F$6:$F$505,F296,$C$6:$C$505,C296,$O$6:$O$505,"&lt;&gt;")&amp;"). Para resolverlo: seleccione la celda O"&amp;ROW()&amp;" (columna Valor a declarar de ESTA fila) y presione Supr."),""))</f>
        <v/>
      </c>
      <c r="X296" s="463">
        <f>IF(A296="","",F296)</f>
        <v/>
      </c>
      <c r="Y296" s="463">
        <f>IF(A296="","",SUMIF(Entrada_Manual!$I$88:$I$187,A296,Entrada_Manual!$F$88:$F$187))</f>
        <v/>
      </c>
      <c r="Z296" s="463">
        <f>IF(A296="","",X296-Y296)</f>
        <v/>
      </c>
      <c r="AA296">
        <f>IF(A296="","",SUMPRODUCT((Entrada_Manual!$I$88:$I$187=A296)*1))</f>
        <v/>
      </c>
      <c r="AB296">
        <f>IF(A296="","",IF(S296&lt;=1,"",IF(AA296=0,"PENDIENTE — SIN ASIGNAR",IF(Z296=0,"RESUELTO","PARCIAL — DIFERENCIA "&amp;TEXT(Z296,"#,##0")))))</f>
        <v/>
      </c>
    </row>
    <row r="297" ht="14.25" customHeight="1" s="235">
      <c r="A297" s="47">
        <f>IF(Exogena_RAW!E306&lt;&gt;"",ROW()-5,"")</f>
        <v/>
      </c>
      <c r="B297" s="48">
        <f>IF(A297="","",306)</f>
        <v/>
      </c>
      <c r="C297" s="48">
        <f>IF(A297="","",IFERROR(Exogena_RAW!A306,""))</f>
        <v/>
      </c>
      <c r="D297" s="48">
        <f>IF(A297="","",IFERROR(Exogena_RAW!B306,""))</f>
        <v/>
      </c>
      <c r="E297" s="48">
        <f>IF(A297="","",Exogena_RAW!E306)</f>
        <v/>
      </c>
      <c r="F297" s="461">
        <f>IF(A297="","",Exogena_RAW!F306)</f>
        <v/>
      </c>
      <c r="G297" s="48">
        <f>IF(A297="","",IFERROR(Exogena_RAW!G306,""))</f>
        <v/>
      </c>
      <c r="H297" s="48">
        <f>IF(A297="","",IFERROR(Exogena_RAW!H306,""))</f>
        <v/>
      </c>
      <c r="I297" s="48">
        <f>IF(A297="","",IFERROR(IF(S297&gt;1,"VARIAS CASILLAS",IF(S297=1,IF(T297=1,"PROPUESTA DE CASILLA","REVISIÓN: CASILLA NO DIRECTA"),IF(OR(ISNUMBER(SEARCH("TOPE",UPPER(E297))),ISNUMBER(SEARCH("TOPE",UPPER(G297)))),"SOLO CONTROL",IF(ISNUMBER(SEARCH("RETEN",UPPER(E297))),"RETENCIÓN","REVISAR")))),"REVISAR"))</f>
        <v/>
      </c>
      <c r="J297" s="48">
        <f>IF(A297="","",IF(ISNUMBER(SEARCH("ingreso laboral promedio de los últimos seis meses",E297)),"",IFERROR(IF(AND(S297=1,T297=1),U297,""),"")))</f>
        <v/>
      </c>
      <c r="K297" s="216" t="n"/>
      <c r="L297" s="48">
        <f>IF(A297="","",IFERROR(IF(K297&lt;&gt;"","Casilla elegida por usuario",IF(S297&gt;1,"Varias casillas — elegir en K",IF(J297&lt;&gt;"","Sugerencia directa",IF(S297=1,"No trasladar directo — revisar",IF(OR(ISNUMBER(SEARCH("TOPE",UPPER(E297))),ISNUMBER(SEARCH("TOPE",UPPER(G297)))),"Solo control","Revisar manualmente"))))),"Revisar manualmente"))</f>
        <v/>
      </c>
      <c r="M297" s="461">
        <f>IF(A297="","",IF(IF(K297&lt;&gt;"",K297,J297)="",0,IF(COUNTIFS(Reglas!$I$5:$I$118,IF(K297&lt;&gt;"",K297,J297),Reglas!$J$5:$J$118,"Sí")=1,F297,0)))</f>
        <v/>
      </c>
      <c r="N297" s="56" t="n"/>
      <c r="O297" s="462">
        <f>IF(A297="","",IF(M297=0,"",M297))</f>
        <v/>
      </c>
      <c r="P297" s="461">
        <f>IF(A297="","",IF(O297="",0,IF(ISNUMBER(O297),O297,0)))</f>
        <v/>
      </c>
      <c r="Q297" s="48">
        <f>IF(A297="","",IF(Exogena_RAW!$C$4="","BLOQUEADO: FALTA AÑO",IF(Exogena_RAW!$K$10&lt;&gt;Reglas!$B$5,"BLOQUEADO: AÑO",IF(IF(K297&lt;&gt;"",K297,J297)="",IF(S297&gt;1,"REQUIERE ASIGNACIÓN MANUAL (VARIAS CASILLAS)","INFORMATIVO (sin casilla — no se declara)"),IF(COUNTIFS(Reglas!$I$5:$I$118,IF(K297&lt;&gt;"",K297,J297),Reglas!$J$5:$J$118,"Sí")=0,"BLOQUEADO: CASILLA NO DIRECTA",IF(O297="","EXCLUIDO (valor borrado por el usuario)",IF(_xlfn.ISFORMULA(O297),IF(W297&lt;&gt;"","BORRADOR — VALOR SUGERIDO DIAN ⚠ VER ALERTA","BORRADOR — VALOR SUGERIDO DIAN"),IF(W297&lt;&gt;"","ACEPTADO ⚠ VER ALERTA","ACEPTADO"))))))))</f>
        <v/>
      </c>
      <c r="R297" s="218" t="n"/>
      <c r="S297" s="58">
        <f>IF(A297="","",IFERROR(--ISNUMBER(SEARCH("R28",G297)),0)+IFERROR(--ISNUMBER(SEARCH("R29",G297)),0)+IFERROR(--ISNUMBER(SEARCH("R30",G297)),0)+IFERROR(--ISNUMBER(SEARCH("R31",G297)),0)+IFERROR(--ISNUMBER(SEARCH("R32",G297)),0)+IFERROR(--ISNUMBER(SEARCH("R33",G297)),0)+IFERROR(--ISNUMBER(SEARCH("R34",G297)),0)+IFERROR(--ISNUMBER(SEARCH("R35",G297)),0)+IFERROR(--ISNUMBER(SEARCH("R36",G297)),0)+IFERROR(--ISNUMBER(SEARCH("R37",G297)),0)+IFERROR(--ISNUMBER(SEARCH("R38",G297)),0)+IFERROR(--ISNUMBER(SEARCH("R39",G297)),0)+IFERROR(--ISNUMBER(SEARCH("R40",G297)),0)+IFERROR(--ISNUMBER(SEARCH("R41",G297)),0)+IFERROR(--ISNUMBER(SEARCH("R42",G297)),0)+IFERROR(--ISNUMBER(SEARCH("R43",G297)),0)+IFERROR(--ISNUMBER(SEARCH("R44",G297)),0)+IFERROR(--ISNUMBER(SEARCH("R45",G297)),0)+IFERROR(--ISNUMBER(SEARCH("R46",G297)),0)+IFERROR(--ISNUMBER(SEARCH("R47",G297)),0)+IFERROR(--ISNUMBER(SEARCH("R48",G297)),0)+IFERROR(--ISNUMBER(SEARCH("R49",G297)),0)+IFERROR(--ISNUMBER(SEARCH("R50",G297)),0)+IFERROR(--ISNUMBER(SEARCH("R51",G297)),0)+IFERROR(--ISNUMBER(SEARCH("R52",G297)),0)+IFERROR(--ISNUMBER(SEARCH("R53",G297)),0)+IFERROR(--ISNUMBER(SEARCH("R54",G297)),0)+IFERROR(--ISNUMBER(SEARCH("R55",G297)),0)+IFERROR(--ISNUMBER(SEARCH("R56",G297)),0)+IFERROR(--ISNUMBER(SEARCH("R57",G297)),0)+IFERROR(--ISNUMBER(SEARCH("R58",G297)),0)+IFERROR(--ISNUMBER(SEARCH("R59",G297)),0)+IFERROR(--ISNUMBER(SEARCH("R60",G297)),0)+IFERROR(--ISNUMBER(SEARCH("R61",G297)),0)+IFERROR(--ISNUMBER(SEARCH("R62",G297)),0)+IFERROR(--ISNUMBER(SEARCH("R63",G297)),0)+IFERROR(--ISNUMBER(SEARCH("R64",G297)),0)+IFERROR(--ISNUMBER(SEARCH("R65",G297)),0)+IFERROR(--ISNUMBER(SEARCH("R66",G297)),0)+IFERROR(--ISNUMBER(SEARCH("R67",G297)),0)+IFERROR(--ISNUMBER(SEARCH("R68",G297)),0)+IFERROR(--ISNUMBER(SEARCH("R69",G297)),0)+IFERROR(--ISNUMBER(SEARCH("R70",G297)),0)+IFERROR(--ISNUMBER(SEARCH("R71",G297)),0)+IFERROR(--ISNUMBER(SEARCH("R72",G297)),0)+IFERROR(--ISNUMBER(SEARCH("R73",G297)),0)+IFERROR(--ISNUMBER(SEARCH("R74",G297)),0)+IFERROR(--ISNUMBER(SEARCH("R75",G297)),0)+IFERROR(--ISNUMBER(SEARCH("R76",G297)),0)+IFERROR(--ISNUMBER(SEARCH("R77",G297)),0)+IFERROR(--ISNUMBER(SEARCH("R78",G297)),0)+IFERROR(--ISNUMBER(SEARCH("R79",G297)),0)+IFERROR(--ISNUMBER(SEARCH("R80",G297)),0)+IFERROR(--ISNUMBER(SEARCH("R81",G297)),0)+IFERROR(--ISNUMBER(SEARCH("R82",G297)),0)+IFERROR(--ISNUMBER(SEARCH("R83",G297)),0)+IFERROR(--ISNUMBER(SEARCH("R84",G297)),0)+IFERROR(--ISNUMBER(SEARCH("R85",G297)),0)+IFERROR(--ISNUMBER(SEARCH("R86",G297)),0)+IFERROR(--ISNUMBER(SEARCH("R87",G297)),0)+IFERROR(--ISNUMBER(SEARCH("R88",G297)),0)+IFERROR(--ISNUMBER(SEARCH("R89",G297)),0)+IFERROR(--ISNUMBER(SEARCH("R90",G297)),0)+IFERROR(--ISNUMBER(SEARCH("R91",G297)),0)+IFERROR(--ISNUMBER(SEARCH("R92",G297)),0)+IFERROR(--ISNUMBER(SEARCH("R93",G297)),0)+IFERROR(--ISNUMBER(SEARCH("R94",G297)),0)+IFERROR(--ISNUMBER(SEARCH("R95",G297)),0)+IFERROR(--ISNUMBER(SEARCH("R96",G297)),0)+IFERROR(--ISNUMBER(SEARCH("R97",G297)),0)+IFERROR(--ISNUMBER(SEARCH("R98",G297)),0)+IFERROR(--ISNUMBER(SEARCH("R99",G297)),0)+IFERROR(--ISNUMBER(SEARCH("R100",G297)),0)+IFERROR(--ISNUMBER(SEARCH("R101",G297)),0)+IFERROR(--ISNUMBER(SEARCH("R102",G297)),0)+IFERROR(--ISNUMBER(SEARCH("R103",G297)),0)+IFERROR(--ISNUMBER(SEARCH("R104",G297)),0)+IFERROR(--ISNUMBER(SEARCH("R105",G297)),0)+IFERROR(--ISNUMBER(SEARCH("R106",G297)),0)+IFERROR(--ISNUMBER(SEARCH("R107",G297)),0)+IFERROR(--ISNUMBER(SEARCH("R108",G297)),0)+IFERROR(--ISNUMBER(SEARCH("R109",G297)),0)+IFERROR(--ISNUMBER(SEARCH("R110",G297)),0)+IFERROR(--ISNUMBER(SEARCH("R111",G297)),0)+IFERROR(--ISNUMBER(SEARCH("R112",G297)),0)+IFERROR(--ISNUMBER(SEARCH("R113",G297)),0)+IFERROR(--ISNUMBER(SEARCH("R114",G297)),0)+IFERROR(--ISNUMBER(SEARCH("R115",G297)),0)+IFERROR(--ISNUMBER(SEARCH("R116",G297)),0)+IFERROR(--ISNUMBER(SEARCH("R117",G297)),0)+IFERROR(--ISNUMBER(SEARCH("R118",G297)),0)+IFERROR(--ISNUMBER(SEARCH("R119",G297)),0)+IFERROR(--ISNUMBER(SEARCH("R120",G297)),0)+IFERROR(--ISNUMBER(SEARCH("R121",G297)),0)+IFERROR(--ISNUMBER(SEARCH("R122",G297)),0)+IFERROR(--ISNUMBER(SEARCH("R123",G297)),0)+IFERROR(--ISNUMBER(SEARCH("R124",G297)),0)+IFERROR(--ISNUMBER(SEARCH("R125",G297)),0)+IFERROR(--ISNUMBER(SEARCH("R126",G297)),0)+IFERROR(--ISNUMBER(SEARCH("R127",G297)),0)+IFERROR(--ISNUMBER(SEARCH("R128",G297)),0)+IFERROR(--ISNUMBER(SEARCH("R129",G297)),0)+IFERROR(--ISNUMBER(SEARCH("R130",G297)),0)+IFERROR(--ISNUMBER(SEARCH("R131",G297)),0)+IFERROR(--ISNUMBER(SEARCH("R132",G297)),0)+IFERROR(--ISNUMBER(SEARCH("R133",G297)),0)+IFERROR(--ISNUMBER(SEARCH("R134",G297)),0)+IFERROR(--ISNUMBER(SEARCH("R135",G297)),0)+IFERROR(--ISNUMBER(SEARCH("R136",G297)),0)+IFERROR(--ISNUMBER(SEARCH("R137",G297)),0)+IFERROR(--ISNUMBER(SEARCH("R138",G297)),0)+IFERROR(--ISNUMBER(SEARCH("R139",G297)),0)+IFERROR(--ISNUMBER(SEARCH("R140",G297)),0)+IFERROR(--ISNUMBER(SEARCH("R141",G297)),0))</f>
        <v/>
      </c>
      <c r="T297" s="58">
        <f>IF(A297="","",IFERROR(--ISNUMBER(SEARCH("R28",G297)),0)+IFERROR(--ISNUMBER(SEARCH("R29",G297)),0)+IFERROR(--ISNUMBER(SEARCH("R30",G297)),0)+IFERROR(--ISNUMBER(SEARCH("R32",G297)),0)+IFERROR(--ISNUMBER(SEARCH("R33",G297)),0)+IFERROR(--ISNUMBER(SEARCH("R35",G297)),0)+IFERROR(--ISNUMBER(SEARCH("R36",G297)),0)+IFERROR(--ISNUMBER(SEARCH("R38",G297)),0)+IFERROR(--ISNUMBER(SEARCH("R39",G297)),0)+IFERROR(--ISNUMBER(SEARCH("R43",G297)),0)+IFERROR(--ISNUMBER(SEARCH("R44",G297)),0)+IFERROR(--ISNUMBER(SEARCH("R45",G297)),0)+IFERROR(--ISNUMBER(SEARCH("R47",G297)),0)+IFERROR(--ISNUMBER(SEARCH("R48",G297)),0)+IFERROR(--ISNUMBER(SEARCH("R50",G297)),0)+IFERROR(--ISNUMBER(SEARCH("R51",G297)),0)+IFERROR(--ISNUMBER(SEARCH("R56",G297)),0)+IFERROR(--ISNUMBER(SEARCH("R58",G297)),0)+IFERROR(--ISNUMBER(SEARCH("R59",G297)),0)+IFERROR(--ISNUMBER(SEARCH("R60",G297)),0)+IFERROR(--ISNUMBER(SEARCH("R62",G297)),0)+IFERROR(--ISNUMBER(SEARCH("R63",G297)),0)+IFERROR(--ISNUMBER(SEARCH("R64",G297)),0)+IFERROR(--ISNUMBER(SEARCH("R66",G297)),0)+IFERROR(--ISNUMBER(SEARCH("R67",G297)),0)+IFERROR(--ISNUMBER(SEARCH("R72",G297)),0)+IFERROR(--ISNUMBER(SEARCH("R74",G297)),0)+IFERROR(--ISNUMBER(SEARCH("R75",G297)),0)+IFERROR(--ISNUMBER(SEARCH("R76",G297)),0)+IFERROR(--ISNUMBER(SEARCH("R77",G297)),0)+IFERROR(--ISNUMBER(SEARCH("R79",G297)),0)+IFERROR(--ISNUMBER(SEARCH("R80",G297)),0)+IFERROR(--ISNUMBER(SEARCH("R81",G297)),0)+IFERROR(--ISNUMBER(SEARCH("R83",G297)),0)+IFERROR(--ISNUMBER(SEARCH("R84",G297)),0)+IFERROR(--ISNUMBER(SEARCH("R89",G297)),0)+IFERROR(--ISNUMBER(SEARCH("R94",G297)),0)+IFERROR(--ISNUMBER(SEARCH("R95",G297)),0)+IFERROR(--ISNUMBER(SEARCH("R96",G297)),0)+IFERROR(--ISNUMBER(SEARCH("R98",G297)),0)+IFERROR(--ISNUMBER(SEARCH("R99",G297)),0)+IFERROR(--ISNUMBER(SEARCH("R100",G297)),0)+IFERROR(--ISNUMBER(SEARCH("R104",G297)),0)+IFERROR(--ISNUMBER(SEARCH("R105",G297)),0)+IFERROR(--ISNUMBER(SEARCH("R107",G297)),0)+IFERROR(--ISNUMBER(SEARCH("R108",G297)),0)+IFERROR(--ISNUMBER(SEARCH("R109",G297)),0)+IFERROR(--ISNUMBER(SEARCH("R110",G297)),0)+IFERROR(--ISNUMBER(SEARCH("R112",G297)),0)+IFERROR(--ISNUMBER(SEARCH("R113",G297)),0)+IFERROR(--ISNUMBER(SEARCH("R114",G297)),0)+IFERROR(--ISNUMBER(SEARCH("R118",G297)),0)+IFERROR(--ISNUMBER(SEARCH("R119",G297)),0)+IFERROR(--ISNUMBER(SEARCH("R120",G297)),0)+IFERROR(--ISNUMBER(SEARCH("R122",G297)),0)+IFERROR(--ISNUMBER(SEARCH("R123",G297)),0)+IFERROR(--ISNUMBER(SEARCH("R124",G297)),0)+IFERROR(--ISNUMBER(SEARCH("R128",G297)),0)+IFERROR(--ISNUMBER(SEARCH("R130",G297)),0)+IFERROR(--ISNUMBER(SEARCH("R131",G297)),0)+IFERROR(--ISNUMBER(SEARCH("R132",G297)),0)+IFERROR(--ISNUMBER(SEARCH("R135",G297)),0)+IFERROR(--ISNUMBER(SEARCH("R138",G297)),0)+IFERROR(--ISNUMBER(SEARCH("R141",G297)),0))</f>
        <v/>
      </c>
      <c r="U297" s="58">
        <f>IF(A297="","",IFERROR(--ISNUMBER(SEARCH("R28",G297))*28,0)+IFERROR(--ISNUMBER(SEARCH("R29",G297))*29,0)+IFERROR(--ISNUMBER(SEARCH("R30",G297))*30,0)+IFERROR(--ISNUMBER(SEARCH("R31",G297))*31,0)+IFERROR(--ISNUMBER(SEARCH("R32",G297))*32,0)+IFERROR(--ISNUMBER(SEARCH("R33",G297))*33,0)+IFERROR(--ISNUMBER(SEARCH("R34",G297))*34,0)+IFERROR(--ISNUMBER(SEARCH("R35",G297))*35,0)+IFERROR(--ISNUMBER(SEARCH("R36",G297))*36,0)+IFERROR(--ISNUMBER(SEARCH("R37",G297))*37,0)+IFERROR(--ISNUMBER(SEARCH("R38",G297))*38,0)+IFERROR(--ISNUMBER(SEARCH("R39",G297))*39,0)+IFERROR(--ISNUMBER(SEARCH("R40",G297))*40,0)+IFERROR(--ISNUMBER(SEARCH("R41",G297))*41,0)+IFERROR(--ISNUMBER(SEARCH("R42",G297))*42,0)+IFERROR(--ISNUMBER(SEARCH("R43",G297))*43,0)+IFERROR(--ISNUMBER(SEARCH("R44",G297))*44,0)+IFERROR(--ISNUMBER(SEARCH("R45",G297))*45,0)+IFERROR(--ISNUMBER(SEARCH("R46",G297))*46,0)+IFERROR(--ISNUMBER(SEARCH("R47",G297))*47,0)+IFERROR(--ISNUMBER(SEARCH("R48",G297))*48,0)+IFERROR(--ISNUMBER(SEARCH("R49",G297))*49,0)+IFERROR(--ISNUMBER(SEARCH("R50",G297))*50,0)+IFERROR(--ISNUMBER(SEARCH("R51",G297))*51,0)+IFERROR(--ISNUMBER(SEARCH("R52",G297))*52,0)+IFERROR(--ISNUMBER(SEARCH("R53",G297))*53,0)+IFERROR(--ISNUMBER(SEARCH("R54",G297))*54,0)+IFERROR(--ISNUMBER(SEARCH("R55",G297))*55,0)+IFERROR(--ISNUMBER(SEARCH("R56",G297))*56,0)+IFERROR(--ISNUMBER(SEARCH("R57",G297))*57,0)+IFERROR(--ISNUMBER(SEARCH("R58",G297))*58,0)+IFERROR(--ISNUMBER(SEARCH("R59",G297))*59,0)+IFERROR(--ISNUMBER(SEARCH("R60",G297))*60,0)+IFERROR(--ISNUMBER(SEARCH("R61",G297))*61,0)+IFERROR(--ISNUMBER(SEARCH("R62",G297))*62,0)+IFERROR(--ISNUMBER(SEARCH("R63",G297))*63,0)+IFERROR(--ISNUMBER(SEARCH("R64",G297))*64,0)+IFERROR(--ISNUMBER(SEARCH("R65",G297))*65,0)+IFERROR(--ISNUMBER(SEARCH("R66",G297))*66,0)+IFERROR(--ISNUMBER(SEARCH("R67",G297))*67,0)+IFERROR(--ISNUMBER(SEARCH("R68",G297))*68,0)+IFERROR(--ISNUMBER(SEARCH("R69",G297))*69,0)+IFERROR(--ISNUMBER(SEARCH("R70",G297))*70,0)+IFERROR(--ISNUMBER(SEARCH("R71",G297))*71,0)+IFERROR(--ISNUMBER(SEARCH("R72",G297))*72,0)+IFERROR(--ISNUMBER(SEARCH("R73",G297))*73,0)+IFERROR(--ISNUMBER(SEARCH("R74",G297))*74,0)+IFERROR(--ISNUMBER(SEARCH("R75",G297))*75,0)+IFERROR(--ISNUMBER(SEARCH("R76",G297))*76,0)+IFERROR(--ISNUMBER(SEARCH("R77",G297))*77,0)+IFERROR(--ISNUMBER(SEARCH("R78",G297))*78,0)+IFERROR(--ISNUMBER(SEARCH("R79",G297))*79,0)+IFERROR(--ISNUMBER(SEARCH("R80",G297))*80,0)+IFERROR(--ISNUMBER(SEARCH("R81",G297))*81,0)+IFERROR(--ISNUMBER(SEARCH("R82",G297))*82,0)+IFERROR(--ISNUMBER(SEARCH("R83",G297))*83,0)+IFERROR(--ISNUMBER(SEARCH("R84",G297))*84,0)+IFERROR(--ISNUMBER(SEARCH("R85",G297))*85,0)+IFERROR(--ISNUMBER(SEARCH("R86",G297))*86,0)+IFERROR(--ISNUMBER(SEARCH("R87",G297))*87,0)+IFERROR(--ISNUMBER(SEARCH("R88",G297))*88,0)+IFERROR(--ISNUMBER(SEARCH("R89",G297))*89,0)+IFERROR(--ISNUMBER(SEARCH("R90",G297))*90,0)+IFERROR(--ISNUMBER(SEARCH("R91",G297))*91,0)+IFERROR(--ISNUMBER(SEARCH("R92",G297))*92,0)+IFERROR(--ISNUMBER(SEARCH("R93",G297))*93,0)+IFERROR(--ISNUMBER(SEARCH("R94",G297))*94,0)+IFERROR(--ISNUMBER(SEARCH("R95",G297))*95,0)+IFERROR(--ISNUMBER(SEARCH("R96",G297))*96,0)+IFERROR(--ISNUMBER(SEARCH("R97",G297))*97,0)+IFERROR(--ISNUMBER(SEARCH("R98",G297))*98,0)+IFERROR(--ISNUMBER(SEARCH("R99",G297))*99,0)+IFERROR(--ISNUMBER(SEARCH("R100",G297))*100,0)+IFERROR(--ISNUMBER(SEARCH("R101",G297))*101,0)+IFERROR(--ISNUMBER(SEARCH("R102",G297))*102,0)+IFERROR(--ISNUMBER(SEARCH("R103",G297))*103,0)+IFERROR(--ISNUMBER(SEARCH("R104",G297))*104,0)+IFERROR(--ISNUMBER(SEARCH("R105",G297))*105,0)+IFERROR(--ISNUMBER(SEARCH("R106",G297))*106,0)+IFERROR(--ISNUMBER(SEARCH("R107",G297))*107,0)+IFERROR(--ISNUMBER(SEARCH("R108",G297))*108,0)+IFERROR(--ISNUMBER(SEARCH("R109",G297))*109,0)+IFERROR(--ISNUMBER(SEARCH("R110",G297))*110,0)+IFERROR(--ISNUMBER(SEARCH("R111",G297))*111,0)+IFERROR(--ISNUMBER(SEARCH("R112",G297))*112,0)+IFERROR(--ISNUMBER(SEARCH("R113",G297))*113,0)+IFERROR(--ISNUMBER(SEARCH("R114",G297))*114,0)+IFERROR(--ISNUMBER(SEARCH("R115",G297))*115,0)+IFERROR(--ISNUMBER(SEARCH("R116",G297))*116,0)+IFERROR(--ISNUMBER(SEARCH("R117",G297))*117,0)+IFERROR(--ISNUMBER(SEARCH("R118",G297))*118,0)+IFERROR(--ISNUMBER(SEARCH("R119",G297))*119,0)+IFERROR(--ISNUMBER(SEARCH("R120",G297))*120,0)+IFERROR(--ISNUMBER(SEARCH("R121",G297))*121,0)+IFERROR(--ISNUMBER(SEARCH("R122",G297))*122,0)+IFERROR(--ISNUMBER(SEARCH("R123",G297))*123,0)+IFERROR(--ISNUMBER(SEARCH("R124",G297))*124,0)+IFERROR(--ISNUMBER(SEARCH("R125",G297))*125,0)+IFERROR(--ISNUMBER(SEARCH("R126",G297))*126,0)+IFERROR(--ISNUMBER(SEARCH("R127",G297))*127,0)+IFERROR(--ISNUMBER(SEARCH("R128",G297))*128,0)+IFERROR(--ISNUMBER(SEARCH("R129",G297))*129,0)+IFERROR(--ISNUMBER(SEARCH("R130",G297))*130,0)+IFERROR(--ISNUMBER(SEARCH("R131",G297))*131,0)+IFERROR(--ISNUMBER(SEARCH("R132",G297))*132,0)+IFERROR(--ISNUMBER(SEARCH("R133",G297))*133,0)+IFERROR(--ISNUMBER(SEARCH("R134",G297))*134,0)+IFERROR(--ISNUMBER(SEARCH("R135",G297))*135,0)+IFERROR(--ISNUMBER(SEARCH("R136",G297))*136,0)+IFERROR(--ISNUMBER(SEARCH("R137",G297))*137,0)+IFERROR(--ISNUMBER(SEARCH("R138",G297))*138,0)+IFERROR(--ISNUMBER(SEARCH("R139",G297))*139,0)+IFERROR(--ISNUMBER(SEARCH("R140",G297))*140,0)+IFERROR(--ISNUMBER(SEARCH("R141",G297))*141,0))</f>
        <v/>
      </c>
      <c r="V297" s="59">
        <f>IF(A297="","",IF(K297&lt;&gt;"",K297,J297))</f>
        <v/>
      </c>
      <c r="W297" s="59">
        <f>IF(A297="","",IF(AND(V297=29,O297&lt;&gt;"",COUNTIFS($V$6:$V$505,29,$F$6:$F$505,F297,$C$6:$C$505,C297,$O$6:$O$505,"&lt;&gt;")&gt;1),IF(COUNTIFS($V$6:V297,29,$F$6:F297,F297,$C$6:C297,C297,$O$6:O297,"&lt;&gt;")=1,"Esta es la fila que se debe CONSERVAR (aparición 1 de "&amp;COUNTIFS($V$6:$V$505,29,$F$6:$F$505,F297,$C$6:$C$505,C297,$O$6:$O$505,"&lt;&gt;")&amp;" con el mismo tercero y valor, casilla 29). Si hay más filas iguales, bórreles el valor a ELLAS, no a esta.","DUPLICADO — ya existe otra fila con el mismo tercero y valor para casilla 29 (aparición "&amp;COUNTIFS($V$6:V297,29,$F$6:F297,F297,$C$6:C297,C297,$O$6:O297,"&lt;&gt;")&amp;" de "&amp;COUNTIFS($V$6:$V$505,29,$F$6:$F$505,F297,$C$6:$C$505,C297,$O$6:$O$505,"&lt;&gt;")&amp;"). Para resolverlo: seleccione la celda O"&amp;ROW()&amp;" (columna Valor a declarar de ESTA fila) y presione Supr."),""))</f>
        <v/>
      </c>
      <c r="X297" s="463">
        <f>IF(A297="","",F297)</f>
        <v/>
      </c>
      <c r="Y297" s="463">
        <f>IF(A297="","",SUMIF(Entrada_Manual!$I$88:$I$187,A297,Entrada_Manual!$F$88:$F$187))</f>
        <v/>
      </c>
      <c r="Z297" s="463">
        <f>IF(A297="","",X297-Y297)</f>
        <v/>
      </c>
      <c r="AA297">
        <f>IF(A297="","",SUMPRODUCT((Entrada_Manual!$I$88:$I$187=A297)*1))</f>
        <v/>
      </c>
      <c r="AB297">
        <f>IF(A297="","",IF(S297&lt;=1,"",IF(AA297=0,"PENDIENTE — SIN ASIGNAR",IF(Z297=0,"RESUELTO","PARCIAL — DIFERENCIA "&amp;TEXT(Z297,"#,##0")))))</f>
        <v/>
      </c>
    </row>
    <row r="298" ht="14.25" customHeight="1" s="235">
      <c r="A298" s="47">
        <f>IF(Exogena_RAW!E307&lt;&gt;"",ROW()-5,"")</f>
        <v/>
      </c>
      <c r="B298" s="48">
        <f>IF(A298="","",307)</f>
        <v/>
      </c>
      <c r="C298" s="48">
        <f>IF(A298="","",IFERROR(Exogena_RAW!A307,""))</f>
        <v/>
      </c>
      <c r="D298" s="48">
        <f>IF(A298="","",IFERROR(Exogena_RAW!B307,""))</f>
        <v/>
      </c>
      <c r="E298" s="48">
        <f>IF(A298="","",Exogena_RAW!E307)</f>
        <v/>
      </c>
      <c r="F298" s="461">
        <f>IF(A298="","",Exogena_RAW!F307)</f>
        <v/>
      </c>
      <c r="G298" s="48">
        <f>IF(A298="","",IFERROR(Exogena_RAW!G307,""))</f>
        <v/>
      </c>
      <c r="H298" s="48">
        <f>IF(A298="","",IFERROR(Exogena_RAW!H307,""))</f>
        <v/>
      </c>
      <c r="I298" s="48">
        <f>IF(A298="","",IFERROR(IF(S298&gt;1,"VARIAS CASILLAS",IF(S298=1,IF(T298=1,"PROPUESTA DE CASILLA","REVISIÓN: CASILLA NO DIRECTA"),IF(OR(ISNUMBER(SEARCH("TOPE",UPPER(E298))),ISNUMBER(SEARCH("TOPE",UPPER(G298)))),"SOLO CONTROL",IF(ISNUMBER(SEARCH("RETEN",UPPER(E298))),"RETENCIÓN","REVISAR")))),"REVISAR"))</f>
        <v/>
      </c>
      <c r="J298" s="48">
        <f>IF(A298="","",IF(ISNUMBER(SEARCH("ingreso laboral promedio de los últimos seis meses",E298)),"",IFERROR(IF(AND(S298=1,T298=1),U298,""),"")))</f>
        <v/>
      </c>
      <c r="K298" s="216" t="n"/>
      <c r="L298" s="48">
        <f>IF(A298="","",IFERROR(IF(K298&lt;&gt;"","Casilla elegida por usuario",IF(S298&gt;1,"Varias casillas — elegir en K",IF(J298&lt;&gt;"","Sugerencia directa",IF(S298=1,"No trasladar directo — revisar",IF(OR(ISNUMBER(SEARCH("TOPE",UPPER(E298))),ISNUMBER(SEARCH("TOPE",UPPER(G298)))),"Solo control","Revisar manualmente"))))),"Revisar manualmente"))</f>
        <v/>
      </c>
      <c r="M298" s="461">
        <f>IF(A298="","",IF(IF(K298&lt;&gt;"",K298,J298)="",0,IF(COUNTIFS(Reglas!$I$5:$I$118,IF(K298&lt;&gt;"",K298,J298),Reglas!$J$5:$J$118,"Sí")=1,F298,0)))</f>
        <v/>
      </c>
      <c r="N298" s="56" t="n"/>
      <c r="O298" s="462">
        <f>IF(A298="","",IF(M298=0,"",M298))</f>
        <v/>
      </c>
      <c r="P298" s="461">
        <f>IF(A298="","",IF(O298="",0,IF(ISNUMBER(O298),O298,0)))</f>
        <v/>
      </c>
      <c r="Q298" s="48">
        <f>IF(A298="","",IF(Exogena_RAW!$C$4="","BLOQUEADO: FALTA AÑO",IF(Exogena_RAW!$K$10&lt;&gt;Reglas!$B$5,"BLOQUEADO: AÑO",IF(IF(K298&lt;&gt;"",K298,J298)="",IF(S298&gt;1,"REQUIERE ASIGNACIÓN MANUAL (VARIAS CASILLAS)","INFORMATIVO (sin casilla — no se declara)"),IF(COUNTIFS(Reglas!$I$5:$I$118,IF(K298&lt;&gt;"",K298,J298),Reglas!$J$5:$J$118,"Sí")=0,"BLOQUEADO: CASILLA NO DIRECTA",IF(O298="","EXCLUIDO (valor borrado por el usuario)",IF(_xlfn.ISFORMULA(O298),IF(W298&lt;&gt;"","BORRADOR — VALOR SUGERIDO DIAN ⚠ VER ALERTA","BORRADOR — VALOR SUGERIDO DIAN"),IF(W298&lt;&gt;"","ACEPTADO ⚠ VER ALERTA","ACEPTADO"))))))))</f>
        <v/>
      </c>
      <c r="R298" s="218" t="n"/>
      <c r="S298" s="58">
        <f>IF(A298="","",IFERROR(--ISNUMBER(SEARCH("R28",G298)),0)+IFERROR(--ISNUMBER(SEARCH("R29",G298)),0)+IFERROR(--ISNUMBER(SEARCH("R30",G298)),0)+IFERROR(--ISNUMBER(SEARCH("R31",G298)),0)+IFERROR(--ISNUMBER(SEARCH("R32",G298)),0)+IFERROR(--ISNUMBER(SEARCH("R33",G298)),0)+IFERROR(--ISNUMBER(SEARCH("R34",G298)),0)+IFERROR(--ISNUMBER(SEARCH("R35",G298)),0)+IFERROR(--ISNUMBER(SEARCH("R36",G298)),0)+IFERROR(--ISNUMBER(SEARCH("R37",G298)),0)+IFERROR(--ISNUMBER(SEARCH("R38",G298)),0)+IFERROR(--ISNUMBER(SEARCH("R39",G298)),0)+IFERROR(--ISNUMBER(SEARCH("R40",G298)),0)+IFERROR(--ISNUMBER(SEARCH("R41",G298)),0)+IFERROR(--ISNUMBER(SEARCH("R42",G298)),0)+IFERROR(--ISNUMBER(SEARCH("R43",G298)),0)+IFERROR(--ISNUMBER(SEARCH("R44",G298)),0)+IFERROR(--ISNUMBER(SEARCH("R45",G298)),0)+IFERROR(--ISNUMBER(SEARCH("R46",G298)),0)+IFERROR(--ISNUMBER(SEARCH("R47",G298)),0)+IFERROR(--ISNUMBER(SEARCH("R48",G298)),0)+IFERROR(--ISNUMBER(SEARCH("R49",G298)),0)+IFERROR(--ISNUMBER(SEARCH("R50",G298)),0)+IFERROR(--ISNUMBER(SEARCH("R51",G298)),0)+IFERROR(--ISNUMBER(SEARCH("R52",G298)),0)+IFERROR(--ISNUMBER(SEARCH("R53",G298)),0)+IFERROR(--ISNUMBER(SEARCH("R54",G298)),0)+IFERROR(--ISNUMBER(SEARCH("R55",G298)),0)+IFERROR(--ISNUMBER(SEARCH("R56",G298)),0)+IFERROR(--ISNUMBER(SEARCH("R57",G298)),0)+IFERROR(--ISNUMBER(SEARCH("R58",G298)),0)+IFERROR(--ISNUMBER(SEARCH("R59",G298)),0)+IFERROR(--ISNUMBER(SEARCH("R60",G298)),0)+IFERROR(--ISNUMBER(SEARCH("R61",G298)),0)+IFERROR(--ISNUMBER(SEARCH("R62",G298)),0)+IFERROR(--ISNUMBER(SEARCH("R63",G298)),0)+IFERROR(--ISNUMBER(SEARCH("R64",G298)),0)+IFERROR(--ISNUMBER(SEARCH("R65",G298)),0)+IFERROR(--ISNUMBER(SEARCH("R66",G298)),0)+IFERROR(--ISNUMBER(SEARCH("R67",G298)),0)+IFERROR(--ISNUMBER(SEARCH("R68",G298)),0)+IFERROR(--ISNUMBER(SEARCH("R69",G298)),0)+IFERROR(--ISNUMBER(SEARCH("R70",G298)),0)+IFERROR(--ISNUMBER(SEARCH("R71",G298)),0)+IFERROR(--ISNUMBER(SEARCH("R72",G298)),0)+IFERROR(--ISNUMBER(SEARCH("R73",G298)),0)+IFERROR(--ISNUMBER(SEARCH("R74",G298)),0)+IFERROR(--ISNUMBER(SEARCH("R75",G298)),0)+IFERROR(--ISNUMBER(SEARCH("R76",G298)),0)+IFERROR(--ISNUMBER(SEARCH("R77",G298)),0)+IFERROR(--ISNUMBER(SEARCH("R78",G298)),0)+IFERROR(--ISNUMBER(SEARCH("R79",G298)),0)+IFERROR(--ISNUMBER(SEARCH("R80",G298)),0)+IFERROR(--ISNUMBER(SEARCH("R81",G298)),0)+IFERROR(--ISNUMBER(SEARCH("R82",G298)),0)+IFERROR(--ISNUMBER(SEARCH("R83",G298)),0)+IFERROR(--ISNUMBER(SEARCH("R84",G298)),0)+IFERROR(--ISNUMBER(SEARCH("R85",G298)),0)+IFERROR(--ISNUMBER(SEARCH("R86",G298)),0)+IFERROR(--ISNUMBER(SEARCH("R87",G298)),0)+IFERROR(--ISNUMBER(SEARCH("R88",G298)),0)+IFERROR(--ISNUMBER(SEARCH("R89",G298)),0)+IFERROR(--ISNUMBER(SEARCH("R90",G298)),0)+IFERROR(--ISNUMBER(SEARCH("R91",G298)),0)+IFERROR(--ISNUMBER(SEARCH("R92",G298)),0)+IFERROR(--ISNUMBER(SEARCH("R93",G298)),0)+IFERROR(--ISNUMBER(SEARCH("R94",G298)),0)+IFERROR(--ISNUMBER(SEARCH("R95",G298)),0)+IFERROR(--ISNUMBER(SEARCH("R96",G298)),0)+IFERROR(--ISNUMBER(SEARCH("R97",G298)),0)+IFERROR(--ISNUMBER(SEARCH("R98",G298)),0)+IFERROR(--ISNUMBER(SEARCH("R99",G298)),0)+IFERROR(--ISNUMBER(SEARCH("R100",G298)),0)+IFERROR(--ISNUMBER(SEARCH("R101",G298)),0)+IFERROR(--ISNUMBER(SEARCH("R102",G298)),0)+IFERROR(--ISNUMBER(SEARCH("R103",G298)),0)+IFERROR(--ISNUMBER(SEARCH("R104",G298)),0)+IFERROR(--ISNUMBER(SEARCH("R105",G298)),0)+IFERROR(--ISNUMBER(SEARCH("R106",G298)),0)+IFERROR(--ISNUMBER(SEARCH("R107",G298)),0)+IFERROR(--ISNUMBER(SEARCH("R108",G298)),0)+IFERROR(--ISNUMBER(SEARCH("R109",G298)),0)+IFERROR(--ISNUMBER(SEARCH("R110",G298)),0)+IFERROR(--ISNUMBER(SEARCH("R111",G298)),0)+IFERROR(--ISNUMBER(SEARCH("R112",G298)),0)+IFERROR(--ISNUMBER(SEARCH("R113",G298)),0)+IFERROR(--ISNUMBER(SEARCH("R114",G298)),0)+IFERROR(--ISNUMBER(SEARCH("R115",G298)),0)+IFERROR(--ISNUMBER(SEARCH("R116",G298)),0)+IFERROR(--ISNUMBER(SEARCH("R117",G298)),0)+IFERROR(--ISNUMBER(SEARCH("R118",G298)),0)+IFERROR(--ISNUMBER(SEARCH("R119",G298)),0)+IFERROR(--ISNUMBER(SEARCH("R120",G298)),0)+IFERROR(--ISNUMBER(SEARCH("R121",G298)),0)+IFERROR(--ISNUMBER(SEARCH("R122",G298)),0)+IFERROR(--ISNUMBER(SEARCH("R123",G298)),0)+IFERROR(--ISNUMBER(SEARCH("R124",G298)),0)+IFERROR(--ISNUMBER(SEARCH("R125",G298)),0)+IFERROR(--ISNUMBER(SEARCH("R126",G298)),0)+IFERROR(--ISNUMBER(SEARCH("R127",G298)),0)+IFERROR(--ISNUMBER(SEARCH("R128",G298)),0)+IFERROR(--ISNUMBER(SEARCH("R129",G298)),0)+IFERROR(--ISNUMBER(SEARCH("R130",G298)),0)+IFERROR(--ISNUMBER(SEARCH("R131",G298)),0)+IFERROR(--ISNUMBER(SEARCH("R132",G298)),0)+IFERROR(--ISNUMBER(SEARCH("R133",G298)),0)+IFERROR(--ISNUMBER(SEARCH("R134",G298)),0)+IFERROR(--ISNUMBER(SEARCH("R135",G298)),0)+IFERROR(--ISNUMBER(SEARCH("R136",G298)),0)+IFERROR(--ISNUMBER(SEARCH("R137",G298)),0)+IFERROR(--ISNUMBER(SEARCH("R138",G298)),0)+IFERROR(--ISNUMBER(SEARCH("R139",G298)),0)+IFERROR(--ISNUMBER(SEARCH("R140",G298)),0)+IFERROR(--ISNUMBER(SEARCH("R141",G298)),0))</f>
        <v/>
      </c>
      <c r="T298" s="58">
        <f>IF(A298="","",IFERROR(--ISNUMBER(SEARCH("R28",G298)),0)+IFERROR(--ISNUMBER(SEARCH("R29",G298)),0)+IFERROR(--ISNUMBER(SEARCH("R30",G298)),0)+IFERROR(--ISNUMBER(SEARCH("R32",G298)),0)+IFERROR(--ISNUMBER(SEARCH("R33",G298)),0)+IFERROR(--ISNUMBER(SEARCH("R35",G298)),0)+IFERROR(--ISNUMBER(SEARCH("R36",G298)),0)+IFERROR(--ISNUMBER(SEARCH("R38",G298)),0)+IFERROR(--ISNUMBER(SEARCH("R39",G298)),0)+IFERROR(--ISNUMBER(SEARCH("R43",G298)),0)+IFERROR(--ISNUMBER(SEARCH("R44",G298)),0)+IFERROR(--ISNUMBER(SEARCH("R45",G298)),0)+IFERROR(--ISNUMBER(SEARCH("R47",G298)),0)+IFERROR(--ISNUMBER(SEARCH("R48",G298)),0)+IFERROR(--ISNUMBER(SEARCH("R50",G298)),0)+IFERROR(--ISNUMBER(SEARCH("R51",G298)),0)+IFERROR(--ISNUMBER(SEARCH("R56",G298)),0)+IFERROR(--ISNUMBER(SEARCH("R58",G298)),0)+IFERROR(--ISNUMBER(SEARCH("R59",G298)),0)+IFERROR(--ISNUMBER(SEARCH("R60",G298)),0)+IFERROR(--ISNUMBER(SEARCH("R62",G298)),0)+IFERROR(--ISNUMBER(SEARCH("R63",G298)),0)+IFERROR(--ISNUMBER(SEARCH("R64",G298)),0)+IFERROR(--ISNUMBER(SEARCH("R66",G298)),0)+IFERROR(--ISNUMBER(SEARCH("R67",G298)),0)+IFERROR(--ISNUMBER(SEARCH("R72",G298)),0)+IFERROR(--ISNUMBER(SEARCH("R74",G298)),0)+IFERROR(--ISNUMBER(SEARCH("R75",G298)),0)+IFERROR(--ISNUMBER(SEARCH("R76",G298)),0)+IFERROR(--ISNUMBER(SEARCH("R77",G298)),0)+IFERROR(--ISNUMBER(SEARCH("R79",G298)),0)+IFERROR(--ISNUMBER(SEARCH("R80",G298)),0)+IFERROR(--ISNUMBER(SEARCH("R81",G298)),0)+IFERROR(--ISNUMBER(SEARCH("R83",G298)),0)+IFERROR(--ISNUMBER(SEARCH("R84",G298)),0)+IFERROR(--ISNUMBER(SEARCH("R89",G298)),0)+IFERROR(--ISNUMBER(SEARCH("R94",G298)),0)+IFERROR(--ISNUMBER(SEARCH("R95",G298)),0)+IFERROR(--ISNUMBER(SEARCH("R96",G298)),0)+IFERROR(--ISNUMBER(SEARCH("R98",G298)),0)+IFERROR(--ISNUMBER(SEARCH("R99",G298)),0)+IFERROR(--ISNUMBER(SEARCH("R100",G298)),0)+IFERROR(--ISNUMBER(SEARCH("R104",G298)),0)+IFERROR(--ISNUMBER(SEARCH("R105",G298)),0)+IFERROR(--ISNUMBER(SEARCH("R107",G298)),0)+IFERROR(--ISNUMBER(SEARCH("R108",G298)),0)+IFERROR(--ISNUMBER(SEARCH("R109",G298)),0)+IFERROR(--ISNUMBER(SEARCH("R110",G298)),0)+IFERROR(--ISNUMBER(SEARCH("R112",G298)),0)+IFERROR(--ISNUMBER(SEARCH("R113",G298)),0)+IFERROR(--ISNUMBER(SEARCH("R114",G298)),0)+IFERROR(--ISNUMBER(SEARCH("R118",G298)),0)+IFERROR(--ISNUMBER(SEARCH("R119",G298)),0)+IFERROR(--ISNUMBER(SEARCH("R120",G298)),0)+IFERROR(--ISNUMBER(SEARCH("R122",G298)),0)+IFERROR(--ISNUMBER(SEARCH("R123",G298)),0)+IFERROR(--ISNUMBER(SEARCH("R124",G298)),0)+IFERROR(--ISNUMBER(SEARCH("R128",G298)),0)+IFERROR(--ISNUMBER(SEARCH("R130",G298)),0)+IFERROR(--ISNUMBER(SEARCH("R131",G298)),0)+IFERROR(--ISNUMBER(SEARCH("R132",G298)),0)+IFERROR(--ISNUMBER(SEARCH("R135",G298)),0)+IFERROR(--ISNUMBER(SEARCH("R138",G298)),0)+IFERROR(--ISNUMBER(SEARCH("R141",G298)),0))</f>
        <v/>
      </c>
      <c r="U298" s="58">
        <f>IF(A298="","",IFERROR(--ISNUMBER(SEARCH("R28",G298))*28,0)+IFERROR(--ISNUMBER(SEARCH("R29",G298))*29,0)+IFERROR(--ISNUMBER(SEARCH("R30",G298))*30,0)+IFERROR(--ISNUMBER(SEARCH("R31",G298))*31,0)+IFERROR(--ISNUMBER(SEARCH("R32",G298))*32,0)+IFERROR(--ISNUMBER(SEARCH("R33",G298))*33,0)+IFERROR(--ISNUMBER(SEARCH("R34",G298))*34,0)+IFERROR(--ISNUMBER(SEARCH("R35",G298))*35,0)+IFERROR(--ISNUMBER(SEARCH("R36",G298))*36,0)+IFERROR(--ISNUMBER(SEARCH("R37",G298))*37,0)+IFERROR(--ISNUMBER(SEARCH("R38",G298))*38,0)+IFERROR(--ISNUMBER(SEARCH("R39",G298))*39,0)+IFERROR(--ISNUMBER(SEARCH("R40",G298))*40,0)+IFERROR(--ISNUMBER(SEARCH("R41",G298))*41,0)+IFERROR(--ISNUMBER(SEARCH("R42",G298))*42,0)+IFERROR(--ISNUMBER(SEARCH("R43",G298))*43,0)+IFERROR(--ISNUMBER(SEARCH("R44",G298))*44,0)+IFERROR(--ISNUMBER(SEARCH("R45",G298))*45,0)+IFERROR(--ISNUMBER(SEARCH("R46",G298))*46,0)+IFERROR(--ISNUMBER(SEARCH("R47",G298))*47,0)+IFERROR(--ISNUMBER(SEARCH("R48",G298))*48,0)+IFERROR(--ISNUMBER(SEARCH("R49",G298))*49,0)+IFERROR(--ISNUMBER(SEARCH("R50",G298))*50,0)+IFERROR(--ISNUMBER(SEARCH("R51",G298))*51,0)+IFERROR(--ISNUMBER(SEARCH("R52",G298))*52,0)+IFERROR(--ISNUMBER(SEARCH("R53",G298))*53,0)+IFERROR(--ISNUMBER(SEARCH("R54",G298))*54,0)+IFERROR(--ISNUMBER(SEARCH("R55",G298))*55,0)+IFERROR(--ISNUMBER(SEARCH("R56",G298))*56,0)+IFERROR(--ISNUMBER(SEARCH("R57",G298))*57,0)+IFERROR(--ISNUMBER(SEARCH("R58",G298))*58,0)+IFERROR(--ISNUMBER(SEARCH("R59",G298))*59,0)+IFERROR(--ISNUMBER(SEARCH("R60",G298))*60,0)+IFERROR(--ISNUMBER(SEARCH("R61",G298))*61,0)+IFERROR(--ISNUMBER(SEARCH("R62",G298))*62,0)+IFERROR(--ISNUMBER(SEARCH("R63",G298))*63,0)+IFERROR(--ISNUMBER(SEARCH("R64",G298))*64,0)+IFERROR(--ISNUMBER(SEARCH("R65",G298))*65,0)+IFERROR(--ISNUMBER(SEARCH("R66",G298))*66,0)+IFERROR(--ISNUMBER(SEARCH("R67",G298))*67,0)+IFERROR(--ISNUMBER(SEARCH("R68",G298))*68,0)+IFERROR(--ISNUMBER(SEARCH("R69",G298))*69,0)+IFERROR(--ISNUMBER(SEARCH("R70",G298))*70,0)+IFERROR(--ISNUMBER(SEARCH("R71",G298))*71,0)+IFERROR(--ISNUMBER(SEARCH("R72",G298))*72,0)+IFERROR(--ISNUMBER(SEARCH("R73",G298))*73,0)+IFERROR(--ISNUMBER(SEARCH("R74",G298))*74,0)+IFERROR(--ISNUMBER(SEARCH("R75",G298))*75,0)+IFERROR(--ISNUMBER(SEARCH("R76",G298))*76,0)+IFERROR(--ISNUMBER(SEARCH("R77",G298))*77,0)+IFERROR(--ISNUMBER(SEARCH("R78",G298))*78,0)+IFERROR(--ISNUMBER(SEARCH("R79",G298))*79,0)+IFERROR(--ISNUMBER(SEARCH("R80",G298))*80,0)+IFERROR(--ISNUMBER(SEARCH("R81",G298))*81,0)+IFERROR(--ISNUMBER(SEARCH("R82",G298))*82,0)+IFERROR(--ISNUMBER(SEARCH("R83",G298))*83,0)+IFERROR(--ISNUMBER(SEARCH("R84",G298))*84,0)+IFERROR(--ISNUMBER(SEARCH("R85",G298))*85,0)+IFERROR(--ISNUMBER(SEARCH("R86",G298))*86,0)+IFERROR(--ISNUMBER(SEARCH("R87",G298))*87,0)+IFERROR(--ISNUMBER(SEARCH("R88",G298))*88,0)+IFERROR(--ISNUMBER(SEARCH("R89",G298))*89,0)+IFERROR(--ISNUMBER(SEARCH("R90",G298))*90,0)+IFERROR(--ISNUMBER(SEARCH("R91",G298))*91,0)+IFERROR(--ISNUMBER(SEARCH("R92",G298))*92,0)+IFERROR(--ISNUMBER(SEARCH("R93",G298))*93,0)+IFERROR(--ISNUMBER(SEARCH("R94",G298))*94,0)+IFERROR(--ISNUMBER(SEARCH("R95",G298))*95,0)+IFERROR(--ISNUMBER(SEARCH("R96",G298))*96,0)+IFERROR(--ISNUMBER(SEARCH("R97",G298))*97,0)+IFERROR(--ISNUMBER(SEARCH("R98",G298))*98,0)+IFERROR(--ISNUMBER(SEARCH("R99",G298))*99,0)+IFERROR(--ISNUMBER(SEARCH("R100",G298))*100,0)+IFERROR(--ISNUMBER(SEARCH("R101",G298))*101,0)+IFERROR(--ISNUMBER(SEARCH("R102",G298))*102,0)+IFERROR(--ISNUMBER(SEARCH("R103",G298))*103,0)+IFERROR(--ISNUMBER(SEARCH("R104",G298))*104,0)+IFERROR(--ISNUMBER(SEARCH("R105",G298))*105,0)+IFERROR(--ISNUMBER(SEARCH("R106",G298))*106,0)+IFERROR(--ISNUMBER(SEARCH("R107",G298))*107,0)+IFERROR(--ISNUMBER(SEARCH("R108",G298))*108,0)+IFERROR(--ISNUMBER(SEARCH("R109",G298))*109,0)+IFERROR(--ISNUMBER(SEARCH("R110",G298))*110,0)+IFERROR(--ISNUMBER(SEARCH("R111",G298))*111,0)+IFERROR(--ISNUMBER(SEARCH("R112",G298))*112,0)+IFERROR(--ISNUMBER(SEARCH("R113",G298))*113,0)+IFERROR(--ISNUMBER(SEARCH("R114",G298))*114,0)+IFERROR(--ISNUMBER(SEARCH("R115",G298))*115,0)+IFERROR(--ISNUMBER(SEARCH("R116",G298))*116,0)+IFERROR(--ISNUMBER(SEARCH("R117",G298))*117,0)+IFERROR(--ISNUMBER(SEARCH("R118",G298))*118,0)+IFERROR(--ISNUMBER(SEARCH("R119",G298))*119,0)+IFERROR(--ISNUMBER(SEARCH("R120",G298))*120,0)+IFERROR(--ISNUMBER(SEARCH("R121",G298))*121,0)+IFERROR(--ISNUMBER(SEARCH("R122",G298))*122,0)+IFERROR(--ISNUMBER(SEARCH("R123",G298))*123,0)+IFERROR(--ISNUMBER(SEARCH("R124",G298))*124,0)+IFERROR(--ISNUMBER(SEARCH("R125",G298))*125,0)+IFERROR(--ISNUMBER(SEARCH("R126",G298))*126,0)+IFERROR(--ISNUMBER(SEARCH("R127",G298))*127,0)+IFERROR(--ISNUMBER(SEARCH("R128",G298))*128,0)+IFERROR(--ISNUMBER(SEARCH("R129",G298))*129,0)+IFERROR(--ISNUMBER(SEARCH("R130",G298))*130,0)+IFERROR(--ISNUMBER(SEARCH("R131",G298))*131,0)+IFERROR(--ISNUMBER(SEARCH("R132",G298))*132,0)+IFERROR(--ISNUMBER(SEARCH("R133",G298))*133,0)+IFERROR(--ISNUMBER(SEARCH("R134",G298))*134,0)+IFERROR(--ISNUMBER(SEARCH("R135",G298))*135,0)+IFERROR(--ISNUMBER(SEARCH("R136",G298))*136,0)+IFERROR(--ISNUMBER(SEARCH("R137",G298))*137,0)+IFERROR(--ISNUMBER(SEARCH("R138",G298))*138,0)+IFERROR(--ISNUMBER(SEARCH("R139",G298))*139,0)+IFERROR(--ISNUMBER(SEARCH("R140",G298))*140,0)+IFERROR(--ISNUMBER(SEARCH("R141",G298))*141,0))</f>
        <v/>
      </c>
      <c r="V298" s="59">
        <f>IF(A298="","",IF(K298&lt;&gt;"",K298,J298))</f>
        <v/>
      </c>
      <c r="W298" s="59">
        <f>IF(A298="","",IF(AND(V298=29,O298&lt;&gt;"",COUNTIFS($V$6:$V$505,29,$F$6:$F$505,F298,$C$6:$C$505,C298,$O$6:$O$505,"&lt;&gt;")&gt;1),IF(COUNTIFS($V$6:V298,29,$F$6:F298,F298,$C$6:C298,C298,$O$6:O298,"&lt;&gt;")=1,"Esta es la fila que se debe CONSERVAR (aparición 1 de "&amp;COUNTIFS($V$6:$V$505,29,$F$6:$F$505,F298,$C$6:$C$505,C298,$O$6:$O$505,"&lt;&gt;")&amp;" con el mismo tercero y valor, casilla 29). Si hay más filas iguales, bórreles el valor a ELLAS, no a esta.","DUPLICADO — ya existe otra fila con el mismo tercero y valor para casilla 29 (aparición "&amp;COUNTIFS($V$6:V298,29,$F$6:F298,F298,$C$6:C298,C298,$O$6:O298,"&lt;&gt;")&amp;" de "&amp;COUNTIFS($V$6:$V$505,29,$F$6:$F$505,F298,$C$6:$C$505,C298,$O$6:$O$505,"&lt;&gt;")&amp;"). Para resolverlo: seleccione la celda O"&amp;ROW()&amp;" (columna Valor a declarar de ESTA fila) y presione Supr."),""))</f>
        <v/>
      </c>
      <c r="X298" s="463">
        <f>IF(A298="","",F298)</f>
        <v/>
      </c>
      <c r="Y298" s="463">
        <f>IF(A298="","",SUMIF(Entrada_Manual!$I$88:$I$187,A298,Entrada_Manual!$F$88:$F$187))</f>
        <v/>
      </c>
      <c r="Z298" s="463">
        <f>IF(A298="","",X298-Y298)</f>
        <v/>
      </c>
      <c r="AA298">
        <f>IF(A298="","",SUMPRODUCT((Entrada_Manual!$I$88:$I$187=A298)*1))</f>
        <v/>
      </c>
      <c r="AB298">
        <f>IF(A298="","",IF(S298&lt;=1,"",IF(AA298=0,"PENDIENTE — SIN ASIGNAR",IF(Z298=0,"RESUELTO","PARCIAL — DIFERENCIA "&amp;TEXT(Z298,"#,##0")))))</f>
        <v/>
      </c>
    </row>
    <row r="299" ht="14.25" customHeight="1" s="235">
      <c r="A299" s="47">
        <f>IF(Exogena_RAW!E308&lt;&gt;"",ROW()-5,"")</f>
        <v/>
      </c>
      <c r="B299" s="48">
        <f>IF(A299="","",308)</f>
        <v/>
      </c>
      <c r="C299" s="48">
        <f>IF(A299="","",IFERROR(Exogena_RAW!A308,""))</f>
        <v/>
      </c>
      <c r="D299" s="48">
        <f>IF(A299="","",IFERROR(Exogena_RAW!B308,""))</f>
        <v/>
      </c>
      <c r="E299" s="48">
        <f>IF(A299="","",Exogena_RAW!E308)</f>
        <v/>
      </c>
      <c r="F299" s="461">
        <f>IF(A299="","",Exogena_RAW!F308)</f>
        <v/>
      </c>
      <c r="G299" s="48">
        <f>IF(A299="","",IFERROR(Exogena_RAW!G308,""))</f>
        <v/>
      </c>
      <c r="H299" s="48">
        <f>IF(A299="","",IFERROR(Exogena_RAW!H308,""))</f>
        <v/>
      </c>
      <c r="I299" s="48">
        <f>IF(A299="","",IFERROR(IF(S299&gt;1,"VARIAS CASILLAS",IF(S299=1,IF(T299=1,"PROPUESTA DE CASILLA","REVISIÓN: CASILLA NO DIRECTA"),IF(OR(ISNUMBER(SEARCH("TOPE",UPPER(E299))),ISNUMBER(SEARCH("TOPE",UPPER(G299)))),"SOLO CONTROL",IF(ISNUMBER(SEARCH("RETEN",UPPER(E299))),"RETENCIÓN","REVISAR")))),"REVISAR"))</f>
        <v/>
      </c>
      <c r="J299" s="48">
        <f>IF(A299="","",IF(ISNUMBER(SEARCH("ingreso laboral promedio de los últimos seis meses",E299)),"",IFERROR(IF(AND(S299=1,T299=1),U299,""),"")))</f>
        <v/>
      </c>
      <c r="K299" s="216" t="n"/>
      <c r="L299" s="48">
        <f>IF(A299="","",IFERROR(IF(K299&lt;&gt;"","Casilla elegida por usuario",IF(S299&gt;1,"Varias casillas — elegir en K",IF(J299&lt;&gt;"","Sugerencia directa",IF(S299=1,"No trasladar directo — revisar",IF(OR(ISNUMBER(SEARCH("TOPE",UPPER(E299))),ISNUMBER(SEARCH("TOPE",UPPER(G299)))),"Solo control","Revisar manualmente"))))),"Revisar manualmente"))</f>
        <v/>
      </c>
      <c r="M299" s="461">
        <f>IF(A299="","",IF(IF(K299&lt;&gt;"",K299,J299)="",0,IF(COUNTIFS(Reglas!$I$5:$I$118,IF(K299&lt;&gt;"",K299,J299),Reglas!$J$5:$J$118,"Sí")=1,F299,0)))</f>
        <v/>
      </c>
      <c r="N299" s="56" t="n"/>
      <c r="O299" s="462">
        <f>IF(A299="","",IF(M299=0,"",M299))</f>
        <v/>
      </c>
      <c r="P299" s="461">
        <f>IF(A299="","",IF(O299="",0,IF(ISNUMBER(O299),O299,0)))</f>
        <v/>
      </c>
      <c r="Q299" s="48">
        <f>IF(A299="","",IF(Exogena_RAW!$C$4="","BLOQUEADO: FALTA AÑO",IF(Exogena_RAW!$K$10&lt;&gt;Reglas!$B$5,"BLOQUEADO: AÑO",IF(IF(K299&lt;&gt;"",K299,J299)="",IF(S299&gt;1,"REQUIERE ASIGNACIÓN MANUAL (VARIAS CASILLAS)","INFORMATIVO (sin casilla — no se declara)"),IF(COUNTIFS(Reglas!$I$5:$I$118,IF(K299&lt;&gt;"",K299,J299),Reglas!$J$5:$J$118,"Sí")=0,"BLOQUEADO: CASILLA NO DIRECTA",IF(O299="","EXCLUIDO (valor borrado por el usuario)",IF(_xlfn.ISFORMULA(O299),IF(W299&lt;&gt;"","BORRADOR — VALOR SUGERIDO DIAN ⚠ VER ALERTA","BORRADOR — VALOR SUGERIDO DIAN"),IF(W299&lt;&gt;"","ACEPTADO ⚠ VER ALERTA","ACEPTADO"))))))))</f>
        <v/>
      </c>
      <c r="R299" s="218" t="n"/>
      <c r="S299" s="58">
        <f>IF(A299="","",IFERROR(--ISNUMBER(SEARCH("R28",G299)),0)+IFERROR(--ISNUMBER(SEARCH("R29",G299)),0)+IFERROR(--ISNUMBER(SEARCH("R30",G299)),0)+IFERROR(--ISNUMBER(SEARCH("R31",G299)),0)+IFERROR(--ISNUMBER(SEARCH("R32",G299)),0)+IFERROR(--ISNUMBER(SEARCH("R33",G299)),0)+IFERROR(--ISNUMBER(SEARCH("R34",G299)),0)+IFERROR(--ISNUMBER(SEARCH("R35",G299)),0)+IFERROR(--ISNUMBER(SEARCH("R36",G299)),0)+IFERROR(--ISNUMBER(SEARCH("R37",G299)),0)+IFERROR(--ISNUMBER(SEARCH("R38",G299)),0)+IFERROR(--ISNUMBER(SEARCH("R39",G299)),0)+IFERROR(--ISNUMBER(SEARCH("R40",G299)),0)+IFERROR(--ISNUMBER(SEARCH("R41",G299)),0)+IFERROR(--ISNUMBER(SEARCH("R42",G299)),0)+IFERROR(--ISNUMBER(SEARCH("R43",G299)),0)+IFERROR(--ISNUMBER(SEARCH("R44",G299)),0)+IFERROR(--ISNUMBER(SEARCH("R45",G299)),0)+IFERROR(--ISNUMBER(SEARCH("R46",G299)),0)+IFERROR(--ISNUMBER(SEARCH("R47",G299)),0)+IFERROR(--ISNUMBER(SEARCH("R48",G299)),0)+IFERROR(--ISNUMBER(SEARCH("R49",G299)),0)+IFERROR(--ISNUMBER(SEARCH("R50",G299)),0)+IFERROR(--ISNUMBER(SEARCH("R51",G299)),0)+IFERROR(--ISNUMBER(SEARCH("R52",G299)),0)+IFERROR(--ISNUMBER(SEARCH("R53",G299)),0)+IFERROR(--ISNUMBER(SEARCH("R54",G299)),0)+IFERROR(--ISNUMBER(SEARCH("R55",G299)),0)+IFERROR(--ISNUMBER(SEARCH("R56",G299)),0)+IFERROR(--ISNUMBER(SEARCH("R57",G299)),0)+IFERROR(--ISNUMBER(SEARCH("R58",G299)),0)+IFERROR(--ISNUMBER(SEARCH("R59",G299)),0)+IFERROR(--ISNUMBER(SEARCH("R60",G299)),0)+IFERROR(--ISNUMBER(SEARCH("R61",G299)),0)+IFERROR(--ISNUMBER(SEARCH("R62",G299)),0)+IFERROR(--ISNUMBER(SEARCH("R63",G299)),0)+IFERROR(--ISNUMBER(SEARCH("R64",G299)),0)+IFERROR(--ISNUMBER(SEARCH("R65",G299)),0)+IFERROR(--ISNUMBER(SEARCH("R66",G299)),0)+IFERROR(--ISNUMBER(SEARCH("R67",G299)),0)+IFERROR(--ISNUMBER(SEARCH("R68",G299)),0)+IFERROR(--ISNUMBER(SEARCH("R69",G299)),0)+IFERROR(--ISNUMBER(SEARCH("R70",G299)),0)+IFERROR(--ISNUMBER(SEARCH("R71",G299)),0)+IFERROR(--ISNUMBER(SEARCH("R72",G299)),0)+IFERROR(--ISNUMBER(SEARCH("R73",G299)),0)+IFERROR(--ISNUMBER(SEARCH("R74",G299)),0)+IFERROR(--ISNUMBER(SEARCH("R75",G299)),0)+IFERROR(--ISNUMBER(SEARCH("R76",G299)),0)+IFERROR(--ISNUMBER(SEARCH("R77",G299)),0)+IFERROR(--ISNUMBER(SEARCH("R78",G299)),0)+IFERROR(--ISNUMBER(SEARCH("R79",G299)),0)+IFERROR(--ISNUMBER(SEARCH("R80",G299)),0)+IFERROR(--ISNUMBER(SEARCH("R81",G299)),0)+IFERROR(--ISNUMBER(SEARCH("R82",G299)),0)+IFERROR(--ISNUMBER(SEARCH("R83",G299)),0)+IFERROR(--ISNUMBER(SEARCH("R84",G299)),0)+IFERROR(--ISNUMBER(SEARCH("R85",G299)),0)+IFERROR(--ISNUMBER(SEARCH("R86",G299)),0)+IFERROR(--ISNUMBER(SEARCH("R87",G299)),0)+IFERROR(--ISNUMBER(SEARCH("R88",G299)),0)+IFERROR(--ISNUMBER(SEARCH("R89",G299)),0)+IFERROR(--ISNUMBER(SEARCH("R90",G299)),0)+IFERROR(--ISNUMBER(SEARCH("R91",G299)),0)+IFERROR(--ISNUMBER(SEARCH("R92",G299)),0)+IFERROR(--ISNUMBER(SEARCH("R93",G299)),0)+IFERROR(--ISNUMBER(SEARCH("R94",G299)),0)+IFERROR(--ISNUMBER(SEARCH("R95",G299)),0)+IFERROR(--ISNUMBER(SEARCH("R96",G299)),0)+IFERROR(--ISNUMBER(SEARCH("R97",G299)),0)+IFERROR(--ISNUMBER(SEARCH("R98",G299)),0)+IFERROR(--ISNUMBER(SEARCH("R99",G299)),0)+IFERROR(--ISNUMBER(SEARCH("R100",G299)),0)+IFERROR(--ISNUMBER(SEARCH("R101",G299)),0)+IFERROR(--ISNUMBER(SEARCH("R102",G299)),0)+IFERROR(--ISNUMBER(SEARCH("R103",G299)),0)+IFERROR(--ISNUMBER(SEARCH("R104",G299)),0)+IFERROR(--ISNUMBER(SEARCH("R105",G299)),0)+IFERROR(--ISNUMBER(SEARCH("R106",G299)),0)+IFERROR(--ISNUMBER(SEARCH("R107",G299)),0)+IFERROR(--ISNUMBER(SEARCH("R108",G299)),0)+IFERROR(--ISNUMBER(SEARCH("R109",G299)),0)+IFERROR(--ISNUMBER(SEARCH("R110",G299)),0)+IFERROR(--ISNUMBER(SEARCH("R111",G299)),0)+IFERROR(--ISNUMBER(SEARCH("R112",G299)),0)+IFERROR(--ISNUMBER(SEARCH("R113",G299)),0)+IFERROR(--ISNUMBER(SEARCH("R114",G299)),0)+IFERROR(--ISNUMBER(SEARCH("R115",G299)),0)+IFERROR(--ISNUMBER(SEARCH("R116",G299)),0)+IFERROR(--ISNUMBER(SEARCH("R117",G299)),0)+IFERROR(--ISNUMBER(SEARCH("R118",G299)),0)+IFERROR(--ISNUMBER(SEARCH("R119",G299)),0)+IFERROR(--ISNUMBER(SEARCH("R120",G299)),0)+IFERROR(--ISNUMBER(SEARCH("R121",G299)),0)+IFERROR(--ISNUMBER(SEARCH("R122",G299)),0)+IFERROR(--ISNUMBER(SEARCH("R123",G299)),0)+IFERROR(--ISNUMBER(SEARCH("R124",G299)),0)+IFERROR(--ISNUMBER(SEARCH("R125",G299)),0)+IFERROR(--ISNUMBER(SEARCH("R126",G299)),0)+IFERROR(--ISNUMBER(SEARCH("R127",G299)),0)+IFERROR(--ISNUMBER(SEARCH("R128",G299)),0)+IFERROR(--ISNUMBER(SEARCH("R129",G299)),0)+IFERROR(--ISNUMBER(SEARCH("R130",G299)),0)+IFERROR(--ISNUMBER(SEARCH("R131",G299)),0)+IFERROR(--ISNUMBER(SEARCH("R132",G299)),0)+IFERROR(--ISNUMBER(SEARCH("R133",G299)),0)+IFERROR(--ISNUMBER(SEARCH("R134",G299)),0)+IFERROR(--ISNUMBER(SEARCH("R135",G299)),0)+IFERROR(--ISNUMBER(SEARCH("R136",G299)),0)+IFERROR(--ISNUMBER(SEARCH("R137",G299)),0)+IFERROR(--ISNUMBER(SEARCH("R138",G299)),0)+IFERROR(--ISNUMBER(SEARCH("R139",G299)),0)+IFERROR(--ISNUMBER(SEARCH("R140",G299)),0)+IFERROR(--ISNUMBER(SEARCH("R141",G299)),0))</f>
        <v/>
      </c>
      <c r="T299" s="58">
        <f>IF(A299="","",IFERROR(--ISNUMBER(SEARCH("R28",G299)),0)+IFERROR(--ISNUMBER(SEARCH("R29",G299)),0)+IFERROR(--ISNUMBER(SEARCH("R30",G299)),0)+IFERROR(--ISNUMBER(SEARCH("R32",G299)),0)+IFERROR(--ISNUMBER(SEARCH("R33",G299)),0)+IFERROR(--ISNUMBER(SEARCH("R35",G299)),0)+IFERROR(--ISNUMBER(SEARCH("R36",G299)),0)+IFERROR(--ISNUMBER(SEARCH("R38",G299)),0)+IFERROR(--ISNUMBER(SEARCH("R39",G299)),0)+IFERROR(--ISNUMBER(SEARCH("R43",G299)),0)+IFERROR(--ISNUMBER(SEARCH("R44",G299)),0)+IFERROR(--ISNUMBER(SEARCH("R45",G299)),0)+IFERROR(--ISNUMBER(SEARCH("R47",G299)),0)+IFERROR(--ISNUMBER(SEARCH("R48",G299)),0)+IFERROR(--ISNUMBER(SEARCH("R50",G299)),0)+IFERROR(--ISNUMBER(SEARCH("R51",G299)),0)+IFERROR(--ISNUMBER(SEARCH("R56",G299)),0)+IFERROR(--ISNUMBER(SEARCH("R58",G299)),0)+IFERROR(--ISNUMBER(SEARCH("R59",G299)),0)+IFERROR(--ISNUMBER(SEARCH("R60",G299)),0)+IFERROR(--ISNUMBER(SEARCH("R62",G299)),0)+IFERROR(--ISNUMBER(SEARCH("R63",G299)),0)+IFERROR(--ISNUMBER(SEARCH("R64",G299)),0)+IFERROR(--ISNUMBER(SEARCH("R66",G299)),0)+IFERROR(--ISNUMBER(SEARCH("R67",G299)),0)+IFERROR(--ISNUMBER(SEARCH("R72",G299)),0)+IFERROR(--ISNUMBER(SEARCH("R74",G299)),0)+IFERROR(--ISNUMBER(SEARCH("R75",G299)),0)+IFERROR(--ISNUMBER(SEARCH("R76",G299)),0)+IFERROR(--ISNUMBER(SEARCH("R77",G299)),0)+IFERROR(--ISNUMBER(SEARCH("R79",G299)),0)+IFERROR(--ISNUMBER(SEARCH("R80",G299)),0)+IFERROR(--ISNUMBER(SEARCH("R81",G299)),0)+IFERROR(--ISNUMBER(SEARCH("R83",G299)),0)+IFERROR(--ISNUMBER(SEARCH("R84",G299)),0)+IFERROR(--ISNUMBER(SEARCH("R89",G299)),0)+IFERROR(--ISNUMBER(SEARCH("R94",G299)),0)+IFERROR(--ISNUMBER(SEARCH("R95",G299)),0)+IFERROR(--ISNUMBER(SEARCH("R96",G299)),0)+IFERROR(--ISNUMBER(SEARCH("R98",G299)),0)+IFERROR(--ISNUMBER(SEARCH("R99",G299)),0)+IFERROR(--ISNUMBER(SEARCH("R100",G299)),0)+IFERROR(--ISNUMBER(SEARCH("R104",G299)),0)+IFERROR(--ISNUMBER(SEARCH("R105",G299)),0)+IFERROR(--ISNUMBER(SEARCH("R107",G299)),0)+IFERROR(--ISNUMBER(SEARCH("R108",G299)),0)+IFERROR(--ISNUMBER(SEARCH("R109",G299)),0)+IFERROR(--ISNUMBER(SEARCH("R110",G299)),0)+IFERROR(--ISNUMBER(SEARCH("R112",G299)),0)+IFERROR(--ISNUMBER(SEARCH("R113",G299)),0)+IFERROR(--ISNUMBER(SEARCH("R114",G299)),0)+IFERROR(--ISNUMBER(SEARCH("R118",G299)),0)+IFERROR(--ISNUMBER(SEARCH("R119",G299)),0)+IFERROR(--ISNUMBER(SEARCH("R120",G299)),0)+IFERROR(--ISNUMBER(SEARCH("R122",G299)),0)+IFERROR(--ISNUMBER(SEARCH("R123",G299)),0)+IFERROR(--ISNUMBER(SEARCH("R124",G299)),0)+IFERROR(--ISNUMBER(SEARCH("R128",G299)),0)+IFERROR(--ISNUMBER(SEARCH("R130",G299)),0)+IFERROR(--ISNUMBER(SEARCH("R131",G299)),0)+IFERROR(--ISNUMBER(SEARCH("R132",G299)),0)+IFERROR(--ISNUMBER(SEARCH("R135",G299)),0)+IFERROR(--ISNUMBER(SEARCH("R138",G299)),0)+IFERROR(--ISNUMBER(SEARCH("R141",G299)),0))</f>
        <v/>
      </c>
      <c r="U299" s="58">
        <f>IF(A299="","",IFERROR(--ISNUMBER(SEARCH("R28",G299))*28,0)+IFERROR(--ISNUMBER(SEARCH("R29",G299))*29,0)+IFERROR(--ISNUMBER(SEARCH("R30",G299))*30,0)+IFERROR(--ISNUMBER(SEARCH("R31",G299))*31,0)+IFERROR(--ISNUMBER(SEARCH("R32",G299))*32,0)+IFERROR(--ISNUMBER(SEARCH("R33",G299))*33,0)+IFERROR(--ISNUMBER(SEARCH("R34",G299))*34,0)+IFERROR(--ISNUMBER(SEARCH("R35",G299))*35,0)+IFERROR(--ISNUMBER(SEARCH("R36",G299))*36,0)+IFERROR(--ISNUMBER(SEARCH("R37",G299))*37,0)+IFERROR(--ISNUMBER(SEARCH("R38",G299))*38,0)+IFERROR(--ISNUMBER(SEARCH("R39",G299))*39,0)+IFERROR(--ISNUMBER(SEARCH("R40",G299))*40,0)+IFERROR(--ISNUMBER(SEARCH("R41",G299))*41,0)+IFERROR(--ISNUMBER(SEARCH("R42",G299))*42,0)+IFERROR(--ISNUMBER(SEARCH("R43",G299))*43,0)+IFERROR(--ISNUMBER(SEARCH("R44",G299))*44,0)+IFERROR(--ISNUMBER(SEARCH("R45",G299))*45,0)+IFERROR(--ISNUMBER(SEARCH("R46",G299))*46,0)+IFERROR(--ISNUMBER(SEARCH("R47",G299))*47,0)+IFERROR(--ISNUMBER(SEARCH("R48",G299))*48,0)+IFERROR(--ISNUMBER(SEARCH("R49",G299))*49,0)+IFERROR(--ISNUMBER(SEARCH("R50",G299))*50,0)+IFERROR(--ISNUMBER(SEARCH("R51",G299))*51,0)+IFERROR(--ISNUMBER(SEARCH("R52",G299))*52,0)+IFERROR(--ISNUMBER(SEARCH("R53",G299))*53,0)+IFERROR(--ISNUMBER(SEARCH("R54",G299))*54,0)+IFERROR(--ISNUMBER(SEARCH("R55",G299))*55,0)+IFERROR(--ISNUMBER(SEARCH("R56",G299))*56,0)+IFERROR(--ISNUMBER(SEARCH("R57",G299))*57,0)+IFERROR(--ISNUMBER(SEARCH("R58",G299))*58,0)+IFERROR(--ISNUMBER(SEARCH("R59",G299))*59,0)+IFERROR(--ISNUMBER(SEARCH("R60",G299))*60,0)+IFERROR(--ISNUMBER(SEARCH("R61",G299))*61,0)+IFERROR(--ISNUMBER(SEARCH("R62",G299))*62,0)+IFERROR(--ISNUMBER(SEARCH("R63",G299))*63,0)+IFERROR(--ISNUMBER(SEARCH("R64",G299))*64,0)+IFERROR(--ISNUMBER(SEARCH("R65",G299))*65,0)+IFERROR(--ISNUMBER(SEARCH("R66",G299))*66,0)+IFERROR(--ISNUMBER(SEARCH("R67",G299))*67,0)+IFERROR(--ISNUMBER(SEARCH("R68",G299))*68,0)+IFERROR(--ISNUMBER(SEARCH("R69",G299))*69,0)+IFERROR(--ISNUMBER(SEARCH("R70",G299))*70,0)+IFERROR(--ISNUMBER(SEARCH("R71",G299))*71,0)+IFERROR(--ISNUMBER(SEARCH("R72",G299))*72,0)+IFERROR(--ISNUMBER(SEARCH("R73",G299))*73,0)+IFERROR(--ISNUMBER(SEARCH("R74",G299))*74,0)+IFERROR(--ISNUMBER(SEARCH("R75",G299))*75,0)+IFERROR(--ISNUMBER(SEARCH("R76",G299))*76,0)+IFERROR(--ISNUMBER(SEARCH("R77",G299))*77,0)+IFERROR(--ISNUMBER(SEARCH("R78",G299))*78,0)+IFERROR(--ISNUMBER(SEARCH("R79",G299))*79,0)+IFERROR(--ISNUMBER(SEARCH("R80",G299))*80,0)+IFERROR(--ISNUMBER(SEARCH("R81",G299))*81,0)+IFERROR(--ISNUMBER(SEARCH("R82",G299))*82,0)+IFERROR(--ISNUMBER(SEARCH("R83",G299))*83,0)+IFERROR(--ISNUMBER(SEARCH("R84",G299))*84,0)+IFERROR(--ISNUMBER(SEARCH("R85",G299))*85,0)+IFERROR(--ISNUMBER(SEARCH("R86",G299))*86,0)+IFERROR(--ISNUMBER(SEARCH("R87",G299))*87,0)+IFERROR(--ISNUMBER(SEARCH("R88",G299))*88,0)+IFERROR(--ISNUMBER(SEARCH("R89",G299))*89,0)+IFERROR(--ISNUMBER(SEARCH("R90",G299))*90,0)+IFERROR(--ISNUMBER(SEARCH("R91",G299))*91,0)+IFERROR(--ISNUMBER(SEARCH("R92",G299))*92,0)+IFERROR(--ISNUMBER(SEARCH("R93",G299))*93,0)+IFERROR(--ISNUMBER(SEARCH("R94",G299))*94,0)+IFERROR(--ISNUMBER(SEARCH("R95",G299))*95,0)+IFERROR(--ISNUMBER(SEARCH("R96",G299))*96,0)+IFERROR(--ISNUMBER(SEARCH("R97",G299))*97,0)+IFERROR(--ISNUMBER(SEARCH("R98",G299))*98,0)+IFERROR(--ISNUMBER(SEARCH("R99",G299))*99,0)+IFERROR(--ISNUMBER(SEARCH("R100",G299))*100,0)+IFERROR(--ISNUMBER(SEARCH("R101",G299))*101,0)+IFERROR(--ISNUMBER(SEARCH("R102",G299))*102,0)+IFERROR(--ISNUMBER(SEARCH("R103",G299))*103,0)+IFERROR(--ISNUMBER(SEARCH("R104",G299))*104,0)+IFERROR(--ISNUMBER(SEARCH("R105",G299))*105,0)+IFERROR(--ISNUMBER(SEARCH("R106",G299))*106,0)+IFERROR(--ISNUMBER(SEARCH("R107",G299))*107,0)+IFERROR(--ISNUMBER(SEARCH("R108",G299))*108,0)+IFERROR(--ISNUMBER(SEARCH("R109",G299))*109,0)+IFERROR(--ISNUMBER(SEARCH("R110",G299))*110,0)+IFERROR(--ISNUMBER(SEARCH("R111",G299))*111,0)+IFERROR(--ISNUMBER(SEARCH("R112",G299))*112,0)+IFERROR(--ISNUMBER(SEARCH("R113",G299))*113,0)+IFERROR(--ISNUMBER(SEARCH("R114",G299))*114,0)+IFERROR(--ISNUMBER(SEARCH("R115",G299))*115,0)+IFERROR(--ISNUMBER(SEARCH("R116",G299))*116,0)+IFERROR(--ISNUMBER(SEARCH("R117",G299))*117,0)+IFERROR(--ISNUMBER(SEARCH("R118",G299))*118,0)+IFERROR(--ISNUMBER(SEARCH("R119",G299))*119,0)+IFERROR(--ISNUMBER(SEARCH("R120",G299))*120,0)+IFERROR(--ISNUMBER(SEARCH("R121",G299))*121,0)+IFERROR(--ISNUMBER(SEARCH("R122",G299))*122,0)+IFERROR(--ISNUMBER(SEARCH("R123",G299))*123,0)+IFERROR(--ISNUMBER(SEARCH("R124",G299))*124,0)+IFERROR(--ISNUMBER(SEARCH("R125",G299))*125,0)+IFERROR(--ISNUMBER(SEARCH("R126",G299))*126,0)+IFERROR(--ISNUMBER(SEARCH("R127",G299))*127,0)+IFERROR(--ISNUMBER(SEARCH("R128",G299))*128,0)+IFERROR(--ISNUMBER(SEARCH("R129",G299))*129,0)+IFERROR(--ISNUMBER(SEARCH("R130",G299))*130,0)+IFERROR(--ISNUMBER(SEARCH("R131",G299))*131,0)+IFERROR(--ISNUMBER(SEARCH("R132",G299))*132,0)+IFERROR(--ISNUMBER(SEARCH("R133",G299))*133,0)+IFERROR(--ISNUMBER(SEARCH("R134",G299))*134,0)+IFERROR(--ISNUMBER(SEARCH("R135",G299))*135,0)+IFERROR(--ISNUMBER(SEARCH("R136",G299))*136,0)+IFERROR(--ISNUMBER(SEARCH("R137",G299))*137,0)+IFERROR(--ISNUMBER(SEARCH("R138",G299))*138,0)+IFERROR(--ISNUMBER(SEARCH("R139",G299))*139,0)+IFERROR(--ISNUMBER(SEARCH("R140",G299))*140,0)+IFERROR(--ISNUMBER(SEARCH("R141",G299))*141,0))</f>
        <v/>
      </c>
      <c r="V299" s="59">
        <f>IF(A299="","",IF(K299&lt;&gt;"",K299,J299))</f>
        <v/>
      </c>
      <c r="W299" s="59">
        <f>IF(A299="","",IF(AND(V299=29,O299&lt;&gt;"",COUNTIFS($V$6:$V$505,29,$F$6:$F$505,F299,$C$6:$C$505,C299,$O$6:$O$505,"&lt;&gt;")&gt;1),IF(COUNTIFS($V$6:V299,29,$F$6:F299,F299,$C$6:C299,C299,$O$6:O299,"&lt;&gt;")=1,"Esta es la fila que se debe CONSERVAR (aparición 1 de "&amp;COUNTIFS($V$6:$V$505,29,$F$6:$F$505,F299,$C$6:$C$505,C299,$O$6:$O$505,"&lt;&gt;")&amp;" con el mismo tercero y valor, casilla 29). Si hay más filas iguales, bórreles el valor a ELLAS, no a esta.","DUPLICADO — ya existe otra fila con el mismo tercero y valor para casilla 29 (aparición "&amp;COUNTIFS($V$6:V299,29,$F$6:F299,F299,$C$6:C299,C299,$O$6:O299,"&lt;&gt;")&amp;" de "&amp;COUNTIFS($V$6:$V$505,29,$F$6:$F$505,F299,$C$6:$C$505,C299,$O$6:$O$505,"&lt;&gt;")&amp;"). Para resolverlo: seleccione la celda O"&amp;ROW()&amp;" (columna Valor a declarar de ESTA fila) y presione Supr."),""))</f>
        <v/>
      </c>
      <c r="X299" s="463">
        <f>IF(A299="","",F299)</f>
        <v/>
      </c>
      <c r="Y299" s="463">
        <f>IF(A299="","",SUMIF(Entrada_Manual!$I$88:$I$187,A299,Entrada_Manual!$F$88:$F$187))</f>
        <v/>
      </c>
      <c r="Z299" s="463">
        <f>IF(A299="","",X299-Y299)</f>
        <v/>
      </c>
      <c r="AA299">
        <f>IF(A299="","",SUMPRODUCT((Entrada_Manual!$I$88:$I$187=A299)*1))</f>
        <v/>
      </c>
      <c r="AB299">
        <f>IF(A299="","",IF(S299&lt;=1,"",IF(AA299=0,"PENDIENTE — SIN ASIGNAR",IF(Z299=0,"RESUELTO","PARCIAL — DIFERENCIA "&amp;TEXT(Z299,"#,##0")))))</f>
        <v/>
      </c>
    </row>
    <row r="300" ht="14.25" customHeight="1" s="235">
      <c r="A300" s="47">
        <f>IF(Exogena_RAW!E309&lt;&gt;"",ROW()-5,"")</f>
        <v/>
      </c>
      <c r="B300" s="48">
        <f>IF(A300="","",309)</f>
        <v/>
      </c>
      <c r="C300" s="48">
        <f>IF(A300="","",IFERROR(Exogena_RAW!A309,""))</f>
        <v/>
      </c>
      <c r="D300" s="48">
        <f>IF(A300="","",IFERROR(Exogena_RAW!B309,""))</f>
        <v/>
      </c>
      <c r="E300" s="48">
        <f>IF(A300="","",Exogena_RAW!E309)</f>
        <v/>
      </c>
      <c r="F300" s="461">
        <f>IF(A300="","",Exogena_RAW!F309)</f>
        <v/>
      </c>
      <c r="G300" s="48">
        <f>IF(A300="","",IFERROR(Exogena_RAW!G309,""))</f>
        <v/>
      </c>
      <c r="H300" s="48">
        <f>IF(A300="","",IFERROR(Exogena_RAW!H309,""))</f>
        <v/>
      </c>
      <c r="I300" s="48">
        <f>IF(A300="","",IFERROR(IF(S300&gt;1,"VARIAS CASILLAS",IF(S300=1,IF(T300=1,"PROPUESTA DE CASILLA","REVISIÓN: CASILLA NO DIRECTA"),IF(OR(ISNUMBER(SEARCH("TOPE",UPPER(E300))),ISNUMBER(SEARCH("TOPE",UPPER(G300)))),"SOLO CONTROL",IF(ISNUMBER(SEARCH("RETEN",UPPER(E300))),"RETENCIÓN","REVISAR")))),"REVISAR"))</f>
        <v/>
      </c>
      <c r="J300" s="48">
        <f>IF(A300="","",IF(ISNUMBER(SEARCH("ingreso laboral promedio de los últimos seis meses",E300)),"",IFERROR(IF(AND(S300=1,T300=1),U300,""),"")))</f>
        <v/>
      </c>
      <c r="K300" s="216" t="n"/>
      <c r="L300" s="48">
        <f>IF(A300="","",IFERROR(IF(K300&lt;&gt;"","Casilla elegida por usuario",IF(S300&gt;1,"Varias casillas — elegir en K",IF(J300&lt;&gt;"","Sugerencia directa",IF(S300=1,"No trasladar directo — revisar",IF(OR(ISNUMBER(SEARCH("TOPE",UPPER(E300))),ISNUMBER(SEARCH("TOPE",UPPER(G300)))),"Solo control","Revisar manualmente"))))),"Revisar manualmente"))</f>
        <v/>
      </c>
      <c r="M300" s="461">
        <f>IF(A300="","",IF(IF(K300&lt;&gt;"",K300,J300)="",0,IF(COUNTIFS(Reglas!$I$5:$I$118,IF(K300&lt;&gt;"",K300,J300),Reglas!$J$5:$J$118,"Sí")=1,F300,0)))</f>
        <v/>
      </c>
      <c r="N300" s="56" t="n"/>
      <c r="O300" s="462">
        <f>IF(A300="","",IF(M300=0,"",M300))</f>
        <v/>
      </c>
      <c r="P300" s="461">
        <f>IF(A300="","",IF(O300="",0,IF(ISNUMBER(O300),O300,0)))</f>
        <v/>
      </c>
      <c r="Q300" s="48">
        <f>IF(A300="","",IF(Exogena_RAW!$C$4="","BLOQUEADO: FALTA AÑO",IF(Exogena_RAW!$K$10&lt;&gt;Reglas!$B$5,"BLOQUEADO: AÑO",IF(IF(K300&lt;&gt;"",K300,J300)="",IF(S300&gt;1,"REQUIERE ASIGNACIÓN MANUAL (VARIAS CASILLAS)","INFORMATIVO (sin casilla — no se declara)"),IF(COUNTIFS(Reglas!$I$5:$I$118,IF(K300&lt;&gt;"",K300,J300),Reglas!$J$5:$J$118,"Sí")=0,"BLOQUEADO: CASILLA NO DIRECTA",IF(O300="","EXCLUIDO (valor borrado por el usuario)",IF(_xlfn.ISFORMULA(O300),IF(W300&lt;&gt;"","BORRADOR — VALOR SUGERIDO DIAN ⚠ VER ALERTA","BORRADOR — VALOR SUGERIDO DIAN"),IF(W300&lt;&gt;"","ACEPTADO ⚠ VER ALERTA","ACEPTADO"))))))))</f>
        <v/>
      </c>
      <c r="R300" s="218" t="n"/>
      <c r="S300" s="58">
        <f>IF(A300="","",IFERROR(--ISNUMBER(SEARCH("R28",G300)),0)+IFERROR(--ISNUMBER(SEARCH("R29",G300)),0)+IFERROR(--ISNUMBER(SEARCH("R30",G300)),0)+IFERROR(--ISNUMBER(SEARCH("R31",G300)),0)+IFERROR(--ISNUMBER(SEARCH("R32",G300)),0)+IFERROR(--ISNUMBER(SEARCH("R33",G300)),0)+IFERROR(--ISNUMBER(SEARCH("R34",G300)),0)+IFERROR(--ISNUMBER(SEARCH("R35",G300)),0)+IFERROR(--ISNUMBER(SEARCH("R36",G300)),0)+IFERROR(--ISNUMBER(SEARCH("R37",G300)),0)+IFERROR(--ISNUMBER(SEARCH("R38",G300)),0)+IFERROR(--ISNUMBER(SEARCH("R39",G300)),0)+IFERROR(--ISNUMBER(SEARCH("R40",G300)),0)+IFERROR(--ISNUMBER(SEARCH("R41",G300)),0)+IFERROR(--ISNUMBER(SEARCH("R42",G300)),0)+IFERROR(--ISNUMBER(SEARCH("R43",G300)),0)+IFERROR(--ISNUMBER(SEARCH("R44",G300)),0)+IFERROR(--ISNUMBER(SEARCH("R45",G300)),0)+IFERROR(--ISNUMBER(SEARCH("R46",G300)),0)+IFERROR(--ISNUMBER(SEARCH("R47",G300)),0)+IFERROR(--ISNUMBER(SEARCH("R48",G300)),0)+IFERROR(--ISNUMBER(SEARCH("R49",G300)),0)+IFERROR(--ISNUMBER(SEARCH("R50",G300)),0)+IFERROR(--ISNUMBER(SEARCH("R51",G300)),0)+IFERROR(--ISNUMBER(SEARCH("R52",G300)),0)+IFERROR(--ISNUMBER(SEARCH("R53",G300)),0)+IFERROR(--ISNUMBER(SEARCH("R54",G300)),0)+IFERROR(--ISNUMBER(SEARCH("R55",G300)),0)+IFERROR(--ISNUMBER(SEARCH("R56",G300)),0)+IFERROR(--ISNUMBER(SEARCH("R57",G300)),0)+IFERROR(--ISNUMBER(SEARCH("R58",G300)),0)+IFERROR(--ISNUMBER(SEARCH("R59",G300)),0)+IFERROR(--ISNUMBER(SEARCH("R60",G300)),0)+IFERROR(--ISNUMBER(SEARCH("R61",G300)),0)+IFERROR(--ISNUMBER(SEARCH("R62",G300)),0)+IFERROR(--ISNUMBER(SEARCH("R63",G300)),0)+IFERROR(--ISNUMBER(SEARCH("R64",G300)),0)+IFERROR(--ISNUMBER(SEARCH("R65",G300)),0)+IFERROR(--ISNUMBER(SEARCH("R66",G300)),0)+IFERROR(--ISNUMBER(SEARCH("R67",G300)),0)+IFERROR(--ISNUMBER(SEARCH("R68",G300)),0)+IFERROR(--ISNUMBER(SEARCH("R69",G300)),0)+IFERROR(--ISNUMBER(SEARCH("R70",G300)),0)+IFERROR(--ISNUMBER(SEARCH("R71",G300)),0)+IFERROR(--ISNUMBER(SEARCH("R72",G300)),0)+IFERROR(--ISNUMBER(SEARCH("R73",G300)),0)+IFERROR(--ISNUMBER(SEARCH("R74",G300)),0)+IFERROR(--ISNUMBER(SEARCH("R75",G300)),0)+IFERROR(--ISNUMBER(SEARCH("R76",G300)),0)+IFERROR(--ISNUMBER(SEARCH("R77",G300)),0)+IFERROR(--ISNUMBER(SEARCH("R78",G300)),0)+IFERROR(--ISNUMBER(SEARCH("R79",G300)),0)+IFERROR(--ISNUMBER(SEARCH("R80",G300)),0)+IFERROR(--ISNUMBER(SEARCH("R81",G300)),0)+IFERROR(--ISNUMBER(SEARCH("R82",G300)),0)+IFERROR(--ISNUMBER(SEARCH("R83",G300)),0)+IFERROR(--ISNUMBER(SEARCH("R84",G300)),0)+IFERROR(--ISNUMBER(SEARCH("R85",G300)),0)+IFERROR(--ISNUMBER(SEARCH("R86",G300)),0)+IFERROR(--ISNUMBER(SEARCH("R87",G300)),0)+IFERROR(--ISNUMBER(SEARCH("R88",G300)),0)+IFERROR(--ISNUMBER(SEARCH("R89",G300)),0)+IFERROR(--ISNUMBER(SEARCH("R90",G300)),0)+IFERROR(--ISNUMBER(SEARCH("R91",G300)),0)+IFERROR(--ISNUMBER(SEARCH("R92",G300)),0)+IFERROR(--ISNUMBER(SEARCH("R93",G300)),0)+IFERROR(--ISNUMBER(SEARCH("R94",G300)),0)+IFERROR(--ISNUMBER(SEARCH("R95",G300)),0)+IFERROR(--ISNUMBER(SEARCH("R96",G300)),0)+IFERROR(--ISNUMBER(SEARCH("R97",G300)),0)+IFERROR(--ISNUMBER(SEARCH("R98",G300)),0)+IFERROR(--ISNUMBER(SEARCH("R99",G300)),0)+IFERROR(--ISNUMBER(SEARCH("R100",G300)),0)+IFERROR(--ISNUMBER(SEARCH("R101",G300)),0)+IFERROR(--ISNUMBER(SEARCH("R102",G300)),0)+IFERROR(--ISNUMBER(SEARCH("R103",G300)),0)+IFERROR(--ISNUMBER(SEARCH("R104",G300)),0)+IFERROR(--ISNUMBER(SEARCH("R105",G300)),0)+IFERROR(--ISNUMBER(SEARCH("R106",G300)),0)+IFERROR(--ISNUMBER(SEARCH("R107",G300)),0)+IFERROR(--ISNUMBER(SEARCH("R108",G300)),0)+IFERROR(--ISNUMBER(SEARCH("R109",G300)),0)+IFERROR(--ISNUMBER(SEARCH("R110",G300)),0)+IFERROR(--ISNUMBER(SEARCH("R111",G300)),0)+IFERROR(--ISNUMBER(SEARCH("R112",G300)),0)+IFERROR(--ISNUMBER(SEARCH("R113",G300)),0)+IFERROR(--ISNUMBER(SEARCH("R114",G300)),0)+IFERROR(--ISNUMBER(SEARCH("R115",G300)),0)+IFERROR(--ISNUMBER(SEARCH("R116",G300)),0)+IFERROR(--ISNUMBER(SEARCH("R117",G300)),0)+IFERROR(--ISNUMBER(SEARCH("R118",G300)),0)+IFERROR(--ISNUMBER(SEARCH("R119",G300)),0)+IFERROR(--ISNUMBER(SEARCH("R120",G300)),0)+IFERROR(--ISNUMBER(SEARCH("R121",G300)),0)+IFERROR(--ISNUMBER(SEARCH("R122",G300)),0)+IFERROR(--ISNUMBER(SEARCH("R123",G300)),0)+IFERROR(--ISNUMBER(SEARCH("R124",G300)),0)+IFERROR(--ISNUMBER(SEARCH("R125",G300)),0)+IFERROR(--ISNUMBER(SEARCH("R126",G300)),0)+IFERROR(--ISNUMBER(SEARCH("R127",G300)),0)+IFERROR(--ISNUMBER(SEARCH("R128",G300)),0)+IFERROR(--ISNUMBER(SEARCH("R129",G300)),0)+IFERROR(--ISNUMBER(SEARCH("R130",G300)),0)+IFERROR(--ISNUMBER(SEARCH("R131",G300)),0)+IFERROR(--ISNUMBER(SEARCH("R132",G300)),0)+IFERROR(--ISNUMBER(SEARCH("R133",G300)),0)+IFERROR(--ISNUMBER(SEARCH("R134",G300)),0)+IFERROR(--ISNUMBER(SEARCH("R135",G300)),0)+IFERROR(--ISNUMBER(SEARCH("R136",G300)),0)+IFERROR(--ISNUMBER(SEARCH("R137",G300)),0)+IFERROR(--ISNUMBER(SEARCH("R138",G300)),0)+IFERROR(--ISNUMBER(SEARCH("R139",G300)),0)+IFERROR(--ISNUMBER(SEARCH("R140",G300)),0)+IFERROR(--ISNUMBER(SEARCH("R141",G300)),0))</f>
        <v/>
      </c>
      <c r="T300" s="58">
        <f>IF(A300="","",IFERROR(--ISNUMBER(SEARCH("R28",G300)),0)+IFERROR(--ISNUMBER(SEARCH("R29",G300)),0)+IFERROR(--ISNUMBER(SEARCH("R30",G300)),0)+IFERROR(--ISNUMBER(SEARCH("R32",G300)),0)+IFERROR(--ISNUMBER(SEARCH("R33",G300)),0)+IFERROR(--ISNUMBER(SEARCH("R35",G300)),0)+IFERROR(--ISNUMBER(SEARCH("R36",G300)),0)+IFERROR(--ISNUMBER(SEARCH("R38",G300)),0)+IFERROR(--ISNUMBER(SEARCH("R39",G300)),0)+IFERROR(--ISNUMBER(SEARCH("R43",G300)),0)+IFERROR(--ISNUMBER(SEARCH("R44",G300)),0)+IFERROR(--ISNUMBER(SEARCH("R45",G300)),0)+IFERROR(--ISNUMBER(SEARCH("R47",G300)),0)+IFERROR(--ISNUMBER(SEARCH("R48",G300)),0)+IFERROR(--ISNUMBER(SEARCH("R50",G300)),0)+IFERROR(--ISNUMBER(SEARCH("R51",G300)),0)+IFERROR(--ISNUMBER(SEARCH("R56",G300)),0)+IFERROR(--ISNUMBER(SEARCH("R58",G300)),0)+IFERROR(--ISNUMBER(SEARCH("R59",G300)),0)+IFERROR(--ISNUMBER(SEARCH("R60",G300)),0)+IFERROR(--ISNUMBER(SEARCH("R62",G300)),0)+IFERROR(--ISNUMBER(SEARCH("R63",G300)),0)+IFERROR(--ISNUMBER(SEARCH("R64",G300)),0)+IFERROR(--ISNUMBER(SEARCH("R66",G300)),0)+IFERROR(--ISNUMBER(SEARCH("R67",G300)),0)+IFERROR(--ISNUMBER(SEARCH("R72",G300)),0)+IFERROR(--ISNUMBER(SEARCH("R74",G300)),0)+IFERROR(--ISNUMBER(SEARCH("R75",G300)),0)+IFERROR(--ISNUMBER(SEARCH("R76",G300)),0)+IFERROR(--ISNUMBER(SEARCH("R77",G300)),0)+IFERROR(--ISNUMBER(SEARCH("R79",G300)),0)+IFERROR(--ISNUMBER(SEARCH("R80",G300)),0)+IFERROR(--ISNUMBER(SEARCH("R81",G300)),0)+IFERROR(--ISNUMBER(SEARCH("R83",G300)),0)+IFERROR(--ISNUMBER(SEARCH("R84",G300)),0)+IFERROR(--ISNUMBER(SEARCH("R89",G300)),0)+IFERROR(--ISNUMBER(SEARCH("R94",G300)),0)+IFERROR(--ISNUMBER(SEARCH("R95",G300)),0)+IFERROR(--ISNUMBER(SEARCH("R96",G300)),0)+IFERROR(--ISNUMBER(SEARCH("R98",G300)),0)+IFERROR(--ISNUMBER(SEARCH("R99",G300)),0)+IFERROR(--ISNUMBER(SEARCH("R100",G300)),0)+IFERROR(--ISNUMBER(SEARCH("R104",G300)),0)+IFERROR(--ISNUMBER(SEARCH("R105",G300)),0)+IFERROR(--ISNUMBER(SEARCH("R107",G300)),0)+IFERROR(--ISNUMBER(SEARCH("R108",G300)),0)+IFERROR(--ISNUMBER(SEARCH("R109",G300)),0)+IFERROR(--ISNUMBER(SEARCH("R110",G300)),0)+IFERROR(--ISNUMBER(SEARCH("R112",G300)),0)+IFERROR(--ISNUMBER(SEARCH("R113",G300)),0)+IFERROR(--ISNUMBER(SEARCH("R114",G300)),0)+IFERROR(--ISNUMBER(SEARCH("R118",G300)),0)+IFERROR(--ISNUMBER(SEARCH("R119",G300)),0)+IFERROR(--ISNUMBER(SEARCH("R120",G300)),0)+IFERROR(--ISNUMBER(SEARCH("R122",G300)),0)+IFERROR(--ISNUMBER(SEARCH("R123",G300)),0)+IFERROR(--ISNUMBER(SEARCH("R124",G300)),0)+IFERROR(--ISNUMBER(SEARCH("R128",G300)),0)+IFERROR(--ISNUMBER(SEARCH("R130",G300)),0)+IFERROR(--ISNUMBER(SEARCH("R131",G300)),0)+IFERROR(--ISNUMBER(SEARCH("R132",G300)),0)+IFERROR(--ISNUMBER(SEARCH("R135",G300)),0)+IFERROR(--ISNUMBER(SEARCH("R138",G300)),0)+IFERROR(--ISNUMBER(SEARCH("R141",G300)),0))</f>
        <v/>
      </c>
      <c r="U300" s="58">
        <f>IF(A300="","",IFERROR(--ISNUMBER(SEARCH("R28",G300))*28,0)+IFERROR(--ISNUMBER(SEARCH("R29",G300))*29,0)+IFERROR(--ISNUMBER(SEARCH("R30",G300))*30,0)+IFERROR(--ISNUMBER(SEARCH("R31",G300))*31,0)+IFERROR(--ISNUMBER(SEARCH("R32",G300))*32,0)+IFERROR(--ISNUMBER(SEARCH("R33",G300))*33,0)+IFERROR(--ISNUMBER(SEARCH("R34",G300))*34,0)+IFERROR(--ISNUMBER(SEARCH("R35",G300))*35,0)+IFERROR(--ISNUMBER(SEARCH("R36",G300))*36,0)+IFERROR(--ISNUMBER(SEARCH("R37",G300))*37,0)+IFERROR(--ISNUMBER(SEARCH("R38",G300))*38,0)+IFERROR(--ISNUMBER(SEARCH("R39",G300))*39,0)+IFERROR(--ISNUMBER(SEARCH("R40",G300))*40,0)+IFERROR(--ISNUMBER(SEARCH("R41",G300))*41,0)+IFERROR(--ISNUMBER(SEARCH("R42",G300))*42,0)+IFERROR(--ISNUMBER(SEARCH("R43",G300))*43,0)+IFERROR(--ISNUMBER(SEARCH("R44",G300))*44,0)+IFERROR(--ISNUMBER(SEARCH("R45",G300))*45,0)+IFERROR(--ISNUMBER(SEARCH("R46",G300))*46,0)+IFERROR(--ISNUMBER(SEARCH("R47",G300))*47,0)+IFERROR(--ISNUMBER(SEARCH("R48",G300))*48,0)+IFERROR(--ISNUMBER(SEARCH("R49",G300))*49,0)+IFERROR(--ISNUMBER(SEARCH("R50",G300))*50,0)+IFERROR(--ISNUMBER(SEARCH("R51",G300))*51,0)+IFERROR(--ISNUMBER(SEARCH("R52",G300))*52,0)+IFERROR(--ISNUMBER(SEARCH("R53",G300))*53,0)+IFERROR(--ISNUMBER(SEARCH("R54",G300))*54,0)+IFERROR(--ISNUMBER(SEARCH("R55",G300))*55,0)+IFERROR(--ISNUMBER(SEARCH("R56",G300))*56,0)+IFERROR(--ISNUMBER(SEARCH("R57",G300))*57,0)+IFERROR(--ISNUMBER(SEARCH("R58",G300))*58,0)+IFERROR(--ISNUMBER(SEARCH("R59",G300))*59,0)+IFERROR(--ISNUMBER(SEARCH("R60",G300))*60,0)+IFERROR(--ISNUMBER(SEARCH("R61",G300))*61,0)+IFERROR(--ISNUMBER(SEARCH("R62",G300))*62,0)+IFERROR(--ISNUMBER(SEARCH("R63",G300))*63,0)+IFERROR(--ISNUMBER(SEARCH("R64",G300))*64,0)+IFERROR(--ISNUMBER(SEARCH("R65",G300))*65,0)+IFERROR(--ISNUMBER(SEARCH("R66",G300))*66,0)+IFERROR(--ISNUMBER(SEARCH("R67",G300))*67,0)+IFERROR(--ISNUMBER(SEARCH("R68",G300))*68,0)+IFERROR(--ISNUMBER(SEARCH("R69",G300))*69,0)+IFERROR(--ISNUMBER(SEARCH("R70",G300))*70,0)+IFERROR(--ISNUMBER(SEARCH("R71",G300))*71,0)+IFERROR(--ISNUMBER(SEARCH("R72",G300))*72,0)+IFERROR(--ISNUMBER(SEARCH("R73",G300))*73,0)+IFERROR(--ISNUMBER(SEARCH("R74",G300))*74,0)+IFERROR(--ISNUMBER(SEARCH("R75",G300))*75,0)+IFERROR(--ISNUMBER(SEARCH("R76",G300))*76,0)+IFERROR(--ISNUMBER(SEARCH("R77",G300))*77,0)+IFERROR(--ISNUMBER(SEARCH("R78",G300))*78,0)+IFERROR(--ISNUMBER(SEARCH("R79",G300))*79,0)+IFERROR(--ISNUMBER(SEARCH("R80",G300))*80,0)+IFERROR(--ISNUMBER(SEARCH("R81",G300))*81,0)+IFERROR(--ISNUMBER(SEARCH("R82",G300))*82,0)+IFERROR(--ISNUMBER(SEARCH("R83",G300))*83,0)+IFERROR(--ISNUMBER(SEARCH("R84",G300))*84,0)+IFERROR(--ISNUMBER(SEARCH("R85",G300))*85,0)+IFERROR(--ISNUMBER(SEARCH("R86",G300))*86,0)+IFERROR(--ISNUMBER(SEARCH("R87",G300))*87,0)+IFERROR(--ISNUMBER(SEARCH("R88",G300))*88,0)+IFERROR(--ISNUMBER(SEARCH("R89",G300))*89,0)+IFERROR(--ISNUMBER(SEARCH("R90",G300))*90,0)+IFERROR(--ISNUMBER(SEARCH("R91",G300))*91,0)+IFERROR(--ISNUMBER(SEARCH("R92",G300))*92,0)+IFERROR(--ISNUMBER(SEARCH("R93",G300))*93,0)+IFERROR(--ISNUMBER(SEARCH("R94",G300))*94,0)+IFERROR(--ISNUMBER(SEARCH("R95",G300))*95,0)+IFERROR(--ISNUMBER(SEARCH("R96",G300))*96,0)+IFERROR(--ISNUMBER(SEARCH("R97",G300))*97,0)+IFERROR(--ISNUMBER(SEARCH("R98",G300))*98,0)+IFERROR(--ISNUMBER(SEARCH("R99",G300))*99,0)+IFERROR(--ISNUMBER(SEARCH("R100",G300))*100,0)+IFERROR(--ISNUMBER(SEARCH("R101",G300))*101,0)+IFERROR(--ISNUMBER(SEARCH("R102",G300))*102,0)+IFERROR(--ISNUMBER(SEARCH("R103",G300))*103,0)+IFERROR(--ISNUMBER(SEARCH("R104",G300))*104,0)+IFERROR(--ISNUMBER(SEARCH("R105",G300))*105,0)+IFERROR(--ISNUMBER(SEARCH("R106",G300))*106,0)+IFERROR(--ISNUMBER(SEARCH("R107",G300))*107,0)+IFERROR(--ISNUMBER(SEARCH("R108",G300))*108,0)+IFERROR(--ISNUMBER(SEARCH("R109",G300))*109,0)+IFERROR(--ISNUMBER(SEARCH("R110",G300))*110,0)+IFERROR(--ISNUMBER(SEARCH("R111",G300))*111,0)+IFERROR(--ISNUMBER(SEARCH("R112",G300))*112,0)+IFERROR(--ISNUMBER(SEARCH("R113",G300))*113,0)+IFERROR(--ISNUMBER(SEARCH("R114",G300))*114,0)+IFERROR(--ISNUMBER(SEARCH("R115",G300))*115,0)+IFERROR(--ISNUMBER(SEARCH("R116",G300))*116,0)+IFERROR(--ISNUMBER(SEARCH("R117",G300))*117,0)+IFERROR(--ISNUMBER(SEARCH("R118",G300))*118,0)+IFERROR(--ISNUMBER(SEARCH("R119",G300))*119,0)+IFERROR(--ISNUMBER(SEARCH("R120",G300))*120,0)+IFERROR(--ISNUMBER(SEARCH("R121",G300))*121,0)+IFERROR(--ISNUMBER(SEARCH("R122",G300))*122,0)+IFERROR(--ISNUMBER(SEARCH("R123",G300))*123,0)+IFERROR(--ISNUMBER(SEARCH("R124",G300))*124,0)+IFERROR(--ISNUMBER(SEARCH("R125",G300))*125,0)+IFERROR(--ISNUMBER(SEARCH("R126",G300))*126,0)+IFERROR(--ISNUMBER(SEARCH("R127",G300))*127,0)+IFERROR(--ISNUMBER(SEARCH("R128",G300))*128,0)+IFERROR(--ISNUMBER(SEARCH("R129",G300))*129,0)+IFERROR(--ISNUMBER(SEARCH("R130",G300))*130,0)+IFERROR(--ISNUMBER(SEARCH("R131",G300))*131,0)+IFERROR(--ISNUMBER(SEARCH("R132",G300))*132,0)+IFERROR(--ISNUMBER(SEARCH("R133",G300))*133,0)+IFERROR(--ISNUMBER(SEARCH("R134",G300))*134,0)+IFERROR(--ISNUMBER(SEARCH("R135",G300))*135,0)+IFERROR(--ISNUMBER(SEARCH("R136",G300))*136,0)+IFERROR(--ISNUMBER(SEARCH("R137",G300))*137,0)+IFERROR(--ISNUMBER(SEARCH("R138",G300))*138,0)+IFERROR(--ISNUMBER(SEARCH("R139",G300))*139,0)+IFERROR(--ISNUMBER(SEARCH("R140",G300))*140,0)+IFERROR(--ISNUMBER(SEARCH("R141",G300))*141,0))</f>
        <v/>
      </c>
      <c r="V300" s="59">
        <f>IF(A300="","",IF(K300&lt;&gt;"",K300,J300))</f>
        <v/>
      </c>
      <c r="W300" s="59">
        <f>IF(A300="","",IF(AND(V300=29,O300&lt;&gt;"",COUNTIFS($V$6:$V$505,29,$F$6:$F$505,F300,$C$6:$C$505,C300,$O$6:$O$505,"&lt;&gt;")&gt;1),IF(COUNTIFS($V$6:V300,29,$F$6:F300,F300,$C$6:C300,C300,$O$6:O300,"&lt;&gt;")=1,"Esta es la fila que se debe CONSERVAR (aparición 1 de "&amp;COUNTIFS($V$6:$V$505,29,$F$6:$F$505,F300,$C$6:$C$505,C300,$O$6:$O$505,"&lt;&gt;")&amp;" con el mismo tercero y valor, casilla 29). Si hay más filas iguales, bórreles el valor a ELLAS, no a esta.","DUPLICADO — ya existe otra fila con el mismo tercero y valor para casilla 29 (aparición "&amp;COUNTIFS($V$6:V300,29,$F$6:F300,F300,$C$6:C300,C300,$O$6:O300,"&lt;&gt;")&amp;" de "&amp;COUNTIFS($V$6:$V$505,29,$F$6:$F$505,F300,$C$6:$C$505,C300,$O$6:$O$505,"&lt;&gt;")&amp;"). Para resolverlo: seleccione la celda O"&amp;ROW()&amp;" (columna Valor a declarar de ESTA fila) y presione Supr."),""))</f>
        <v/>
      </c>
      <c r="X300" s="463">
        <f>IF(A300="","",F300)</f>
        <v/>
      </c>
      <c r="Y300" s="463">
        <f>IF(A300="","",SUMIF(Entrada_Manual!$I$88:$I$187,A300,Entrada_Manual!$F$88:$F$187))</f>
        <v/>
      </c>
      <c r="Z300" s="463">
        <f>IF(A300="","",X300-Y300)</f>
        <v/>
      </c>
      <c r="AA300">
        <f>IF(A300="","",SUMPRODUCT((Entrada_Manual!$I$88:$I$187=A300)*1))</f>
        <v/>
      </c>
      <c r="AB300">
        <f>IF(A300="","",IF(S300&lt;=1,"",IF(AA300=0,"PENDIENTE — SIN ASIGNAR",IF(Z300=0,"RESUELTO","PARCIAL — DIFERENCIA "&amp;TEXT(Z300,"#,##0")))))</f>
        <v/>
      </c>
    </row>
    <row r="301" ht="14.25" customHeight="1" s="235">
      <c r="A301" s="47">
        <f>IF(Exogena_RAW!E310&lt;&gt;"",ROW()-5,"")</f>
        <v/>
      </c>
      <c r="B301" s="48">
        <f>IF(A301="","",310)</f>
        <v/>
      </c>
      <c r="C301" s="48">
        <f>IF(A301="","",IFERROR(Exogena_RAW!A310,""))</f>
        <v/>
      </c>
      <c r="D301" s="48">
        <f>IF(A301="","",IFERROR(Exogena_RAW!B310,""))</f>
        <v/>
      </c>
      <c r="E301" s="48">
        <f>IF(A301="","",Exogena_RAW!E310)</f>
        <v/>
      </c>
      <c r="F301" s="461">
        <f>IF(A301="","",Exogena_RAW!F310)</f>
        <v/>
      </c>
      <c r="G301" s="48">
        <f>IF(A301="","",IFERROR(Exogena_RAW!G310,""))</f>
        <v/>
      </c>
      <c r="H301" s="48">
        <f>IF(A301="","",IFERROR(Exogena_RAW!H310,""))</f>
        <v/>
      </c>
      <c r="I301" s="48">
        <f>IF(A301="","",IFERROR(IF(S301&gt;1,"VARIAS CASILLAS",IF(S301=1,IF(T301=1,"PROPUESTA DE CASILLA","REVISIÓN: CASILLA NO DIRECTA"),IF(OR(ISNUMBER(SEARCH("TOPE",UPPER(E301))),ISNUMBER(SEARCH("TOPE",UPPER(G301)))),"SOLO CONTROL",IF(ISNUMBER(SEARCH("RETEN",UPPER(E301))),"RETENCIÓN","REVISAR")))),"REVISAR"))</f>
        <v/>
      </c>
      <c r="J301" s="48">
        <f>IF(A301="","",IF(ISNUMBER(SEARCH("ingreso laboral promedio de los últimos seis meses",E301)),"",IFERROR(IF(AND(S301=1,T301=1),U301,""),"")))</f>
        <v/>
      </c>
      <c r="K301" s="216" t="n"/>
      <c r="L301" s="48">
        <f>IF(A301="","",IFERROR(IF(K301&lt;&gt;"","Casilla elegida por usuario",IF(S301&gt;1,"Varias casillas — elegir en K",IF(J301&lt;&gt;"","Sugerencia directa",IF(S301=1,"No trasladar directo — revisar",IF(OR(ISNUMBER(SEARCH("TOPE",UPPER(E301))),ISNUMBER(SEARCH("TOPE",UPPER(G301)))),"Solo control","Revisar manualmente"))))),"Revisar manualmente"))</f>
        <v/>
      </c>
      <c r="M301" s="461">
        <f>IF(A301="","",IF(IF(K301&lt;&gt;"",K301,J301)="",0,IF(COUNTIFS(Reglas!$I$5:$I$118,IF(K301&lt;&gt;"",K301,J301),Reglas!$J$5:$J$118,"Sí")=1,F301,0)))</f>
        <v/>
      </c>
      <c r="N301" s="56" t="n"/>
      <c r="O301" s="462">
        <f>IF(A301="","",IF(M301=0,"",M301))</f>
        <v/>
      </c>
      <c r="P301" s="461">
        <f>IF(A301="","",IF(O301="",0,IF(ISNUMBER(O301),O301,0)))</f>
        <v/>
      </c>
      <c r="Q301" s="48">
        <f>IF(A301="","",IF(Exogena_RAW!$C$4="","BLOQUEADO: FALTA AÑO",IF(Exogena_RAW!$K$10&lt;&gt;Reglas!$B$5,"BLOQUEADO: AÑO",IF(IF(K301&lt;&gt;"",K301,J301)="",IF(S301&gt;1,"REQUIERE ASIGNACIÓN MANUAL (VARIAS CASILLAS)","INFORMATIVO (sin casilla — no se declara)"),IF(COUNTIFS(Reglas!$I$5:$I$118,IF(K301&lt;&gt;"",K301,J301),Reglas!$J$5:$J$118,"Sí")=0,"BLOQUEADO: CASILLA NO DIRECTA",IF(O301="","EXCLUIDO (valor borrado por el usuario)",IF(_xlfn.ISFORMULA(O301),IF(W301&lt;&gt;"","BORRADOR — VALOR SUGERIDO DIAN ⚠ VER ALERTA","BORRADOR — VALOR SUGERIDO DIAN"),IF(W301&lt;&gt;"","ACEPTADO ⚠ VER ALERTA","ACEPTADO"))))))))</f>
        <v/>
      </c>
      <c r="R301" s="218" t="n"/>
      <c r="S301" s="58">
        <f>IF(A301="","",IFERROR(--ISNUMBER(SEARCH("R28",G301)),0)+IFERROR(--ISNUMBER(SEARCH("R29",G301)),0)+IFERROR(--ISNUMBER(SEARCH("R30",G301)),0)+IFERROR(--ISNUMBER(SEARCH("R31",G301)),0)+IFERROR(--ISNUMBER(SEARCH("R32",G301)),0)+IFERROR(--ISNUMBER(SEARCH("R33",G301)),0)+IFERROR(--ISNUMBER(SEARCH("R34",G301)),0)+IFERROR(--ISNUMBER(SEARCH("R35",G301)),0)+IFERROR(--ISNUMBER(SEARCH("R36",G301)),0)+IFERROR(--ISNUMBER(SEARCH("R37",G301)),0)+IFERROR(--ISNUMBER(SEARCH("R38",G301)),0)+IFERROR(--ISNUMBER(SEARCH("R39",G301)),0)+IFERROR(--ISNUMBER(SEARCH("R40",G301)),0)+IFERROR(--ISNUMBER(SEARCH("R41",G301)),0)+IFERROR(--ISNUMBER(SEARCH("R42",G301)),0)+IFERROR(--ISNUMBER(SEARCH("R43",G301)),0)+IFERROR(--ISNUMBER(SEARCH("R44",G301)),0)+IFERROR(--ISNUMBER(SEARCH("R45",G301)),0)+IFERROR(--ISNUMBER(SEARCH("R46",G301)),0)+IFERROR(--ISNUMBER(SEARCH("R47",G301)),0)+IFERROR(--ISNUMBER(SEARCH("R48",G301)),0)+IFERROR(--ISNUMBER(SEARCH("R49",G301)),0)+IFERROR(--ISNUMBER(SEARCH("R50",G301)),0)+IFERROR(--ISNUMBER(SEARCH("R51",G301)),0)+IFERROR(--ISNUMBER(SEARCH("R52",G301)),0)+IFERROR(--ISNUMBER(SEARCH("R53",G301)),0)+IFERROR(--ISNUMBER(SEARCH("R54",G301)),0)+IFERROR(--ISNUMBER(SEARCH("R55",G301)),0)+IFERROR(--ISNUMBER(SEARCH("R56",G301)),0)+IFERROR(--ISNUMBER(SEARCH("R57",G301)),0)+IFERROR(--ISNUMBER(SEARCH("R58",G301)),0)+IFERROR(--ISNUMBER(SEARCH("R59",G301)),0)+IFERROR(--ISNUMBER(SEARCH("R60",G301)),0)+IFERROR(--ISNUMBER(SEARCH("R61",G301)),0)+IFERROR(--ISNUMBER(SEARCH("R62",G301)),0)+IFERROR(--ISNUMBER(SEARCH("R63",G301)),0)+IFERROR(--ISNUMBER(SEARCH("R64",G301)),0)+IFERROR(--ISNUMBER(SEARCH("R65",G301)),0)+IFERROR(--ISNUMBER(SEARCH("R66",G301)),0)+IFERROR(--ISNUMBER(SEARCH("R67",G301)),0)+IFERROR(--ISNUMBER(SEARCH("R68",G301)),0)+IFERROR(--ISNUMBER(SEARCH("R69",G301)),0)+IFERROR(--ISNUMBER(SEARCH("R70",G301)),0)+IFERROR(--ISNUMBER(SEARCH("R71",G301)),0)+IFERROR(--ISNUMBER(SEARCH("R72",G301)),0)+IFERROR(--ISNUMBER(SEARCH("R73",G301)),0)+IFERROR(--ISNUMBER(SEARCH("R74",G301)),0)+IFERROR(--ISNUMBER(SEARCH("R75",G301)),0)+IFERROR(--ISNUMBER(SEARCH("R76",G301)),0)+IFERROR(--ISNUMBER(SEARCH("R77",G301)),0)+IFERROR(--ISNUMBER(SEARCH("R78",G301)),0)+IFERROR(--ISNUMBER(SEARCH("R79",G301)),0)+IFERROR(--ISNUMBER(SEARCH("R80",G301)),0)+IFERROR(--ISNUMBER(SEARCH("R81",G301)),0)+IFERROR(--ISNUMBER(SEARCH("R82",G301)),0)+IFERROR(--ISNUMBER(SEARCH("R83",G301)),0)+IFERROR(--ISNUMBER(SEARCH("R84",G301)),0)+IFERROR(--ISNUMBER(SEARCH("R85",G301)),0)+IFERROR(--ISNUMBER(SEARCH("R86",G301)),0)+IFERROR(--ISNUMBER(SEARCH("R87",G301)),0)+IFERROR(--ISNUMBER(SEARCH("R88",G301)),0)+IFERROR(--ISNUMBER(SEARCH("R89",G301)),0)+IFERROR(--ISNUMBER(SEARCH("R90",G301)),0)+IFERROR(--ISNUMBER(SEARCH("R91",G301)),0)+IFERROR(--ISNUMBER(SEARCH("R92",G301)),0)+IFERROR(--ISNUMBER(SEARCH("R93",G301)),0)+IFERROR(--ISNUMBER(SEARCH("R94",G301)),0)+IFERROR(--ISNUMBER(SEARCH("R95",G301)),0)+IFERROR(--ISNUMBER(SEARCH("R96",G301)),0)+IFERROR(--ISNUMBER(SEARCH("R97",G301)),0)+IFERROR(--ISNUMBER(SEARCH("R98",G301)),0)+IFERROR(--ISNUMBER(SEARCH("R99",G301)),0)+IFERROR(--ISNUMBER(SEARCH("R100",G301)),0)+IFERROR(--ISNUMBER(SEARCH("R101",G301)),0)+IFERROR(--ISNUMBER(SEARCH("R102",G301)),0)+IFERROR(--ISNUMBER(SEARCH("R103",G301)),0)+IFERROR(--ISNUMBER(SEARCH("R104",G301)),0)+IFERROR(--ISNUMBER(SEARCH("R105",G301)),0)+IFERROR(--ISNUMBER(SEARCH("R106",G301)),0)+IFERROR(--ISNUMBER(SEARCH("R107",G301)),0)+IFERROR(--ISNUMBER(SEARCH("R108",G301)),0)+IFERROR(--ISNUMBER(SEARCH("R109",G301)),0)+IFERROR(--ISNUMBER(SEARCH("R110",G301)),0)+IFERROR(--ISNUMBER(SEARCH("R111",G301)),0)+IFERROR(--ISNUMBER(SEARCH("R112",G301)),0)+IFERROR(--ISNUMBER(SEARCH("R113",G301)),0)+IFERROR(--ISNUMBER(SEARCH("R114",G301)),0)+IFERROR(--ISNUMBER(SEARCH("R115",G301)),0)+IFERROR(--ISNUMBER(SEARCH("R116",G301)),0)+IFERROR(--ISNUMBER(SEARCH("R117",G301)),0)+IFERROR(--ISNUMBER(SEARCH("R118",G301)),0)+IFERROR(--ISNUMBER(SEARCH("R119",G301)),0)+IFERROR(--ISNUMBER(SEARCH("R120",G301)),0)+IFERROR(--ISNUMBER(SEARCH("R121",G301)),0)+IFERROR(--ISNUMBER(SEARCH("R122",G301)),0)+IFERROR(--ISNUMBER(SEARCH("R123",G301)),0)+IFERROR(--ISNUMBER(SEARCH("R124",G301)),0)+IFERROR(--ISNUMBER(SEARCH("R125",G301)),0)+IFERROR(--ISNUMBER(SEARCH("R126",G301)),0)+IFERROR(--ISNUMBER(SEARCH("R127",G301)),0)+IFERROR(--ISNUMBER(SEARCH("R128",G301)),0)+IFERROR(--ISNUMBER(SEARCH("R129",G301)),0)+IFERROR(--ISNUMBER(SEARCH("R130",G301)),0)+IFERROR(--ISNUMBER(SEARCH("R131",G301)),0)+IFERROR(--ISNUMBER(SEARCH("R132",G301)),0)+IFERROR(--ISNUMBER(SEARCH("R133",G301)),0)+IFERROR(--ISNUMBER(SEARCH("R134",G301)),0)+IFERROR(--ISNUMBER(SEARCH("R135",G301)),0)+IFERROR(--ISNUMBER(SEARCH("R136",G301)),0)+IFERROR(--ISNUMBER(SEARCH("R137",G301)),0)+IFERROR(--ISNUMBER(SEARCH("R138",G301)),0)+IFERROR(--ISNUMBER(SEARCH("R139",G301)),0)+IFERROR(--ISNUMBER(SEARCH("R140",G301)),0)+IFERROR(--ISNUMBER(SEARCH("R141",G301)),0))</f>
        <v/>
      </c>
      <c r="T301" s="58">
        <f>IF(A301="","",IFERROR(--ISNUMBER(SEARCH("R28",G301)),0)+IFERROR(--ISNUMBER(SEARCH("R29",G301)),0)+IFERROR(--ISNUMBER(SEARCH("R30",G301)),0)+IFERROR(--ISNUMBER(SEARCH("R32",G301)),0)+IFERROR(--ISNUMBER(SEARCH("R33",G301)),0)+IFERROR(--ISNUMBER(SEARCH("R35",G301)),0)+IFERROR(--ISNUMBER(SEARCH("R36",G301)),0)+IFERROR(--ISNUMBER(SEARCH("R38",G301)),0)+IFERROR(--ISNUMBER(SEARCH("R39",G301)),0)+IFERROR(--ISNUMBER(SEARCH("R43",G301)),0)+IFERROR(--ISNUMBER(SEARCH("R44",G301)),0)+IFERROR(--ISNUMBER(SEARCH("R45",G301)),0)+IFERROR(--ISNUMBER(SEARCH("R47",G301)),0)+IFERROR(--ISNUMBER(SEARCH("R48",G301)),0)+IFERROR(--ISNUMBER(SEARCH("R50",G301)),0)+IFERROR(--ISNUMBER(SEARCH("R51",G301)),0)+IFERROR(--ISNUMBER(SEARCH("R56",G301)),0)+IFERROR(--ISNUMBER(SEARCH("R58",G301)),0)+IFERROR(--ISNUMBER(SEARCH("R59",G301)),0)+IFERROR(--ISNUMBER(SEARCH("R60",G301)),0)+IFERROR(--ISNUMBER(SEARCH("R62",G301)),0)+IFERROR(--ISNUMBER(SEARCH("R63",G301)),0)+IFERROR(--ISNUMBER(SEARCH("R64",G301)),0)+IFERROR(--ISNUMBER(SEARCH("R66",G301)),0)+IFERROR(--ISNUMBER(SEARCH("R67",G301)),0)+IFERROR(--ISNUMBER(SEARCH("R72",G301)),0)+IFERROR(--ISNUMBER(SEARCH("R74",G301)),0)+IFERROR(--ISNUMBER(SEARCH("R75",G301)),0)+IFERROR(--ISNUMBER(SEARCH("R76",G301)),0)+IFERROR(--ISNUMBER(SEARCH("R77",G301)),0)+IFERROR(--ISNUMBER(SEARCH("R79",G301)),0)+IFERROR(--ISNUMBER(SEARCH("R80",G301)),0)+IFERROR(--ISNUMBER(SEARCH("R81",G301)),0)+IFERROR(--ISNUMBER(SEARCH("R83",G301)),0)+IFERROR(--ISNUMBER(SEARCH("R84",G301)),0)+IFERROR(--ISNUMBER(SEARCH("R89",G301)),0)+IFERROR(--ISNUMBER(SEARCH("R94",G301)),0)+IFERROR(--ISNUMBER(SEARCH("R95",G301)),0)+IFERROR(--ISNUMBER(SEARCH("R96",G301)),0)+IFERROR(--ISNUMBER(SEARCH("R98",G301)),0)+IFERROR(--ISNUMBER(SEARCH("R99",G301)),0)+IFERROR(--ISNUMBER(SEARCH("R100",G301)),0)+IFERROR(--ISNUMBER(SEARCH("R104",G301)),0)+IFERROR(--ISNUMBER(SEARCH("R105",G301)),0)+IFERROR(--ISNUMBER(SEARCH("R107",G301)),0)+IFERROR(--ISNUMBER(SEARCH("R108",G301)),0)+IFERROR(--ISNUMBER(SEARCH("R109",G301)),0)+IFERROR(--ISNUMBER(SEARCH("R110",G301)),0)+IFERROR(--ISNUMBER(SEARCH("R112",G301)),0)+IFERROR(--ISNUMBER(SEARCH("R113",G301)),0)+IFERROR(--ISNUMBER(SEARCH("R114",G301)),0)+IFERROR(--ISNUMBER(SEARCH("R118",G301)),0)+IFERROR(--ISNUMBER(SEARCH("R119",G301)),0)+IFERROR(--ISNUMBER(SEARCH("R120",G301)),0)+IFERROR(--ISNUMBER(SEARCH("R122",G301)),0)+IFERROR(--ISNUMBER(SEARCH("R123",G301)),0)+IFERROR(--ISNUMBER(SEARCH("R124",G301)),0)+IFERROR(--ISNUMBER(SEARCH("R128",G301)),0)+IFERROR(--ISNUMBER(SEARCH("R130",G301)),0)+IFERROR(--ISNUMBER(SEARCH("R131",G301)),0)+IFERROR(--ISNUMBER(SEARCH("R132",G301)),0)+IFERROR(--ISNUMBER(SEARCH("R135",G301)),0)+IFERROR(--ISNUMBER(SEARCH("R138",G301)),0)+IFERROR(--ISNUMBER(SEARCH("R141",G301)),0))</f>
        <v/>
      </c>
      <c r="U301" s="58">
        <f>IF(A301="","",IFERROR(--ISNUMBER(SEARCH("R28",G301))*28,0)+IFERROR(--ISNUMBER(SEARCH("R29",G301))*29,0)+IFERROR(--ISNUMBER(SEARCH("R30",G301))*30,0)+IFERROR(--ISNUMBER(SEARCH("R31",G301))*31,0)+IFERROR(--ISNUMBER(SEARCH("R32",G301))*32,0)+IFERROR(--ISNUMBER(SEARCH("R33",G301))*33,0)+IFERROR(--ISNUMBER(SEARCH("R34",G301))*34,0)+IFERROR(--ISNUMBER(SEARCH("R35",G301))*35,0)+IFERROR(--ISNUMBER(SEARCH("R36",G301))*36,0)+IFERROR(--ISNUMBER(SEARCH("R37",G301))*37,0)+IFERROR(--ISNUMBER(SEARCH("R38",G301))*38,0)+IFERROR(--ISNUMBER(SEARCH("R39",G301))*39,0)+IFERROR(--ISNUMBER(SEARCH("R40",G301))*40,0)+IFERROR(--ISNUMBER(SEARCH("R41",G301))*41,0)+IFERROR(--ISNUMBER(SEARCH("R42",G301))*42,0)+IFERROR(--ISNUMBER(SEARCH("R43",G301))*43,0)+IFERROR(--ISNUMBER(SEARCH("R44",G301))*44,0)+IFERROR(--ISNUMBER(SEARCH("R45",G301))*45,0)+IFERROR(--ISNUMBER(SEARCH("R46",G301))*46,0)+IFERROR(--ISNUMBER(SEARCH("R47",G301))*47,0)+IFERROR(--ISNUMBER(SEARCH("R48",G301))*48,0)+IFERROR(--ISNUMBER(SEARCH("R49",G301))*49,0)+IFERROR(--ISNUMBER(SEARCH("R50",G301))*50,0)+IFERROR(--ISNUMBER(SEARCH("R51",G301))*51,0)+IFERROR(--ISNUMBER(SEARCH("R52",G301))*52,0)+IFERROR(--ISNUMBER(SEARCH("R53",G301))*53,0)+IFERROR(--ISNUMBER(SEARCH("R54",G301))*54,0)+IFERROR(--ISNUMBER(SEARCH("R55",G301))*55,0)+IFERROR(--ISNUMBER(SEARCH("R56",G301))*56,0)+IFERROR(--ISNUMBER(SEARCH("R57",G301))*57,0)+IFERROR(--ISNUMBER(SEARCH("R58",G301))*58,0)+IFERROR(--ISNUMBER(SEARCH("R59",G301))*59,0)+IFERROR(--ISNUMBER(SEARCH("R60",G301))*60,0)+IFERROR(--ISNUMBER(SEARCH("R61",G301))*61,0)+IFERROR(--ISNUMBER(SEARCH("R62",G301))*62,0)+IFERROR(--ISNUMBER(SEARCH("R63",G301))*63,0)+IFERROR(--ISNUMBER(SEARCH("R64",G301))*64,0)+IFERROR(--ISNUMBER(SEARCH("R65",G301))*65,0)+IFERROR(--ISNUMBER(SEARCH("R66",G301))*66,0)+IFERROR(--ISNUMBER(SEARCH("R67",G301))*67,0)+IFERROR(--ISNUMBER(SEARCH("R68",G301))*68,0)+IFERROR(--ISNUMBER(SEARCH("R69",G301))*69,0)+IFERROR(--ISNUMBER(SEARCH("R70",G301))*70,0)+IFERROR(--ISNUMBER(SEARCH("R71",G301))*71,0)+IFERROR(--ISNUMBER(SEARCH("R72",G301))*72,0)+IFERROR(--ISNUMBER(SEARCH("R73",G301))*73,0)+IFERROR(--ISNUMBER(SEARCH("R74",G301))*74,0)+IFERROR(--ISNUMBER(SEARCH("R75",G301))*75,0)+IFERROR(--ISNUMBER(SEARCH("R76",G301))*76,0)+IFERROR(--ISNUMBER(SEARCH("R77",G301))*77,0)+IFERROR(--ISNUMBER(SEARCH("R78",G301))*78,0)+IFERROR(--ISNUMBER(SEARCH("R79",G301))*79,0)+IFERROR(--ISNUMBER(SEARCH("R80",G301))*80,0)+IFERROR(--ISNUMBER(SEARCH("R81",G301))*81,0)+IFERROR(--ISNUMBER(SEARCH("R82",G301))*82,0)+IFERROR(--ISNUMBER(SEARCH("R83",G301))*83,0)+IFERROR(--ISNUMBER(SEARCH("R84",G301))*84,0)+IFERROR(--ISNUMBER(SEARCH("R85",G301))*85,0)+IFERROR(--ISNUMBER(SEARCH("R86",G301))*86,0)+IFERROR(--ISNUMBER(SEARCH("R87",G301))*87,0)+IFERROR(--ISNUMBER(SEARCH("R88",G301))*88,0)+IFERROR(--ISNUMBER(SEARCH("R89",G301))*89,0)+IFERROR(--ISNUMBER(SEARCH("R90",G301))*90,0)+IFERROR(--ISNUMBER(SEARCH("R91",G301))*91,0)+IFERROR(--ISNUMBER(SEARCH("R92",G301))*92,0)+IFERROR(--ISNUMBER(SEARCH("R93",G301))*93,0)+IFERROR(--ISNUMBER(SEARCH("R94",G301))*94,0)+IFERROR(--ISNUMBER(SEARCH("R95",G301))*95,0)+IFERROR(--ISNUMBER(SEARCH("R96",G301))*96,0)+IFERROR(--ISNUMBER(SEARCH("R97",G301))*97,0)+IFERROR(--ISNUMBER(SEARCH("R98",G301))*98,0)+IFERROR(--ISNUMBER(SEARCH("R99",G301))*99,0)+IFERROR(--ISNUMBER(SEARCH("R100",G301))*100,0)+IFERROR(--ISNUMBER(SEARCH("R101",G301))*101,0)+IFERROR(--ISNUMBER(SEARCH("R102",G301))*102,0)+IFERROR(--ISNUMBER(SEARCH("R103",G301))*103,0)+IFERROR(--ISNUMBER(SEARCH("R104",G301))*104,0)+IFERROR(--ISNUMBER(SEARCH("R105",G301))*105,0)+IFERROR(--ISNUMBER(SEARCH("R106",G301))*106,0)+IFERROR(--ISNUMBER(SEARCH("R107",G301))*107,0)+IFERROR(--ISNUMBER(SEARCH("R108",G301))*108,0)+IFERROR(--ISNUMBER(SEARCH("R109",G301))*109,0)+IFERROR(--ISNUMBER(SEARCH("R110",G301))*110,0)+IFERROR(--ISNUMBER(SEARCH("R111",G301))*111,0)+IFERROR(--ISNUMBER(SEARCH("R112",G301))*112,0)+IFERROR(--ISNUMBER(SEARCH("R113",G301))*113,0)+IFERROR(--ISNUMBER(SEARCH("R114",G301))*114,0)+IFERROR(--ISNUMBER(SEARCH("R115",G301))*115,0)+IFERROR(--ISNUMBER(SEARCH("R116",G301))*116,0)+IFERROR(--ISNUMBER(SEARCH("R117",G301))*117,0)+IFERROR(--ISNUMBER(SEARCH("R118",G301))*118,0)+IFERROR(--ISNUMBER(SEARCH("R119",G301))*119,0)+IFERROR(--ISNUMBER(SEARCH("R120",G301))*120,0)+IFERROR(--ISNUMBER(SEARCH("R121",G301))*121,0)+IFERROR(--ISNUMBER(SEARCH("R122",G301))*122,0)+IFERROR(--ISNUMBER(SEARCH("R123",G301))*123,0)+IFERROR(--ISNUMBER(SEARCH("R124",G301))*124,0)+IFERROR(--ISNUMBER(SEARCH("R125",G301))*125,0)+IFERROR(--ISNUMBER(SEARCH("R126",G301))*126,0)+IFERROR(--ISNUMBER(SEARCH("R127",G301))*127,0)+IFERROR(--ISNUMBER(SEARCH("R128",G301))*128,0)+IFERROR(--ISNUMBER(SEARCH("R129",G301))*129,0)+IFERROR(--ISNUMBER(SEARCH("R130",G301))*130,0)+IFERROR(--ISNUMBER(SEARCH("R131",G301))*131,0)+IFERROR(--ISNUMBER(SEARCH("R132",G301))*132,0)+IFERROR(--ISNUMBER(SEARCH("R133",G301))*133,0)+IFERROR(--ISNUMBER(SEARCH("R134",G301))*134,0)+IFERROR(--ISNUMBER(SEARCH("R135",G301))*135,0)+IFERROR(--ISNUMBER(SEARCH("R136",G301))*136,0)+IFERROR(--ISNUMBER(SEARCH("R137",G301))*137,0)+IFERROR(--ISNUMBER(SEARCH("R138",G301))*138,0)+IFERROR(--ISNUMBER(SEARCH("R139",G301))*139,0)+IFERROR(--ISNUMBER(SEARCH("R140",G301))*140,0)+IFERROR(--ISNUMBER(SEARCH("R141",G301))*141,0))</f>
        <v/>
      </c>
      <c r="V301" s="59">
        <f>IF(A301="","",IF(K301&lt;&gt;"",K301,J301))</f>
        <v/>
      </c>
      <c r="W301" s="59">
        <f>IF(A301="","",IF(AND(V301=29,O301&lt;&gt;"",COUNTIFS($V$6:$V$505,29,$F$6:$F$505,F301,$C$6:$C$505,C301,$O$6:$O$505,"&lt;&gt;")&gt;1),IF(COUNTIFS($V$6:V301,29,$F$6:F301,F301,$C$6:C301,C301,$O$6:O301,"&lt;&gt;")=1,"Esta es la fila que se debe CONSERVAR (aparición 1 de "&amp;COUNTIFS($V$6:$V$505,29,$F$6:$F$505,F301,$C$6:$C$505,C301,$O$6:$O$505,"&lt;&gt;")&amp;" con el mismo tercero y valor, casilla 29). Si hay más filas iguales, bórreles el valor a ELLAS, no a esta.","DUPLICADO — ya existe otra fila con el mismo tercero y valor para casilla 29 (aparición "&amp;COUNTIFS($V$6:V301,29,$F$6:F301,F301,$C$6:C301,C301,$O$6:O301,"&lt;&gt;")&amp;" de "&amp;COUNTIFS($V$6:$V$505,29,$F$6:$F$505,F301,$C$6:$C$505,C301,$O$6:$O$505,"&lt;&gt;")&amp;"). Para resolverlo: seleccione la celda O"&amp;ROW()&amp;" (columna Valor a declarar de ESTA fila) y presione Supr."),""))</f>
        <v/>
      </c>
      <c r="X301" s="463">
        <f>IF(A301="","",F301)</f>
        <v/>
      </c>
      <c r="Y301" s="463">
        <f>IF(A301="","",SUMIF(Entrada_Manual!$I$88:$I$187,A301,Entrada_Manual!$F$88:$F$187))</f>
        <v/>
      </c>
      <c r="Z301" s="463">
        <f>IF(A301="","",X301-Y301)</f>
        <v/>
      </c>
      <c r="AA301">
        <f>IF(A301="","",SUMPRODUCT((Entrada_Manual!$I$88:$I$187=A301)*1))</f>
        <v/>
      </c>
      <c r="AB301">
        <f>IF(A301="","",IF(S301&lt;=1,"",IF(AA301=0,"PENDIENTE — SIN ASIGNAR",IF(Z301=0,"RESUELTO","PARCIAL — DIFERENCIA "&amp;TEXT(Z301,"#,##0")))))</f>
        <v/>
      </c>
    </row>
    <row r="302" ht="14.25" customHeight="1" s="235">
      <c r="A302" s="47">
        <f>IF(Exogena_RAW!E311&lt;&gt;"",ROW()-5,"")</f>
        <v/>
      </c>
      <c r="B302" s="48">
        <f>IF(A302="","",311)</f>
        <v/>
      </c>
      <c r="C302" s="48">
        <f>IF(A302="","",IFERROR(Exogena_RAW!A311,""))</f>
        <v/>
      </c>
      <c r="D302" s="48">
        <f>IF(A302="","",IFERROR(Exogena_RAW!B311,""))</f>
        <v/>
      </c>
      <c r="E302" s="48">
        <f>IF(A302="","",Exogena_RAW!E311)</f>
        <v/>
      </c>
      <c r="F302" s="461">
        <f>IF(A302="","",Exogena_RAW!F311)</f>
        <v/>
      </c>
      <c r="G302" s="48">
        <f>IF(A302="","",IFERROR(Exogena_RAW!G311,""))</f>
        <v/>
      </c>
      <c r="H302" s="48">
        <f>IF(A302="","",IFERROR(Exogena_RAW!H311,""))</f>
        <v/>
      </c>
      <c r="I302" s="48">
        <f>IF(A302="","",IFERROR(IF(S302&gt;1,"VARIAS CASILLAS",IF(S302=1,IF(T302=1,"PROPUESTA DE CASILLA","REVISIÓN: CASILLA NO DIRECTA"),IF(OR(ISNUMBER(SEARCH("TOPE",UPPER(E302))),ISNUMBER(SEARCH("TOPE",UPPER(G302)))),"SOLO CONTROL",IF(ISNUMBER(SEARCH("RETEN",UPPER(E302))),"RETENCIÓN","REVISAR")))),"REVISAR"))</f>
        <v/>
      </c>
      <c r="J302" s="48">
        <f>IF(A302="","",IF(ISNUMBER(SEARCH("ingreso laboral promedio de los últimos seis meses",E302)),"",IFERROR(IF(AND(S302=1,T302=1),U302,""),"")))</f>
        <v/>
      </c>
      <c r="K302" s="216" t="n"/>
      <c r="L302" s="48">
        <f>IF(A302="","",IFERROR(IF(K302&lt;&gt;"","Casilla elegida por usuario",IF(S302&gt;1,"Varias casillas — elegir en K",IF(J302&lt;&gt;"","Sugerencia directa",IF(S302=1,"No trasladar directo — revisar",IF(OR(ISNUMBER(SEARCH("TOPE",UPPER(E302))),ISNUMBER(SEARCH("TOPE",UPPER(G302)))),"Solo control","Revisar manualmente"))))),"Revisar manualmente"))</f>
        <v/>
      </c>
      <c r="M302" s="461">
        <f>IF(A302="","",IF(IF(K302&lt;&gt;"",K302,J302)="",0,IF(COUNTIFS(Reglas!$I$5:$I$118,IF(K302&lt;&gt;"",K302,J302),Reglas!$J$5:$J$118,"Sí")=1,F302,0)))</f>
        <v/>
      </c>
      <c r="N302" s="56" t="n"/>
      <c r="O302" s="462">
        <f>IF(A302="","",IF(M302=0,"",M302))</f>
        <v/>
      </c>
      <c r="P302" s="461">
        <f>IF(A302="","",IF(O302="",0,IF(ISNUMBER(O302),O302,0)))</f>
        <v/>
      </c>
      <c r="Q302" s="48">
        <f>IF(A302="","",IF(Exogena_RAW!$C$4="","BLOQUEADO: FALTA AÑO",IF(Exogena_RAW!$K$10&lt;&gt;Reglas!$B$5,"BLOQUEADO: AÑO",IF(IF(K302&lt;&gt;"",K302,J302)="",IF(S302&gt;1,"REQUIERE ASIGNACIÓN MANUAL (VARIAS CASILLAS)","INFORMATIVO (sin casilla — no se declara)"),IF(COUNTIFS(Reglas!$I$5:$I$118,IF(K302&lt;&gt;"",K302,J302),Reglas!$J$5:$J$118,"Sí")=0,"BLOQUEADO: CASILLA NO DIRECTA",IF(O302="","EXCLUIDO (valor borrado por el usuario)",IF(_xlfn.ISFORMULA(O302),IF(W302&lt;&gt;"","BORRADOR — VALOR SUGERIDO DIAN ⚠ VER ALERTA","BORRADOR — VALOR SUGERIDO DIAN"),IF(W302&lt;&gt;"","ACEPTADO ⚠ VER ALERTA","ACEPTADO"))))))))</f>
        <v/>
      </c>
      <c r="R302" s="218" t="n"/>
      <c r="S302" s="58">
        <f>IF(A302="","",IFERROR(--ISNUMBER(SEARCH("R28",G302)),0)+IFERROR(--ISNUMBER(SEARCH("R29",G302)),0)+IFERROR(--ISNUMBER(SEARCH("R30",G302)),0)+IFERROR(--ISNUMBER(SEARCH("R31",G302)),0)+IFERROR(--ISNUMBER(SEARCH("R32",G302)),0)+IFERROR(--ISNUMBER(SEARCH("R33",G302)),0)+IFERROR(--ISNUMBER(SEARCH("R34",G302)),0)+IFERROR(--ISNUMBER(SEARCH("R35",G302)),0)+IFERROR(--ISNUMBER(SEARCH("R36",G302)),0)+IFERROR(--ISNUMBER(SEARCH("R37",G302)),0)+IFERROR(--ISNUMBER(SEARCH("R38",G302)),0)+IFERROR(--ISNUMBER(SEARCH("R39",G302)),0)+IFERROR(--ISNUMBER(SEARCH("R40",G302)),0)+IFERROR(--ISNUMBER(SEARCH("R41",G302)),0)+IFERROR(--ISNUMBER(SEARCH("R42",G302)),0)+IFERROR(--ISNUMBER(SEARCH("R43",G302)),0)+IFERROR(--ISNUMBER(SEARCH("R44",G302)),0)+IFERROR(--ISNUMBER(SEARCH("R45",G302)),0)+IFERROR(--ISNUMBER(SEARCH("R46",G302)),0)+IFERROR(--ISNUMBER(SEARCH("R47",G302)),0)+IFERROR(--ISNUMBER(SEARCH("R48",G302)),0)+IFERROR(--ISNUMBER(SEARCH("R49",G302)),0)+IFERROR(--ISNUMBER(SEARCH("R50",G302)),0)+IFERROR(--ISNUMBER(SEARCH("R51",G302)),0)+IFERROR(--ISNUMBER(SEARCH("R52",G302)),0)+IFERROR(--ISNUMBER(SEARCH("R53",G302)),0)+IFERROR(--ISNUMBER(SEARCH("R54",G302)),0)+IFERROR(--ISNUMBER(SEARCH("R55",G302)),0)+IFERROR(--ISNUMBER(SEARCH("R56",G302)),0)+IFERROR(--ISNUMBER(SEARCH("R57",G302)),0)+IFERROR(--ISNUMBER(SEARCH("R58",G302)),0)+IFERROR(--ISNUMBER(SEARCH("R59",G302)),0)+IFERROR(--ISNUMBER(SEARCH("R60",G302)),0)+IFERROR(--ISNUMBER(SEARCH("R61",G302)),0)+IFERROR(--ISNUMBER(SEARCH("R62",G302)),0)+IFERROR(--ISNUMBER(SEARCH("R63",G302)),0)+IFERROR(--ISNUMBER(SEARCH("R64",G302)),0)+IFERROR(--ISNUMBER(SEARCH("R65",G302)),0)+IFERROR(--ISNUMBER(SEARCH("R66",G302)),0)+IFERROR(--ISNUMBER(SEARCH("R67",G302)),0)+IFERROR(--ISNUMBER(SEARCH("R68",G302)),0)+IFERROR(--ISNUMBER(SEARCH("R69",G302)),0)+IFERROR(--ISNUMBER(SEARCH("R70",G302)),0)+IFERROR(--ISNUMBER(SEARCH("R71",G302)),0)+IFERROR(--ISNUMBER(SEARCH("R72",G302)),0)+IFERROR(--ISNUMBER(SEARCH("R73",G302)),0)+IFERROR(--ISNUMBER(SEARCH("R74",G302)),0)+IFERROR(--ISNUMBER(SEARCH("R75",G302)),0)+IFERROR(--ISNUMBER(SEARCH("R76",G302)),0)+IFERROR(--ISNUMBER(SEARCH("R77",G302)),0)+IFERROR(--ISNUMBER(SEARCH("R78",G302)),0)+IFERROR(--ISNUMBER(SEARCH("R79",G302)),0)+IFERROR(--ISNUMBER(SEARCH("R80",G302)),0)+IFERROR(--ISNUMBER(SEARCH("R81",G302)),0)+IFERROR(--ISNUMBER(SEARCH("R82",G302)),0)+IFERROR(--ISNUMBER(SEARCH("R83",G302)),0)+IFERROR(--ISNUMBER(SEARCH("R84",G302)),0)+IFERROR(--ISNUMBER(SEARCH("R85",G302)),0)+IFERROR(--ISNUMBER(SEARCH("R86",G302)),0)+IFERROR(--ISNUMBER(SEARCH("R87",G302)),0)+IFERROR(--ISNUMBER(SEARCH("R88",G302)),0)+IFERROR(--ISNUMBER(SEARCH("R89",G302)),0)+IFERROR(--ISNUMBER(SEARCH("R90",G302)),0)+IFERROR(--ISNUMBER(SEARCH("R91",G302)),0)+IFERROR(--ISNUMBER(SEARCH("R92",G302)),0)+IFERROR(--ISNUMBER(SEARCH("R93",G302)),0)+IFERROR(--ISNUMBER(SEARCH("R94",G302)),0)+IFERROR(--ISNUMBER(SEARCH("R95",G302)),0)+IFERROR(--ISNUMBER(SEARCH("R96",G302)),0)+IFERROR(--ISNUMBER(SEARCH("R97",G302)),0)+IFERROR(--ISNUMBER(SEARCH("R98",G302)),0)+IFERROR(--ISNUMBER(SEARCH("R99",G302)),0)+IFERROR(--ISNUMBER(SEARCH("R100",G302)),0)+IFERROR(--ISNUMBER(SEARCH("R101",G302)),0)+IFERROR(--ISNUMBER(SEARCH("R102",G302)),0)+IFERROR(--ISNUMBER(SEARCH("R103",G302)),0)+IFERROR(--ISNUMBER(SEARCH("R104",G302)),0)+IFERROR(--ISNUMBER(SEARCH("R105",G302)),0)+IFERROR(--ISNUMBER(SEARCH("R106",G302)),0)+IFERROR(--ISNUMBER(SEARCH("R107",G302)),0)+IFERROR(--ISNUMBER(SEARCH("R108",G302)),0)+IFERROR(--ISNUMBER(SEARCH("R109",G302)),0)+IFERROR(--ISNUMBER(SEARCH("R110",G302)),0)+IFERROR(--ISNUMBER(SEARCH("R111",G302)),0)+IFERROR(--ISNUMBER(SEARCH("R112",G302)),0)+IFERROR(--ISNUMBER(SEARCH("R113",G302)),0)+IFERROR(--ISNUMBER(SEARCH("R114",G302)),0)+IFERROR(--ISNUMBER(SEARCH("R115",G302)),0)+IFERROR(--ISNUMBER(SEARCH("R116",G302)),0)+IFERROR(--ISNUMBER(SEARCH("R117",G302)),0)+IFERROR(--ISNUMBER(SEARCH("R118",G302)),0)+IFERROR(--ISNUMBER(SEARCH("R119",G302)),0)+IFERROR(--ISNUMBER(SEARCH("R120",G302)),0)+IFERROR(--ISNUMBER(SEARCH("R121",G302)),0)+IFERROR(--ISNUMBER(SEARCH("R122",G302)),0)+IFERROR(--ISNUMBER(SEARCH("R123",G302)),0)+IFERROR(--ISNUMBER(SEARCH("R124",G302)),0)+IFERROR(--ISNUMBER(SEARCH("R125",G302)),0)+IFERROR(--ISNUMBER(SEARCH("R126",G302)),0)+IFERROR(--ISNUMBER(SEARCH("R127",G302)),0)+IFERROR(--ISNUMBER(SEARCH("R128",G302)),0)+IFERROR(--ISNUMBER(SEARCH("R129",G302)),0)+IFERROR(--ISNUMBER(SEARCH("R130",G302)),0)+IFERROR(--ISNUMBER(SEARCH("R131",G302)),0)+IFERROR(--ISNUMBER(SEARCH("R132",G302)),0)+IFERROR(--ISNUMBER(SEARCH("R133",G302)),0)+IFERROR(--ISNUMBER(SEARCH("R134",G302)),0)+IFERROR(--ISNUMBER(SEARCH("R135",G302)),0)+IFERROR(--ISNUMBER(SEARCH("R136",G302)),0)+IFERROR(--ISNUMBER(SEARCH("R137",G302)),0)+IFERROR(--ISNUMBER(SEARCH("R138",G302)),0)+IFERROR(--ISNUMBER(SEARCH("R139",G302)),0)+IFERROR(--ISNUMBER(SEARCH("R140",G302)),0)+IFERROR(--ISNUMBER(SEARCH("R141",G302)),0))</f>
        <v/>
      </c>
      <c r="T302" s="58">
        <f>IF(A302="","",IFERROR(--ISNUMBER(SEARCH("R28",G302)),0)+IFERROR(--ISNUMBER(SEARCH("R29",G302)),0)+IFERROR(--ISNUMBER(SEARCH("R30",G302)),0)+IFERROR(--ISNUMBER(SEARCH("R32",G302)),0)+IFERROR(--ISNUMBER(SEARCH("R33",G302)),0)+IFERROR(--ISNUMBER(SEARCH("R35",G302)),0)+IFERROR(--ISNUMBER(SEARCH("R36",G302)),0)+IFERROR(--ISNUMBER(SEARCH("R38",G302)),0)+IFERROR(--ISNUMBER(SEARCH("R39",G302)),0)+IFERROR(--ISNUMBER(SEARCH("R43",G302)),0)+IFERROR(--ISNUMBER(SEARCH("R44",G302)),0)+IFERROR(--ISNUMBER(SEARCH("R45",G302)),0)+IFERROR(--ISNUMBER(SEARCH("R47",G302)),0)+IFERROR(--ISNUMBER(SEARCH("R48",G302)),0)+IFERROR(--ISNUMBER(SEARCH("R50",G302)),0)+IFERROR(--ISNUMBER(SEARCH("R51",G302)),0)+IFERROR(--ISNUMBER(SEARCH("R56",G302)),0)+IFERROR(--ISNUMBER(SEARCH("R58",G302)),0)+IFERROR(--ISNUMBER(SEARCH("R59",G302)),0)+IFERROR(--ISNUMBER(SEARCH("R60",G302)),0)+IFERROR(--ISNUMBER(SEARCH("R62",G302)),0)+IFERROR(--ISNUMBER(SEARCH("R63",G302)),0)+IFERROR(--ISNUMBER(SEARCH("R64",G302)),0)+IFERROR(--ISNUMBER(SEARCH("R66",G302)),0)+IFERROR(--ISNUMBER(SEARCH("R67",G302)),0)+IFERROR(--ISNUMBER(SEARCH("R72",G302)),0)+IFERROR(--ISNUMBER(SEARCH("R74",G302)),0)+IFERROR(--ISNUMBER(SEARCH("R75",G302)),0)+IFERROR(--ISNUMBER(SEARCH("R76",G302)),0)+IFERROR(--ISNUMBER(SEARCH("R77",G302)),0)+IFERROR(--ISNUMBER(SEARCH("R79",G302)),0)+IFERROR(--ISNUMBER(SEARCH("R80",G302)),0)+IFERROR(--ISNUMBER(SEARCH("R81",G302)),0)+IFERROR(--ISNUMBER(SEARCH("R83",G302)),0)+IFERROR(--ISNUMBER(SEARCH("R84",G302)),0)+IFERROR(--ISNUMBER(SEARCH("R89",G302)),0)+IFERROR(--ISNUMBER(SEARCH("R94",G302)),0)+IFERROR(--ISNUMBER(SEARCH("R95",G302)),0)+IFERROR(--ISNUMBER(SEARCH("R96",G302)),0)+IFERROR(--ISNUMBER(SEARCH("R98",G302)),0)+IFERROR(--ISNUMBER(SEARCH("R99",G302)),0)+IFERROR(--ISNUMBER(SEARCH("R100",G302)),0)+IFERROR(--ISNUMBER(SEARCH("R104",G302)),0)+IFERROR(--ISNUMBER(SEARCH("R105",G302)),0)+IFERROR(--ISNUMBER(SEARCH("R107",G302)),0)+IFERROR(--ISNUMBER(SEARCH("R108",G302)),0)+IFERROR(--ISNUMBER(SEARCH("R109",G302)),0)+IFERROR(--ISNUMBER(SEARCH("R110",G302)),0)+IFERROR(--ISNUMBER(SEARCH("R112",G302)),0)+IFERROR(--ISNUMBER(SEARCH("R113",G302)),0)+IFERROR(--ISNUMBER(SEARCH("R114",G302)),0)+IFERROR(--ISNUMBER(SEARCH("R118",G302)),0)+IFERROR(--ISNUMBER(SEARCH("R119",G302)),0)+IFERROR(--ISNUMBER(SEARCH("R120",G302)),0)+IFERROR(--ISNUMBER(SEARCH("R122",G302)),0)+IFERROR(--ISNUMBER(SEARCH("R123",G302)),0)+IFERROR(--ISNUMBER(SEARCH("R124",G302)),0)+IFERROR(--ISNUMBER(SEARCH("R128",G302)),0)+IFERROR(--ISNUMBER(SEARCH("R130",G302)),0)+IFERROR(--ISNUMBER(SEARCH("R131",G302)),0)+IFERROR(--ISNUMBER(SEARCH("R132",G302)),0)+IFERROR(--ISNUMBER(SEARCH("R135",G302)),0)+IFERROR(--ISNUMBER(SEARCH("R138",G302)),0)+IFERROR(--ISNUMBER(SEARCH("R141",G302)),0))</f>
        <v/>
      </c>
      <c r="U302" s="58">
        <f>IF(A302="","",IFERROR(--ISNUMBER(SEARCH("R28",G302))*28,0)+IFERROR(--ISNUMBER(SEARCH("R29",G302))*29,0)+IFERROR(--ISNUMBER(SEARCH("R30",G302))*30,0)+IFERROR(--ISNUMBER(SEARCH("R31",G302))*31,0)+IFERROR(--ISNUMBER(SEARCH("R32",G302))*32,0)+IFERROR(--ISNUMBER(SEARCH("R33",G302))*33,0)+IFERROR(--ISNUMBER(SEARCH("R34",G302))*34,0)+IFERROR(--ISNUMBER(SEARCH("R35",G302))*35,0)+IFERROR(--ISNUMBER(SEARCH("R36",G302))*36,0)+IFERROR(--ISNUMBER(SEARCH("R37",G302))*37,0)+IFERROR(--ISNUMBER(SEARCH("R38",G302))*38,0)+IFERROR(--ISNUMBER(SEARCH("R39",G302))*39,0)+IFERROR(--ISNUMBER(SEARCH("R40",G302))*40,0)+IFERROR(--ISNUMBER(SEARCH("R41",G302))*41,0)+IFERROR(--ISNUMBER(SEARCH("R42",G302))*42,0)+IFERROR(--ISNUMBER(SEARCH("R43",G302))*43,0)+IFERROR(--ISNUMBER(SEARCH("R44",G302))*44,0)+IFERROR(--ISNUMBER(SEARCH("R45",G302))*45,0)+IFERROR(--ISNUMBER(SEARCH("R46",G302))*46,0)+IFERROR(--ISNUMBER(SEARCH("R47",G302))*47,0)+IFERROR(--ISNUMBER(SEARCH("R48",G302))*48,0)+IFERROR(--ISNUMBER(SEARCH("R49",G302))*49,0)+IFERROR(--ISNUMBER(SEARCH("R50",G302))*50,0)+IFERROR(--ISNUMBER(SEARCH("R51",G302))*51,0)+IFERROR(--ISNUMBER(SEARCH("R52",G302))*52,0)+IFERROR(--ISNUMBER(SEARCH("R53",G302))*53,0)+IFERROR(--ISNUMBER(SEARCH("R54",G302))*54,0)+IFERROR(--ISNUMBER(SEARCH("R55",G302))*55,0)+IFERROR(--ISNUMBER(SEARCH("R56",G302))*56,0)+IFERROR(--ISNUMBER(SEARCH("R57",G302))*57,0)+IFERROR(--ISNUMBER(SEARCH("R58",G302))*58,0)+IFERROR(--ISNUMBER(SEARCH("R59",G302))*59,0)+IFERROR(--ISNUMBER(SEARCH("R60",G302))*60,0)+IFERROR(--ISNUMBER(SEARCH("R61",G302))*61,0)+IFERROR(--ISNUMBER(SEARCH("R62",G302))*62,0)+IFERROR(--ISNUMBER(SEARCH("R63",G302))*63,0)+IFERROR(--ISNUMBER(SEARCH("R64",G302))*64,0)+IFERROR(--ISNUMBER(SEARCH("R65",G302))*65,0)+IFERROR(--ISNUMBER(SEARCH("R66",G302))*66,0)+IFERROR(--ISNUMBER(SEARCH("R67",G302))*67,0)+IFERROR(--ISNUMBER(SEARCH("R68",G302))*68,0)+IFERROR(--ISNUMBER(SEARCH("R69",G302))*69,0)+IFERROR(--ISNUMBER(SEARCH("R70",G302))*70,0)+IFERROR(--ISNUMBER(SEARCH("R71",G302))*71,0)+IFERROR(--ISNUMBER(SEARCH("R72",G302))*72,0)+IFERROR(--ISNUMBER(SEARCH("R73",G302))*73,0)+IFERROR(--ISNUMBER(SEARCH("R74",G302))*74,0)+IFERROR(--ISNUMBER(SEARCH("R75",G302))*75,0)+IFERROR(--ISNUMBER(SEARCH("R76",G302))*76,0)+IFERROR(--ISNUMBER(SEARCH("R77",G302))*77,0)+IFERROR(--ISNUMBER(SEARCH("R78",G302))*78,0)+IFERROR(--ISNUMBER(SEARCH("R79",G302))*79,0)+IFERROR(--ISNUMBER(SEARCH("R80",G302))*80,0)+IFERROR(--ISNUMBER(SEARCH("R81",G302))*81,0)+IFERROR(--ISNUMBER(SEARCH("R82",G302))*82,0)+IFERROR(--ISNUMBER(SEARCH("R83",G302))*83,0)+IFERROR(--ISNUMBER(SEARCH("R84",G302))*84,0)+IFERROR(--ISNUMBER(SEARCH("R85",G302))*85,0)+IFERROR(--ISNUMBER(SEARCH("R86",G302))*86,0)+IFERROR(--ISNUMBER(SEARCH("R87",G302))*87,0)+IFERROR(--ISNUMBER(SEARCH("R88",G302))*88,0)+IFERROR(--ISNUMBER(SEARCH("R89",G302))*89,0)+IFERROR(--ISNUMBER(SEARCH("R90",G302))*90,0)+IFERROR(--ISNUMBER(SEARCH("R91",G302))*91,0)+IFERROR(--ISNUMBER(SEARCH("R92",G302))*92,0)+IFERROR(--ISNUMBER(SEARCH("R93",G302))*93,0)+IFERROR(--ISNUMBER(SEARCH("R94",G302))*94,0)+IFERROR(--ISNUMBER(SEARCH("R95",G302))*95,0)+IFERROR(--ISNUMBER(SEARCH("R96",G302))*96,0)+IFERROR(--ISNUMBER(SEARCH("R97",G302))*97,0)+IFERROR(--ISNUMBER(SEARCH("R98",G302))*98,0)+IFERROR(--ISNUMBER(SEARCH("R99",G302))*99,0)+IFERROR(--ISNUMBER(SEARCH("R100",G302))*100,0)+IFERROR(--ISNUMBER(SEARCH("R101",G302))*101,0)+IFERROR(--ISNUMBER(SEARCH("R102",G302))*102,0)+IFERROR(--ISNUMBER(SEARCH("R103",G302))*103,0)+IFERROR(--ISNUMBER(SEARCH("R104",G302))*104,0)+IFERROR(--ISNUMBER(SEARCH("R105",G302))*105,0)+IFERROR(--ISNUMBER(SEARCH("R106",G302))*106,0)+IFERROR(--ISNUMBER(SEARCH("R107",G302))*107,0)+IFERROR(--ISNUMBER(SEARCH("R108",G302))*108,0)+IFERROR(--ISNUMBER(SEARCH("R109",G302))*109,0)+IFERROR(--ISNUMBER(SEARCH("R110",G302))*110,0)+IFERROR(--ISNUMBER(SEARCH("R111",G302))*111,0)+IFERROR(--ISNUMBER(SEARCH("R112",G302))*112,0)+IFERROR(--ISNUMBER(SEARCH("R113",G302))*113,0)+IFERROR(--ISNUMBER(SEARCH("R114",G302))*114,0)+IFERROR(--ISNUMBER(SEARCH("R115",G302))*115,0)+IFERROR(--ISNUMBER(SEARCH("R116",G302))*116,0)+IFERROR(--ISNUMBER(SEARCH("R117",G302))*117,0)+IFERROR(--ISNUMBER(SEARCH("R118",G302))*118,0)+IFERROR(--ISNUMBER(SEARCH("R119",G302))*119,0)+IFERROR(--ISNUMBER(SEARCH("R120",G302))*120,0)+IFERROR(--ISNUMBER(SEARCH("R121",G302))*121,0)+IFERROR(--ISNUMBER(SEARCH("R122",G302))*122,0)+IFERROR(--ISNUMBER(SEARCH("R123",G302))*123,0)+IFERROR(--ISNUMBER(SEARCH("R124",G302))*124,0)+IFERROR(--ISNUMBER(SEARCH("R125",G302))*125,0)+IFERROR(--ISNUMBER(SEARCH("R126",G302))*126,0)+IFERROR(--ISNUMBER(SEARCH("R127",G302))*127,0)+IFERROR(--ISNUMBER(SEARCH("R128",G302))*128,0)+IFERROR(--ISNUMBER(SEARCH("R129",G302))*129,0)+IFERROR(--ISNUMBER(SEARCH("R130",G302))*130,0)+IFERROR(--ISNUMBER(SEARCH("R131",G302))*131,0)+IFERROR(--ISNUMBER(SEARCH("R132",G302))*132,0)+IFERROR(--ISNUMBER(SEARCH("R133",G302))*133,0)+IFERROR(--ISNUMBER(SEARCH("R134",G302))*134,0)+IFERROR(--ISNUMBER(SEARCH("R135",G302))*135,0)+IFERROR(--ISNUMBER(SEARCH("R136",G302))*136,0)+IFERROR(--ISNUMBER(SEARCH("R137",G302))*137,0)+IFERROR(--ISNUMBER(SEARCH("R138",G302))*138,0)+IFERROR(--ISNUMBER(SEARCH("R139",G302))*139,0)+IFERROR(--ISNUMBER(SEARCH("R140",G302))*140,0)+IFERROR(--ISNUMBER(SEARCH("R141",G302))*141,0))</f>
        <v/>
      </c>
      <c r="V302" s="59">
        <f>IF(A302="","",IF(K302&lt;&gt;"",K302,J302))</f>
        <v/>
      </c>
      <c r="W302" s="59">
        <f>IF(A302="","",IF(AND(V302=29,O302&lt;&gt;"",COUNTIFS($V$6:$V$505,29,$F$6:$F$505,F302,$C$6:$C$505,C302,$O$6:$O$505,"&lt;&gt;")&gt;1),IF(COUNTIFS($V$6:V302,29,$F$6:F302,F302,$C$6:C302,C302,$O$6:O302,"&lt;&gt;")=1,"Esta es la fila que se debe CONSERVAR (aparición 1 de "&amp;COUNTIFS($V$6:$V$505,29,$F$6:$F$505,F302,$C$6:$C$505,C302,$O$6:$O$505,"&lt;&gt;")&amp;" con el mismo tercero y valor, casilla 29). Si hay más filas iguales, bórreles el valor a ELLAS, no a esta.","DUPLICADO — ya existe otra fila con el mismo tercero y valor para casilla 29 (aparición "&amp;COUNTIFS($V$6:V302,29,$F$6:F302,F302,$C$6:C302,C302,$O$6:O302,"&lt;&gt;")&amp;" de "&amp;COUNTIFS($V$6:$V$505,29,$F$6:$F$505,F302,$C$6:$C$505,C302,$O$6:$O$505,"&lt;&gt;")&amp;"). Para resolverlo: seleccione la celda O"&amp;ROW()&amp;" (columna Valor a declarar de ESTA fila) y presione Supr."),""))</f>
        <v/>
      </c>
      <c r="X302" s="463">
        <f>IF(A302="","",F302)</f>
        <v/>
      </c>
      <c r="Y302" s="463">
        <f>IF(A302="","",SUMIF(Entrada_Manual!$I$88:$I$187,A302,Entrada_Manual!$F$88:$F$187))</f>
        <v/>
      </c>
      <c r="Z302" s="463">
        <f>IF(A302="","",X302-Y302)</f>
        <v/>
      </c>
      <c r="AA302">
        <f>IF(A302="","",SUMPRODUCT((Entrada_Manual!$I$88:$I$187=A302)*1))</f>
        <v/>
      </c>
      <c r="AB302">
        <f>IF(A302="","",IF(S302&lt;=1,"",IF(AA302=0,"PENDIENTE — SIN ASIGNAR",IF(Z302=0,"RESUELTO","PARCIAL — DIFERENCIA "&amp;TEXT(Z302,"#,##0")))))</f>
        <v/>
      </c>
    </row>
    <row r="303" ht="14.25" customHeight="1" s="235">
      <c r="A303" s="47">
        <f>IF(Exogena_RAW!E312&lt;&gt;"",ROW()-5,"")</f>
        <v/>
      </c>
      <c r="B303" s="48">
        <f>IF(A303="","",312)</f>
        <v/>
      </c>
      <c r="C303" s="48">
        <f>IF(A303="","",IFERROR(Exogena_RAW!A312,""))</f>
        <v/>
      </c>
      <c r="D303" s="48">
        <f>IF(A303="","",IFERROR(Exogena_RAW!B312,""))</f>
        <v/>
      </c>
      <c r="E303" s="48">
        <f>IF(A303="","",Exogena_RAW!E312)</f>
        <v/>
      </c>
      <c r="F303" s="461">
        <f>IF(A303="","",Exogena_RAW!F312)</f>
        <v/>
      </c>
      <c r="G303" s="48">
        <f>IF(A303="","",IFERROR(Exogena_RAW!G312,""))</f>
        <v/>
      </c>
      <c r="H303" s="48">
        <f>IF(A303="","",IFERROR(Exogena_RAW!H312,""))</f>
        <v/>
      </c>
      <c r="I303" s="48">
        <f>IF(A303="","",IFERROR(IF(S303&gt;1,"VARIAS CASILLAS",IF(S303=1,IF(T303=1,"PROPUESTA DE CASILLA","REVISIÓN: CASILLA NO DIRECTA"),IF(OR(ISNUMBER(SEARCH("TOPE",UPPER(E303))),ISNUMBER(SEARCH("TOPE",UPPER(G303)))),"SOLO CONTROL",IF(ISNUMBER(SEARCH("RETEN",UPPER(E303))),"RETENCIÓN","REVISAR")))),"REVISAR"))</f>
        <v/>
      </c>
      <c r="J303" s="48">
        <f>IF(A303="","",IF(ISNUMBER(SEARCH("ingreso laboral promedio de los últimos seis meses",E303)),"",IFERROR(IF(AND(S303=1,T303=1),U303,""),"")))</f>
        <v/>
      </c>
      <c r="K303" s="216" t="n"/>
      <c r="L303" s="48">
        <f>IF(A303="","",IFERROR(IF(K303&lt;&gt;"","Casilla elegida por usuario",IF(S303&gt;1,"Varias casillas — elegir en K",IF(J303&lt;&gt;"","Sugerencia directa",IF(S303=1,"No trasladar directo — revisar",IF(OR(ISNUMBER(SEARCH("TOPE",UPPER(E303))),ISNUMBER(SEARCH("TOPE",UPPER(G303)))),"Solo control","Revisar manualmente"))))),"Revisar manualmente"))</f>
        <v/>
      </c>
      <c r="M303" s="461">
        <f>IF(A303="","",IF(IF(K303&lt;&gt;"",K303,J303)="",0,IF(COUNTIFS(Reglas!$I$5:$I$118,IF(K303&lt;&gt;"",K303,J303),Reglas!$J$5:$J$118,"Sí")=1,F303,0)))</f>
        <v/>
      </c>
      <c r="N303" s="56" t="n"/>
      <c r="O303" s="462">
        <f>IF(A303="","",IF(M303=0,"",M303))</f>
        <v/>
      </c>
      <c r="P303" s="461">
        <f>IF(A303="","",IF(O303="",0,IF(ISNUMBER(O303),O303,0)))</f>
        <v/>
      </c>
      <c r="Q303" s="48">
        <f>IF(A303="","",IF(Exogena_RAW!$C$4="","BLOQUEADO: FALTA AÑO",IF(Exogena_RAW!$K$10&lt;&gt;Reglas!$B$5,"BLOQUEADO: AÑO",IF(IF(K303&lt;&gt;"",K303,J303)="",IF(S303&gt;1,"REQUIERE ASIGNACIÓN MANUAL (VARIAS CASILLAS)","INFORMATIVO (sin casilla — no se declara)"),IF(COUNTIFS(Reglas!$I$5:$I$118,IF(K303&lt;&gt;"",K303,J303),Reglas!$J$5:$J$118,"Sí")=0,"BLOQUEADO: CASILLA NO DIRECTA",IF(O303="","EXCLUIDO (valor borrado por el usuario)",IF(_xlfn.ISFORMULA(O303),IF(W303&lt;&gt;"","BORRADOR — VALOR SUGERIDO DIAN ⚠ VER ALERTA","BORRADOR — VALOR SUGERIDO DIAN"),IF(W303&lt;&gt;"","ACEPTADO ⚠ VER ALERTA","ACEPTADO"))))))))</f>
        <v/>
      </c>
      <c r="R303" s="218" t="n"/>
      <c r="S303" s="58">
        <f>IF(A303="","",IFERROR(--ISNUMBER(SEARCH("R28",G303)),0)+IFERROR(--ISNUMBER(SEARCH("R29",G303)),0)+IFERROR(--ISNUMBER(SEARCH("R30",G303)),0)+IFERROR(--ISNUMBER(SEARCH("R31",G303)),0)+IFERROR(--ISNUMBER(SEARCH("R32",G303)),0)+IFERROR(--ISNUMBER(SEARCH("R33",G303)),0)+IFERROR(--ISNUMBER(SEARCH("R34",G303)),0)+IFERROR(--ISNUMBER(SEARCH("R35",G303)),0)+IFERROR(--ISNUMBER(SEARCH("R36",G303)),0)+IFERROR(--ISNUMBER(SEARCH("R37",G303)),0)+IFERROR(--ISNUMBER(SEARCH("R38",G303)),0)+IFERROR(--ISNUMBER(SEARCH("R39",G303)),0)+IFERROR(--ISNUMBER(SEARCH("R40",G303)),0)+IFERROR(--ISNUMBER(SEARCH("R41",G303)),0)+IFERROR(--ISNUMBER(SEARCH("R42",G303)),0)+IFERROR(--ISNUMBER(SEARCH("R43",G303)),0)+IFERROR(--ISNUMBER(SEARCH("R44",G303)),0)+IFERROR(--ISNUMBER(SEARCH("R45",G303)),0)+IFERROR(--ISNUMBER(SEARCH("R46",G303)),0)+IFERROR(--ISNUMBER(SEARCH("R47",G303)),0)+IFERROR(--ISNUMBER(SEARCH("R48",G303)),0)+IFERROR(--ISNUMBER(SEARCH("R49",G303)),0)+IFERROR(--ISNUMBER(SEARCH("R50",G303)),0)+IFERROR(--ISNUMBER(SEARCH("R51",G303)),0)+IFERROR(--ISNUMBER(SEARCH("R52",G303)),0)+IFERROR(--ISNUMBER(SEARCH("R53",G303)),0)+IFERROR(--ISNUMBER(SEARCH("R54",G303)),0)+IFERROR(--ISNUMBER(SEARCH("R55",G303)),0)+IFERROR(--ISNUMBER(SEARCH("R56",G303)),0)+IFERROR(--ISNUMBER(SEARCH("R57",G303)),0)+IFERROR(--ISNUMBER(SEARCH("R58",G303)),0)+IFERROR(--ISNUMBER(SEARCH("R59",G303)),0)+IFERROR(--ISNUMBER(SEARCH("R60",G303)),0)+IFERROR(--ISNUMBER(SEARCH("R61",G303)),0)+IFERROR(--ISNUMBER(SEARCH("R62",G303)),0)+IFERROR(--ISNUMBER(SEARCH("R63",G303)),0)+IFERROR(--ISNUMBER(SEARCH("R64",G303)),0)+IFERROR(--ISNUMBER(SEARCH("R65",G303)),0)+IFERROR(--ISNUMBER(SEARCH("R66",G303)),0)+IFERROR(--ISNUMBER(SEARCH("R67",G303)),0)+IFERROR(--ISNUMBER(SEARCH("R68",G303)),0)+IFERROR(--ISNUMBER(SEARCH("R69",G303)),0)+IFERROR(--ISNUMBER(SEARCH("R70",G303)),0)+IFERROR(--ISNUMBER(SEARCH("R71",G303)),0)+IFERROR(--ISNUMBER(SEARCH("R72",G303)),0)+IFERROR(--ISNUMBER(SEARCH("R73",G303)),0)+IFERROR(--ISNUMBER(SEARCH("R74",G303)),0)+IFERROR(--ISNUMBER(SEARCH("R75",G303)),0)+IFERROR(--ISNUMBER(SEARCH("R76",G303)),0)+IFERROR(--ISNUMBER(SEARCH("R77",G303)),0)+IFERROR(--ISNUMBER(SEARCH("R78",G303)),0)+IFERROR(--ISNUMBER(SEARCH("R79",G303)),0)+IFERROR(--ISNUMBER(SEARCH("R80",G303)),0)+IFERROR(--ISNUMBER(SEARCH("R81",G303)),0)+IFERROR(--ISNUMBER(SEARCH("R82",G303)),0)+IFERROR(--ISNUMBER(SEARCH("R83",G303)),0)+IFERROR(--ISNUMBER(SEARCH("R84",G303)),0)+IFERROR(--ISNUMBER(SEARCH("R85",G303)),0)+IFERROR(--ISNUMBER(SEARCH("R86",G303)),0)+IFERROR(--ISNUMBER(SEARCH("R87",G303)),0)+IFERROR(--ISNUMBER(SEARCH("R88",G303)),0)+IFERROR(--ISNUMBER(SEARCH("R89",G303)),0)+IFERROR(--ISNUMBER(SEARCH("R90",G303)),0)+IFERROR(--ISNUMBER(SEARCH("R91",G303)),0)+IFERROR(--ISNUMBER(SEARCH("R92",G303)),0)+IFERROR(--ISNUMBER(SEARCH("R93",G303)),0)+IFERROR(--ISNUMBER(SEARCH("R94",G303)),0)+IFERROR(--ISNUMBER(SEARCH("R95",G303)),0)+IFERROR(--ISNUMBER(SEARCH("R96",G303)),0)+IFERROR(--ISNUMBER(SEARCH("R97",G303)),0)+IFERROR(--ISNUMBER(SEARCH("R98",G303)),0)+IFERROR(--ISNUMBER(SEARCH("R99",G303)),0)+IFERROR(--ISNUMBER(SEARCH("R100",G303)),0)+IFERROR(--ISNUMBER(SEARCH("R101",G303)),0)+IFERROR(--ISNUMBER(SEARCH("R102",G303)),0)+IFERROR(--ISNUMBER(SEARCH("R103",G303)),0)+IFERROR(--ISNUMBER(SEARCH("R104",G303)),0)+IFERROR(--ISNUMBER(SEARCH("R105",G303)),0)+IFERROR(--ISNUMBER(SEARCH("R106",G303)),0)+IFERROR(--ISNUMBER(SEARCH("R107",G303)),0)+IFERROR(--ISNUMBER(SEARCH("R108",G303)),0)+IFERROR(--ISNUMBER(SEARCH("R109",G303)),0)+IFERROR(--ISNUMBER(SEARCH("R110",G303)),0)+IFERROR(--ISNUMBER(SEARCH("R111",G303)),0)+IFERROR(--ISNUMBER(SEARCH("R112",G303)),0)+IFERROR(--ISNUMBER(SEARCH("R113",G303)),0)+IFERROR(--ISNUMBER(SEARCH("R114",G303)),0)+IFERROR(--ISNUMBER(SEARCH("R115",G303)),0)+IFERROR(--ISNUMBER(SEARCH("R116",G303)),0)+IFERROR(--ISNUMBER(SEARCH("R117",G303)),0)+IFERROR(--ISNUMBER(SEARCH("R118",G303)),0)+IFERROR(--ISNUMBER(SEARCH("R119",G303)),0)+IFERROR(--ISNUMBER(SEARCH("R120",G303)),0)+IFERROR(--ISNUMBER(SEARCH("R121",G303)),0)+IFERROR(--ISNUMBER(SEARCH("R122",G303)),0)+IFERROR(--ISNUMBER(SEARCH("R123",G303)),0)+IFERROR(--ISNUMBER(SEARCH("R124",G303)),0)+IFERROR(--ISNUMBER(SEARCH("R125",G303)),0)+IFERROR(--ISNUMBER(SEARCH("R126",G303)),0)+IFERROR(--ISNUMBER(SEARCH("R127",G303)),0)+IFERROR(--ISNUMBER(SEARCH("R128",G303)),0)+IFERROR(--ISNUMBER(SEARCH("R129",G303)),0)+IFERROR(--ISNUMBER(SEARCH("R130",G303)),0)+IFERROR(--ISNUMBER(SEARCH("R131",G303)),0)+IFERROR(--ISNUMBER(SEARCH("R132",G303)),0)+IFERROR(--ISNUMBER(SEARCH("R133",G303)),0)+IFERROR(--ISNUMBER(SEARCH("R134",G303)),0)+IFERROR(--ISNUMBER(SEARCH("R135",G303)),0)+IFERROR(--ISNUMBER(SEARCH("R136",G303)),0)+IFERROR(--ISNUMBER(SEARCH("R137",G303)),0)+IFERROR(--ISNUMBER(SEARCH("R138",G303)),0)+IFERROR(--ISNUMBER(SEARCH("R139",G303)),0)+IFERROR(--ISNUMBER(SEARCH("R140",G303)),0)+IFERROR(--ISNUMBER(SEARCH("R141",G303)),0))</f>
        <v/>
      </c>
      <c r="T303" s="58">
        <f>IF(A303="","",IFERROR(--ISNUMBER(SEARCH("R28",G303)),0)+IFERROR(--ISNUMBER(SEARCH("R29",G303)),0)+IFERROR(--ISNUMBER(SEARCH("R30",G303)),0)+IFERROR(--ISNUMBER(SEARCH("R32",G303)),0)+IFERROR(--ISNUMBER(SEARCH("R33",G303)),0)+IFERROR(--ISNUMBER(SEARCH("R35",G303)),0)+IFERROR(--ISNUMBER(SEARCH("R36",G303)),0)+IFERROR(--ISNUMBER(SEARCH("R38",G303)),0)+IFERROR(--ISNUMBER(SEARCH("R39",G303)),0)+IFERROR(--ISNUMBER(SEARCH("R43",G303)),0)+IFERROR(--ISNUMBER(SEARCH("R44",G303)),0)+IFERROR(--ISNUMBER(SEARCH("R45",G303)),0)+IFERROR(--ISNUMBER(SEARCH("R47",G303)),0)+IFERROR(--ISNUMBER(SEARCH("R48",G303)),0)+IFERROR(--ISNUMBER(SEARCH("R50",G303)),0)+IFERROR(--ISNUMBER(SEARCH("R51",G303)),0)+IFERROR(--ISNUMBER(SEARCH("R56",G303)),0)+IFERROR(--ISNUMBER(SEARCH("R58",G303)),0)+IFERROR(--ISNUMBER(SEARCH("R59",G303)),0)+IFERROR(--ISNUMBER(SEARCH("R60",G303)),0)+IFERROR(--ISNUMBER(SEARCH("R62",G303)),0)+IFERROR(--ISNUMBER(SEARCH("R63",G303)),0)+IFERROR(--ISNUMBER(SEARCH("R64",G303)),0)+IFERROR(--ISNUMBER(SEARCH("R66",G303)),0)+IFERROR(--ISNUMBER(SEARCH("R67",G303)),0)+IFERROR(--ISNUMBER(SEARCH("R72",G303)),0)+IFERROR(--ISNUMBER(SEARCH("R74",G303)),0)+IFERROR(--ISNUMBER(SEARCH("R75",G303)),0)+IFERROR(--ISNUMBER(SEARCH("R76",G303)),0)+IFERROR(--ISNUMBER(SEARCH("R77",G303)),0)+IFERROR(--ISNUMBER(SEARCH("R79",G303)),0)+IFERROR(--ISNUMBER(SEARCH("R80",G303)),0)+IFERROR(--ISNUMBER(SEARCH("R81",G303)),0)+IFERROR(--ISNUMBER(SEARCH("R83",G303)),0)+IFERROR(--ISNUMBER(SEARCH("R84",G303)),0)+IFERROR(--ISNUMBER(SEARCH("R89",G303)),0)+IFERROR(--ISNUMBER(SEARCH("R94",G303)),0)+IFERROR(--ISNUMBER(SEARCH("R95",G303)),0)+IFERROR(--ISNUMBER(SEARCH("R96",G303)),0)+IFERROR(--ISNUMBER(SEARCH("R98",G303)),0)+IFERROR(--ISNUMBER(SEARCH("R99",G303)),0)+IFERROR(--ISNUMBER(SEARCH("R100",G303)),0)+IFERROR(--ISNUMBER(SEARCH("R104",G303)),0)+IFERROR(--ISNUMBER(SEARCH("R105",G303)),0)+IFERROR(--ISNUMBER(SEARCH("R107",G303)),0)+IFERROR(--ISNUMBER(SEARCH("R108",G303)),0)+IFERROR(--ISNUMBER(SEARCH("R109",G303)),0)+IFERROR(--ISNUMBER(SEARCH("R110",G303)),0)+IFERROR(--ISNUMBER(SEARCH("R112",G303)),0)+IFERROR(--ISNUMBER(SEARCH("R113",G303)),0)+IFERROR(--ISNUMBER(SEARCH("R114",G303)),0)+IFERROR(--ISNUMBER(SEARCH("R118",G303)),0)+IFERROR(--ISNUMBER(SEARCH("R119",G303)),0)+IFERROR(--ISNUMBER(SEARCH("R120",G303)),0)+IFERROR(--ISNUMBER(SEARCH("R122",G303)),0)+IFERROR(--ISNUMBER(SEARCH("R123",G303)),0)+IFERROR(--ISNUMBER(SEARCH("R124",G303)),0)+IFERROR(--ISNUMBER(SEARCH("R128",G303)),0)+IFERROR(--ISNUMBER(SEARCH("R130",G303)),0)+IFERROR(--ISNUMBER(SEARCH("R131",G303)),0)+IFERROR(--ISNUMBER(SEARCH("R132",G303)),0)+IFERROR(--ISNUMBER(SEARCH("R135",G303)),0)+IFERROR(--ISNUMBER(SEARCH("R138",G303)),0)+IFERROR(--ISNUMBER(SEARCH("R141",G303)),0))</f>
        <v/>
      </c>
      <c r="U303" s="58">
        <f>IF(A303="","",IFERROR(--ISNUMBER(SEARCH("R28",G303))*28,0)+IFERROR(--ISNUMBER(SEARCH("R29",G303))*29,0)+IFERROR(--ISNUMBER(SEARCH("R30",G303))*30,0)+IFERROR(--ISNUMBER(SEARCH("R31",G303))*31,0)+IFERROR(--ISNUMBER(SEARCH("R32",G303))*32,0)+IFERROR(--ISNUMBER(SEARCH("R33",G303))*33,0)+IFERROR(--ISNUMBER(SEARCH("R34",G303))*34,0)+IFERROR(--ISNUMBER(SEARCH("R35",G303))*35,0)+IFERROR(--ISNUMBER(SEARCH("R36",G303))*36,0)+IFERROR(--ISNUMBER(SEARCH("R37",G303))*37,0)+IFERROR(--ISNUMBER(SEARCH("R38",G303))*38,0)+IFERROR(--ISNUMBER(SEARCH("R39",G303))*39,0)+IFERROR(--ISNUMBER(SEARCH("R40",G303))*40,0)+IFERROR(--ISNUMBER(SEARCH("R41",G303))*41,0)+IFERROR(--ISNUMBER(SEARCH("R42",G303))*42,0)+IFERROR(--ISNUMBER(SEARCH("R43",G303))*43,0)+IFERROR(--ISNUMBER(SEARCH("R44",G303))*44,0)+IFERROR(--ISNUMBER(SEARCH("R45",G303))*45,0)+IFERROR(--ISNUMBER(SEARCH("R46",G303))*46,0)+IFERROR(--ISNUMBER(SEARCH("R47",G303))*47,0)+IFERROR(--ISNUMBER(SEARCH("R48",G303))*48,0)+IFERROR(--ISNUMBER(SEARCH("R49",G303))*49,0)+IFERROR(--ISNUMBER(SEARCH("R50",G303))*50,0)+IFERROR(--ISNUMBER(SEARCH("R51",G303))*51,0)+IFERROR(--ISNUMBER(SEARCH("R52",G303))*52,0)+IFERROR(--ISNUMBER(SEARCH("R53",G303))*53,0)+IFERROR(--ISNUMBER(SEARCH("R54",G303))*54,0)+IFERROR(--ISNUMBER(SEARCH("R55",G303))*55,0)+IFERROR(--ISNUMBER(SEARCH("R56",G303))*56,0)+IFERROR(--ISNUMBER(SEARCH("R57",G303))*57,0)+IFERROR(--ISNUMBER(SEARCH("R58",G303))*58,0)+IFERROR(--ISNUMBER(SEARCH("R59",G303))*59,0)+IFERROR(--ISNUMBER(SEARCH("R60",G303))*60,0)+IFERROR(--ISNUMBER(SEARCH("R61",G303))*61,0)+IFERROR(--ISNUMBER(SEARCH("R62",G303))*62,0)+IFERROR(--ISNUMBER(SEARCH("R63",G303))*63,0)+IFERROR(--ISNUMBER(SEARCH("R64",G303))*64,0)+IFERROR(--ISNUMBER(SEARCH("R65",G303))*65,0)+IFERROR(--ISNUMBER(SEARCH("R66",G303))*66,0)+IFERROR(--ISNUMBER(SEARCH("R67",G303))*67,0)+IFERROR(--ISNUMBER(SEARCH("R68",G303))*68,0)+IFERROR(--ISNUMBER(SEARCH("R69",G303))*69,0)+IFERROR(--ISNUMBER(SEARCH("R70",G303))*70,0)+IFERROR(--ISNUMBER(SEARCH("R71",G303))*71,0)+IFERROR(--ISNUMBER(SEARCH("R72",G303))*72,0)+IFERROR(--ISNUMBER(SEARCH("R73",G303))*73,0)+IFERROR(--ISNUMBER(SEARCH("R74",G303))*74,0)+IFERROR(--ISNUMBER(SEARCH("R75",G303))*75,0)+IFERROR(--ISNUMBER(SEARCH("R76",G303))*76,0)+IFERROR(--ISNUMBER(SEARCH("R77",G303))*77,0)+IFERROR(--ISNUMBER(SEARCH("R78",G303))*78,0)+IFERROR(--ISNUMBER(SEARCH("R79",G303))*79,0)+IFERROR(--ISNUMBER(SEARCH("R80",G303))*80,0)+IFERROR(--ISNUMBER(SEARCH("R81",G303))*81,0)+IFERROR(--ISNUMBER(SEARCH("R82",G303))*82,0)+IFERROR(--ISNUMBER(SEARCH("R83",G303))*83,0)+IFERROR(--ISNUMBER(SEARCH("R84",G303))*84,0)+IFERROR(--ISNUMBER(SEARCH("R85",G303))*85,0)+IFERROR(--ISNUMBER(SEARCH("R86",G303))*86,0)+IFERROR(--ISNUMBER(SEARCH("R87",G303))*87,0)+IFERROR(--ISNUMBER(SEARCH("R88",G303))*88,0)+IFERROR(--ISNUMBER(SEARCH("R89",G303))*89,0)+IFERROR(--ISNUMBER(SEARCH("R90",G303))*90,0)+IFERROR(--ISNUMBER(SEARCH("R91",G303))*91,0)+IFERROR(--ISNUMBER(SEARCH("R92",G303))*92,0)+IFERROR(--ISNUMBER(SEARCH("R93",G303))*93,0)+IFERROR(--ISNUMBER(SEARCH("R94",G303))*94,0)+IFERROR(--ISNUMBER(SEARCH("R95",G303))*95,0)+IFERROR(--ISNUMBER(SEARCH("R96",G303))*96,0)+IFERROR(--ISNUMBER(SEARCH("R97",G303))*97,0)+IFERROR(--ISNUMBER(SEARCH("R98",G303))*98,0)+IFERROR(--ISNUMBER(SEARCH("R99",G303))*99,0)+IFERROR(--ISNUMBER(SEARCH("R100",G303))*100,0)+IFERROR(--ISNUMBER(SEARCH("R101",G303))*101,0)+IFERROR(--ISNUMBER(SEARCH("R102",G303))*102,0)+IFERROR(--ISNUMBER(SEARCH("R103",G303))*103,0)+IFERROR(--ISNUMBER(SEARCH("R104",G303))*104,0)+IFERROR(--ISNUMBER(SEARCH("R105",G303))*105,0)+IFERROR(--ISNUMBER(SEARCH("R106",G303))*106,0)+IFERROR(--ISNUMBER(SEARCH("R107",G303))*107,0)+IFERROR(--ISNUMBER(SEARCH("R108",G303))*108,0)+IFERROR(--ISNUMBER(SEARCH("R109",G303))*109,0)+IFERROR(--ISNUMBER(SEARCH("R110",G303))*110,0)+IFERROR(--ISNUMBER(SEARCH("R111",G303))*111,0)+IFERROR(--ISNUMBER(SEARCH("R112",G303))*112,0)+IFERROR(--ISNUMBER(SEARCH("R113",G303))*113,0)+IFERROR(--ISNUMBER(SEARCH("R114",G303))*114,0)+IFERROR(--ISNUMBER(SEARCH("R115",G303))*115,0)+IFERROR(--ISNUMBER(SEARCH("R116",G303))*116,0)+IFERROR(--ISNUMBER(SEARCH("R117",G303))*117,0)+IFERROR(--ISNUMBER(SEARCH("R118",G303))*118,0)+IFERROR(--ISNUMBER(SEARCH("R119",G303))*119,0)+IFERROR(--ISNUMBER(SEARCH("R120",G303))*120,0)+IFERROR(--ISNUMBER(SEARCH("R121",G303))*121,0)+IFERROR(--ISNUMBER(SEARCH("R122",G303))*122,0)+IFERROR(--ISNUMBER(SEARCH("R123",G303))*123,0)+IFERROR(--ISNUMBER(SEARCH("R124",G303))*124,0)+IFERROR(--ISNUMBER(SEARCH("R125",G303))*125,0)+IFERROR(--ISNUMBER(SEARCH("R126",G303))*126,0)+IFERROR(--ISNUMBER(SEARCH("R127",G303))*127,0)+IFERROR(--ISNUMBER(SEARCH("R128",G303))*128,0)+IFERROR(--ISNUMBER(SEARCH("R129",G303))*129,0)+IFERROR(--ISNUMBER(SEARCH("R130",G303))*130,0)+IFERROR(--ISNUMBER(SEARCH("R131",G303))*131,0)+IFERROR(--ISNUMBER(SEARCH("R132",G303))*132,0)+IFERROR(--ISNUMBER(SEARCH("R133",G303))*133,0)+IFERROR(--ISNUMBER(SEARCH("R134",G303))*134,0)+IFERROR(--ISNUMBER(SEARCH("R135",G303))*135,0)+IFERROR(--ISNUMBER(SEARCH("R136",G303))*136,0)+IFERROR(--ISNUMBER(SEARCH("R137",G303))*137,0)+IFERROR(--ISNUMBER(SEARCH("R138",G303))*138,0)+IFERROR(--ISNUMBER(SEARCH("R139",G303))*139,0)+IFERROR(--ISNUMBER(SEARCH("R140",G303))*140,0)+IFERROR(--ISNUMBER(SEARCH("R141",G303))*141,0))</f>
        <v/>
      </c>
      <c r="V303" s="59">
        <f>IF(A303="","",IF(K303&lt;&gt;"",K303,J303))</f>
        <v/>
      </c>
      <c r="W303" s="59">
        <f>IF(A303="","",IF(AND(V303=29,O303&lt;&gt;"",COUNTIFS($V$6:$V$505,29,$F$6:$F$505,F303,$C$6:$C$505,C303,$O$6:$O$505,"&lt;&gt;")&gt;1),IF(COUNTIFS($V$6:V303,29,$F$6:F303,F303,$C$6:C303,C303,$O$6:O303,"&lt;&gt;")=1,"Esta es la fila que se debe CONSERVAR (aparición 1 de "&amp;COUNTIFS($V$6:$V$505,29,$F$6:$F$505,F303,$C$6:$C$505,C303,$O$6:$O$505,"&lt;&gt;")&amp;" con el mismo tercero y valor, casilla 29). Si hay más filas iguales, bórreles el valor a ELLAS, no a esta.","DUPLICADO — ya existe otra fila con el mismo tercero y valor para casilla 29 (aparición "&amp;COUNTIFS($V$6:V303,29,$F$6:F303,F303,$C$6:C303,C303,$O$6:O303,"&lt;&gt;")&amp;" de "&amp;COUNTIFS($V$6:$V$505,29,$F$6:$F$505,F303,$C$6:$C$505,C303,$O$6:$O$505,"&lt;&gt;")&amp;"). Para resolverlo: seleccione la celda O"&amp;ROW()&amp;" (columna Valor a declarar de ESTA fila) y presione Supr."),""))</f>
        <v/>
      </c>
      <c r="X303" s="463">
        <f>IF(A303="","",F303)</f>
        <v/>
      </c>
      <c r="Y303" s="463">
        <f>IF(A303="","",SUMIF(Entrada_Manual!$I$88:$I$187,A303,Entrada_Manual!$F$88:$F$187))</f>
        <v/>
      </c>
      <c r="Z303" s="463">
        <f>IF(A303="","",X303-Y303)</f>
        <v/>
      </c>
      <c r="AA303">
        <f>IF(A303="","",SUMPRODUCT((Entrada_Manual!$I$88:$I$187=A303)*1))</f>
        <v/>
      </c>
      <c r="AB303">
        <f>IF(A303="","",IF(S303&lt;=1,"",IF(AA303=0,"PENDIENTE — SIN ASIGNAR",IF(Z303=0,"RESUELTO","PARCIAL — DIFERENCIA "&amp;TEXT(Z303,"#,##0")))))</f>
        <v/>
      </c>
    </row>
    <row r="304" ht="14.25" customHeight="1" s="235">
      <c r="A304" s="47">
        <f>IF(Exogena_RAW!E313&lt;&gt;"",ROW()-5,"")</f>
        <v/>
      </c>
      <c r="B304" s="48">
        <f>IF(A304="","",313)</f>
        <v/>
      </c>
      <c r="C304" s="48">
        <f>IF(A304="","",IFERROR(Exogena_RAW!A313,""))</f>
        <v/>
      </c>
      <c r="D304" s="48">
        <f>IF(A304="","",IFERROR(Exogena_RAW!B313,""))</f>
        <v/>
      </c>
      <c r="E304" s="48">
        <f>IF(A304="","",Exogena_RAW!E313)</f>
        <v/>
      </c>
      <c r="F304" s="461">
        <f>IF(A304="","",Exogena_RAW!F313)</f>
        <v/>
      </c>
      <c r="G304" s="48">
        <f>IF(A304="","",IFERROR(Exogena_RAW!G313,""))</f>
        <v/>
      </c>
      <c r="H304" s="48">
        <f>IF(A304="","",IFERROR(Exogena_RAW!H313,""))</f>
        <v/>
      </c>
      <c r="I304" s="48">
        <f>IF(A304="","",IFERROR(IF(S304&gt;1,"VARIAS CASILLAS",IF(S304=1,IF(T304=1,"PROPUESTA DE CASILLA","REVISIÓN: CASILLA NO DIRECTA"),IF(OR(ISNUMBER(SEARCH("TOPE",UPPER(E304))),ISNUMBER(SEARCH("TOPE",UPPER(G304)))),"SOLO CONTROL",IF(ISNUMBER(SEARCH("RETEN",UPPER(E304))),"RETENCIÓN","REVISAR")))),"REVISAR"))</f>
        <v/>
      </c>
      <c r="J304" s="48">
        <f>IF(A304="","",IF(ISNUMBER(SEARCH("ingreso laboral promedio de los últimos seis meses",E304)),"",IFERROR(IF(AND(S304=1,T304=1),U304,""),"")))</f>
        <v/>
      </c>
      <c r="K304" s="216" t="n"/>
      <c r="L304" s="48">
        <f>IF(A304="","",IFERROR(IF(K304&lt;&gt;"","Casilla elegida por usuario",IF(S304&gt;1,"Varias casillas — elegir en K",IF(J304&lt;&gt;"","Sugerencia directa",IF(S304=1,"No trasladar directo — revisar",IF(OR(ISNUMBER(SEARCH("TOPE",UPPER(E304))),ISNUMBER(SEARCH("TOPE",UPPER(G304)))),"Solo control","Revisar manualmente"))))),"Revisar manualmente"))</f>
        <v/>
      </c>
      <c r="M304" s="461">
        <f>IF(A304="","",IF(IF(K304&lt;&gt;"",K304,J304)="",0,IF(COUNTIFS(Reglas!$I$5:$I$118,IF(K304&lt;&gt;"",K304,J304),Reglas!$J$5:$J$118,"Sí")=1,F304,0)))</f>
        <v/>
      </c>
      <c r="N304" s="56" t="n"/>
      <c r="O304" s="462">
        <f>IF(A304="","",IF(M304=0,"",M304))</f>
        <v/>
      </c>
      <c r="P304" s="461">
        <f>IF(A304="","",IF(O304="",0,IF(ISNUMBER(O304),O304,0)))</f>
        <v/>
      </c>
      <c r="Q304" s="48">
        <f>IF(A304="","",IF(Exogena_RAW!$C$4="","BLOQUEADO: FALTA AÑO",IF(Exogena_RAW!$K$10&lt;&gt;Reglas!$B$5,"BLOQUEADO: AÑO",IF(IF(K304&lt;&gt;"",K304,J304)="",IF(S304&gt;1,"REQUIERE ASIGNACIÓN MANUAL (VARIAS CASILLAS)","INFORMATIVO (sin casilla — no se declara)"),IF(COUNTIFS(Reglas!$I$5:$I$118,IF(K304&lt;&gt;"",K304,J304),Reglas!$J$5:$J$118,"Sí")=0,"BLOQUEADO: CASILLA NO DIRECTA",IF(O304="","EXCLUIDO (valor borrado por el usuario)",IF(_xlfn.ISFORMULA(O304),IF(W304&lt;&gt;"","BORRADOR — VALOR SUGERIDO DIAN ⚠ VER ALERTA","BORRADOR — VALOR SUGERIDO DIAN"),IF(W304&lt;&gt;"","ACEPTADO ⚠ VER ALERTA","ACEPTADO"))))))))</f>
        <v/>
      </c>
      <c r="R304" s="218" t="n"/>
      <c r="S304" s="58">
        <f>IF(A304="","",IFERROR(--ISNUMBER(SEARCH("R28",G304)),0)+IFERROR(--ISNUMBER(SEARCH("R29",G304)),0)+IFERROR(--ISNUMBER(SEARCH("R30",G304)),0)+IFERROR(--ISNUMBER(SEARCH("R31",G304)),0)+IFERROR(--ISNUMBER(SEARCH("R32",G304)),0)+IFERROR(--ISNUMBER(SEARCH("R33",G304)),0)+IFERROR(--ISNUMBER(SEARCH("R34",G304)),0)+IFERROR(--ISNUMBER(SEARCH("R35",G304)),0)+IFERROR(--ISNUMBER(SEARCH("R36",G304)),0)+IFERROR(--ISNUMBER(SEARCH("R37",G304)),0)+IFERROR(--ISNUMBER(SEARCH("R38",G304)),0)+IFERROR(--ISNUMBER(SEARCH("R39",G304)),0)+IFERROR(--ISNUMBER(SEARCH("R40",G304)),0)+IFERROR(--ISNUMBER(SEARCH("R41",G304)),0)+IFERROR(--ISNUMBER(SEARCH("R42",G304)),0)+IFERROR(--ISNUMBER(SEARCH("R43",G304)),0)+IFERROR(--ISNUMBER(SEARCH("R44",G304)),0)+IFERROR(--ISNUMBER(SEARCH("R45",G304)),0)+IFERROR(--ISNUMBER(SEARCH("R46",G304)),0)+IFERROR(--ISNUMBER(SEARCH("R47",G304)),0)+IFERROR(--ISNUMBER(SEARCH("R48",G304)),0)+IFERROR(--ISNUMBER(SEARCH("R49",G304)),0)+IFERROR(--ISNUMBER(SEARCH("R50",G304)),0)+IFERROR(--ISNUMBER(SEARCH("R51",G304)),0)+IFERROR(--ISNUMBER(SEARCH("R52",G304)),0)+IFERROR(--ISNUMBER(SEARCH("R53",G304)),0)+IFERROR(--ISNUMBER(SEARCH("R54",G304)),0)+IFERROR(--ISNUMBER(SEARCH("R55",G304)),0)+IFERROR(--ISNUMBER(SEARCH("R56",G304)),0)+IFERROR(--ISNUMBER(SEARCH("R57",G304)),0)+IFERROR(--ISNUMBER(SEARCH("R58",G304)),0)+IFERROR(--ISNUMBER(SEARCH("R59",G304)),0)+IFERROR(--ISNUMBER(SEARCH("R60",G304)),0)+IFERROR(--ISNUMBER(SEARCH("R61",G304)),0)+IFERROR(--ISNUMBER(SEARCH("R62",G304)),0)+IFERROR(--ISNUMBER(SEARCH("R63",G304)),0)+IFERROR(--ISNUMBER(SEARCH("R64",G304)),0)+IFERROR(--ISNUMBER(SEARCH("R65",G304)),0)+IFERROR(--ISNUMBER(SEARCH("R66",G304)),0)+IFERROR(--ISNUMBER(SEARCH("R67",G304)),0)+IFERROR(--ISNUMBER(SEARCH("R68",G304)),0)+IFERROR(--ISNUMBER(SEARCH("R69",G304)),0)+IFERROR(--ISNUMBER(SEARCH("R70",G304)),0)+IFERROR(--ISNUMBER(SEARCH("R71",G304)),0)+IFERROR(--ISNUMBER(SEARCH("R72",G304)),0)+IFERROR(--ISNUMBER(SEARCH("R73",G304)),0)+IFERROR(--ISNUMBER(SEARCH("R74",G304)),0)+IFERROR(--ISNUMBER(SEARCH("R75",G304)),0)+IFERROR(--ISNUMBER(SEARCH("R76",G304)),0)+IFERROR(--ISNUMBER(SEARCH("R77",G304)),0)+IFERROR(--ISNUMBER(SEARCH("R78",G304)),0)+IFERROR(--ISNUMBER(SEARCH("R79",G304)),0)+IFERROR(--ISNUMBER(SEARCH("R80",G304)),0)+IFERROR(--ISNUMBER(SEARCH("R81",G304)),0)+IFERROR(--ISNUMBER(SEARCH("R82",G304)),0)+IFERROR(--ISNUMBER(SEARCH("R83",G304)),0)+IFERROR(--ISNUMBER(SEARCH("R84",G304)),0)+IFERROR(--ISNUMBER(SEARCH("R85",G304)),0)+IFERROR(--ISNUMBER(SEARCH("R86",G304)),0)+IFERROR(--ISNUMBER(SEARCH("R87",G304)),0)+IFERROR(--ISNUMBER(SEARCH("R88",G304)),0)+IFERROR(--ISNUMBER(SEARCH("R89",G304)),0)+IFERROR(--ISNUMBER(SEARCH("R90",G304)),0)+IFERROR(--ISNUMBER(SEARCH("R91",G304)),0)+IFERROR(--ISNUMBER(SEARCH("R92",G304)),0)+IFERROR(--ISNUMBER(SEARCH("R93",G304)),0)+IFERROR(--ISNUMBER(SEARCH("R94",G304)),0)+IFERROR(--ISNUMBER(SEARCH("R95",G304)),0)+IFERROR(--ISNUMBER(SEARCH("R96",G304)),0)+IFERROR(--ISNUMBER(SEARCH("R97",G304)),0)+IFERROR(--ISNUMBER(SEARCH("R98",G304)),0)+IFERROR(--ISNUMBER(SEARCH("R99",G304)),0)+IFERROR(--ISNUMBER(SEARCH("R100",G304)),0)+IFERROR(--ISNUMBER(SEARCH("R101",G304)),0)+IFERROR(--ISNUMBER(SEARCH("R102",G304)),0)+IFERROR(--ISNUMBER(SEARCH("R103",G304)),0)+IFERROR(--ISNUMBER(SEARCH("R104",G304)),0)+IFERROR(--ISNUMBER(SEARCH("R105",G304)),0)+IFERROR(--ISNUMBER(SEARCH("R106",G304)),0)+IFERROR(--ISNUMBER(SEARCH("R107",G304)),0)+IFERROR(--ISNUMBER(SEARCH("R108",G304)),0)+IFERROR(--ISNUMBER(SEARCH("R109",G304)),0)+IFERROR(--ISNUMBER(SEARCH("R110",G304)),0)+IFERROR(--ISNUMBER(SEARCH("R111",G304)),0)+IFERROR(--ISNUMBER(SEARCH("R112",G304)),0)+IFERROR(--ISNUMBER(SEARCH("R113",G304)),0)+IFERROR(--ISNUMBER(SEARCH("R114",G304)),0)+IFERROR(--ISNUMBER(SEARCH("R115",G304)),0)+IFERROR(--ISNUMBER(SEARCH("R116",G304)),0)+IFERROR(--ISNUMBER(SEARCH("R117",G304)),0)+IFERROR(--ISNUMBER(SEARCH("R118",G304)),0)+IFERROR(--ISNUMBER(SEARCH("R119",G304)),0)+IFERROR(--ISNUMBER(SEARCH("R120",G304)),0)+IFERROR(--ISNUMBER(SEARCH("R121",G304)),0)+IFERROR(--ISNUMBER(SEARCH("R122",G304)),0)+IFERROR(--ISNUMBER(SEARCH("R123",G304)),0)+IFERROR(--ISNUMBER(SEARCH("R124",G304)),0)+IFERROR(--ISNUMBER(SEARCH("R125",G304)),0)+IFERROR(--ISNUMBER(SEARCH("R126",G304)),0)+IFERROR(--ISNUMBER(SEARCH("R127",G304)),0)+IFERROR(--ISNUMBER(SEARCH("R128",G304)),0)+IFERROR(--ISNUMBER(SEARCH("R129",G304)),0)+IFERROR(--ISNUMBER(SEARCH("R130",G304)),0)+IFERROR(--ISNUMBER(SEARCH("R131",G304)),0)+IFERROR(--ISNUMBER(SEARCH("R132",G304)),0)+IFERROR(--ISNUMBER(SEARCH("R133",G304)),0)+IFERROR(--ISNUMBER(SEARCH("R134",G304)),0)+IFERROR(--ISNUMBER(SEARCH("R135",G304)),0)+IFERROR(--ISNUMBER(SEARCH("R136",G304)),0)+IFERROR(--ISNUMBER(SEARCH("R137",G304)),0)+IFERROR(--ISNUMBER(SEARCH("R138",G304)),0)+IFERROR(--ISNUMBER(SEARCH("R139",G304)),0)+IFERROR(--ISNUMBER(SEARCH("R140",G304)),0)+IFERROR(--ISNUMBER(SEARCH("R141",G304)),0))</f>
        <v/>
      </c>
      <c r="T304" s="58">
        <f>IF(A304="","",IFERROR(--ISNUMBER(SEARCH("R28",G304)),0)+IFERROR(--ISNUMBER(SEARCH("R29",G304)),0)+IFERROR(--ISNUMBER(SEARCH("R30",G304)),0)+IFERROR(--ISNUMBER(SEARCH("R32",G304)),0)+IFERROR(--ISNUMBER(SEARCH("R33",G304)),0)+IFERROR(--ISNUMBER(SEARCH("R35",G304)),0)+IFERROR(--ISNUMBER(SEARCH("R36",G304)),0)+IFERROR(--ISNUMBER(SEARCH("R38",G304)),0)+IFERROR(--ISNUMBER(SEARCH("R39",G304)),0)+IFERROR(--ISNUMBER(SEARCH("R43",G304)),0)+IFERROR(--ISNUMBER(SEARCH("R44",G304)),0)+IFERROR(--ISNUMBER(SEARCH("R45",G304)),0)+IFERROR(--ISNUMBER(SEARCH("R47",G304)),0)+IFERROR(--ISNUMBER(SEARCH("R48",G304)),0)+IFERROR(--ISNUMBER(SEARCH("R50",G304)),0)+IFERROR(--ISNUMBER(SEARCH("R51",G304)),0)+IFERROR(--ISNUMBER(SEARCH("R56",G304)),0)+IFERROR(--ISNUMBER(SEARCH("R58",G304)),0)+IFERROR(--ISNUMBER(SEARCH("R59",G304)),0)+IFERROR(--ISNUMBER(SEARCH("R60",G304)),0)+IFERROR(--ISNUMBER(SEARCH("R62",G304)),0)+IFERROR(--ISNUMBER(SEARCH("R63",G304)),0)+IFERROR(--ISNUMBER(SEARCH("R64",G304)),0)+IFERROR(--ISNUMBER(SEARCH("R66",G304)),0)+IFERROR(--ISNUMBER(SEARCH("R67",G304)),0)+IFERROR(--ISNUMBER(SEARCH("R72",G304)),0)+IFERROR(--ISNUMBER(SEARCH("R74",G304)),0)+IFERROR(--ISNUMBER(SEARCH("R75",G304)),0)+IFERROR(--ISNUMBER(SEARCH("R76",G304)),0)+IFERROR(--ISNUMBER(SEARCH("R77",G304)),0)+IFERROR(--ISNUMBER(SEARCH("R79",G304)),0)+IFERROR(--ISNUMBER(SEARCH("R80",G304)),0)+IFERROR(--ISNUMBER(SEARCH("R81",G304)),0)+IFERROR(--ISNUMBER(SEARCH("R83",G304)),0)+IFERROR(--ISNUMBER(SEARCH("R84",G304)),0)+IFERROR(--ISNUMBER(SEARCH("R89",G304)),0)+IFERROR(--ISNUMBER(SEARCH("R94",G304)),0)+IFERROR(--ISNUMBER(SEARCH("R95",G304)),0)+IFERROR(--ISNUMBER(SEARCH("R96",G304)),0)+IFERROR(--ISNUMBER(SEARCH("R98",G304)),0)+IFERROR(--ISNUMBER(SEARCH("R99",G304)),0)+IFERROR(--ISNUMBER(SEARCH("R100",G304)),0)+IFERROR(--ISNUMBER(SEARCH("R104",G304)),0)+IFERROR(--ISNUMBER(SEARCH("R105",G304)),0)+IFERROR(--ISNUMBER(SEARCH("R107",G304)),0)+IFERROR(--ISNUMBER(SEARCH("R108",G304)),0)+IFERROR(--ISNUMBER(SEARCH("R109",G304)),0)+IFERROR(--ISNUMBER(SEARCH("R110",G304)),0)+IFERROR(--ISNUMBER(SEARCH("R112",G304)),0)+IFERROR(--ISNUMBER(SEARCH("R113",G304)),0)+IFERROR(--ISNUMBER(SEARCH("R114",G304)),0)+IFERROR(--ISNUMBER(SEARCH("R118",G304)),0)+IFERROR(--ISNUMBER(SEARCH("R119",G304)),0)+IFERROR(--ISNUMBER(SEARCH("R120",G304)),0)+IFERROR(--ISNUMBER(SEARCH("R122",G304)),0)+IFERROR(--ISNUMBER(SEARCH("R123",G304)),0)+IFERROR(--ISNUMBER(SEARCH("R124",G304)),0)+IFERROR(--ISNUMBER(SEARCH("R128",G304)),0)+IFERROR(--ISNUMBER(SEARCH("R130",G304)),0)+IFERROR(--ISNUMBER(SEARCH("R131",G304)),0)+IFERROR(--ISNUMBER(SEARCH("R132",G304)),0)+IFERROR(--ISNUMBER(SEARCH("R135",G304)),0)+IFERROR(--ISNUMBER(SEARCH("R138",G304)),0)+IFERROR(--ISNUMBER(SEARCH("R141",G304)),0))</f>
        <v/>
      </c>
      <c r="U304" s="58">
        <f>IF(A304="","",IFERROR(--ISNUMBER(SEARCH("R28",G304))*28,0)+IFERROR(--ISNUMBER(SEARCH("R29",G304))*29,0)+IFERROR(--ISNUMBER(SEARCH("R30",G304))*30,0)+IFERROR(--ISNUMBER(SEARCH("R31",G304))*31,0)+IFERROR(--ISNUMBER(SEARCH("R32",G304))*32,0)+IFERROR(--ISNUMBER(SEARCH("R33",G304))*33,0)+IFERROR(--ISNUMBER(SEARCH("R34",G304))*34,0)+IFERROR(--ISNUMBER(SEARCH("R35",G304))*35,0)+IFERROR(--ISNUMBER(SEARCH("R36",G304))*36,0)+IFERROR(--ISNUMBER(SEARCH("R37",G304))*37,0)+IFERROR(--ISNUMBER(SEARCH("R38",G304))*38,0)+IFERROR(--ISNUMBER(SEARCH("R39",G304))*39,0)+IFERROR(--ISNUMBER(SEARCH("R40",G304))*40,0)+IFERROR(--ISNUMBER(SEARCH("R41",G304))*41,0)+IFERROR(--ISNUMBER(SEARCH("R42",G304))*42,0)+IFERROR(--ISNUMBER(SEARCH("R43",G304))*43,0)+IFERROR(--ISNUMBER(SEARCH("R44",G304))*44,0)+IFERROR(--ISNUMBER(SEARCH("R45",G304))*45,0)+IFERROR(--ISNUMBER(SEARCH("R46",G304))*46,0)+IFERROR(--ISNUMBER(SEARCH("R47",G304))*47,0)+IFERROR(--ISNUMBER(SEARCH("R48",G304))*48,0)+IFERROR(--ISNUMBER(SEARCH("R49",G304))*49,0)+IFERROR(--ISNUMBER(SEARCH("R50",G304))*50,0)+IFERROR(--ISNUMBER(SEARCH("R51",G304))*51,0)+IFERROR(--ISNUMBER(SEARCH("R52",G304))*52,0)+IFERROR(--ISNUMBER(SEARCH("R53",G304))*53,0)+IFERROR(--ISNUMBER(SEARCH("R54",G304))*54,0)+IFERROR(--ISNUMBER(SEARCH("R55",G304))*55,0)+IFERROR(--ISNUMBER(SEARCH("R56",G304))*56,0)+IFERROR(--ISNUMBER(SEARCH("R57",G304))*57,0)+IFERROR(--ISNUMBER(SEARCH("R58",G304))*58,0)+IFERROR(--ISNUMBER(SEARCH("R59",G304))*59,0)+IFERROR(--ISNUMBER(SEARCH("R60",G304))*60,0)+IFERROR(--ISNUMBER(SEARCH("R61",G304))*61,0)+IFERROR(--ISNUMBER(SEARCH("R62",G304))*62,0)+IFERROR(--ISNUMBER(SEARCH("R63",G304))*63,0)+IFERROR(--ISNUMBER(SEARCH("R64",G304))*64,0)+IFERROR(--ISNUMBER(SEARCH("R65",G304))*65,0)+IFERROR(--ISNUMBER(SEARCH("R66",G304))*66,0)+IFERROR(--ISNUMBER(SEARCH("R67",G304))*67,0)+IFERROR(--ISNUMBER(SEARCH("R68",G304))*68,0)+IFERROR(--ISNUMBER(SEARCH("R69",G304))*69,0)+IFERROR(--ISNUMBER(SEARCH("R70",G304))*70,0)+IFERROR(--ISNUMBER(SEARCH("R71",G304))*71,0)+IFERROR(--ISNUMBER(SEARCH("R72",G304))*72,0)+IFERROR(--ISNUMBER(SEARCH("R73",G304))*73,0)+IFERROR(--ISNUMBER(SEARCH("R74",G304))*74,0)+IFERROR(--ISNUMBER(SEARCH("R75",G304))*75,0)+IFERROR(--ISNUMBER(SEARCH("R76",G304))*76,0)+IFERROR(--ISNUMBER(SEARCH("R77",G304))*77,0)+IFERROR(--ISNUMBER(SEARCH("R78",G304))*78,0)+IFERROR(--ISNUMBER(SEARCH("R79",G304))*79,0)+IFERROR(--ISNUMBER(SEARCH("R80",G304))*80,0)+IFERROR(--ISNUMBER(SEARCH("R81",G304))*81,0)+IFERROR(--ISNUMBER(SEARCH("R82",G304))*82,0)+IFERROR(--ISNUMBER(SEARCH("R83",G304))*83,0)+IFERROR(--ISNUMBER(SEARCH("R84",G304))*84,0)+IFERROR(--ISNUMBER(SEARCH("R85",G304))*85,0)+IFERROR(--ISNUMBER(SEARCH("R86",G304))*86,0)+IFERROR(--ISNUMBER(SEARCH("R87",G304))*87,0)+IFERROR(--ISNUMBER(SEARCH("R88",G304))*88,0)+IFERROR(--ISNUMBER(SEARCH("R89",G304))*89,0)+IFERROR(--ISNUMBER(SEARCH("R90",G304))*90,0)+IFERROR(--ISNUMBER(SEARCH("R91",G304))*91,0)+IFERROR(--ISNUMBER(SEARCH("R92",G304))*92,0)+IFERROR(--ISNUMBER(SEARCH("R93",G304))*93,0)+IFERROR(--ISNUMBER(SEARCH("R94",G304))*94,0)+IFERROR(--ISNUMBER(SEARCH("R95",G304))*95,0)+IFERROR(--ISNUMBER(SEARCH("R96",G304))*96,0)+IFERROR(--ISNUMBER(SEARCH("R97",G304))*97,0)+IFERROR(--ISNUMBER(SEARCH("R98",G304))*98,0)+IFERROR(--ISNUMBER(SEARCH("R99",G304))*99,0)+IFERROR(--ISNUMBER(SEARCH("R100",G304))*100,0)+IFERROR(--ISNUMBER(SEARCH("R101",G304))*101,0)+IFERROR(--ISNUMBER(SEARCH("R102",G304))*102,0)+IFERROR(--ISNUMBER(SEARCH("R103",G304))*103,0)+IFERROR(--ISNUMBER(SEARCH("R104",G304))*104,0)+IFERROR(--ISNUMBER(SEARCH("R105",G304))*105,0)+IFERROR(--ISNUMBER(SEARCH("R106",G304))*106,0)+IFERROR(--ISNUMBER(SEARCH("R107",G304))*107,0)+IFERROR(--ISNUMBER(SEARCH("R108",G304))*108,0)+IFERROR(--ISNUMBER(SEARCH("R109",G304))*109,0)+IFERROR(--ISNUMBER(SEARCH("R110",G304))*110,0)+IFERROR(--ISNUMBER(SEARCH("R111",G304))*111,0)+IFERROR(--ISNUMBER(SEARCH("R112",G304))*112,0)+IFERROR(--ISNUMBER(SEARCH("R113",G304))*113,0)+IFERROR(--ISNUMBER(SEARCH("R114",G304))*114,0)+IFERROR(--ISNUMBER(SEARCH("R115",G304))*115,0)+IFERROR(--ISNUMBER(SEARCH("R116",G304))*116,0)+IFERROR(--ISNUMBER(SEARCH("R117",G304))*117,0)+IFERROR(--ISNUMBER(SEARCH("R118",G304))*118,0)+IFERROR(--ISNUMBER(SEARCH("R119",G304))*119,0)+IFERROR(--ISNUMBER(SEARCH("R120",G304))*120,0)+IFERROR(--ISNUMBER(SEARCH("R121",G304))*121,0)+IFERROR(--ISNUMBER(SEARCH("R122",G304))*122,0)+IFERROR(--ISNUMBER(SEARCH("R123",G304))*123,0)+IFERROR(--ISNUMBER(SEARCH("R124",G304))*124,0)+IFERROR(--ISNUMBER(SEARCH("R125",G304))*125,0)+IFERROR(--ISNUMBER(SEARCH("R126",G304))*126,0)+IFERROR(--ISNUMBER(SEARCH("R127",G304))*127,0)+IFERROR(--ISNUMBER(SEARCH("R128",G304))*128,0)+IFERROR(--ISNUMBER(SEARCH("R129",G304))*129,0)+IFERROR(--ISNUMBER(SEARCH("R130",G304))*130,0)+IFERROR(--ISNUMBER(SEARCH("R131",G304))*131,0)+IFERROR(--ISNUMBER(SEARCH("R132",G304))*132,0)+IFERROR(--ISNUMBER(SEARCH("R133",G304))*133,0)+IFERROR(--ISNUMBER(SEARCH("R134",G304))*134,0)+IFERROR(--ISNUMBER(SEARCH("R135",G304))*135,0)+IFERROR(--ISNUMBER(SEARCH("R136",G304))*136,0)+IFERROR(--ISNUMBER(SEARCH("R137",G304))*137,0)+IFERROR(--ISNUMBER(SEARCH("R138",G304))*138,0)+IFERROR(--ISNUMBER(SEARCH("R139",G304))*139,0)+IFERROR(--ISNUMBER(SEARCH("R140",G304))*140,0)+IFERROR(--ISNUMBER(SEARCH("R141",G304))*141,0))</f>
        <v/>
      </c>
      <c r="V304" s="59">
        <f>IF(A304="","",IF(K304&lt;&gt;"",K304,J304))</f>
        <v/>
      </c>
      <c r="W304" s="59">
        <f>IF(A304="","",IF(AND(V304=29,O304&lt;&gt;"",COUNTIFS($V$6:$V$505,29,$F$6:$F$505,F304,$C$6:$C$505,C304,$O$6:$O$505,"&lt;&gt;")&gt;1),IF(COUNTIFS($V$6:V304,29,$F$6:F304,F304,$C$6:C304,C304,$O$6:O304,"&lt;&gt;")=1,"Esta es la fila que se debe CONSERVAR (aparición 1 de "&amp;COUNTIFS($V$6:$V$505,29,$F$6:$F$505,F304,$C$6:$C$505,C304,$O$6:$O$505,"&lt;&gt;")&amp;" con el mismo tercero y valor, casilla 29). Si hay más filas iguales, bórreles el valor a ELLAS, no a esta.","DUPLICADO — ya existe otra fila con el mismo tercero y valor para casilla 29 (aparición "&amp;COUNTIFS($V$6:V304,29,$F$6:F304,F304,$C$6:C304,C304,$O$6:O304,"&lt;&gt;")&amp;" de "&amp;COUNTIFS($V$6:$V$505,29,$F$6:$F$505,F304,$C$6:$C$505,C304,$O$6:$O$505,"&lt;&gt;")&amp;"). Para resolverlo: seleccione la celda O"&amp;ROW()&amp;" (columna Valor a declarar de ESTA fila) y presione Supr."),""))</f>
        <v/>
      </c>
      <c r="X304" s="463">
        <f>IF(A304="","",F304)</f>
        <v/>
      </c>
      <c r="Y304" s="463">
        <f>IF(A304="","",SUMIF(Entrada_Manual!$I$88:$I$187,A304,Entrada_Manual!$F$88:$F$187))</f>
        <v/>
      </c>
      <c r="Z304" s="463">
        <f>IF(A304="","",X304-Y304)</f>
        <v/>
      </c>
      <c r="AA304">
        <f>IF(A304="","",SUMPRODUCT((Entrada_Manual!$I$88:$I$187=A304)*1))</f>
        <v/>
      </c>
      <c r="AB304">
        <f>IF(A304="","",IF(S304&lt;=1,"",IF(AA304=0,"PENDIENTE — SIN ASIGNAR",IF(Z304=0,"RESUELTO","PARCIAL — DIFERENCIA "&amp;TEXT(Z304,"#,##0")))))</f>
        <v/>
      </c>
    </row>
    <row r="305" ht="14.25" customHeight="1" s="235">
      <c r="A305" s="47">
        <f>IF(Exogena_RAW!E314&lt;&gt;"",ROW()-5,"")</f>
        <v/>
      </c>
      <c r="B305" s="48">
        <f>IF(A305="","",314)</f>
        <v/>
      </c>
      <c r="C305" s="48">
        <f>IF(A305="","",IFERROR(Exogena_RAW!A314,""))</f>
        <v/>
      </c>
      <c r="D305" s="48">
        <f>IF(A305="","",IFERROR(Exogena_RAW!B314,""))</f>
        <v/>
      </c>
      <c r="E305" s="48">
        <f>IF(A305="","",Exogena_RAW!E314)</f>
        <v/>
      </c>
      <c r="F305" s="461">
        <f>IF(A305="","",Exogena_RAW!F314)</f>
        <v/>
      </c>
      <c r="G305" s="48">
        <f>IF(A305="","",IFERROR(Exogena_RAW!G314,""))</f>
        <v/>
      </c>
      <c r="H305" s="48">
        <f>IF(A305="","",IFERROR(Exogena_RAW!H314,""))</f>
        <v/>
      </c>
      <c r="I305" s="48">
        <f>IF(A305="","",IFERROR(IF(S305&gt;1,"VARIAS CASILLAS",IF(S305=1,IF(T305=1,"PROPUESTA DE CASILLA","REVISIÓN: CASILLA NO DIRECTA"),IF(OR(ISNUMBER(SEARCH("TOPE",UPPER(E305))),ISNUMBER(SEARCH("TOPE",UPPER(G305)))),"SOLO CONTROL",IF(ISNUMBER(SEARCH("RETEN",UPPER(E305))),"RETENCIÓN","REVISAR")))),"REVISAR"))</f>
        <v/>
      </c>
      <c r="J305" s="48">
        <f>IF(A305="","",IF(ISNUMBER(SEARCH("ingreso laboral promedio de los últimos seis meses",E305)),"",IFERROR(IF(AND(S305=1,T305=1),U305,""),"")))</f>
        <v/>
      </c>
      <c r="K305" s="216" t="n"/>
      <c r="L305" s="48">
        <f>IF(A305="","",IFERROR(IF(K305&lt;&gt;"","Casilla elegida por usuario",IF(S305&gt;1,"Varias casillas — elegir en K",IF(J305&lt;&gt;"","Sugerencia directa",IF(S305=1,"No trasladar directo — revisar",IF(OR(ISNUMBER(SEARCH("TOPE",UPPER(E305))),ISNUMBER(SEARCH("TOPE",UPPER(G305)))),"Solo control","Revisar manualmente"))))),"Revisar manualmente"))</f>
        <v/>
      </c>
      <c r="M305" s="461">
        <f>IF(A305="","",IF(IF(K305&lt;&gt;"",K305,J305)="",0,IF(COUNTIFS(Reglas!$I$5:$I$118,IF(K305&lt;&gt;"",K305,J305),Reglas!$J$5:$J$118,"Sí")=1,F305,0)))</f>
        <v/>
      </c>
      <c r="N305" s="56" t="n"/>
      <c r="O305" s="462">
        <f>IF(A305="","",IF(M305=0,"",M305))</f>
        <v/>
      </c>
      <c r="P305" s="461">
        <f>IF(A305="","",IF(O305="",0,IF(ISNUMBER(O305),O305,0)))</f>
        <v/>
      </c>
      <c r="Q305" s="48">
        <f>IF(A305="","",IF(Exogena_RAW!$C$4="","BLOQUEADO: FALTA AÑO",IF(Exogena_RAW!$K$10&lt;&gt;Reglas!$B$5,"BLOQUEADO: AÑO",IF(IF(K305&lt;&gt;"",K305,J305)="",IF(S305&gt;1,"REQUIERE ASIGNACIÓN MANUAL (VARIAS CASILLAS)","INFORMATIVO (sin casilla — no se declara)"),IF(COUNTIFS(Reglas!$I$5:$I$118,IF(K305&lt;&gt;"",K305,J305),Reglas!$J$5:$J$118,"Sí")=0,"BLOQUEADO: CASILLA NO DIRECTA",IF(O305="","EXCLUIDO (valor borrado por el usuario)",IF(_xlfn.ISFORMULA(O305),IF(W305&lt;&gt;"","BORRADOR — VALOR SUGERIDO DIAN ⚠ VER ALERTA","BORRADOR — VALOR SUGERIDO DIAN"),IF(W305&lt;&gt;"","ACEPTADO ⚠ VER ALERTA","ACEPTADO"))))))))</f>
        <v/>
      </c>
      <c r="R305" s="218" t="n"/>
      <c r="S305" s="58">
        <f>IF(A305="","",IFERROR(--ISNUMBER(SEARCH("R28",G305)),0)+IFERROR(--ISNUMBER(SEARCH("R29",G305)),0)+IFERROR(--ISNUMBER(SEARCH("R30",G305)),0)+IFERROR(--ISNUMBER(SEARCH("R31",G305)),0)+IFERROR(--ISNUMBER(SEARCH("R32",G305)),0)+IFERROR(--ISNUMBER(SEARCH("R33",G305)),0)+IFERROR(--ISNUMBER(SEARCH("R34",G305)),0)+IFERROR(--ISNUMBER(SEARCH("R35",G305)),0)+IFERROR(--ISNUMBER(SEARCH("R36",G305)),0)+IFERROR(--ISNUMBER(SEARCH("R37",G305)),0)+IFERROR(--ISNUMBER(SEARCH("R38",G305)),0)+IFERROR(--ISNUMBER(SEARCH("R39",G305)),0)+IFERROR(--ISNUMBER(SEARCH("R40",G305)),0)+IFERROR(--ISNUMBER(SEARCH("R41",G305)),0)+IFERROR(--ISNUMBER(SEARCH("R42",G305)),0)+IFERROR(--ISNUMBER(SEARCH("R43",G305)),0)+IFERROR(--ISNUMBER(SEARCH("R44",G305)),0)+IFERROR(--ISNUMBER(SEARCH("R45",G305)),0)+IFERROR(--ISNUMBER(SEARCH("R46",G305)),0)+IFERROR(--ISNUMBER(SEARCH("R47",G305)),0)+IFERROR(--ISNUMBER(SEARCH("R48",G305)),0)+IFERROR(--ISNUMBER(SEARCH("R49",G305)),0)+IFERROR(--ISNUMBER(SEARCH("R50",G305)),0)+IFERROR(--ISNUMBER(SEARCH("R51",G305)),0)+IFERROR(--ISNUMBER(SEARCH("R52",G305)),0)+IFERROR(--ISNUMBER(SEARCH("R53",G305)),0)+IFERROR(--ISNUMBER(SEARCH("R54",G305)),0)+IFERROR(--ISNUMBER(SEARCH("R55",G305)),0)+IFERROR(--ISNUMBER(SEARCH("R56",G305)),0)+IFERROR(--ISNUMBER(SEARCH("R57",G305)),0)+IFERROR(--ISNUMBER(SEARCH("R58",G305)),0)+IFERROR(--ISNUMBER(SEARCH("R59",G305)),0)+IFERROR(--ISNUMBER(SEARCH("R60",G305)),0)+IFERROR(--ISNUMBER(SEARCH("R61",G305)),0)+IFERROR(--ISNUMBER(SEARCH("R62",G305)),0)+IFERROR(--ISNUMBER(SEARCH("R63",G305)),0)+IFERROR(--ISNUMBER(SEARCH("R64",G305)),0)+IFERROR(--ISNUMBER(SEARCH("R65",G305)),0)+IFERROR(--ISNUMBER(SEARCH("R66",G305)),0)+IFERROR(--ISNUMBER(SEARCH("R67",G305)),0)+IFERROR(--ISNUMBER(SEARCH("R68",G305)),0)+IFERROR(--ISNUMBER(SEARCH("R69",G305)),0)+IFERROR(--ISNUMBER(SEARCH("R70",G305)),0)+IFERROR(--ISNUMBER(SEARCH("R71",G305)),0)+IFERROR(--ISNUMBER(SEARCH("R72",G305)),0)+IFERROR(--ISNUMBER(SEARCH("R73",G305)),0)+IFERROR(--ISNUMBER(SEARCH("R74",G305)),0)+IFERROR(--ISNUMBER(SEARCH("R75",G305)),0)+IFERROR(--ISNUMBER(SEARCH("R76",G305)),0)+IFERROR(--ISNUMBER(SEARCH("R77",G305)),0)+IFERROR(--ISNUMBER(SEARCH("R78",G305)),0)+IFERROR(--ISNUMBER(SEARCH("R79",G305)),0)+IFERROR(--ISNUMBER(SEARCH("R80",G305)),0)+IFERROR(--ISNUMBER(SEARCH("R81",G305)),0)+IFERROR(--ISNUMBER(SEARCH("R82",G305)),0)+IFERROR(--ISNUMBER(SEARCH("R83",G305)),0)+IFERROR(--ISNUMBER(SEARCH("R84",G305)),0)+IFERROR(--ISNUMBER(SEARCH("R85",G305)),0)+IFERROR(--ISNUMBER(SEARCH("R86",G305)),0)+IFERROR(--ISNUMBER(SEARCH("R87",G305)),0)+IFERROR(--ISNUMBER(SEARCH("R88",G305)),0)+IFERROR(--ISNUMBER(SEARCH("R89",G305)),0)+IFERROR(--ISNUMBER(SEARCH("R90",G305)),0)+IFERROR(--ISNUMBER(SEARCH("R91",G305)),0)+IFERROR(--ISNUMBER(SEARCH("R92",G305)),0)+IFERROR(--ISNUMBER(SEARCH("R93",G305)),0)+IFERROR(--ISNUMBER(SEARCH("R94",G305)),0)+IFERROR(--ISNUMBER(SEARCH("R95",G305)),0)+IFERROR(--ISNUMBER(SEARCH("R96",G305)),0)+IFERROR(--ISNUMBER(SEARCH("R97",G305)),0)+IFERROR(--ISNUMBER(SEARCH("R98",G305)),0)+IFERROR(--ISNUMBER(SEARCH("R99",G305)),0)+IFERROR(--ISNUMBER(SEARCH("R100",G305)),0)+IFERROR(--ISNUMBER(SEARCH("R101",G305)),0)+IFERROR(--ISNUMBER(SEARCH("R102",G305)),0)+IFERROR(--ISNUMBER(SEARCH("R103",G305)),0)+IFERROR(--ISNUMBER(SEARCH("R104",G305)),0)+IFERROR(--ISNUMBER(SEARCH("R105",G305)),0)+IFERROR(--ISNUMBER(SEARCH("R106",G305)),0)+IFERROR(--ISNUMBER(SEARCH("R107",G305)),0)+IFERROR(--ISNUMBER(SEARCH("R108",G305)),0)+IFERROR(--ISNUMBER(SEARCH("R109",G305)),0)+IFERROR(--ISNUMBER(SEARCH("R110",G305)),0)+IFERROR(--ISNUMBER(SEARCH("R111",G305)),0)+IFERROR(--ISNUMBER(SEARCH("R112",G305)),0)+IFERROR(--ISNUMBER(SEARCH("R113",G305)),0)+IFERROR(--ISNUMBER(SEARCH("R114",G305)),0)+IFERROR(--ISNUMBER(SEARCH("R115",G305)),0)+IFERROR(--ISNUMBER(SEARCH("R116",G305)),0)+IFERROR(--ISNUMBER(SEARCH("R117",G305)),0)+IFERROR(--ISNUMBER(SEARCH("R118",G305)),0)+IFERROR(--ISNUMBER(SEARCH("R119",G305)),0)+IFERROR(--ISNUMBER(SEARCH("R120",G305)),0)+IFERROR(--ISNUMBER(SEARCH("R121",G305)),0)+IFERROR(--ISNUMBER(SEARCH("R122",G305)),0)+IFERROR(--ISNUMBER(SEARCH("R123",G305)),0)+IFERROR(--ISNUMBER(SEARCH("R124",G305)),0)+IFERROR(--ISNUMBER(SEARCH("R125",G305)),0)+IFERROR(--ISNUMBER(SEARCH("R126",G305)),0)+IFERROR(--ISNUMBER(SEARCH("R127",G305)),0)+IFERROR(--ISNUMBER(SEARCH("R128",G305)),0)+IFERROR(--ISNUMBER(SEARCH("R129",G305)),0)+IFERROR(--ISNUMBER(SEARCH("R130",G305)),0)+IFERROR(--ISNUMBER(SEARCH("R131",G305)),0)+IFERROR(--ISNUMBER(SEARCH("R132",G305)),0)+IFERROR(--ISNUMBER(SEARCH("R133",G305)),0)+IFERROR(--ISNUMBER(SEARCH("R134",G305)),0)+IFERROR(--ISNUMBER(SEARCH("R135",G305)),0)+IFERROR(--ISNUMBER(SEARCH("R136",G305)),0)+IFERROR(--ISNUMBER(SEARCH("R137",G305)),0)+IFERROR(--ISNUMBER(SEARCH("R138",G305)),0)+IFERROR(--ISNUMBER(SEARCH("R139",G305)),0)+IFERROR(--ISNUMBER(SEARCH("R140",G305)),0)+IFERROR(--ISNUMBER(SEARCH("R141",G305)),0))</f>
        <v/>
      </c>
      <c r="T305" s="58">
        <f>IF(A305="","",IFERROR(--ISNUMBER(SEARCH("R28",G305)),0)+IFERROR(--ISNUMBER(SEARCH("R29",G305)),0)+IFERROR(--ISNUMBER(SEARCH("R30",G305)),0)+IFERROR(--ISNUMBER(SEARCH("R32",G305)),0)+IFERROR(--ISNUMBER(SEARCH("R33",G305)),0)+IFERROR(--ISNUMBER(SEARCH("R35",G305)),0)+IFERROR(--ISNUMBER(SEARCH("R36",G305)),0)+IFERROR(--ISNUMBER(SEARCH("R38",G305)),0)+IFERROR(--ISNUMBER(SEARCH("R39",G305)),0)+IFERROR(--ISNUMBER(SEARCH("R43",G305)),0)+IFERROR(--ISNUMBER(SEARCH("R44",G305)),0)+IFERROR(--ISNUMBER(SEARCH("R45",G305)),0)+IFERROR(--ISNUMBER(SEARCH("R47",G305)),0)+IFERROR(--ISNUMBER(SEARCH("R48",G305)),0)+IFERROR(--ISNUMBER(SEARCH("R50",G305)),0)+IFERROR(--ISNUMBER(SEARCH("R51",G305)),0)+IFERROR(--ISNUMBER(SEARCH("R56",G305)),0)+IFERROR(--ISNUMBER(SEARCH("R58",G305)),0)+IFERROR(--ISNUMBER(SEARCH("R59",G305)),0)+IFERROR(--ISNUMBER(SEARCH("R60",G305)),0)+IFERROR(--ISNUMBER(SEARCH("R62",G305)),0)+IFERROR(--ISNUMBER(SEARCH("R63",G305)),0)+IFERROR(--ISNUMBER(SEARCH("R64",G305)),0)+IFERROR(--ISNUMBER(SEARCH("R66",G305)),0)+IFERROR(--ISNUMBER(SEARCH("R67",G305)),0)+IFERROR(--ISNUMBER(SEARCH("R72",G305)),0)+IFERROR(--ISNUMBER(SEARCH("R74",G305)),0)+IFERROR(--ISNUMBER(SEARCH("R75",G305)),0)+IFERROR(--ISNUMBER(SEARCH("R76",G305)),0)+IFERROR(--ISNUMBER(SEARCH("R77",G305)),0)+IFERROR(--ISNUMBER(SEARCH("R79",G305)),0)+IFERROR(--ISNUMBER(SEARCH("R80",G305)),0)+IFERROR(--ISNUMBER(SEARCH("R81",G305)),0)+IFERROR(--ISNUMBER(SEARCH("R83",G305)),0)+IFERROR(--ISNUMBER(SEARCH("R84",G305)),0)+IFERROR(--ISNUMBER(SEARCH("R89",G305)),0)+IFERROR(--ISNUMBER(SEARCH("R94",G305)),0)+IFERROR(--ISNUMBER(SEARCH("R95",G305)),0)+IFERROR(--ISNUMBER(SEARCH("R96",G305)),0)+IFERROR(--ISNUMBER(SEARCH("R98",G305)),0)+IFERROR(--ISNUMBER(SEARCH("R99",G305)),0)+IFERROR(--ISNUMBER(SEARCH("R100",G305)),0)+IFERROR(--ISNUMBER(SEARCH("R104",G305)),0)+IFERROR(--ISNUMBER(SEARCH("R105",G305)),0)+IFERROR(--ISNUMBER(SEARCH("R107",G305)),0)+IFERROR(--ISNUMBER(SEARCH("R108",G305)),0)+IFERROR(--ISNUMBER(SEARCH("R109",G305)),0)+IFERROR(--ISNUMBER(SEARCH("R110",G305)),0)+IFERROR(--ISNUMBER(SEARCH("R112",G305)),0)+IFERROR(--ISNUMBER(SEARCH("R113",G305)),0)+IFERROR(--ISNUMBER(SEARCH("R114",G305)),0)+IFERROR(--ISNUMBER(SEARCH("R118",G305)),0)+IFERROR(--ISNUMBER(SEARCH("R119",G305)),0)+IFERROR(--ISNUMBER(SEARCH("R120",G305)),0)+IFERROR(--ISNUMBER(SEARCH("R122",G305)),0)+IFERROR(--ISNUMBER(SEARCH("R123",G305)),0)+IFERROR(--ISNUMBER(SEARCH("R124",G305)),0)+IFERROR(--ISNUMBER(SEARCH("R128",G305)),0)+IFERROR(--ISNUMBER(SEARCH("R130",G305)),0)+IFERROR(--ISNUMBER(SEARCH("R131",G305)),0)+IFERROR(--ISNUMBER(SEARCH("R132",G305)),0)+IFERROR(--ISNUMBER(SEARCH("R135",G305)),0)+IFERROR(--ISNUMBER(SEARCH("R138",G305)),0)+IFERROR(--ISNUMBER(SEARCH("R141",G305)),0))</f>
        <v/>
      </c>
      <c r="U305" s="58">
        <f>IF(A305="","",IFERROR(--ISNUMBER(SEARCH("R28",G305))*28,0)+IFERROR(--ISNUMBER(SEARCH("R29",G305))*29,0)+IFERROR(--ISNUMBER(SEARCH("R30",G305))*30,0)+IFERROR(--ISNUMBER(SEARCH("R31",G305))*31,0)+IFERROR(--ISNUMBER(SEARCH("R32",G305))*32,0)+IFERROR(--ISNUMBER(SEARCH("R33",G305))*33,0)+IFERROR(--ISNUMBER(SEARCH("R34",G305))*34,0)+IFERROR(--ISNUMBER(SEARCH("R35",G305))*35,0)+IFERROR(--ISNUMBER(SEARCH("R36",G305))*36,0)+IFERROR(--ISNUMBER(SEARCH("R37",G305))*37,0)+IFERROR(--ISNUMBER(SEARCH("R38",G305))*38,0)+IFERROR(--ISNUMBER(SEARCH("R39",G305))*39,0)+IFERROR(--ISNUMBER(SEARCH("R40",G305))*40,0)+IFERROR(--ISNUMBER(SEARCH("R41",G305))*41,0)+IFERROR(--ISNUMBER(SEARCH("R42",G305))*42,0)+IFERROR(--ISNUMBER(SEARCH("R43",G305))*43,0)+IFERROR(--ISNUMBER(SEARCH("R44",G305))*44,0)+IFERROR(--ISNUMBER(SEARCH("R45",G305))*45,0)+IFERROR(--ISNUMBER(SEARCH("R46",G305))*46,0)+IFERROR(--ISNUMBER(SEARCH("R47",G305))*47,0)+IFERROR(--ISNUMBER(SEARCH("R48",G305))*48,0)+IFERROR(--ISNUMBER(SEARCH("R49",G305))*49,0)+IFERROR(--ISNUMBER(SEARCH("R50",G305))*50,0)+IFERROR(--ISNUMBER(SEARCH("R51",G305))*51,0)+IFERROR(--ISNUMBER(SEARCH("R52",G305))*52,0)+IFERROR(--ISNUMBER(SEARCH("R53",G305))*53,0)+IFERROR(--ISNUMBER(SEARCH("R54",G305))*54,0)+IFERROR(--ISNUMBER(SEARCH("R55",G305))*55,0)+IFERROR(--ISNUMBER(SEARCH("R56",G305))*56,0)+IFERROR(--ISNUMBER(SEARCH("R57",G305))*57,0)+IFERROR(--ISNUMBER(SEARCH("R58",G305))*58,0)+IFERROR(--ISNUMBER(SEARCH("R59",G305))*59,0)+IFERROR(--ISNUMBER(SEARCH("R60",G305))*60,0)+IFERROR(--ISNUMBER(SEARCH("R61",G305))*61,0)+IFERROR(--ISNUMBER(SEARCH("R62",G305))*62,0)+IFERROR(--ISNUMBER(SEARCH("R63",G305))*63,0)+IFERROR(--ISNUMBER(SEARCH("R64",G305))*64,0)+IFERROR(--ISNUMBER(SEARCH("R65",G305))*65,0)+IFERROR(--ISNUMBER(SEARCH("R66",G305))*66,0)+IFERROR(--ISNUMBER(SEARCH("R67",G305))*67,0)+IFERROR(--ISNUMBER(SEARCH("R68",G305))*68,0)+IFERROR(--ISNUMBER(SEARCH("R69",G305))*69,0)+IFERROR(--ISNUMBER(SEARCH("R70",G305))*70,0)+IFERROR(--ISNUMBER(SEARCH("R71",G305))*71,0)+IFERROR(--ISNUMBER(SEARCH("R72",G305))*72,0)+IFERROR(--ISNUMBER(SEARCH("R73",G305))*73,0)+IFERROR(--ISNUMBER(SEARCH("R74",G305))*74,0)+IFERROR(--ISNUMBER(SEARCH("R75",G305))*75,0)+IFERROR(--ISNUMBER(SEARCH("R76",G305))*76,0)+IFERROR(--ISNUMBER(SEARCH("R77",G305))*77,0)+IFERROR(--ISNUMBER(SEARCH("R78",G305))*78,0)+IFERROR(--ISNUMBER(SEARCH("R79",G305))*79,0)+IFERROR(--ISNUMBER(SEARCH("R80",G305))*80,0)+IFERROR(--ISNUMBER(SEARCH("R81",G305))*81,0)+IFERROR(--ISNUMBER(SEARCH("R82",G305))*82,0)+IFERROR(--ISNUMBER(SEARCH("R83",G305))*83,0)+IFERROR(--ISNUMBER(SEARCH("R84",G305))*84,0)+IFERROR(--ISNUMBER(SEARCH("R85",G305))*85,0)+IFERROR(--ISNUMBER(SEARCH("R86",G305))*86,0)+IFERROR(--ISNUMBER(SEARCH("R87",G305))*87,0)+IFERROR(--ISNUMBER(SEARCH("R88",G305))*88,0)+IFERROR(--ISNUMBER(SEARCH("R89",G305))*89,0)+IFERROR(--ISNUMBER(SEARCH("R90",G305))*90,0)+IFERROR(--ISNUMBER(SEARCH("R91",G305))*91,0)+IFERROR(--ISNUMBER(SEARCH("R92",G305))*92,0)+IFERROR(--ISNUMBER(SEARCH("R93",G305))*93,0)+IFERROR(--ISNUMBER(SEARCH("R94",G305))*94,0)+IFERROR(--ISNUMBER(SEARCH("R95",G305))*95,0)+IFERROR(--ISNUMBER(SEARCH("R96",G305))*96,0)+IFERROR(--ISNUMBER(SEARCH("R97",G305))*97,0)+IFERROR(--ISNUMBER(SEARCH("R98",G305))*98,0)+IFERROR(--ISNUMBER(SEARCH("R99",G305))*99,0)+IFERROR(--ISNUMBER(SEARCH("R100",G305))*100,0)+IFERROR(--ISNUMBER(SEARCH("R101",G305))*101,0)+IFERROR(--ISNUMBER(SEARCH("R102",G305))*102,0)+IFERROR(--ISNUMBER(SEARCH("R103",G305))*103,0)+IFERROR(--ISNUMBER(SEARCH("R104",G305))*104,0)+IFERROR(--ISNUMBER(SEARCH("R105",G305))*105,0)+IFERROR(--ISNUMBER(SEARCH("R106",G305))*106,0)+IFERROR(--ISNUMBER(SEARCH("R107",G305))*107,0)+IFERROR(--ISNUMBER(SEARCH("R108",G305))*108,0)+IFERROR(--ISNUMBER(SEARCH("R109",G305))*109,0)+IFERROR(--ISNUMBER(SEARCH("R110",G305))*110,0)+IFERROR(--ISNUMBER(SEARCH("R111",G305))*111,0)+IFERROR(--ISNUMBER(SEARCH("R112",G305))*112,0)+IFERROR(--ISNUMBER(SEARCH("R113",G305))*113,0)+IFERROR(--ISNUMBER(SEARCH("R114",G305))*114,0)+IFERROR(--ISNUMBER(SEARCH("R115",G305))*115,0)+IFERROR(--ISNUMBER(SEARCH("R116",G305))*116,0)+IFERROR(--ISNUMBER(SEARCH("R117",G305))*117,0)+IFERROR(--ISNUMBER(SEARCH("R118",G305))*118,0)+IFERROR(--ISNUMBER(SEARCH("R119",G305))*119,0)+IFERROR(--ISNUMBER(SEARCH("R120",G305))*120,0)+IFERROR(--ISNUMBER(SEARCH("R121",G305))*121,0)+IFERROR(--ISNUMBER(SEARCH("R122",G305))*122,0)+IFERROR(--ISNUMBER(SEARCH("R123",G305))*123,0)+IFERROR(--ISNUMBER(SEARCH("R124",G305))*124,0)+IFERROR(--ISNUMBER(SEARCH("R125",G305))*125,0)+IFERROR(--ISNUMBER(SEARCH("R126",G305))*126,0)+IFERROR(--ISNUMBER(SEARCH("R127",G305))*127,0)+IFERROR(--ISNUMBER(SEARCH("R128",G305))*128,0)+IFERROR(--ISNUMBER(SEARCH("R129",G305))*129,0)+IFERROR(--ISNUMBER(SEARCH("R130",G305))*130,0)+IFERROR(--ISNUMBER(SEARCH("R131",G305))*131,0)+IFERROR(--ISNUMBER(SEARCH("R132",G305))*132,0)+IFERROR(--ISNUMBER(SEARCH("R133",G305))*133,0)+IFERROR(--ISNUMBER(SEARCH("R134",G305))*134,0)+IFERROR(--ISNUMBER(SEARCH("R135",G305))*135,0)+IFERROR(--ISNUMBER(SEARCH("R136",G305))*136,0)+IFERROR(--ISNUMBER(SEARCH("R137",G305))*137,0)+IFERROR(--ISNUMBER(SEARCH("R138",G305))*138,0)+IFERROR(--ISNUMBER(SEARCH("R139",G305))*139,0)+IFERROR(--ISNUMBER(SEARCH("R140",G305))*140,0)+IFERROR(--ISNUMBER(SEARCH("R141",G305))*141,0))</f>
        <v/>
      </c>
      <c r="V305" s="59">
        <f>IF(A305="","",IF(K305&lt;&gt;"",K305,J305))</f>
        <v/>
      </c>
      <c r="W305" s="59">
        <f>IF(A305="","",IF(AND(V305=29,O305&lt;&gt;"",COUNTIFS($V$6:$V$505,29,$F$6:$F$505,F305,$C$6:$C$505,C305,$O$6:$O$505,"&lt;&gt;")&gt;1),IF(COUNTIFS($V$6:V305,29,$F$6:F305,F305,$C$6:C305,C305,$O$6:O305,"&lt;&gt;")=1,"Esta es la fila que se debe CONSERVAR (aparición 1 de "&amp;COUNTIFS($V$6:$V$505,29,$F$6:$F$505,F305,$C$6:$C$505,C305,$O$6:$O$505,"&lt;&gt;")&amp;" con el mismo tercero y valor, casilla 29). Si hay más filas iguales, bórreles el valor a ELLAS, no a esta.","DUPLICADO — ya existe otra fila con el mismo tercero y valor para casilla 29 (aparición "&amp;COUNTIFS($V$6:V305,29,$F$6:F305,F305,$C$6:C305,C305,$O$6:O305,"&lt;&gt;")&amp;" de "&amp;COUNTIFS($V$6:$V$505,29,$F$6:$F$505,F305,$C$6:$C$505,C305,$O$6:$O$505,"&lt;&gt;")&amp;"). Para resolverlo: seleccione la celda O"&amp;ROW()&amp;" (columna Valor a declarar de ESTA fila) y presione Supr."),""))</f>
        <v/>
      </c>
      <c r="X305" s="463">
        <f>IF(A305="","",F305)</f>
        <v/>
      </c>
      <c r="Y305" s="463">
        <f>IF(A305="","",SUMIF(Entrada_Manual!$I$88:$I$187,A305,Entrada_Manual!$F$88:$F$187))</f>
        <v/>
      </c>
      <c r="Z305" s="463">
        <f>IF(A305="","",X305-Y305)</f>
        <v/>
      </c>
      <c r="AA305">
        <f>IF(A305="","",SUMPRODUCT((Entrada_Manual!$I$88:$I$187=A305)*1))</f>
        <v/>
      </c>
      <c r="AB305">
        <f>IF(A305="","",IF(S305&lt;=1,"",IF(AA305=0,"PENDIENTE — SIN ASIGNAR",IF(Z305=0,"RESUELTO","PARCIAL — DIFERENCIA "&amp;TEXT(Z305,"#,##0")))))</f>
        <v/>
      </c>
    </row>
    <row r="306" ht="14.25" customHeight="1" s="235">
      <c r="A306" s="47">
        <f>IF(Exogena_RAW!E315&lt;&gt;"",ROW()-5,"")</f>
        <v/>
      </c>
      <c r="B306" s="48">
        <f>IF(A306="","",315)</f>
        <v/>
      </c>
      <c r="C306" s="48">
        <f>IF(A306="","",IFERROR(Exogena_RAW!A315,""))</f>
        <v/>
      </c>
      <c r="D306" s="48">
        <f>IF(A306="","",IFERROR(Exogena_RAW!B315,""))</f>
        <v/>
      </c>
      <c r="E306" s="48">
        <f>IF(A306="","",Exogena_RAW!E315)</f>
        <v/>
      </c>
      <c r="F306" s="461">
        <f>IF(A306="","",Exogena_RAW!F315)</f>
        <v/>
      </c>
      <c r="G306" s="48">
        <f>IF(A306="","",IFERROR(Exogena_RAW!G315,""))</f>
        <v/>
      </c>
      <c r="H306" s="48">
        <f>IF(A306="","",IFERROR(Exogena_RAW!H315,""))</f>
        <v/>
      </c>
      <c r="I306" s="48">
        <f>IF(A306="","",IFERROR(IF(S306&gt;1,"VARIAS CASILLAS",IF(S306=1,IF(T306=1,"PROPUESTA DE CASILLA","REVISIÓN: CASILLA NO DIRECTA"),IF(OR(ISNUMBER(SEARCH("TOPE",UPPER(E306))),ISNUMBER(SEARCH("TOPE",UPPER(G306)))),"SOLO CONTROL",IF(ISNUMBER(SEARCH("RETEN",UPPER(E306))),"RETENCIÓN","REVISAR")))),"REVISAR"))</f>
        <v/>
      </c>
      <c r="J306" s="48">
        <f>IF(A306="","",IF(ISNUMBER(SEARCH("ingreso laboral promedio de los últimos seis meses",E306)),"",IFERROR(IF(AND(S306=1,T306=1),U306,""),"")))</f>
        <v/>
      </c>
      <c r="K306" s="216" t="n"/>
      <c r="L306" s="48">
        <f>IF(A306="","",IFERROR(IF(K306&lt;&gt;"","Casilla elegida por usuario",IF(S306&gt;1,"Varias casillas — elegir en K",IF(J306&lt;&gt;"","Sugerencia directa",IF(S306=1,"No trasladar directo — revisar",IF(OR(ISNUMBER(SEARCH("TOPE",UPPER(E306))),ISNUMBER(SEARCH("TOPE",UPPER(G306)))),"Solo control","Revisar manualmente"))))),"Revisar manualmente"))</f>
        <v/>
      </c>
      <c r="M306" s="461">
        <f>IF(A306="","",IF(IF(K306&lt;&gt;"",K306,J306)="",0,IF(COUNTIFS(Reglas!$I$5:$I$118,IF(K306&lt;&gt;"",K306,J306),Reglas!$J$5:$J$118,"Sí")=1,F306,0)))</f>
        <v/>
      </c>
      <c r="N306" s="56" t="n"/>
      <c r="O306" s="462">
        <f>IF(A306="","",IF(M306=0,"",M306))</f>
        <v/>
      </c>
      <c r="P306" s="461">
        <f>IF(A306="","",IF(O306="",0,IF(ISNUMBER(O306),O306,0)))</f>
        <v/>
      </c>
      <c r="Q306" s="48">
        <f>IF(A306="","",IF(Exogena_RAW!$C$4="","BLOQUEADO: FALTA AÑO",IF(Exogena_RAW!$K$10&lt;&gt;Reglas!$B$5,"BLOQUEADO: AÑO",IF(IF(K306&lt;&gt;"",K306,J306)="",IF(S306&gt;1,"REQUIERE ASIGNACIÓN MANUAL (VARIAS CASILLAS)","INFORMATIVO (sin casilla — no se declara)"),IF(COUNTIFS(Reglas!$I$5:$I$118,IF(K306&lt;&gt;"",K306,J306),Reglas!$J$5:$J$118,"Sí")=0,"BLOQUEADO: CASILLA NO DIRECTA",IF(O306="","EXCLUIDO (valor borrado por el usuario)",IF(_xlfn.ISFORMULA(O306),IF(W306&lt;&gt;"","BORRADOR — VALOR SUGERIDO DIAN ⚠ VER ALERTA","BORRADOR — VALOR SUGERIDO DIAN"),IF(W306&lt;&gt;"","ACEPTADO ⚠ VER ALERTA","ACEPTADO"))))))))</f>
        <v/>
      </c>
      <c r="R306" s="218" t="n"/>
      <c r="S306" s="58">
        <f>IF(A306="","",IFERROR(--ISNUMBER(SEARCH("R28",G306)),0)+IFERROR(--ISNUMBER(SEARCH("R29",G306)),0)+IFERROR(--ISNUMBER(SEARCH("R30",G306)),0)+IFERROR(--ISNUMBER(SEARCH("R31",G306)),0)+IFERROR(--ISNUMBER(SEARCH("R32",G306)),0)+IFERROR(--ISNUMBER(SEARCH("R33",G306)),0)+IFERROR(--ISNUMBER(SEARCH("R34",G306)),0)+IFERROR(--ISNUMBER(SEARCH("R35",G306)),0)+IFERROR(--ISNUMBER(SEARCH("R36",G306)),0)+IFERROR(--ISNUMBER(SEARCH("R37",G306)),0)+IFERROR(--ISNUMBER(SEARCH("R38",G306)),0)+IFERROR(--ISNUMBER(SEARCH("R39",G306)),0)+IFERROR(--ISNUMBER(SEARCH("R40",G306)),0)+IFERROR(--ISNUMBER(SEARCH("R41",G306)),0)+IFERROR(--ISNUMBER(SEARCH("R42",G306)),0)+IFERROR(--ISNUMBER(SEARCH("R43",G306)),0)+IFERROR(--ISNUMBER(SEARCH("R44",G306)),0)+IFERROR(--ISNUMBER(SEARCH("R45",G306)),0)+IFERROR(--ISNUMBER(SEARCH("R46",G306)),0)+IFERROR(--ISNUMBER(SEARCH("R47",G306)),0)+IFERROR(--ISNUMBER(SEARCH("R48",G306)),0)+IFERROR(--ISNUMBER(SEARCH("R49",G306)),0)+IFERROR(--ISNUMBER(SEARCH("R50",G306)),0)+IFERROR(--ISNUMBER(SEARCH("R51",G306)),0)+IFERROR(--ISNUMBER(SEARCH("R52",G306)),0)+IFERROR(--ISNUMBER(SEARCH("R53",G306)),0)+IFERROR(--ISNUMBER(SEARCH("R54",G306)),0)+IFERROR(--ISNUMBER(SEARCH("R55",G306)),0)+IFERROR(--ISNUMBER(SEARCH("R56",G306)),0)+IFERROR(--ISNUMBER(SEARCH("R57",G306)),0)+IFERROR(--ISNUMBER(SEARCH("R58",G306)),0)+IFERROR(--ISNUMBER(SEARCH("R59",G306)),0)+IFERROR(--ISNUMBER(SEARCH("R60",G306)),0)+IFERROR(--ISNUMBER(SEARCH("R61",G306)),0)+IFERROR(--ISNUMBER(SEARCH("R62",G306)),0)+IFERROR(--ISNUMBER(SEARCH("R63",G306)),0)+IFERROR(--ISNUMBER(SEARCH("R64",G306)),0)+IFERROR(--ISNUMBER(SEARCH("R65",G306)),0)+IFERROR(--ISNUMBER(SEARCH("R66",G306)),0)+IFERROR(--ISNUMBER(SEARCH("R67",G306)),0)+IFERROR(--ISNUMBER(SEARCH("R68",G306)),0)+IFERROR(--ISNUMBER(SEARCH("R69",G306)),0)+IFERROR(--ISNUMBER(SEARCH("R70",G306)),0)+IFERROR(--ISNUMBER(SEARCH("R71",G306)),0)+IFERROR(--ISNUMBER(SEARCH("R72",G306)),0)+IFERROR(--ISNUMBER(SEARCH("R73",G306)),0)+IFERROR(--ISNUMBER(SEARCH("R74",G306)),0)+IFERROR(--ISNUMBER(SEARCH("R75",G306)),0)+IFERROR(--ISNUMBER(SEARCH("R76",G306)),0)+IFERROR(--ISNUMBER(SEARCH("R77",G306)),0)+IFERROR(--ISNUMBER(SEARCH("R78",G306)),0)+IFERROR(--ISNUMBER(SEARCH("R79",G306)),0)+IFERROR(--ISNUMBER(SEARCH("R80",G306)),0)+IFERROR(--ISNUMBER(SEARCH("R81",G306)),0)+IFERROR(--ISNUMBER(SEARCH("R82",G306)),0)+IFERROR(--ISNUMBER(SEARCH("R83",G306)),0)+IFERROR(--ISNUMBER(SEARCH("R84",G306)),0)+IFERROR(--ISNUMBER(SEARCH("R85",G306)),0)+IFERROR(--ISNUMBER(SEARCH("R86",G306)),0)+IFERROR(--ISNUMBER(SEARCH("R87",G306)),0)+IFERROR(--ISNUMBER(SEARCH("R88",G306)),0)+IFERROR(--ISNUMBER(SEARCH("R89",G306)),0)+IFERROR(--ISNUMBER(SEARCH("R90",G306)),0)+IFERROR(--ISNUMBER(SEARCH("R91",G306)),0)+IFERROR(--ISNUMBER(SEARCH("R92",G306)),0)+IFERROR(--ISNUMBER(SEARCH("R93",G306)),0)+IFERROR(--ISNUMBER(SEARCH("R94",G306)),0)+IFERROR(--ISNUMBER(SEARCH("R95",G306)),0)+IFERROR(--ISNUMBER(SEARCH("R96",G306)),0)+IFERROR(--ISNUMBER(SEARCH("R97",G306)),0)+IFERROR(--ISNUMBER(SEARCH("R98",G306)),0)+IFERROR(--ISNUMBER(SEARCH("R99",G306)),0)+IFERROR(--ISNUMBER(SEARCH("R100",G306)),0)+IFERROR(--ISNUMBER(SEARCH("R101",G306)),0)+IFERROR(--ISNUMBER(SEARCH("R102",G306)),0)+IFERROR(--ISNUMBER(SEARCH("R103",G306)),0)+IFERROR(--ISNUMBER(SEARCH("R104",G306)),0)+IFERROR(--ISNUMBER(SEARCH("R105",G306)),0)+IFERROR(--ISNUMBER(SEARCH("R106",G306)),0)+IFERROR(--ISNUMBER(SEARCH("R107",G306)),0)+IFERROR(--ISNUMBER(SEARCH("R108",G306)),0)+IFERROR(--ISNUMBER(SEARCH("R109",G306)),0)+IFERROR(--ISNUMBER(SEARCH("R110",G306)),0)+IFERROR(--ISNUMBER(SEARCH("R111",G306)),0)+IFERROR(--ISNUMBER(SEARCH("R112",G306)),0)+IFERROR(--ISNUMBER(SEARCH("R113",G306)),0)+IFERROR(--ISNUMBER(SEARCH("R114",G306)),0)+IFERROR(--ISNUMBER(SEARCH("R115",G306)),0)+IFERROR(--ISNUMBER(SEARCH("R116",G306)),0)+IFERROR(--ISNUMBER(SEARCH("R117",G306)),0)+IFERROR(--ISNUMBER(SEARCH("R118",G306)),0)+IFERROR(--ISNUMBER(SEARCH("R119",G306)),0)+IFERROR(--ISNUMBER(SEARCH("R120",G306)),0)+IFERROR(--ISNUMBER(SEARCH("R121",G306)),0)+IFERROR(--ISNUMBER(SEARCH("R122",G306)),0)+IFERROR(--ISNUMBER(SEARCH("R123",G306)),0)+IFERROR(--ISNUMBER(SEARCH("R124",G306)),0)+IFERROR(--ISNUMBER(SEARCH("R125",G306)),0)+IFERROR(--ISNUMBER(SEARCH("R126",G306)),0)+IFERROR(--ISNUMBER(SEARCH("R127",G306)),0)+IFERROR(--ISNUMBER(SEARCH("R128",G306)),0)+IFERROR(--ISNUMBER(SEARCH("R129",G306)),0)+IFERROR(--ISNUMBER(SEARCH("R130",G306)),0)+IFERROR(--ISNUMBER(SEARCH("R131",G306)),0)+IFERROR(--ISNUMBER(SEARCH("R132",G306)),0)+IFERROR(--ISNUMBER(SEARCH("R133",G306)),0)+IFERROR(--ISNUMBER(SEARCH("R134",G306)),0)+IFERROR(--ISNUMBER(SEARCH("R135",G306)),0)+IFERROR(--ISNUMBER(SEARCH("R136",G306)),0)+IFERROR(--ISNUMBER(SEARCH("R137",G306)),0)+IFERROR(--ISNUMBER(SEARCH("R138",G306)),0)+IFERROR(--ISNUMBER(SEARCH("R139",G306)),0)+IFERROR(--ISNUMBER(SEARCH("R140",G306)),0)+IFERROR(--ISNUMBER(SEARCH("R141",G306)),0))</f>
        <v/>
      </c>
      <c r="T306" s="58">
        <f>IF(A306="","",IFERROR(--ISNUMBER(SEARCH("R28",G306)),0)+IFERROR(--ISNUMBER(SEARCH("R29",G306)),0)+IFERROR(--ISNUMBER(SEARCH("R30",G306)),0)+IFERROR(--ISNUMBER(SEARCH("R32",G306)),0)+IFERROR(--ISNUMBER(SEARCH("R33",G306)),0)+IFERROR(--ISNUMBER(SEARCH("R35",G306)),0)+IFERROR(--ISNUMBER(SEARCH("R36",G306)),0)+IFERROR(--ISNUMBER(SEARCH("R38",G306)),0)+IFERROR(--ISNUMBER(SEARCH("R39",G306)),0)+IFERROR(--ISNUMBER(SEARCH("R43",G306)),0)+IFERROR(--ISNUMBER(SEARCH("R44",G306)),0)+IFERROR(--ISNUMBER(SEARCH("R45",G306)),0)+IFERROR(--ISNUMBER(SEARCH("R47",G306)),0)+IFERROR(--ISNUMBER(SEARCH("R48",G306)),0)+IFERROR(--ISNUMBER(SEARCH("R50",G306)),0)+IFERROR(--ISNUMBER(SEARCH("R51",G306)),0)+IFERROR(--ISNUMBER(SEARCH("R56",G306)),0)+IFERROR(--ISNUMBER(SEARCH("R58",G306)),0)+IFERROR(--ISNUMBER(SEARCH("R59",G306)),0)+IFERROR(--ISNUMBER(SEARCH("R60",G306)),0)+IFERROR(--ISNUMBER(SEARCH("R62",G306)),0)+IFERROR(--ISNUMBER(SEARCH("R63",G306)),0)+IFERROR(--ISNUMBER(SEARCH("R64",G306)),0)+IFERROR(--ISNUMBER(SEARCH("R66",G306)),0)+IFERROR(--ISNUMBER(SEARCH("R67",G306)),0)+IFERROR(--ISNUMBER(SEARCH("R72",G306)),0)+IFERROR(--ISNUMBER(SEARCH("R74",G306)),0)+IFERROR(--ISNUMBER(SEARCH("R75",G306)),0)+IFERROR(--ISNUMBER(SEARCH("R76",G306)),0)+IFERROR(--ISNUMBER(SEARCH("R77",G306)),0)+IFERROR(--ISNUMBER(SEARCH("R79",G306)),0)+IFERROR(--ISNUMBER(SEARCH("R80",G306)),0)+IFERROR(--ISNUMBER(SEARCH("R81",G306)),0)+IFERROR(--ISNUMBER(SEARCH("R83",G306)),0)+IFERROR(--ISNUMBER(SEARCH("R84",G306)),0)+IFERROR(--ISNUMBER(SEARCH("R89",G306)),0)+IFERROR(--ISNUMBER(SEARCH("R94",G306)),0)+IFERROR(--ISNUMBER(SEARCH("R95",G306)),0)+IFERROR(--ISNUMBER(SEARCH("R96",G306)),0)+IFERROR(--ISNUMBER(SEARCH("R98",G306)),0)+IFERROR(--ISNUMBER(SEARCH("R99",G306)),0)+IFERROR(--ISNUMBER(SEARCH("R100",G306)),0)+IFERROR(--ISNUMBER(SEARCH("R104",G306)),0)+IFERROR(--ISNUMBER(SEARCH("R105",G306)),0)+IFERROR(--ISNUMBER(SEARCH("R107",G306)),0)+IFERROR(--ISNUMBER(SEARCH("R108",G306)),0)+IFERROR(--ISNUMBER(SEARCH("R109",G306)),0)+IFERROR(--ISNUMBER(SEARCH("R110",G306)),0)+IFERROR(--ISNUMBER(SEARCH("R112",G306)),0)+IFERROR(--ISNUMBER(SEARCH("R113",G306)),0)+IFERROR(--ISNUMBER(SEARCH("R114",G306)),0)+IFERROR(--ISNUMBER(SEARCH("R118",G306)),0)+IFERROR(--ISNUMBER(SEARCH("R119",G306)),0)+IFERROR(--ISNUMBER(SEARCH("R120",G306)),0)+IFERROR(--ISNUMBER(SEARCH("R122",G306)),0)+IFERROR(--ISNUMBER(SEARCH("R123",G306)),0)+IFERROR(--ISNUMBER(SEARCH("R124",G306)),0)+IFERROR(--ISNUMBER(SEARCH("R128",G306)),0)+IFERROR(--ISNUMBER(SEARCH("R130",G306)),0)+IFERROR(--ISNUMBER(SEARCH("R131",G306)),0)+IFERROR(--ISNUMBER(SEARCH("R132",G306)),0)+IFERROR(--ISNUMBER(SEARCH("R135",G306)),0)+IFERROR(--ISNUMBER(SEARCH("R138",G306)),0)+IFERROR(--ISNUMBER(SEARCH("R141",G306)),0))</f>
        <v/>
      </c>
      <c r="U306" s="58">
        <f>IF(A306="","",IFERROR(--ISNUMBER(SEARCH("R28",G306))*28,0)+IFERROR(--ISNUMBER(SEARCH("R29",G306))*29,0)+IFERROR(--ISNUMBER(SEARCH("R30",G306))*30,0)+IFERROR(--ISNUMBER(SEARCH("R31",G306))*31,0)+IFERROR(--ISNUMBER(SEARCH("R32",G306))*32,0)+IFERROR(--ISNUMBER(SEARCH("R33",G306))*33,0)+IFERROR(--ISNUMBER(SEARCH("R34",G306))*34,0)+IFERROR(--ISNUMBER(SEARCH("R35",G306))*35,0)+IFERROR(--ISNUMBER(SEARCH("R36",G306))*36,0)+IFERROR(--ISNUMBER(SEARCH("R37",G306))*37,0)+IFERROR(--ISNUMBER(SEARCH("R38",G306))*38,0)+IFERROR(--ISNUMBER(SEARCH("R39",G306))*39,0)+IFERROR(--ISNUMBER(SEARCH("R40",G306))*40,0)+IFERROR(--ISNUMBER(SEARCH("R41",G306))*41,0)+IFERROR(--ISNUMBER(SEARCH("R42",G306))*42,0)+IFERROR(--ISNUMBER(SEARCH("R43",G306))*43,0)+IFERROR(--ISNUMBER(SEARCH("R44",G306))*44,0)+IFERROR(--ISNUMBER(SEARCH("R45",G306))*45,0)+IFERROR(--ISNUMBER(SEARCH("R46",G306))*46,0)+IFERROR(--ISNUMBER(SEARCH("R47",G306))*47,0)+IFERROR(--ISNUMBER(SEARCH("R48",G306))*48,0)+IFERROR(--ISNUMBER(SEARCH("R49",G306))*49,0)+IFERROR(--ISNUMBER(SEARCH("R50",G306))*50,0)+IFERROR(--ISNUMBER(SEARCH("R51",G306))*51,0)+IFERROR(--ISNUMBER(SEARCH("R52",G306))*52,0)+IFERROR(--ISNUMBER(SEARCH("R53",G306))*53,0)+IFERROR(--ISNUMBER(SEARCH("R54",G306))*54,0)+IFERROR(--ISNUMBER(SEARCH("R55",G306))*55,0)+IFERROR(--ISNUMBER(SEARCH("R56",G306))*56,0)+IFERROR(--ISNUMBER(SEARCH("R57",G306))*57,0)+IFERROR(--ISNUMBER(SEARCH("R58",G306))*58,0)+IFERROR(--ISNUMBER(SEARCH("R59",G306))*59,0)+IFERROR(--ISNUMBER(SEARCH("R60",G306))*60,0)+IFERROR(--ISNUMBER(SEARCH("R61",G306))*61,0)+IFERROR(--ISNUMBER(SEARCH("R62",G306))*62,0)+IFERROR(--ISNUMBER(SEARCH("R63",G306))*63,0)+IFERROR(--ISNUMBER(SEARCH("R64",G306))*64,0)+IFERROR(--ISNUMBER(SEARCH("R65",G306))*65,0)+IFERROR(--ISNUMBER(SEARCH("R66",G306))*66,0)+IFERROR(--ISNUMBER(SEARCH("R67",G306))*67,0)+IFERROR(--ISNUMBER(SEARCH("R68",G306))*68,0)+IFERROR(--ISNUMBER(SEARCH("R69",G306))*69,0)+IFERROR(--ISNUMBER(SEARCH("R70",G306))*70,0)+IFERROR(--ISNUMBER(SEARCH("R71",G306))*71,0)+IFERROR(--ISNUMBER(SEARCH("R72",G306))*72,0)+IFERROR(--ISNUMBER(SEARCH("R73",G306))*73,0)+IFERROR(--ISNUMBER(SEARCH("R74",G306))*74,0)+IFERROR(--ISNUMBER(SEARCH("R75",G306))*75,0)+IFERROR(--ISNUMBER(SEARCH("R76",G306))*76,0)+IFERROR(--ISNUMBER(SEARCH("R77",G306))*77,0)+IFERROR(--ISNUMBER(SEARCH("R78",G306))*78,0)+IFERROR(--ISNUMBER(SEARCH("R79",G306))*79,0)+IFERROR(--ISNUMBER(SEARCH("R80",G306))*80,0)+IFERROR(--ISNUMBER(SEARCH("R81",G306))*81,0)+IFERROR(--ISNUMBER(SEARCH("R82",G306))*82,0)+IFERROR(--ISNUMBER(SEARCH("R83",G306))*83,0)+IFERROR(--ISNUMBER(SEARCH("R84",G306))*84,0)+IFERROR(--ISNUMBER(SEARCH("R85",G306))*85,0)+IFERROR(--ISNUMBER(SEARCH("R86",G306))*86,0)+IFERROR(--ISNUMBER(SEARCH("R87",G306))*87,0)+IFERROR(--ISNUMBER(SEARCH("R88",G306))*88,0)+IFERROR(--ISNUMBER(SEARCH("R89",G306))*89,0)+IFERROR(--ISNUMBER(SEARCH("R90",G306))*90,0)+IFERROR(--ISNUMBER(SEARCH("R91",G306))*91,0)+IFERROR(--ISNUMBER(SEARCH("R92",G306))*92,0)+IFERROR(--ISNUMBER(SEARCH("R93",G306))*93,0)+IFERROR(--ISNUMBER(SEARCH("R94",G306))*94,0)+IFERROR(--ISNUMBER(SEARCH("R95",G306))*95,0)+IFERROR(--ISNUMBER(SEARCH("R96",G306))*96,0)+IFERROR(--ISNUMBER(SEARCH("R97",G306))*97,0)+IFERROR(--ISNUMBER(SEARCH("R98",G306))*98,0)+IFERROR(--ISNUMBER(SEARCH("R99",G306))*99,0)+IFERROR(--ISNUMBER(SEARCH("R100",G306))*100,0)+IFERROR(--ISNUMBER(SEARCH("R101",G306))*101,0)+IFERROR(--ISNUMBER(SEARCH("R102",G306))*102,0)+IFERROR(--ISNUMBER(SEARCH("R103",G306))*103,0)+IFERROR(--ISNUMBER(SEARCH("R104",G306))*104,0)+IFERROR(--ISNUMBER(SEARCH("R105",G306))*105,0)+IFERROR(--ISNUMBER(SEARCH("R106",G306))*106,0)+IFERROR(--ISNUMBER(SEARCH("R107",G306))*107,0)+IFERROR(--ISNUMBER(SEARCH("R108",G306))*108,0)+IFERROR(--ISNUMBER(SEARCH("R109",G306))*109,0)+IFERROR(--ISNUMBER(SEARCH("R110",G306))*110,0)+IFERROR(--ISNUMBER(SEARCH("R111",G306))*111,0)+IFERROR(--ISNUMBER(SEARCH("R112",G306))*112,0)+IFERROR(--ISNUMBER(SEARCH("R113",G306))*113,0)+IFERROR(--ISNUMBER(SEARCH("R114",G306))*114,0)+IFERROR(--ISNUMBER(SEARCH("R115",G306))*115,0)+IFERROR(--ISNUMBER(SEARCH("R116",G306))*116,0)+IFERROR(--ISNUMBER(SEARCH("R117",G306))*117,0)+IFERROR(--ISNUMBER(SEARCH("R118",G306))*118,0)+IFERROR(--ISNUMBER(SEARCH("R119",G306))*119,0)+IFERROR(--ISNUMBER(SEARCH("R120",G306))*120,0)+IFERROR(--ISNUMBER(SEARCH("R121",G306))*121,0)+IFERROR(--ISNUMBER(SEARCH("R122",G306))*122,0)+IFERROR(--ISNUMBER(SEARCH("R123",G306))*123,0)+IFERROR(--ISNUMBER(SEARCH("R124",G306))*124,0)+IFERROR(--ISNUMBER(SEARCH("R125",G306))*125,0)+IFERROR(--ISNUMBER(SEARCH("R126",G306))*126,0)+IFERROR(--ISNUMBER(SEARCH("R127",G306))*127,0)+IFERROR(--ISNUMBER(SEARCH("R128",G306))*128,0)+IFERROR(--ISNUMBER(SEARCH("R129",G306))*129,0)+IFERROR(--ISNUMBER(SEARCH("R130",G306))*130,0)+IFERROR(--ISNUMBER(SEARCH("R131",G306))*131,0)+IFERROR(--ISNUMBER(SEARCH("R132",G306))*132,0)+IFERROR(--ISNUMBER(SEARCH("R133",G306))*133,0)+IFERROR(--ISNUMBER(SEARCH("R134",G306))*134,0)+IFERROR(--ISNUMBER(SEARCH("R135",G306))*135,0)+IFERROR(--ISNUMBER(SEARCH("R136",G306))*136,0)+IFERROR(--ISNUMBER(SEARCH("R137",G306))*137,0)+IFERROR(--ISNUMBER(SEARCH("R138",G306))*138,0)+IFERROR(--ISNUMBER(SEARCH("R139",G306))*139,0)+IFERROR(--ISNUMBER(SEARCH("R140",G306))*140,0)+IFERROR(--ISNUMBER(SEARCH("R141",G306))*141,0))</f>
        <v/>
      </c>
      <c r="V306" s="59">
        <f>IF(A306="","",IF(K306&lt;&gt;"",K306,J306))</f>
        <v/>
      </c>
      <c r="W306" s="59">
        <f>IF(A306="","",IF(AND(V306=29,O306&lt;&gt;"",COUNTIFS($V$6:$V$505,29,$F$6:$F$505,F306,$C$6:$C$505,C306,$O$6:$O$505,"&lt;&gt;")&gt;1),IF(COUNTIFS($V$6:V306,29,$F$6:F306,F306,$C$6:C306,C306,$O$6:O306,"&lt;&gt;")=1,"Esta es la fila que se debe CONSERVAR (aparición 1 de "&amp;COUNTIFS($V$6:$V$505,29,$F$6:$F$505,F306,$C$6:$C$505,C306,$O$6:$O$505,"&lt;&gt;")&amp;" con el mismo tercero y valor, casilla 29). Si hay más filas iguales, bórreles el valor a ELLAS, no a esta.","DUPLICADO — ya existe otra fila con el mismo tercero y valor para casilla 29 (aparición "&amp;COUNTIFS($V$6:V306,29,$F$6:F306,F306,$C$6:C306,C306,$O$6:O306,"&lt;&gt;")&amp;" de "&amp;COUNTIFS($V$6:$V$505,29,$F$6:$F$505,F306,$C$6:$C$505,C306,$O$6:$O$505,"&lt;&gt;")&amp;"). Para resolverlo: seleccione la celda O"&amp;ROW()&amp;" (columna Valor a declarar de ESTA fila) y presione Supr."),""))</f>
        <v/>
      </c>
      <c r="X306" s="463">
        <f>IF(A306="","",F306)</f>
        <v/>
      </c>
      <c r="Y306" s="463">
        <f>IF(A306="","",SUMIF(Entrada_Manual!$I$88:$I$187,A306,Entrada_Manual!$F$88:$F$187))</f>
        <v/>
      </c>
      <c r="Z306" s="463">
        <f>IF(A306="","",X306-Y306)</f>
        <v/>
      </c>
      <c r="AA306">
        <f>IF(A306="","",SUMPRODUCT((Entrada_Manual!$I$88:$I$187=A306)*1))</f>
        <v/>
      </c>
      <c r="AB306">
        <f>IF(A306="","",IF(S306&lt;=1,"",IF(AA306=0,"PENDIENTE — SIN ASIGNAR",IF(Z306=0,"RESUELTO","PARCIAL — DIFERENCIA "&amp;TEXT(Z306,"#,##0")))))</f>
        <v/>
      </c>
    </row>
    <row r="307" ht="14.25" customHeight="1" s="235">
      <c r="A307" s="47">
        <f>IF(Exogena_RAW!E316&lt;&gt;"",ROW()-5,"")</f>
        <v/>
      </c>
      <c r="B307" s="48">
        <f>IF(A307="","",316)</f>
        <v/>
      </c>
      <c r="C307" s="48">
        <f>IF(A307="","",IFERROR(Exogena_RAW!A316,""))</f>
        <v/>
      </c>
      <c r="D307" s="48">
        <f>IF(A307="","",IFERROR(Exogena_RAW!B316,""))</f>
        <v/>
      </c>
      <c r="E307" s="48">
        <f>IF(A307="","",Exogena_RAW!E316)</f>
        <v/>
      </c>
      <c r="F307" s="461">
        <f>IF(A307="","",Exogena_RAW!F316)</f>
        <v/>
      </c>
      <c r="G307" s="48">
        <f>IF(A307="","",IFERROR(Exogena_RAW!G316,""))</f>
        <v/>
      </c>
      <c r="H307" s="48">
        <f>IF(A307="","",IFERROR(Exogena_RAW!H316,""))</f>
        <v/>
      </c>
      <c r="I307" s="48">
        <f>IF(A307="","",IFERROR(IF(S307&gt;1,"VARIAS CASILLAS",IF(S307=1,IF(T307=1,"PROPUESTA DE CASILLA","REVISIÓN: CASILLA NO DIRECTA"),IF(OR(ISNUMBER(SEARCH("TOPE",UPPER(E307))),ISNUMBER(SEARCH("TOPE",UPPER(G307)))),"SOLO CONTROL",IF(ISNUMBER(SEARCH("RETEN",UPPER(E307))),"RETENCIÓN","REVISAR")))),"REVISAR"))</f>
        <v/>
      </c>
      <c r="J307" s="48">
        <f>IF(A307="","",IF(ISNUMBER(SEARCH("ingreso laboral promedio de los últimos seis meses",E307)),"",IFERROR(IF(AND(S307=1,T307=1),U307,""),"")))</f>
        <v/>
      </c>
      <c r="K307" s="216" t="n"/>
      <c r="L307" s="48">
        <f>IF(A307="","",IFERROR(IF(K307&lt;&gt;"","Casilla elegida por usuario",IF(S307&gt;1,"Varias casillas — elegir en K",IF(J307&lt;&gt;"","Sugerencia directa",IF(S307=1,"No trasladar directo — revisar",IF(OR(ISNUMBER(SEARCH("TOPE",UPPER(E307))),ISNUMBER(SEARCH("TOPE",UPPER(G307)))),"Solo control","Revisar manualmente"))))),"Revisar manualmente"))</f>
        <v/>
      </c>
      <c r="M307" s="461">
        <f>IF(A307="","",IF(IF(K307&lt;&gt;"",K307,J307)="",0,IF(COUNTIFS(Reglas!$I$5:$I$118,IF(K307&lt;&gt;"",K307,J307),Reglas!$J$5:$J$118,"Sí")=1,F307,0)))</f>
        <v/>
      </c>
      <c r="N307" s="56" t="n"/>
      <c r="O307" s="462">
        <f>IF(A307="","",IF(M307=0,"",M307))</f>
        <v/>
      </c>
      <c r="P307" s="461">
        <f>IF(A307="","",IF(O307="",0,IF(ISNUMBER(O307),O307,0)))</f>
        <v/>
      </c>
      <c r="Q307" s="48">
        <f>IF(A307="","",IF(Exogena_RAW!$C$4="","BLOQUEADO: FALTA AÑO",IF(Exogena_RAW!$K$10&lt;&gt;Reglas!$B$5,"BLOQUEADO: AÑO",IF(IF(K307&lt;&gt;"",K307,J307)="",IF(S307&gt;1,"REQUIERE ASIGNACIÓN MANUAL (VARIAS CASILLAS)","INFORMATIVO (sin casilla — no se declara)"),IF(COUNTIFS(Reglas!$I$5:$I$118,IF(K307&lt;&gt;"",K307,J307),Reglas!$J$5:$J$118,"Sí")=0,"BLOQUEADO: CASILLA NO DIRECTA",IF(O307="","EXCLUIDO (valor borrado por el usuario)",IF(_xlfn.ISFORMULA(O307),IF(W307&lt;&gt;"","BORRADOR — VALOR SUGERIDO DIAN ⚠ VER ALERTA","BORRADOR — VALOR SUGERIDO DIAN"),IF(W307&lt;&gt;"","ACEPTADO ⚠ VER ALERTA","ACEPTADO"))))))))</f>
        <v/>
      </c>
      <c r="R307" s="218" t="n"/>
      <c r="S307" s="58">
        <f>IF(A307="","",IFERROR(--ISNUMBER(SEARCH("R28",G307)),0)+IFERROR(--ISNUMBER(SEARCH("R29",G307)),0)+IFERROR(--ISNUMBER(SEARCH("R30",G307)),0)+IFERROR(--ISNUMBER(SEARCH("R31",G307)),0)+IFERROR(--ISNUMBER(SEARCH("R32",G307)),0)+IFERROR(--ISNUMBER(SEARCH("R33",G307)),0)+IFERROR(--ISNUMBER(SEARCH("R34",G307)),0)+IFERROR(--ISNUMBER(SEARCH("R35",G307)),0)+IFERROR(--ISNUMBER(SEARCH("R36",G307)),0)+IFERROR(--ISNUMBER(SEARCH("R37",G307)),0)+IFERROR(--ISNUMBER(SEARCH("R38",G307)),0)+IFERROR(--ISNUMBER(SEARCH("R39",G307)),0)+IFERROR(--ISNUMBER(SEARCH("R40",G307)),0)+IFERROR(--ISNUMBER(SEARCH("R41",G307)),0)+IFERROR(--ISNUMBER(SEARCH("R42",G307)),0)+IFERROR(--ISNUMBER(SEARCH("R43",G307)),0)+IFERROR(--ISNUMBER(SEARCH("R44",G307)),0)+IFERROR(--ISNUMBER(SEARCH("R45",G307)),0)+IFERROR(--ISNUMBER(SEARCH("R46",G307)),0)+IFERROR(--ISNUMBER(SEARCH("R47",G307)),0)+IFERROR(--ISNUMBER(SEARCH("R48",G307)),0)+IFERROR(--ISNUMBER(SEARCH("R49",G307)),0)+IFERROR(--ISNUMBER(SEARCH("R50",G307)),0)+IFERROR(--ISNUMBER(SEARCH("R51",G307)),0)+IFERROR(--ISNUMBER(SEARCH("R52",G307)),0)+IFERROR(--ISNUMBER(SEARCH("R53",G307)),0)+IFERROR(--ISNUMBER(SEARCH("R54",G307)),0)+IFERROR(--ISNUMBER(SEARCH("R55",G307)),0)+IFERROR(--ISNUMBER(SEARCH("R56",G307)),0)+IFERROR(--ISNUMBER(SEARCH("R57",G307)),0)+IFERROR(--ISNUMBER(SEARCH("R58",G307)),0)+IFERROR(--ISNUMBER(SEARCH("R59",G307)),0)+IFERROR(--ISNUMBER(SEARCH("R60",G307)),0)+IFERROR(--ISNUMBER(SEARCH("R61",G307)),0)+IFERROR(--ISNUMBER(SEARCH("R62",G307)),0)+IFERROR(--ISNUMBER(SEARCH("R63",G307)),0)+IFERROR(--ISNUMBER(SEARCH("R64",G307)),0)+IFERROR(--ISNUMBER(SEARCH("R65",G307)),0)+IFERROR(--ISNUMBER(SEARCH("R66",G307)),0)+IFERROR(--ISNUMBER(SEARCH("R67",G307)),0)+IFERROR(--ISNUMBER(SEARCH("R68",G307)),0)+IFERROR(--ISNUMBER(SEARCH("R69",G307)),0)+IFERROR(--ISNUMBER(SEARCH("R70",G307)),0)+IFERROR(--ISNUMBER(SEARCH("R71",G307)),0)+IFERROR(--ISNUMBER(SEARCH("R72",G307)),0)+IFERROR(--ISNUMBER(SEARCH("R73",G307)),0)+IFERROR(--ISNUMBER(SEARCH("R74",G307)),0)+IFERROR(--ISNUMBER(SEARCH("R75",G307)),0)+IFERROR(--ISNUMBER(SEARCH("R76",G307)),0)+IFERROR(--ISNUMBER(SEARCH("R77",G307)),0)+IFERROR(--ISNUMBER(SEARCH("R78",G307)),0)+IFERROR(--ISNUMBER(SEARCH("R79",G307)),0)+IFERROR(--ISNUMBER(SEARCH("R80",G307)),0)+IFERROR(--ISNUMBER(SEARCH("R81",G307)),0)+IFERROR(--ISNUMBER(SEARCH("R82",G307)),0)+IFERROR(--ISNUMBER(SEARCH("R83",G307)),0)+IFERROR(--ISNUMBER(SEARCH("R84",G307)),0)+IFERROR(--ISNUMBER(SEARCH("R85",G307)),0)+IFERROR(--ISNUMBER(SEARCH("R86",G307)),0)+IFERROR(--ISNUMBER(SEARCH("R87",G307)),0)+IFERROR(--ISNUMBER(SEARCH("R88",G307)),0)+IFERROR(--ISNUMBER(SEARCH("R89",G307)),0)+IFERROR(--ISNUMBER(SEARCH("R90",G307)),0)+IFERROR(--ISNUMBER(SEARCH("R91",G307)),0)+IFERROR(--ISNUMBER(SEARCH("R92",G307)),0)+IFERROR(--ISNUMBER(SEARCH("R93",G307)),0)+IFERROR(--ISNUMBER(SEARCH("R94",G307)),0)+IFERROR(--ISNUMBER(SEARCH("R95",G307)),0)+IFERROR(--ISNUMBER(SEARCH("R96",G307)),0)+IFERROR(--ISNUMBER(SEARCH("R97",G307)),0)+IFERROR(--ISNUMBER(SEARCH("R98",G307)),0)+IFERROR(--ISNUMBER(SEARCH("R99",G307)),0)+IFERROR(--ISNUMBER(SEARCH("R100",G307)),0)+IFERROR(--ISNUMBER(SEARCH("R101",G307)),0)+IFERROR(--ISNUMBER(SEARCH("R102",G307)),0)+IFERROR(--ISNUMBER(SEARCH("R103",G307)),0)+IFERROR(--ISNUMBER(SEARCH("R104",G307)),0)+IFERROR(--ISNUMBER(SEARCH("R105",G307)),0)+IFERROR(--ISNUMBER(SEARCH("R106",G307)),0)+IFERROR(--ISNUMBER(SEARCH("R107",G307)),0)+IFERROR(--ISNUMBER(SEARCH("R108",G307)),0)+IFERROR(--ISNUMBER(SEARCH("R109",G307)),0)+IFERROR(--ISNUMBER(SEARCH("R110",G307)),0)+IFERROR(--ISNUMBER(SEARCH("R111",G307)),0)+IFERROR(--ISNUMBER(SEARCH("R112",G307)),0)+IFERROR(--ISNUMBER(SEARCH("R113",G307)),0)+IFERROR(--ISNUMBER(SEARCH("R114",G307)),0)+IFERROR(--ISNUMBER(SEARCH("R115",G307)),0)+IFERROR(--ISNUMBER(SEARCH("R116",G307)),0)+IFERROR(--ISNUMBER(SEARCH("R117",G307)),0)+IFERROR(--ISNUMBER(SEARCH("R118",G307)),0)+IFERROR(--ISNUMBER(SEARCH("R119",G307)),0)+IFERROR(--ISNUMBER(SEARCH("R120",G307)),0)+IFERROR(--ISNUMBER(SEARCH("R121",G307)),0)+IFERROR(--ISNUMBER(SEARCH("R122",G307)),0)+IFERROR(--ISNUMBER(SEARCH("R123",G307)),0)+IFERROR(--ISNUMBER(SEARCH("R124",G307)),0)+IFERROR(--ISNUMBER(SEARCH("R125",G307)),0)+IFERROR(--ISNUMBER(SEARCH("R126",G307)),0)+IFERROR(--ISNUMBER(SEARCH("R127",G307)),0)+IFERROR(--ISNUMBER(SEARCH("R128",G307)),0)+IFERROR(--ISNUMBER(SEARCH("R129",G307)),0)+IFERROR(--ISNUMBER(SEARCH("R130",G307)),0)+IFERROR(--ISNUMBER(SEARCH("R131",G307)),0)+IFERROR(--ISNUMBER(SEARCH("R132",G307)),0)+IFERROR(--ISNUMBER(SEARCH("R133",G307)),0)+IFERROR(--ISNUMBER(SEARCH("R134",G307)),0)+IFERROR(--ISNUMBER(SEARCH("R135",G307)),0)+IFERROR(--ISNUMBER(SEARCH("R136",G307)),0)+IFERROR(--ISNUMBER(SEARCH("R137",G307)),0)+IFERROR(--ISNUMBER(SEARCH("R138",G307)),0)+IFERROR(--ISNUMBER(SEARCH("R139",G307)),0)+IFERROR(--ISNUMBER(SEARCH("R140",G307)),0)+IFERROR(--ISNUMBER(SEARCH("R141",G307)),0))</f>
        <v/>
      </c>
      <c r="T307" s="58">
        <f>IF(A307="","",IFERROR(--ISNUMBER(SEARCH("R28",G307)),0)+IFERROR(--ISNUMBER(SEARCH("R29",G307)),0)+IFERROR(--ISNUMBER(SEARCH("R30",G307)),0)+IFERROR(--ISNUMBER(SEARCH("R32",G307)),0)+IFERROR(--ISNUMBER(SEARCH("R33",G307)),0)+IFERROR(--ISNUMBER(SEARCH("R35",G307)),0)+IFERROR(--ISNUMBER(SEARCH("R36",G307)),0)+IFERROR(--ISNUMBER(SEARCH("R38",G307)),0)+IFERROR(--ISNUMBER(SEARCH("R39",G307)),0)+IFERROR(--ISNUMBER(SEARCH("R43",G307)),0)+IFERROR(--ISNUMBER(SEARCH("R44",G307)),0)+IFERROR(--ISNUMBER(SEARCH("R45",G307)),0)+IFERROR(--ISNUMBER(SEARCH("R47",G307)),0)+IFERROR(--ISNUMBER(SEARCH("R48",G307)),0)+IFERROR(--ISNUMBER(SEARCH("R50",G307)),0)+IFERROR(--ISNUMBER(SEARCH("R51",G307)),0)+IFERROR(--ISNUMBER(SEARCH("R56",G307)),0)+IFERROR(--ISNUMBER(SEARCH("R58",G307)),0)+IFERROR(--ISNUMBER(SEARCH("R59",G307)),0)+IFERROR(--ISNUMBER(SEARCH("R60",G307)),0)+IFERROR(--ISNUMBER(SEARCH("R62",G307)),0)+IFERROR(--ISNUMBER(SEARCH("R63",G307)),0)+IFERROR(--ISNUMBER(SEARCH("R64",G307)),0)+IFERROR(--ISNUMBER(SEARCH("R66",G307)),0)+IFERROR(--ISNUMBER(SEARCH("R67",G307)),0)+IFERROR(--ISNUMBER(SEARCH("R72",G307)),0)+IFERROR(--ISNUMBER(SEARCH("R74",G307)),0)+IFERROR(--ISNUMBER(SEARCH("R75",G307)),0)+IFERROR(--ISNUMBER(SEARCH("R76",G307)),0)+IFERROR(--ISNUMBER(SEARCH("R77",G307)),0)+IFERROR(--ISNUMBER(SEARCH("R79",G307)),0)+IFERROR(--ISNUMBER(SEARCH("R80",G307)),0)+IFERROR(--ISNUMBER(SEARCH("R81",G307)),0)+IFERROR(--ISNUMBER(SEARCH("R83",G307)),0)+IFERROR(--ISNUMBER(SEARCH("R84",G307)),0)+IFERROR(--ISNUMBER(SEARCH("R89",G307)),0)+IFERROR(--ISNUMBER(SEARCH("R94",G307)),0)+IFERROR(--ISNUMBER(SEARCH("R95",G307)),0)+IFERROR(--ISNUMBER(SEARCH("R96",G307)),0)+IFERROR(--ISNUMBER(SEARCH("R98",G307)),0)+IFERROR(--ISNUMBER(SEARCH("R99",G307)),0)+IFERROR(--ISNUMBER(SEARCH("R100",G307)),0)+IFERROR(--ISNUMBER(SEARCH("R104",G307)),0)+IFERROR(--ISNUMBER(SEARCH("R105",G307)),0)+IFERROR(--ISNUMBER(SEARCH("R107",G307)),0)+IFERROR(--ISNUMBER(SEARCH("R108",G307)),0)+IFERROR(--ISNUMBER(SEARCH("R109",G307)),0)+IFERROR(--ISNUMBER(SEARCH("R110",G307)),0)+IFERROR(--ISNUMBER(SEARCH("R112",G307)),0)+IFERROR(--ISNUMBER(SEARCH("R113",G307)),0)+IFERROR(--ISNUMBER(SEARCH("R114",G307)),0)+IFERROR(--ISNUMBER(SEARCH("R118",G307)),0)+IFERROR(--ISNUMBER(SEARCH("R119",G307)),0)+IFERROR(--ISNUMBER(SEARCH("R120",G307)),0)+IFERROR(--ISNUMBER(SEARCH("R122",G307)),0)+IFERROR(--ISNUMBER(SEARCH("R123",G307)),0)+IFERROR(--ISNUMBER(SEARCH("R124",G307)),0)+IFERROR(--ISNUMBER(SEARCH("R128",G307)),0)+IFERROR(--ISNUMBER(SEARCH("R130",G307)),0)+IFERROR(--ISNUMBER(SEARCH("R131",G307)),0)+IFERROR(--ISNUMBER(SEARCH("R132",G307)),0)+IFERROR(--ISNUMBER(SEARCH("R135",G307)),0)+IFERROR(--ISNUMBER(SEARCH("R138",G307)),0)+IFERROR(--ISNUMBER(SEARCH("R141",G307)),0))</f>
        <v/>
      </c>
      <c r="U307" s="58">
        <f>IF(A307="","",IFERROR(--ISNUMBER(SEARCH("R28",G307))*28,0)+IFERROR(--ISNUMBER(SEARCH("R29",G307))*29,0)+IFERROR(--ISNUMBER(SEARCH("R30",G307))*30,0)+IFERROR(--ISNUMBER(SEARCH("R31",G307))*31,0)+IFERROR(--ISNUMBER(SEARCH("R32",G307))*32,0)+IFERROR(--ISNUMBER(SEARCH("R33",G307))*33,0)+IFERROR(--ISNUMBER(SEARCH("R34",G307))*34,0)+IFERROR(--ISNUMBER(SEARCH("R35",G307))*35,0)+IFERROR(--ISNUMBER(SEARCH("R36",G307))*36,0)+IFERROR(--ISNUMBER(SEARCH("R37",G307))*37,0)+IFERROR(--ISNUMBER(SEARCH("R38",G307))*38,0)+IFERROR(--ISNUMBER(SEARCH("R39",G307))*39,0)+IFERROR(--ISNUMBER(SEARCH("R40",G307))*40,0)+IFERROR(--ISNUMBER(SEARCH("R41",G307))*41,0)+IFERROR(--ISNUMBER(SEARCH("R42",G307))*42,0)+IFERROR(--ISNUMBER(SEARCH("R43",G307))*43,0)+IFERROR(--ISNUMBER(SEARCH("R44",G307))*44,0)+IFERROR(--ISNUMBER(SEARCH("R45",G307))*45,0)+IFERROR(--ISNUMBER(SEARCH("R46",G307))*46,0)+IFERROR(--ISNUMBER(SEARCH("R47",G307))*47,0)+IFERROR(--ISNUMBER(SEARCH("R48",G307))*48,0)+IFERROR(--ISNUMBER(SEARCH("R49",G307))*49,0)+IFERROR(--ISNUMBER(SEARCH("R50",G307))*50,0)+IFERROR(--ISNUMBER(SEARCH("R51",G307))*51,0)+IFERROR(--ISNUMBER(SEARCH("R52",G307))*52,0)+IFERROR(--ISNUMBER(SEARCH("R53",G307))*53,0)+IFERROR(--ISNUMBER(SEARCH("R54",G307))*54,0)+IFERROR(--ISNUMBER(SEARCH("R55",G307))*55,0)+IFERROR(--ISNUMBER(SEARCH("R56",G307))*56,0)+IFERROR(--ISNUMBER(SEARCH("R57",G307))*57,0)+IFERROR(--ISNUMBER(SEARCH("R58",G307))*58,0)+IFERROR(--ISNUMBER(SEARCH("R59",G307))*59,0)+IFERROR(--ISNUMBER(SEARCH("R60",G307))*60,0)+IFERROR(--ISNUMBER(SEARCH("R61",G307))*61,0)+IFERROR(--ISNUMBER(SEARCH("R62",G307))*62,0)+IFERROR(--ISNUMBER(SEARCH("R63",G307))*63,0)+IFERROR(--ISNUMBER(SEARCH("R64",G307))*64,0)+IFERROR(--ISNUMBER(SEARCH("R65",G307))*65,0)+IFERROR(--ISNUMBER(SEARCH("R66",G307))*66,0)+IFERROR(--ISNUMBER(SEARCH("R67",G307))*67,0)+IFERROR(--ISNUMBER(SEARCH("R68",G307))*68,0)+IFERROR(--ISNUMBER(SEARCH("R69",G307))*69,0)+IFERROR(--ISNUMBER(SEARCH("R70",G307))*70,0)+IFERROR(--ISNUMBER(SEARCH("R71",G307))*71,0)+IFERROR(--ISNUMBER(SEARCH("R72",G307))*72,0)+IFERROR(--ISNUMBER(SEARCH("R73",G307))*73,0)+IFERROR(--ISNUMBER(SEARCH("R74",G307))*74,0)+IFERROR(--ISNUMBER(SEARCH("R75",G307))*75,0)+IFERROR(--ISNUMBER(SEARCH("R76",G307))*76,0)+IFERROR(--ISNUMBER(SEARCH("R77",G307))*77,0)+IFERROR(--ISNUMBER(SEARCH("R78",G307))*78,0)+IFERROR(--ISNUMBER(SEARCH("R79",G307))*79,0)+IFERROR(--ISNUMBER(SEARCH("R80",G307))*80,0)+IFERROR(--ISNUMBER(SEARCH("R81",G307))*81,0)+IFERROR(--ISNUMBER(SEARCH("R82",G307))*82,0)+IFERROR(--ISNUMBER(SEARCH("R83",G307))*83,0)+IFERROR(--ISNUMBER(SEARCH("R84",G307))*84,0)+IFERROR(--ISNUMBER(SEARCH("R85",G307))*85,0)+IFERROR(--ISNUMBER(SEARCH("R86",G307))*86,0)+IFERROR(--ISNUMBER(SEARCH("R87",G307))*87,0)+IFERROR(--ISNUMBER(SEARCH("R88",G307))*88,0)+IFERROR(--ISNUMBER(SEARCH("R89",G307))*89,0)+IFERROR(--ISNUMBER(SEARCH("R90",G307))*90,0)+IFERROR(--ISNUMBER(SEARCH("R91",G307))*91,0)+IFERROR(--ISNUMBER(SEARCH("R92",G307))*92,0)+IFERROR(--ISNUMBER(SEARCH("R93",G307))*93,0)+IFERROR(--ISNUMBER(SEARCH("R94",G307))*94,0)+IFERROR(--ISNUMBER(SEARCH("R95",G307))*95,0)+IFERROR(--ISNUMBER(SEARCH("R96",G307))*96,0)+IFERROR(--ISNUMBER(SEARCH("R97",G307))*97,0)+IFERROR(--ISNUMBER(SEARCH("R98",G307))*98,0)+IFERROR(--ISNUMBER(SEARCH("R99",G307))*99,0)+IFERROR(--ISNUMBER(SEARCH("R100",G307))*100,0)+IFERROR(--ISNUMBER(SEARCH("R101",G307))*101,0)+IFERROR(--ISNUMBER(SEARCH("R102",G307))*102,0)+IFERROR(--ISNUMBER(SEARCH("R103",G307))*103,0)+IFERROR(--ISNUMBER(SEARCH("R104",G307))*104,0)+IFERROR(--ISNUMBER(SEARCH("R105",G307))*105,0)+IFERROR(--ISNUMBER(SEARCH("R106",G307))*106,0)+IFERROR(--ISNUMBER(SEARCH("R107",G307))*107,0)+IFERROR(--ISNUMBER(SEARCH("R108",G307))*108,0)+IFERROR(--ISNUMBER(SEARCH("R109",G307))*109,0)+IFERROR(--ISNUMBER(SEARCH("R110",G307))*110,0)+IFERROR(--ISNUMBER(SEARCH("R111",G307))*111,0)+IFERROR(--ISNUMBER(SEARCH("R112",G307))*112,0)+IFERROR(--ISNUMBER(SEARCH("R113",G307))*113,0)+IFERROR(--ISNUMBER(SEARCH("R114",G307))*114,0)+IFERROR(--ISNUMBER(SEARCH("R115",G307))*115,0)+IFERROR(--ISNUMBER(SEARCH("R116",G307))*116,0)+IFERROR(--ISNUMBER(SEARCH("R117",G307))*117,0)+IFERROR(--ISNUMBER(SEARCH("R118",G307))*118,0)+IFERROR(--ISNUMBER(SEARCH("R119",G307))*119,0)+IFERROR(--ISNUMBER(SEARCH("R120",G307))*120,0)+IFERROR(--ISNUMBER(SEARCH("R121",G307))*121,0)+IFERROR(--ISNUMBER(SEARCH("R122",G307))*122,0)+IFERROR(--ISNUMBER(SEARCH("R123",G307))*123,0)+IFERROR(--ISNUMBER(SEARCH("R124",G307))*124,0)+IFERROR(--ISNUMBER(SEARCH("R125",G307))*125,0)+IFERROR(--ISNUMBER(SEARCH("R126",G307))*126,0)+IFERROR(--ISNUMBER(SEARCH("R127",G307))*127,0)+IFERROR(--ISNUMBER(SEARCH("R128",G307))*128,0)+IFERROR(--ISNUMBER(SEARCH("R129",G307))*129,0)+IFERROR(--ISNUMBER(SEARCH("R130",G307))*130,0)+IFERROR(--ISNUMBER(SEARCH("R131",G307))*131,0)+IFERROR(--ISNUMBER(SEARCH("R132",G307))*132,0)+IFERROR(--ISNUMBER(SEARCH("R133",G307))*133,0)+IFERROR(--ISNUMBER(SEARCH("R134",G307))*134,0)+IFERROR(--ISNUMBER(SEARCH("R135",G307))*135,0)+IFERROR(--ISNUMBER(SEARCH("R136",G307))*136,0)+IFERROR(--ISNUMBER(SEARCH("R137",G307))*137,0)+IFERROR(--ISNUMBER(SEARCH("R138",G307))*138,0)+IFERROR(--ISNUMBER(SEARCH("R139",G307))*139,0)+IFERROR(--ISNUMBER(SEARCH("R140",G307))*140,0)+IFERROR(--ISNUMBER(SEARCH("R141",G307))*141,0))</f>
        <v/>
      </c>
      <c r="V307" s="59">
        <f>IF(A307="","",IF(K307&lt;&gt;"",K307,J307))</f>
        <v/>
      </c>
      <c r="W307" s="59">
        <f>IF(A307="","",IF(AND(V307=29,O307&lt;&gt;"",COUNTIFS($V$6:$V$505,29,$F$6:$F$505,F307,$C$6:$C$505,C307,$O$6:$O$505,"&lt;&gt;")&gt;1),IF(COUNTIFS($V$6:V307,29,$F$6:F307,F307,$C$6:C307,C307,$O$6:O307,"&lt;&gt;")=1,"Esta es la fila que se debe CONSERVAR (aparición 1 de "&amp;COUNTIFS($V$6:$V$505,29,$F$6:$F$505,F307,$C$6:$C$505,C307,$O$6:$O$505,"&lt;&gt;")&amp;" con el mismo tercero y valor, casilla 29). Si hay más filas iguales, bórreles el valor a ELLAS, no a esta.","DUPLICADO — ya existe otra fila con el mismo tercero y valor para casilla 29 (aparición "&amp;COUNTIFS($V$6:V307,29,$F$6:F307,F307,$C$6:C307,C307,$O$6:O307,"&lt;&gt;")&amp;" de "&amp;COUNTIFS($V$6:$V$505,29,$F$6:$F$505,F307,$C$6:$C$505,C307,$O$6:$O$505,"&lt;&gt;")&amp;"). Para resolverlo: seleccione la celda O"&amp;ROW()&amp;" (columna Valor a declarar de ESTA fila) y presione Supr."),""))</f>
        <v/>
      </c>
      <c r="X307" s="463">
        <f>IF(A307="","",F307)</f>
        <v/>
      </c>
      <c r="Y307" s="463">
        <f>IF(A307="","",SUMIF(Entrada_Manual!$I$88:$I$187,A307,Entrada_Manual!$F$88:$F$187))</f>
        <v/>
      </c>
      <c r="Z307" s="463">
        <f>IF(A307="","",X307-Y307)</f>
        <v/>
      </c>
      <c r="AA307">
        <f>IF(A307="","",SUMPRODUCT((Entrada_Manual!$I$88:$I$187=A307)*1))</f>
        <v/>
      </c>
      <c r="AB307">
        <f>IF(A307="","",IF(S307&lt;=1,"",IF(AA307=0,"PENDIENTE — SIN ASIGNAR",IF(Z307=0,"RESUELTO","PARCIAL — DIFERENCIA "&amp;TEXT(Z307,"#,##0")))))</f>
        <v/>
      </c>
    </row>
    <row r="308" ht="14.25" customHeight="1" s="235">
      <c r="A308" s="47">
        <f>IF(Exogena_RAW!E317&lt;&gt;"",ROW()-5,"")</f>
        <v/>
      </c>
      <c r="B308" s="48">
        <f>IF(A308="","",317)</f>
        <v/>
      </c>
      <c r="C308" s="48">
        <f>IF(A308="","",IFERROR(Exogena_RAW!A317,""))</f>
        <v/>
      </c>
      <c r="D308" s="48">
        <f>IF(A308="","",IFERROR(Exogena_RAW!B317,""))</f>
        <v/>
      </c>
      <c r="E308" s="48">
        <f>IF(A308="","",Exogena_RAW!E317)</f>
        <v/>
      </c>
      <c r="F308" s="461">
        <f>IF(A308="","",Exogena_RAW!F317)</f>
        <v/>
      </c>
      <c r="G308" s="48">
        <f>IF(A308="","",IFERROR(Exogena_RAW!G317,""))</f>
        <v/>
      </c>
      <c r="H308" s="48">
        <f>IF(A308="","",IFERROR(Exogena_RAW!H317,""))</f>
        <v/>
      </c>
      <c r="I308" s="48">
        <f>IF(A308="","",IFERROR(IF(S308&gt;1,"VARIAS CASILLAS",IF(S308=1,IF(T308=1,"PROPUESTA DE CASILLA","REVISIÓN: CASILLA NO DIRECTA"),IF(OR(ISNUMBER(SEARCH("TOPE",UPPER(E308))),ISNUMBER(SEARCH("TOPE",UPPER(G308)))),"SOLO CONTROL",IF(ISNUMBER(SEARCH("RETEN",UPPER(E308))),"RETENCIÓN","REVISAR")))),"REVISAR"))</f>
        <v/>
      </c>
      <c r="J308" s="48">
        <f>IF(A308="","",IF(ISNUMBER(SEARCH("ingreso laboral promedio de los últimos seis meses",E308)),"",IFERROR(IF(AND(S308=1,T308=1),U308,""),"")))</f>
        <v/>
      </c>
      <c r="K308" s="216" t="n"/>
      <c r="L308" s="48">
        <f>IF(A308="","",IFERROR(IF(K308&lt;&gt;"","Casilla elegida por usuario",IF(S308&gt;1,"Varias casillas — elegir en K",IF(J308&lt;&gt;"","Sugerencia directa",IF(S308=1,"No trasladar directo — revisar",IF(OR(ISNUMBER(SEARCH("TOPE",UPPER(E308))),ISNUMBER(SEARCH("TOPE",UPPER(G308)))),"Solo control","Revisar manualmente"))))),"Revisar manualmente"))</f>
        <v/>
      </c>
      <c r="M308" s="461">
        <f>IF(A308="","",IF(IF(K308&lt;&gt;"",K308,J308)="",0,IF(COUNTIFS(Reglas!$I$5:$I$118,IF(K308&lt;&gt;"",K308,J308),Reglas!$J$5:$J$118,"Sí")=1,F308,0)))</f>
        <v/>
      </c>
      <c r="N308" s="56" t="n"/>
      <c r="O308" s="462">
        <f>IF(A308="","",IF(M308=0,"",M308))</f>
        <v/>
      </c>
      <c r="P308" s="461">
        <f>IF(A308="","",IF(O308="",0,IF(ISNUMBER(O308),O308,0)))</f>
        <v/>
      </c>
      <c r="Q308" s="48">
        <f>IF(A308="","",IF(Exogena_RAW!$C$4="","BLOQUEADO: FALTA AÑO",IF(Exogena_RAW!$K$10&lt;&gt;Reglas!$B$5,"BLOQUEADO: AÑO",IF(IF(K308&lt;&gt;"",K308,J308)="",IF(S308&gt;1,"REQUIERE ASIGNACIÓN MANUAL (VARIAS CASILLAS)","INFORMATIVO (sin casilla — no se declara)"),IF(COUNTIFS(Reglas!$I$5:$I$118,IF(K308&lt;&gt;"",K308,J308),Reglas!$J$5:$J$118,"Sí")=0,"BLOQUEADO: CASILLA NO DIRECTA",IF(O308="","EXCLUIDO (valor borrado por el usuario)",IF(_xlfn.ISFORMULA(O308),IF(W308&lt;&gt;"","BORRADOR — VALOR SUGERIDO DIAN ⚠ VER ALERTA","BORRADOR — VALOR SUGERIDO DIAN"),IF(W308&lt;&gt;"","ACEPTADO ⚠ VER ALERTA","ACEPTADO"))))))))</f>
        <v/>
      </c>
      <c r="R308" s="218" t="n"/>
      <c r="S308" s="58">
        <f>IF(A308="","",IFERROR(--ISNUMBER(SEARCH("R28",G308)),0)+IFERROR(--ISNUMBER(SEARCH("R29",G308)),0)+IFERROR(--ISNUMBER(SEARCH("R30",G308)),0)+IFERROR(--ISNUMBER(SEARCH("R31",G308)),0)+IFERROR(--ISNUMBER(SEARCH("R32",G308)),0)+IFERROR(--ISNUMBER(SEARCH("R33",G308)),0)+IFERROR(--ISNUMBER(SEARCH("R34",G308)),0)+IFERROR(--ISNUMBER(SEARCH("R35",G308)),0)+IFERROR(--ISNUMBER(SEARCH("R36",G308)),0)+IFERROR(--ISNUMBER(SEARCH("R37",G308)),0)+IFERROR(--ISNUMBER(SEARCH("R38",G308)),0)+IFERROR(--ISNUMBER(SEARCH("R39",G308)),0)+IFERROR(--ISNUMBER(SEARCH("R40",G308)),0)+IFERROR(--ISNUMBER(SEARCH("R41",G308)),0)+IFERROR(--ISNUMBER(SEARCH("R42",G308)),0)+IFERROR(--ISNUMBER(SEARCH("R43",G308)),0)+IFERROR(--ISNUMBER(SEARCH("R44",G308)),0)+IFERROR(--ISNUMBER(SEARCH("R45",G308)),0)+IFERROR(--ISNUMBER(SEARCH("R46",G308)),0)+IFERROR(--ISNUMBER(SEARCH("R47",G308)),0)+IFERROR(--ISNUMBER(SEARCH("R48",G308)),0)+IFERROR(--ISNUMBER(SEARCH("R49",G308)),0)+IFERROR(--ISNUMBER(SEARCH("R50",G308)),0)+IFERROR(--ISNUMBER(SEARCH("R51",G308)),0)+IFERROR(--ISNUMBER(SEARCH("R52",G308)),0)+IFERROR(--ISNUMBER(SEARCH("R53",G308)),0)+IFERROR(--ISNUMBER(SEARCH("R54",G308)),0)+IFERROR(--ISNUMBER(SEARCH("R55",G308)),0)+IFERROR(--ISNUMBER(SEARCH("R56",G308)),0)+IFERROR(--ISNUMBER(SEARCH("R57",G308)),0)+IFERROR(--ISNUMBER(SEARCH("R58",G308)),0)+IFERROR(--ISNUMBER(SEARCH("R59",G308)),0)+IFERROR(--ISNUMBER(SEARCH("R60",G308)),0)+IFERROR(--ISNUMBER(SEARCH("R61",G308)),0)+IFERROR(--ISNUMBER(SEARCH("R62",G308)),0)+IFERROR(--ISNUMBER(SEARCH("R63",G308)),0)+IFERROR(--ISNUMBER(SEARCH("R64",G308)),0)+IFERROR(--ISNUMBER(SEARCH("R65",G308)),0)+IFERROR(--ISNUMBER(SEARCH("R66",G308)),0)+IFERROR(--ISNUMBER(SEARCH("R67",G308)),0)+IFERROR(--ISNUMBER(SEARCH("R68",G308)),0)+IFERROR(--ISNUMBER(SEARCH("R69",G308)),0)+IFERROR(--ISNUMBER(SEARCH("R70",G308)),0)+IFERROR(--ISNUMBER(SEARCH("R71",G308)),0)+IFERROR(--ISNUMBER(SEARCH("R72",G308)),0)+IFERROR(--ISNUMBER(SEARCH("R73",G308)),0)+IFERROR(--ISNUMBER(SEARCH("R74",G308)),0)+IFERROR(--ISNUMBER(SEARCH("R75",G308)),0)+IFERROR(--ISNUMBER(SEARCH("R76",G308)),0)+IFERROR(--ISNUMBER(SEARCH("R77",G308)),0)+IFERROR(--ISNUMBER(SEARCH("R78",G308)),0)+IFERROR(--ISNUMBER(SEARCH("R79",G308)),0)+IFERROR(--ISNUMBER(SEARCH("R80",G308)),0)+IFERROR(--ISNUMBER(SEARCH("R81",G308)),0)+IFERROR(--ISNUMBER(SEARCH("R82",G308)),0)+IFERROR(--ISNUMBER(SEARCH("R83",G308)),0)+IFERROR(--ISNUMBER(SEARCH("R84",G308)),0)+IFERROR(--ISNUMBER(SEARCH("R85",G308)),0)+IFERROR(--ISNUMBER(SEARCH("R86",G308)),0)+IFERROR(--ISNUMBER(SEARCH("R87",G308)),0)+IFERROR(--ISNUMBER(SEARCH("R88",G308)),0)+IFERROR(--ISNUMBER(SEARCH("R89",G308)),0)+IFERROR(--ISNUMBER(SEARCH("R90",G308)),0)+IFERROR(--ISNUMBER(SEARCH("R91",G308)),0)+IFERROR(--ISNUMBER(SEARCH("R92",G308)),0)+IFERROR(--ISNUMBER(SEARCH("R93",G308)),0)+IFERROR(--ISNUMBER(SEARCH("R94",G308)),0)+IFERROR(--ISNUMBER(SEARCH("R95",G308)),0)+IFERROR(--ISNUMBER(SEARCH("R96",G308)),0)+IFERROR(--ISNUMBER(SEARCH("R97",G308)),0)+IFERROR(--ISNUMBER(SEARCH("R98",G308)),0)+IFERROR(--ISNUMBER(SEARCH("R99",G308)),0)+IFERROR(--ISNUMBER(SEARCH("R100",G308)),0)+IFERROR(--ISNUMBER(SEARCH("R101",G308)),0)+IFERROR(--ISNUMBER(SEARCH("R102",G308)),0)+IFERROR(--ISNUMBER(SEARCH("R103",G308)),0)+IFERROR(--ISNUMBER(SEARCH("R104",G308)),0)+IFERROR(--ISNUMBER(SEARCH("R105",G308)),0)+IFERROR(--ISNUMBER(SEARCH("R106",G308)),0)+IFERROR(--ISNUMBER(SEARCH("R107",G308)),0)+IFERROR(--ISNUMBER(SEARCH("R108",G308)),0)+IFERROR(--ISNUMBER(SEARCH("R109",G308)),0)+IFERROR(--ISNUMBER(SEARCH("R110",G308)),0)+IFERROR(--ISNUMBER(SEARCH("R111",G308)),0)+IFERROR(--ISNUMBER(SEARCH("R112",G308)),0)+IFERROR(--ISNUMBER(SEARCH("R113",G308)),0)+IFERROR(--ISNUMBER(SEARCH("R114",G308)),0)+IFERROR(--ISNUMBER(SEARCH("R115",G308)),0)+IFERROR(--ISNUMBER(SEARCH("R116",G308)),0)+IFERROR(--ISNUMBER(SEARCH("R117",G308)),0)+IFERROR(--ISNUMBER(SEARCH("R118",G308)),0)+IFERROR(--ISNUMBER(SEARCH("R119",G308)),0)+IFERROR(--ISNUMBER(SEARCH("R120",G308)),0)+IFERROR(--ISNUMBER(SEARCH("R121",G308)),0)+IFERROR(--ISNUMBER(SEARCH("R122",G308)),0)+IFERROR(--ISNUMBER(SEARCH("R123",G308)),0)+IFERROR(--ISNUMBER(SEARCH("R124",G308)),0)+IFERROR(--ISNUMBER(SEARCH("R125",G308)),0)+IFERROR(--ISNUMBER(SEARCH("R126",G308)),0)+IFERROR(--ISNUMBER(SEARCH("R127",G308)),0)+IFERROR(--ISNUMBER(SEARCH("R128",G308)),0)+IFERROR(--ISNUMBER(SEARCH("R129",G308)),0)+IFERROR(--ISNUMBER(SEARCH("R130",G308)),0)+IFERROR(--ISNUMBER(SEARCH("R131",G308)),0)+IFERROR(--ISNUMBER(SEARCH("R132",G308)),0)+IFERROR(--ISNUMBER(SEARCH("R133",G308)),0)+IFERROR(--ISNUMBER(SEARCH("R134",G308)),0)+IFERROR(--ISNUMBER(SEARCH("R135",G308)),0)+IFERROR(--ISNUMBER(SEARCH("R136",G308)),0)+IFERROR(--ISNUMBER(SEARCH("R137",G308)),0)+IFERROR(--ISNUMBER(SEARCH("R138",G308)),0)+IFERROR(--ISNUMBER(SEARCH("R139",G308)),0)+IFERROR(--ISNUMBER(SEARCH("R140",G308)),0)+IFERROR(--ISNUMBER(SEARCH("R141",G308)),0))</f>
        <v/>
      </c>
      <c r="T308" s="58">
        <f>IF(A308="","",IFERROR(--ISNUMBER(SEARCH("R28",G308)),0)+IFERROR(--ISNUMBER(SEARCH("R29",G308)),0)+IFERROR(--ISNUMBER(SEARCH("R30",G308)),0)+IFERROR(--ISNUMBER(SEARCH("R32",G308)),0)+IFERROR(--ISNUMBER(SEARCH("R33",G308)),0)+IFERROR(--ISNUMBER(SEARCH("R35",G308)),0)+IFERROR(--ISNUMBER(SEARCH("R36",G308)),0)+IFERROR(--ISNUMBER(SEARCH("R38",G308)),0)+IFERROR(--ISNUMBER(SEARCH("R39",G308)),0)+IFERROR(--ISNUMBER(SEARCH("R43",G308)),0)+IFERROR(--ISNUMBER(SEARCH("R44",G308)),0)+IFERROR(--ISNUMBER(SEARCH("R45",G308)),0)+IFERROR(--ISNUMBER(SEARCH("R47",G308)),0)+IFERROR(--ISNUMBER(SEARCH("R48",G308)),0)+IFERROR(--ISNUMBER(SEARCH("R50",G308)),0)+IFERROR(--ISNUMBER(SEARCH("R51",G308)),0)+IFERROR(--ISNUMBER(SEARCH("R56",G308)),0)+IFERROR(--ISNUMBER(SEARCH("R58",G308)),0)+IFERROR(--ISNUMBER(SEARCH("R59",G308)),0)+IFERROR(--ISNUMBER(SEARCH("R60",G308)),0)+IFERROR(--ISNUMBER(SEARCH("R62",G308)),0)+IFERROR(--ISNUMBER(SEARCH("R63",G308)),0)+IFERROR(--ISNUMBER(SEARCH("R64",G308)),0)+IFERROR(--ISNUMBER(SEARCH("R66",G308)),0)+IFERROR(--ISNUMBER(SEARCH("R67",G308)),0)+IFERROR(--ISNUMBER(SEARCH("R72",G308)),0)+IFERROR(--ISNUMBER(SEARCH("R74",G308)),0)+IFERROR(--ISNUMBER(SEARCH("R75",G308)),0)+IFERROR(--ISNUMBER(SEARCH("R76",G308)),0)+IFERROR(--ISNUMBER(SEARCH("R77",G308)),0)+IFERROR(--ISNUMBER(SEARCH("R79",G308)),0)+IFERROR(--ISNUMBER(SEARCH("R80",G308)),0)+IFERROR(--ISNUMBER(SEARCH("R81",G308)),0)+IFERROR(--ISNUMBER(SEARCH("R83",G308)),0)+IFERROR(--ISNUMBER(SEARCH("R84",G308)),0)+IFERROR(--ISNUMBER(SEARCH("R89",G308)),0)+IFERROR(--ISNUMBER(SEARCH("R94",G308)),0)+IFERROR(--ISNUMBER(SEARCH("R95",G308)),0)+IFERROR(--ISNUMBER(SEARCH("R96",G308)),0)+IFERROR(--ISNUMBER(SEARCH("R98",G308)),0)+IFERROR(--ISNUMBER(SEARCH("R99",G308)),0)+IFERROR(--ISNUMBER(SEARCH("R100",G308)),0)+IFERROR(--ISNUMBER(SEARCH("R104",G308)),0)+IFERROR(--ISNUMBER(SEARCH("R105",G308)),0)+IFERROR(--ISNUMBER(SEARCH("R107",G308)),0)+IFERROR(--ISNUMBER(SEARCH("R108",G308)),0)+IFERROR(--ISNUMBER(SEARCH("R109",G308)),0)+IFERROR(--ISNUMBER(SEARCH("R110",G308)),0)+IFERROR(--ISNUMBER(SEARCH("R112",G308)),0)+IFERROR(--ISNUMBER(SEARCH("R113",G308)),0)+IFERROR(--ISNUMBER(SEARCH("R114",G308)),0)+IFERROR(--ISNUMBER(SEARCH("R118",G308)),0)+IFERROR(--ISNUMBER(SEARCH("R119",G308)),0)+IFERROR(--ISNUMBER(SEARCH("R120",G308)),0)+IFERROR(--ISNUMBER(SEARCH("R122",G308)),0)+IFERROR(--ISNUMBER(SEARCH("R123",G308)),0)+IFERROR(--ISNUMBER(SEARCH("R124",G308)),0)+IFERROR(--ISNUMBER(SEARCH("R128",G308)),0)+IFERROR(--ISNUMBER(SEARCH("R130",G308)),0)+IFERROR(--ISNUMBER(SEARCH("R131",G308)),0)+IFERROR(--ISNUMBER(SEARCH("R132",G308)),0)+IFERROR(--ISNUMBER(SEARCH("R135",G308)),0)+IFERROR(--ISNUMBER(SEARCH("R138",G308)),0)+IFERROR(--ISNUMBER(SEARCH("R141",G308)),0))</f>
        <v/>
      </c>
      <c r="U308" s="58">
        <f>IF(A308="","",IFERROR(--ISNUMBER(SEARCH("R28",G308))*28,0)+IFERROR(--ISNUMBER(SEARCH("R29",G308))*29,0)+IFERROR(--ISNUMBER(SEARCH("R30",G308))*30,0)+IFERROR(--ISNUMBER(SEARCH("R31",G308))*31,0)+IFERROR(--ISNUMBER(SEARCH("R32",G308))*32,0)+IFERROR(--ISNUMBER(SEARCH("R33",G308))*33,0)+IFERROR(--ISNUMBER(SEARCH("R34",G308))*34,0)+IFERROR(--ISNUMBER(SEARCH("R35",G308))*35,0)+IFERROR(--ISNUMBER(SEARCH("R36",G308))*36,0)+IFERROR(--ISNUMBER(SEARCH("R37",G308))*37,0)+IFERROR(--ISNUMBER(SEARCH("R38",G308))*38,0)+IFERROR(--ISNUMBER(SEARCH("R39",G308))*39,0)+IFERROR(--ISNUMBER(SEARCH("R40",G308))*40,0)+IFERROR(--ISNUMBER(SEARCH("R41",G308))*41,0)+IFERROR(--ISNUMBER(SEARCH("R42",G308))*42,0)+IFERROR(--ISNUMBER(SEARCH("R43",G308))*43,0)+IFERROR(--ISNUMBER(SEARCH("R44",G308))*44,0)+IFERROR(--ISNUMBER(SEARCH("R45",G308))*45,0)+IFERROR(--ISNUMBER(SEARCH("R46",G308))*46,0)+IFERROR(--ISNUMBER(SEARCH("R47",G308))*47,0)+IFERROR(--ISNUMBER(SEARCH("R48",G308))*48,0)+IFERROR(--ISNUMBER(SEARCH("R49",G308))*49,0)+IFERROR(--ISNUMBER(SEARCH("R50",G308))*50,0)+IFERROR(--ISNUMBER(SEARCH("R51",G308))*51,0)+IFERROR(--ISNUMBER(SEARCH("R52",G308))*52,0)+IFERROR(--ISNUMBER(SEARCH("R53",G308))*53,0)+IFERROR(--ISNUMBER(SEARCH("R54",G308))*54,0)+IFERROR(--ISNUMBER(SEARCH("R55",G308))*55,0)+IFERROR(--ISNUMBER(SEARCH("R56",G308))*56,0)+IFERROR(--ISNUMBER(SEARCH("R57",G308))*57,0)+IFERROR(--ISNUMBER(SEARCH("R58",G308))*58,0)+IFERROR(--ISNUMBER(SEARCH("R59",G308))*59,0)+IFERROR(--ISNUMBER(SEARCH("R60",G308))*60,0)+IFERROR(--ISNUMBER(SEARCH("R61",G308))*61,0)+IFERROR(--ISNUMBER(SEARCH("R62",G308))*62,0)+IFERROR(--ISNUMBER(SEARCH("R63",G308))*63,0)+IFERROR(--ISNUMBER(SEARCH("R64",G308))*64,0)+IFERROR(--ISNUMBER(SEARCH("R65",G308))*65,0)+IFERROR(--ISNUMBER(SEARCH("R66",G308))*66,0)+IFERROR(--ISNUMBER(SEARCH("R67",G308))*67,0)+IFERROR(--ISNUMBER(SEARCH("R68",G308))*68,0)+IFERROR(--ISNUMBER(SEARCH("R69",G308))*69,0)+IFERROR(--ISNUMBER(SEARCH("R70",G308))*70,0)+IFERROR(--ISNUMBER(SEARCH("R71",G308))*71,0)+IFERROR(--ISNUMBER(SEARCH("R72",G308))*72,0)+IFERROR(--ISNUMBER(SEARCH("R73",G308))*73,0)+IFERROR(--ISNUMBER(SEARCH("R74",G308))*74,0)+IFERROR(--ISNUMBER(SEARCH("R75",G308))*75,0)+IFERROR(--ISNUMBER(SEARCH("R76",G308))*76,0)+IFERROR(--ISNUMBER(SEARCH("R77",G308))*77,0)+IFERROR(--ISNUMBER(SEARCH("R78",G308))*78,0)+IFERROR(--ISNUMBER(SEARCH("R79",G308))*79,0)+IFERROR(--ISNUMBER(SEARCH("R80",G308))*80,0)+IFERROR(--ISNUMBER(SEARCH("R81",G308))*81,0)+IFERROR(--ISNUMBER(SEARCH("R82",G308))*82,0)+IFERROR(--ISNUMBER(SEARCH("R83",G308))*83,0)+IFERROR(--ISNUMBER(SEARCH("R84",G308))*84,0)+IFERROR(--ISNUMBER(SEARCH("R85",G308))*85,0)+IFERROR(--ISNUMBER(SEARCH("R86",G308))*86,0)+IFERROR(--ISNUMBER(SEARCH("R87",G308))*87,0)+IFERROR(--ISNUMBER(SEARCH("R88",G308))*88,0)+IFERROR(--ISNUMBER(SEARCH("R89",G308))*89,0)+IFERROR(--ISNUMBER(SEARCH("R90",G308))*90,0)+IFERROR(--ISNUMBER(SEARCH("R91",G308))*91,0)+IFERROR(--ISNUMBER(SEARCH("R92",G308))*92,0)+IFERROR(--ISNUMBER(SEARCH("R93",G308))*93,0)+IFERROR(--ISNUMBER(SEARCH("R94",G308))*94,0)+IFERROR(--ISNUMBER(SEARCH("R95",G308))*95,0)+IFERROR(--ISNUMBER(SEARCH("R96",G308))*96,0)+IFERROR(--ISNUMBER(SEARCH("R97",G308))*97,0)+IFERROR(--ISNUMBER(SEARCH("R98",G308))*98,0)+IFERROR(--ISNUMBER(SEARCH("R99",G308))*99,0)+IFERROR(--ISNUMBER(SEARCH("R100",G308))*100,0)+IFERROR(--ISNUMBER(SEARCH("R101",G308))*101,0)+IFERROR(--ISNUMBER(SEARCH("R102",G308))*102,0)+IFERROR(--ISNUMBER(SEARCH("R103",G308))*103,0)+IFERROR(--ISNUMBER(SEARCH("R104",G308))*104,0)+IFERROR(--ISNUMBER(SEARCH("R105",G308))*105,0)+IFERROR(--ISNUMBER(SEARCH("R106",G308))*106,0)+IFERROR(--ISNUMBER(SEARCH("R107",G308))*107,0)+IFERROR(--ISNUMBER(SEARCH("R108",G308))*108,0)+IFERROR(--ISNUMBER(SEARCH("R109",G308))*109,0)+IFERROR(--ISNUMBER(SEARCH("R110",G308))*110,0)+IFERROR(--ISNUMBER(SEARCH("R111",G308))*111,0)+IFERROR(--ISNUMBER(SEARCH("R112",G308))*112,0)+IFERROR(--ISNUMBER(SEARCH("R113",G308))*113,0)+IFERROR(--ISNUMBER(SEARCH("R114",G308))*114,0)+IFERROR(--ISNUMBER(SEARCH("R115",G308))*115,0)+IFERROR(--ISNUMBER(SEARCH("R116",G308))*116,0)+IFERROR(--ISNUMBER(SEARCH("R117",G308))*117,0)+IFERROR(--ISNUMBER(SEARCH("R118",G308))*118,0)+IFERROR(--ISNUMBER(SEARCH("R119",G308))*119,0)+IFERROR(--ISNUMBER(SEARCH("R120",G308))*120,0)+IFERROR(--ISNUMBER(SEARCH("R121",G308))*121,0)+IFERROR(--ISNUMBER(SEARCH("R122",G308))*122,0)+IFERROR(--ISNUMBER(SEARCH("R123",G308))*123,0)+IFERROR(--ISNUMBER(SEARCH("R124",G308))*124,0)+IFERROR(--ISNUMBER(SEARCH("R125",G308))*125,0)+IFERROR(--ISNUMBER(SEARCH("R126",G308))*126,0)+IFERROR(--ISNUMBER(SEARCH("R127",G308))*127,0)+IFERROR(--ISNUMBER(SEARCH("R128",G308))*128,0)+IFERROR(--ISNUMBER(SEARCH("R129",G308))*129,0)+IFERROR(--ISNUMBER(SEARCH("R130",G308))*130,0)+IFERROR(--ISNUMBER(SEARCH("R131",G308))*131,0)+IFERROR(--ISNUMBER(SEARCH("R132",G308))*132,0)+IFERROR(--ISNUMBER(SEARCH("R133",G308))*133,0)+IFERROR(--ISNUMBER(SEARCH("R134",G308))*134,0)+IFERROR(--ISNUMBER(SEARCH("R135",G308))*135,0)+IFERROR(--ISNUMBER(SEARCH("R136",G308))*136,0)+IFERROR(--ISNUMBER(SEARCH("R137",G308))*137,0)+IFERROR(--ISNUMBER(SEARCH("R138",G308))*138,0)+IFERROR(--ISNUMBER(SEARCH("R139",G308))*139,0)+IFERROR(--ISNUMBER(SEARCH("R140",G308))*140,0)+IFERROR(--ISNUMBER(SEARCH("R141",G308))*141,0))</f>
        <v/>
      </c>
      <c r="V308" s="59">
        <f>IF(A308="","",IF(K308&lt;&gt;"",K308,J308))</f>
        <v/>
      </c>
      <c r="W308" s="59">
        <f>IF(A308="","",IF(AND(V308=29,O308&lt;&gt;"",COUNTIFS($V$6:$V$505,29,$F$6:$F$505,F308,$C$6:$C$505,C308,$O$6:$O$505,"&lt;&gt;")&gt;1),IF(COUNTIFS($V$6:V308,29,$F$6:F308,F308,$C$6:C308,C308,$O$6:O308,"&lt;&gt;")=1,"Esta es la fila que se debe CONSERVAR (aparición 1 de "&amp;COUNTIFS($V$6:$V$505,29,$F$6:$F$505,F308,$C$6:$C$505,C308,$O$6:$O$505,"&lt;&gt;")&amp;" con el mismo tercero y valor, casilla 29). Si hay más filas iguales, bórreles el valor a ELLAS, no a esta.","DUPLICADO — ya existe otra fila con el mismo tercero y valor para casilla 29 (aparición "&amp;COUNTIFS($V$6:V308,29,$F$6:F308,F308,$C$6:C308,C308,$O$6:O308,"&lt;&gt;")&amp;" de "&amp;COUNTIFS($V$6:$V$505,29,$F$6:$F$505,F308,$C$6:$C$505,C308,$O$6:$O$505,"&lt;&gt;")&amp;"). Para resolverlo: seleccione la celda O"&amp;ROW()&amp;" (columna Valor a declarar de ESTA fila) y presione Supr."),""))</f>
        <v/>
      </c>
      <c r="X308" s="463">
        <f>IF(A308="","",F308)</f>
        <v/>
      </c>
      <c r="Y308" s="463">
        <f>IF(A308="","",SUMIF(Entrada_Manual!$I$88:$I$187,A308,Entrada_Manual!$F$88:$F$187))</f>
        <v/>
      </c>
      <c r="Z308" s="463">
        <f>IF(A308="","",X308-Y308)</f>
        <v/>
      </c>
      <c r="AA308">
        <f>IF(A308="","",SUMPRODUCT((Entrada_Manual!$I$88:$I$187=A308)*1))</f>
        <v/>
      </c>
      <c r="AB308">
        <f>IF(A308="","",IF(S308&lt;=1,"",IF(AA308=0,"PENDIENTE — SIN ASIGNAR",IF(Z308=0,"RESUELTO","PARCIAL — DIFERENCIA "&amp;TEXT(Z308,"#,##0")))))</f>
        <v/>
      </c>
    </row>
    <row r="309" ht="14.25" customHeight="1" s="235">
      <c r="A309" s="47">
        <f>IF(Exogena_RAW!E318&lt;&gt;"",ROW()-5,"")</f>
        <v/>
      </c>
      <c r="B309" s="48">
        <f>IF(A309="","",318)</f>
        <v/>
      </c>
      <c r="C309" s="48">
        <f>IF(A309="","",IFERROR(Exogena_RAW!A318,""))</f>
        <v/>
      </c>
      <c r="D309" s="48">
        <f>IF(A309="","",IFERROR(Exogena_RAW!B318,""))</f>
        <v/>
      </c>
      <c r="E309" s="48">
        <f>IF(A309="","",Exogena_RAW!E318)</f>
        <v/>
      </c>
      <c r="F309" s="461">
        <f>IF(A309="","",Exogena_RAW!F318)</f>
        <v/>
      </c>
      <c r="G309" s="48">
        <f>IF(A309="","",IFERROR(Exogena_RAW!G318,""))</f>
        <v/>
      </c>
      <c r="H309" s="48">
        <f>IF(A309="","",IFERROR(Exogena_RAW!H318,""))</f>
        <v/>
      </c>
      <c r="I309" s="48">
        <f>IF(A309="","",IFERROR(IF(S309&gt;1,"VARIAS CASILLAS",IF(S309=1,IF(T309=1,"PROPUESTA DE CASILLA","REVISIÓN: CASILLA NO DIRECTA"),IF(OR(ISNUMBER(SEARCH("TOPE",UPPER(E309))),ISNUMBER(SEARCH("TOPE",UPPER(G309)))),"SOLO CONTROL",IF(ISNUMBER(SEARCH("RETEN",UPPER(E309))),"RETENCIÓN","REVISAR")))),"REVISAR"))</f>
        <v/>
      </c>
      <c r="J309" s="48">
        <f>IF(A309="","",IF(ISNUMBER(SEARCH("ingreso laboral promedio de los últimos seis meses",E309)),"",IFERROR(IF(AND(S309=1,T309=1),U309,""),"")))</f>
        <v/>
      </c>
      <c r="K309" s="216" t="n"/>
      <c r="L309" s="48">
        <f>IF(A309="","",IFERROR(IF(K309&lt;&gt;"","Casilla elegida por usuario",IF(S309&gt;1,"Varias casillas — elegir en K",IF(J309&lt;&gt;"","Sugerencia directa",IF(S309=1,"No trasladar directo — revisar",IF(OR(ISNUMBER(SEARCH("TOPE",UPPER(E309))),ISNUMBER(SEARCH("TOPE",UPPER(G309)))),"Solo control","Revisar manualmente"))))),"Revisar manualmente"))</f>
        <v/>
      </c>
      <c r="M309" s="461">
        <f>IF(A309="","",IF(IF(K309&lt;&gt;"",K309,J309)="",0,IF(COUNTIFS(Reglas!$I$5:$I$118,IF(K309&lt;&gt;"",K309,J309),Reglas!$J$5:$J$118,"Sí")=1,F309,0)))</f>
        <v/>
      </c>
      <c r="N309" s="56" t="n"/>
      <c r="O309" s="462">
        <f>IF(A309="","",IF(M309=0,"",M309))</f>
        <v/>
      </c>
      <c r="P309" s="461">
        <f>IF(A309="","",IF(O309="",0,IF(ISNUMBER(O309),O309,0)))</f>
        <v/>
      </c>
      <c r="Q309" s="48">
        <f>IF(A309="","",IF(Exogena_RAW!$C$4="","BLOQUEADO: FALTA AÑO",IF(Exogena_RAW!$K$10&lt;&gt;Reglas!$B$5,"BLOQUEADO: AÑO",IF(IF(K309&lt;&gt;"",K309,J309)="",IF(S309&gt;1,"REQUIERE ASIGNACIÓN MANUAL (VARIAS CASILLAS)","INFORMATIVO (sin casilla — no se declara)"),IF(COUNTIFS(Reglas!$I$5:$I$118,IF(K309&lt;&gt;"",K309,J309),Reglas!$J$5:$J$118,"Sí")=0,"BLOQUEADO: CASILLA NO DIRECTA",IF(O309="","EXCLUIDO (valor borrado por el usuario)",IF(_xlfn.ISFORMULA(O309),IF(W309&lt;&gt;"","BORRADOR — VALOR SUGERIDO DIAN ⚠ VER ALERTA","BORRADOR — VALOR SUGERIDO DIAN"),IF(W309&lt;&gt;"","ACEPTADO ⚠ VER ALERTA","ACEPTADO"))))))))</f>
        <v/>
      </c>
      <c r="R309" s="218" t="n"/>
      <c r="S309" s="58">
        <f>IF(A309="","",IFERROR(--ISNUMBER(SEARCH("R28",G309)),0)+IFERROR(--ISNUMBER(SEARCH("R29",G309)),0)+IFERROR(--ISNUMBER(SEARCH("R30",G309)),0)+IFERROR(--ISNUMBER(SEARCH("R31",G309)),0)+IFERROR(--ISNUMBER(SEARCH("R32",G309)),0)+IFERROR(--ISNUMBER(SEARCH("R33",G309)),0)+IFERROR(--ISNUMBER(SEARCH("R34",G309)),0)+IFERROR(--ISNUMBER(SEARCH("R35",G309)),0)+IFERROR(--ISNUMBER(SEARCH("R36",G309)),0)+IFERROR(--ISNUMBER(SEARCH("R37",G309)),0)+IFERROR(--ISNUMBER(SEARCH("R38",G309)),0)+IFERROR(--ISNUMBER(SEARCH("R39",G309)),0)+IFERROR(--ISNUMBER(SEARCH("R40",G309)),0)+IFERROR(--ISNUMBER(SEARCH("R41",G309)),0)+IFERROR(--ISNUMBER(SEARCH("R42",G309)),0)+IFERROR(--ISNUMBER(SEARCH("R43",G309)),0)+IFERROR(--ISNUMBER(SEARCH("R44",G309)),0)+IFERROR(--ISNUMBER(SEARCH("R45",G309)),0)+IFERROR(--ISNUMBER(SEARCH("R46",G309)),0)+IFERROR(--ISNUMBER(SEARCH("R47",G309)),0)+IFERROR(--ISNUMBER(SEARCH("R48",G309)),0)+IFERROR(--ISNUMBER(SEARCH("R49",G309)),0)+IFERROR(--ISNUMBER(SEARCH("R50",G309)),0)+IFERROR(--ISNUMBER(SEARCH("R51",G309)),0)+IFERROR(--ISNUMBER(SEARCH("R52",G309)),0)+IFERROR(--ISNUMBER(SEARCH("R53",G309)),0)+IFERROR(--ISNUMBER(SEARCH("R54",G309)),0)+IFERROR(--ISNUMBER(SEARCH("R55",G309)),0)+IFERROR(--ISNUMBER(SEARCH("R56",G309)),0)+IFERROR(--ISNUMBER(SEARCH("R57",G309)),0)+IFERROR(--ISNUMBER(SEARCH("R58",G309)),0)+IFERROR(--ISNUMBER(SEARCH("R59",G309)),0)+IFERROR(--ISNUMBER(SEARCH("R60",G309)),0)+IFERROR(--ISNUMBER(SEARCH("R61",G309)),0)+IFERROR(--ISNUMBER(SEARCH("R62",G309)),0)+IFERROR(--ISNUMBER(SEARCH("R63",G309)),0)+IFERROR(--ISNUMBER(SEARCH("R64",G309)),0)+IFERROR(--ISNUMBER(SEARCH("R65",G309)),0)+IFERROR(--ISNUMBER(SEARCH("R66",G309)),0)+IFERROR(--ISNUMBER(SEARCH("R67",G309)),0)+IFERROR(--ISNUMBER(SEARCH("R68",G309)),0)+IFERROR(--ISNUMBER(SEARCH("R69",G309)),0)+IFERROR(--ISNUMBER(SEARCH("R70",G309)),0)+IFERROR(--ISNUMBER(SEARCH("R71",G309)),0)+IFERROR(--ISNUMBER(SEARCH("R72",G309)),0)+IFERROR(--ISNUMBER(SEARCH("R73",G309)),0)+IFERROR(--ISNUMBER(SEARCH("R74",G309)),0)+IFERROR(--ISNUMBER(SEARCH("R75",G309)),0)+IFERROR(--ISNUMBER(SEARCH("R76",G309)),0)+IFERROR(--ISNUMBER(SEARCH("R77",G309)),0)+IFERROR(--ISNUMBER(SEARCH("R78",G309)),0)+IFERROR(--ISNUMBER(SEARCH("R79",G309)),0)+IFERROR(--ISNUMBER(SEARCH("R80",G309)),0)+IFERROR(--ISNUMBER(SEARCH("R81",G309)),0)+IFERROR(--ISNUMBER(SEARCH("R82",G309)),0)+IFERROR(--ISNUMBER(SEARCH("R83",G309)),0)+IFERROR(--ISNUMBER(SEARCH("R84",G309)),0)+IFERROR(--ISNUMBER(SEARCH("R85",G309)),0)+IFERROR(--ISNUMBER(SEARCH("R86",G309)),0)+IFERROR(--ISNUMBER(SEARCH("R87",G309)),0)+IFERROR(--ISNUMBER(SEARCH("R88",G309)),0)+IFERROR(--ISNUMBER(SEARCH("R89",G309)),0)+IFERROR(--ISNUMBER(SEARCH("R90",G309)),0)+IFERROR(--ISNUMBER(SEARCH("R91",G309)),0)+IFERROR(--ISNUMBER(SEARCH("R92",G309)),0)+IFERROR(--ISNUMBER(SEARCH("R93",G309)),0)+IFERROR(--ISNUMBER(SEARCH("R94",G309)),0)+IFERROR(--ISNUMBER(SEARCH("R95",G309)),0)+IFERROR(--ISNUMBER(SEARCH("R96",G309)),0)+IFERROR(--ISNUMBER(SEARCH("R97",G309)),0)+IFERROR(--ISNUMBER(SEARCH("R98",G309)),0)+IFERROR(--ISNUMBER(SEARCH("R99",G309)),0)+IFERROR(--ISNUMBER(SEARCH("R100",G309)),0)+IFERROR(--ISNUMBER(SEARCH("R101",G309)),0)+IFERROR(--ISNUMBER(SEARCH("R102",G309)),0)+IFERROR(--ISNUMBER(SEARCH("R103",G309)),0)+IFERROR(--ISNUMBER(SEARCH("R104",G309)),0)+IFERROR(--ISNUMBER(SEARCH("R105",G309)),0)+IFERROR(--ISNUMBER(SEARCH("R106",G309)),0)+IFERROR(--ISNUMBER(SEARCH("R107",G309)),0)+IFERROR(--ISNUMBER(SEARCH("R108",G309)),0)+IFERROR(--ISNUMBER(SEARCH("R109",G309)),0)+IFERROR(--ISNUMBER(SEARCH("R110",G309)),0)+IFERROR(--ISNUMBER(SEARCH("R111",G309)),0)+IFERROR(--ISNUMBER(SEARCH("R112",G309)),0)+IFERROR(--ISNUMBER(SEARCH("R113",G309)),0)+IFERROR(--ISNUMBER(SEARCH("R114",G309)),0)+IFERROR(--ISNUMBER(SEARCH("R115",G309)),0)+IFERROR(--ISNUMBER(SEARCH("R116",G309)),0)+IFERROR(--ISNUMBER(SEARCH("R117",G309)),0)+IFERROR(--ISNUMBER(SEARCH("R118",G309)),0)+IFERROR(--ISNUMBER(SEARCH("R119",G309)),0)+IFERROR(--ISNUMBER(SEARCH("R120",G309)),0)+IFERROR(--ISNUMBER(SEARCH("R121",G309)),0)+IFERROR(--ISNUMBER(SEARCH("R122",G309)),0)+IFERROR(--ISNUMBER(SEARCH("R123",G309)),0)+IFERROR(--ISNUMBER(SEARCH("R124",G309)),0)+IFERROR(--ISNUMBER(SEARCH("R125",G309)),0)+IFERROR(--ISNUMBER(SEARCH("R126",G309)),0)+IFERROR(--ISNUMBER(SEARCH("R127",G309)),0)+IFERROR(--ISNUMBER(SEARCH("R128",G309)),0)+IFERROR(--ISNUMBER(SEARCH("R129",G309)),0)+IFERROR(--ISNUMBER(SEARCH("R130",G309)),0)+IFERROR(--ISNUMBER(SEARCH("R131",G309)),0)+IFERROR(--ISNUMBER(SEARCH("R132",G309)),0)+IFERROR(--ISNUMBER(SEARCH("R133",G309)),0)+IFERROR(--ISNUMBER(SEARCH("R134",G309)),0)+IFERROR(--ISNUMBER(SEARCH("R135",G309)),0)+IFERROR(--ISNUMBER(SEARCH("R136",G309)),0)+IFERROR(--ISNUMBER(SEARCH("R137",G309)),0)+IFERROR(--ISNUMBER(SEARCH("R138",G309)),0)+IFERROR(--ISNUMBER(SEARCH("R139",G309)),0)+IFERROR(--ISNUMBER(SEARCH("R140",G309)),0)+IFERROR(--ISNUMBER(SEARCH("R141",G309)),0))</f>
        <v/>
      </c>
      <c r="T309" s="58">
        <f>IF(A309="","",IFERROR(--ISNUMBER(SEARCH("R28",G309)),0)+IFERROR(--ISNUMBER(SEARCH("R29",G309)),0)+IFERROR(--ISNUMBER(SEARCH("R30",G309)),0)+IFERROR(--ISNUMBER(SEARCH("R32",G309)),0)+IFERROR(--ISNUMBER(SEARCH("R33",G309)),0)+IFERROR(--ISNUMBER(SEARCH("R35",G309)),0)+IFERROR(--ISNUMBER(SEARCH("R36",G309)),0)+IFERROR(--ISNUMBER(SEARCH("R38",G309)),0)+IFERROR(--ISNUMBER(SEARCH("R39",G309)),0)+IFERROR(--ISNUMBER(SEARCH("R43",G309)),0)+IFERROR(--ISNUMBER(SEARCH("R44",G309)),0)+IFERROR(--ISNUMBER(SEARCH("R45",G309)),0)+IFERROR(--ISNUMBER(SEARCH("R47",G309)),0)+IFERROR(--ISNUMBER(SEARCH("R48",G309)),0)+IFERROR(--ISNUMBER(SEARCH("R50",G309)),0)+IFERROR(--ISNUMBER(SEARCH("R51",G309)),0)+IFERROR(--ISNUMBER(SEARCH("R56",G309)),0)+IFERROR(--ISNUMBER(SEARCH("R58",G309)),0)+IFERROR(--ISNUMBER(SEARCH("R59",G309)),0)+IFERROR(--ISNUMBER(SEARCH("R60",G309)),0)+IFERROR(--ISNUMBER(SEARCH("R62",G309)),0)+IFERROR(--ISNUMBER(SEARCH("R63",G309)),0)+IFERROR(--ISNUMBER(SEARCH("R64",G309)),0)+IFERROR(--ISNUMBER(SEARCH("R66",G309)),0)+IFERROR(--ISNUMBER(SEARCH("R67",G309)),0)+IFERROR(--ISNUMBER(SEARCH("R72",G309)),0)+IFERROR(--ISNUMBER(SEARCH("R74",G309)),0)+IFERROR(--ISNUMBER(SEARCH("R75",G309)),0)+IFERROR(--ISNUMBER(SEARCH("R76",G309)),0)+IFERROR(--ISNUMBER(SEARCH("R77",G309)),0)+IFERROR(--ISNUMBER(SEARCH("R79",G309)),0)+IFERROR(--ISNUMBER(SEARCH("R80",G309)),0)+IFERROR(--ISNUMBER(SEARCH("R81",G309)),0)+IFERROR(--ISNUMBER(SEARCH("R83",G309)),0)+IFERROR(--ISNUMBER(SEARCH("R84",G309)),0)+IFERROR(--ISNUMBER(SEARCH("R89",G309)),0)+IFERROR(--ISNUMBER(SEARCH("R94",G309)),0)+IFERROR(--ISNUMBER(SEARCH("R95",G309)),0)+IFERROR(--ISNUMBER(SEARCH("R96",G309)),0)+IFERROR(--ISNUMBER(SEARCH("R98",G309)),0)+IFERROR(--ISNUMBER(SEARCH("R99",G309)),0)+IFERROR(--ISNUMBER(SEARCH("R100",G309)),0)+IFERROR(--ISNUMBER(SEARCH("R104",G309)),0)+IFERROR(--ISNUMBER(SEARCH("R105",G309)),0)+IFERROR(--ISNUMBER(SEARCH("R107",G309)),0)+IFERROR(--ISNUMBER(SEARCH("R108",G309)),0)+IFERROR(--ISNUMBER(SEARCH("R109",G309)),0)+IFERROR(--ISNUMBER(SEARCH("R110",G309)),0)+IFERROR(--ISNUMBER(SEARCH("R112",G309)),0)+IFERROR(--ISNUMBER(SEARCH("R113",G309)),0)+IFERROR(--ISNUMBER(SEARCH("R114",G309)),0)+IFERROR(--ISNUMBER(SEARCH("R118",G309)),0)+IFERROR(--ISNUMBER(SEARCH("R119",G309)),0)+IFERROR(--ISNUMBER(SEARCH("R120",G309)),0)+IFERROR(--ISNUMBER(SEARCH("R122",G309)),0)+IFERROR(--ISNUMBER(SEARCH("R123",G309)),0)+IFERROR(--ISNUMBER(SEARCH("R124",G309)),0)+IFERROR(--ISNUMBER(SEARCH("R128",G309)),0)+IFERROR(--ISNUMBER(SEARCH("R130",G309)),0)+IFERROR(--ISNUMBER(SEARCH("R131",G309)),0)+IFERROR(--ISNUMBER(SEARCH("R132",G309)),0)+IFERROR(--ISNUMBER(SEARCH("R135",G309)),0)+IFERROR(--ISNUMBER(SEARCH("R138",G309)),0)+IFERROR(--ISNUMBER(SEARCH("R141",G309)),0))</f>
        <v/>
      </c>
      <c r="U309" s="58">
        <f>IF(A309="","",IFERROR(--ISNUMBER(SEARCH("R28",G309))*28,0)+IFERROR(--ISNUMBER(SEARCH("R29",G309))*29,0)+IFERROR(--ISNUMBER(SEARCH("R30",G309))*30,0)+IFERROR(--ISNUMBER(SEARCH("R31",G309))*31,0)+IFERROR(--ISNUMBER(SEARCH("R32",G309))*32,0)+IFERROR(--ISNUMBER(SEARCH("R33",G309))*33,0)+IFERROR(--ISNUMBER(SEARCH("R34",G309))*34,0)+IFERROR(--ISNUMBER(SEARCH("R35",G309))*35,0)+IFERROR(--ISNUMBER(SEARCH("R36",G309))*36,0)+IFERROR(--ISNUMBER(SEARCH("R37",G309))*37,0)+IFERROR(--ISNUMBER(SEARCH("R38",G309))*38,0)+IFERROR(--ISNUMBER(SEARCH("R39",G309))*39,0)+IFERROR(--ISNUMBER(SEARCH("R40",G309))*40,0)+IFERROR(--ISNUMBER(SEARCH("R41",G309))*41,0)+IFERROR(--ISNUMBER(SEARCH("R42",G309))*42,0)+IFERROR(--ISNUMBER(SEARCH("R43",G309))*43,0)+IFERROR(--ISNUMBER(SEARCH("R44",G309))*44,0)+IFERROR(--ISNUMBER(SEARCH("R45",G309))*45,0)+IFERROR(--ISNUMBER(SEARCH("R46",G309))*46,0)+IFERROR(--ISNUMBER(SEARCH("R47",G309))*47,0)+IFERROR(--ISNUMBER(SEARCH("R48",G309))*48,0)+IFERROR(--ISNUMBER(SEARCH("R49",G309))*49,0)+IFERROR(--ISNUMBER(SEARCH("R50",G309))*50,0)+IFERROR(--ISNUMBER(SEARCH("R51",G309))*51,0)+IFERROR(--ISNUMBER(SEARCH("R52",G309))*52,0)+IFERROR(--ISNUMBER(SEARCH("R53",G309))*53,0)+IFERROR(--ISNUMBER(SEARCH("R54",G309))*54,0)+IFERROR(--ISNUMBER(SEARCH("R55",G309))*55,0)+IFERROR(--ISNUMBER(SEARCH("R56",G309))*56,0)+IFERROR(--ISNUMBER(SEARCH("R57",G309))*57,0)+IFERROR(--ISNUMBER(SEARCH("R58",G309))*58,0)+IFERROR(--ISNUMBER(SEARCH("R59",G309))*59,0)+IFERROR(--ISNUMBER(SEARCH("R60",G309))*60,0)+IFERROR(--ISNUMBER(SEARCH("R61",G309))*61,0)+IFERROR(--ISNUMBER(SEARCH("R62",G309))*62,0)+IFERROR(--ISNUMBER(SEARCH("R63",G309))*63,0)+IFERROR(--ISNUMBER(SEARCH("R64",G309))*64,0)+IFERROR(--ISNUMBER(SEARCH("R65",G309))*65,0)+IFERROR(--ISNUMBER(SEARCH("R66",G309))*66,0)+IFERROR(--ISNUMBER(SEARCH("R67",G309))*67,0)+IFERROR(--ISNUMBER(SEARCH("R68",G309))*68,0)+IFERROR(--ISNUMBER(SEARCH("R69",G309))*69,0)+IFERROR(--ISNUMBER(SEARCH("R70",G309))*70,0)+IFERROR(--ISNUMBER(SEARCH("R71",G309))*71,0)+IFERROR(--ISNUMBER(SEARCH("R72",G309))*72,0)+IFERROR(--ISNUMBER(SEARCH("R73",G309))*73,0)+IFERROR(--ISNUMBER(SEARCH("R74",G309))*74,0)+IFERROR(--ISNUMBER(SEARCH("R75",G309))*75,0)+IFERROR(--ISNUMBER(SEARCH("R76",G309))*76,0)+IFERROR(--ISNUMBER(SEARCH("R77",G309))*77,0)+IFERROR(--ISNUMBER(SEARCH("R78",G309))*78,0)+IFERROR(--ISNUMBER(SEARCH("R79",G309))*79,0)+IFERROR(--ISNUMBER(SEARCH("R80",G309))*80,0)+IFERROR(--ISNUMBER(SEARCH("R81",G309))*81,0)+IFERROR(--ISNUMBER(SEARCH("R82",G309))*82,0)+IFERROR(--ISNUMBER(SEARCH("R83",G309))*83,0)+IFERROR(--ISNUMBER(SEARCH("R84",G309))*84,0)+IFERROR(--ISNUMBER(SEARCH("R85",G309))*85,0)+IFERROR(--ISNUMBER(SEARCH("R86",G309))*86,0)+IFERROR(--ISNUMBER(SEARCH("R87",G309))*87,0)+IFERROR(--ISNUMBER(SEARCH("R88",G309))*88,0)+IFERROR(--ISNUMBER(SEARCH("R89",G309))*89,0)+IFERROR(--ISNUMBER(SEARCH("R90",G309))*90,0)+IFERROR(--ISNUMBER(SEARCH("R91",G309))*91,0)+IFERROR(--ISNUMBER(SEARCH("R92",G309))*92,0)+IFERROR(--ISNUMBER(SEARCH("R93",G309))*93,0)+IFERROR(--ISNUMBER(SEARCH("R94",G309))*94,0)+IFERROR(--ISNUMBER(SEARCH("R95",G309))*95,0)+IFERROR(--ISNUMBER(SEARCH("R96",G309))*96,0)+IFERROR(--ISNUMBER(SEARCH("R97",G309))*97,0)+IFERROR(--ISNUMBER(SEARCH("R98",G309))*98,0)+IFERROR(--ISNUMBER(SEARCH("R99",G309))*99,0)+IFERROR(--ISNUMBER(SEARCH("R100",G309))*100,0)+IFERROR(--ISNUMBER(SEARCH("R101",G309))*101,0)+IFERROR(--ISNUMBER(SEARCH("R102",G309))*102,0)+IFERROR(--ISNUMBER(SEARCH("R103",G309))*103,0)+IFERROR(--ISNUMBER(SEARCH("R104",G309))*104,0)+IFERROR(--ISNUMBER(SEARCH("R105",G309))*105,0)+IFERROR(--ISNUMBER(SEARCH("R106",G309))*106,0)+IFERROR(--ISNUMBER(SEARCH("R107",G309))*107,0)+IFERROR(--ISNUMBER(SEARCH("R108",G309))*108,0)+IFERROR(--ISNUMBER(SEARCH("R109",G309))*109,0)+IFERROR(--ISNUMBER(SEARCH("R110",G309))*110,0)+IFERROR(--ISNUMBER(SEARCH("R111",G309))*111,0)+IFERROR(--ISNUMBER(SEARCH("R112",G309))*112,0)+IFERROR(--ISNUMBER(SEARCH("R113",G309))*113,0)+IFERROR(--ISNUMBER(SEARCH("R114",G309))*114,0)+IFERROR(--ISNUMBER(SEARCH("R115",G309))*115,0)+IFERROR(--ISNUMBER(SEARCH("R116",G309))*116,0)+IFERROR(--ISNUMBER(SEARCH("R117",G309))*117,0)+IFERROR(--ISNUMBER(SEARCH("R118",G309))*118,0)+IFERROR(--ISNUMBER(SEARCH("R119",G309))*119,0)+IFERROR(--ISNUMBER(SEARCH("R120",G309))*120,0)+IFERROR(--ISNUMBER(SEARCH("R121",G309))*121,0)+IFERROR(--ISNUMBER(SEARCH("R122",G309))*122,0)+IFERROR(--ISNUMBER(SEARCH("R123",G309))*123,0)+IFERROR(--ISNUMBER(SEARCH("R124",G309))*124,0)+IFERROR(--ISNUMBER(SEARCH("R125",G309))*125,0)+IFERROR(--ISNUMBER(SEARCH("R126",G309))*126,0)+IFERROR(--ISNUMBER(SEARCH("R127",G309))*127,0)+IFERROR(--ISNUMBER(SEARCH("R128",G309))*128,0)+IFERROR(--ISNUMBER(SEARCH("R129",G309))*129,0)+IFERROR(--ISNUMBER(SEARCH("R130",G309))*130,0)+IFERROR(--ISNUMBER(SEARCH("R131",G309))*131,0)+IFERROR(--ISNUMBER(SEARCH("R132",G309))*132,0)+IFERROR(--ISNUMBER(SEARCH("R133",G309))*133,0)+IFERROR(--ISNUMBER(SEARCH("R134",G309))*134,0)+IFERROR(--ISNUMBER(SEARCH("R135",G309))*135,0)+IFERROR(--ISNUMBER(SEARCH("R136",G309))*136,0)+IFERROR(--ISNUMBER(SEARCH("R137",G309))*137,0)+IFERROR(--ISNUMBER(SEARCH("R138",G309))*138,0)+IFERROR(--ISNUMBER(SEARCH("R139",G309))*139,0)+IFERROR(--ISNUMBER(SEARCH("R140",G309))*140,0)+IFERROR(--ISNUMBER(SEARCH("R141",G309))*141,0))</f>
        <v/>
      </c>
      <c r="V309" s="59">
        <f>IF(A309="","",IF(K309&lt;&gt;"",K309,J309))</f>
        <v/>
      </c>
      <c r="W309" s="59">
        <f>IF(A309="","",IF(AND(V309=29,O309&lt;&gt;"",COUNTIFS($V$6:$V$505,29,$F$6:$F$505,F309,$C$6:$C$505,C309,$O$6:$O$505,"&lt;&gt;")&gt;1),IF(COUNTIFS($V$6:V309,29,$F$6:F309,F309,$C$6:C309,C309,$O$6:O309,"&lt;&gt;")=1,"Esta es la fila que se debe CONSERVAR (aparición 1 de "&amp;COUNTIFS($V$6:$V$505,29,$F$6:$F$505,F309,$C$6:$C$505,C309,$O$6:$O$505,"&lt;&gt;")&amp;" con el mismo tercero y valor, casilla 29). Si hay más filas iguales, bórreles el valor a ELLAS, no a esta.","DUPLICADO — ya existe otra fila con el mismo tercero y valor para casilla 29 (aparición "&amp;COUNTIFS($V$6:V309,29,$F$6:F309,F309,$C$6:C309,C309,$O$6:O309,"&lt;&gt;")&amp;" de "&amp;COUNTIFS($V$6:$V$505,29,$F$6:$F$505,F309,$C$6:$C$505,C309,$O$6:$O$505,"&lt;&gt;")&amp;"). Para resolverlo: seleccione la celda O"&amp;ROW()&amp;" (columna Valor a declarar de ESTA fila) y presione Supr."),""))</f>
        <v/>
      </c>
      <c r="X309" s="463">
        <f>IF(A309="","",F309)</f>
        <v/>
      </c>
      <c r="Y309" s="463">
        <f>IF(A309="","",SUMIF(Entrada_Manual!$I$88:$I$187,A309,Entrada_Manual!$F$88:$F$187))</f>
        <v/>
      </c>
      <c r="Z309" s="463">
        <f>IF(A309="","",X309-Y309)</f>
        <v/>
      </c>
      <c r="AA309">
        <f>IF(A309="","",SUMPRODUCT((Entrada_Manual!$I$88:$I$187=A309)*1))</f>
        <v/>
      </c>
      <c r="AB309">
        <f>IF(A309="","",IF(S309&lt;=1,"",IF(AA309=0,"PENDIENTE — SIN ASIGNAR",IF(Z309=0,"RESUELTO","PARCIAL — DIFERENCIA "&amp;TEXT(Z309,"#,##0")))))</f>
        <v/>
      </c>
    </row>
    <row r="310" ht="14.25" customHeight="1" s="235">
      <c r="A310" s="47">
        <f>IF(Exogena_RAW!E319&lt;&gt;"",ROW()-5,"")</f>
        <v/>
      </c>
      <c r="B310" s="48">
        <f>IF(A310="","",319)</f>
        <v/>
      </c>
      <c r="C310" s="48">
        <f>IF(A310="","",IFERROR(Exogena_RAW!A319,""))</f>
        <v/>
      </c>
      <c r="D310" s="48">
        <f>IF(A310="","",IFERROR(Exogena_RAW!B319,""))</f>
        <v/>
      </c>
      <c r="E310" s="48">
        <f>IF(A310="","",Exogena_RAW!E319)</f>
        <v/>
      </c>
      <c r="F310" s="461">
        <f>IF(A310="","",Exogena_RAW!F319)</f>
        <v/>
      </c>
      <c r="G310" s="48">
        <f>IF(A310="","",IFERROR(Exogena_RAW!G319,""))</f>
        <v/>
      </c>
      <c r="H310" s="48">
        <f>IF(A310="","",IFERROR(Exogena_RAW!H319,""))</f>
        <v/>
      </c>
      <c r="I310" s="48">
        <f>IF(A310="","",IFERROR(IF(S310&gt;1,"VARIAS CASILLAS",IF(S310=1,IF(T310=1,"PROPUESTA DE CASILLA","REVISIÓN: CASILLA NO DIRECTA"),IF(OR(ISNUMBER(SEARCH("TOPE",UPPER(E310))),ISNUMBER(SEARCH("TOPE",UPPER(G310)))),"SOLO CONTROL",IF(ISNUMBER(SEARCH("RETEN",UPPER(E310))),"RETENCIÓN","REVISAR")))),"REVISAR"))</f>
        <v/>
      </c>
      <c r="J310" s="48">
        <f>IF(A310="","",IF(ISNUMBER(SEARCH("ingreso laboral promedio de los últimos seis meses",E310)),"",IFERROR(IF(AND(S310=1,T310=1),U310,""),"")))</f>
        <v/>
      </c>
      <c r="K310" s="216" t="n"/>
      <c r="L310" s="48">
        <f>IF(A310="","",IFERROR(IF(K310&lt;&gt;"","Casilla elegida por usuario",IF(S310&gt;1,"Varias casillas — elegir en K",IF(J310&lt;&gt;"","Sugerencia directa",IF(S310=1,"No trasladar directo — revisar",IF(OR(ISNUMBER(SEARCH("TOPE",UPPER(E310))),ISNUMBER(SEARCH("TOPE",UPPER(G310)))),"Solo control","Revisar manualmente"))))),"Revisar manualmente"))</f>
        <v/>
      </c>
      <c r="M310" s="461">
        <f>IF(A310="","",IF(IF(K310&lt;&gt;"",K310,J310)="",0,IF(COUNTIFS(Reglas!$I$5:$I$118,IF(K310&lt;&gt;"",K310,J310),Reglas!$J$5:$J$118,"Sí")=1,F310,0)))</f>
        <v/>
      </c>
      <c r="N310" s="56" t="n"/>
      <c r="O310" s="462">
        <f>IF(A310="","",IF(M310=0,"",M310))</f>
        <v/>
      </c>
      <c r="P310" s="461">
        <f>IF(A310="","",IF(O310="",0,IF(ISNUMBER(O310),O310,0)))</f>
        <v/>
      </c>
      <c r="Q310" s="48">
        <f>IF(A310="","",IF(Exogena_RAW!$C$4="","BLOQUEADO: FALTA AÑO",IF(Exogena_RAW!$K$10&lt;&gt;Reglas!$B$5,"BLOQUEADO: AÑO",IF(IF(K310&lt;&gt;"",K310,J310)="",IF(S310&gt;1,"REQUIERE ASIGNACIÓN MANUAL (VARIAS CASILLAS)","INFORMATIVO (sin casilla — no se declara)"),IF(COUNTIFS(Reglas!$I$5:$I$118,IF(K310&lt;&gt;"",K310,J310),Reglas!$J$5:$J$118,"Sí")=0,"BLOQUEADO: CASILLA NO DIRECTA",IF(O310="","EXCLUIDO (valor borrado por el usuario)",IF(_xlfn.ISFORMULA(O310),IF(W310&lt;&gt;"","BORRADOR — VALOR SUGERIDO DIAN ⚠ VER ALERTA","BORRADOR — VALOR SUGERIDO DIAN"),IF(W310&lt;&gt;"","ACEPTADO ⚠ VER ALERTA","ACEPTADO"))))))))</f>
        <v/>
      </c>
      <c r="R310" s="218" t="n"/>
      <c r="S310" s="58">
        <f>IF(A310="","",IFERROR(--ISNUMBER(SEARCH("R28",G310)),0)+IFERROR(--ISNUMBER(SEARCH("R29",G310)),0)+IFERROR(--ISNUMBER(SEARCH("R30",G310)),0)+IFERROR(--ISNUMBER(SEARCH("R31",G310)),0)+IFERROR(--ISNUMBER(SEARCH("R32",G310)),0)+IFERROR(--ISNUMBER(SEARCH("R33",G310)),0)+IFERROR(--ISNUMBER(SEARCH("R34",G310)),0)+IFERROR(--ISNUMBER(SEARCH("R35",G310)),0)+IFERROR(--ISNUMBER(SEARCH("R36",G310)),0)+IFERROR(--ISNUMBER(SEARCH("R37",G310)),0)+IFERROR(--ISNUMBER(SEARCH("R38",G310)),0)+IFERROR(--ISNUMBER(SEARCH("R39",G310)),0)+IFERROR(--ISNUMBER(SEARCH("R40",G310)),0)+IFERROR(--ISNUMBER(SEARCH("R41",G310)),0)+IFERROR(--ISNUMBER(SEARCH("R42",G310)),0)+IFERROR(--ISNUMBER(SEARCH("R43",G310)),0)+IFERROR(--ISNUMBER(SEARCH("R44",G310)),0)+IFERROR(--ISNUMBER(SEARCH("R45",G310)),0)+IFERROR(--ISNUMBER(SEARCH("R46",G310)),0)+IFERROR(--ISNUMBER(SEARCH("R47",G310)),0)+IFERROR(--ISNUMBER(SEARCH("R48",G310)),0)+IFERROR(--ISNUMBER(SEARCH("R49",G310)),0)+IFERROR(--ISNUMBER(SEARCH("R50",G310)),0)+IFERROR(--ISNUMBER(SEARCH("R51",G310)),0)+IFERROR(--ISNUMBER(SEARCH("R52",G310)),0)+IFERROR(--ISNUMBER(SEARCH("R53",G310)),0)+IFERROR(--ISNUMBER(SEARCH("R54",G310)),0)+IFERROR(--ISNUMBER(SEARCH("R55",G310)),0)+IFERROR(--ISNUMBER(SEARCH("R56",G310)),0)+IFERROR(--ISNUMBER(SEARCH("R57",G310)),0)+IFERROR(--ISNUMBER(SEARCH("R58",G310)),0)+IFERROR(--ISNUMBER(SEARCH("R59",G310)),0)+IFERROR(--ISNUMBER(SEARCH("R60",G310)),0)+IFERROR(--ISNUMBER(SEARCH("R61",G310)),0)+IFERROR(--ISNUMBER(SEARCH("R62",G310)),0)+IFERROR(--ISNUMBER(SEARCH("R63",G310)),0)+IFERROR(--ISNUMBER(SEARCH("R64",G310)),0)+IFERROR(--ISNUMBER(SEARCH("R65",G310)),0)+IFERROR(--ISNUMBER(SEARCH("R66",G310)),0)+IFERROR(--ISNUMBER(SEARCH("R67",G310)),0)+IFERROR(--ISNUMBER(SEARCH("R68",G310)),0)+IFERROR(--ISNUMBER(SEARCH("R69",G310)),0)+IFERROR(--ISNUMBER(SEARCH("R70",G310)),0)+IFERROR(--ISNUMBER(SEARCH("R71",G310)),0)+IFERROR(--ISNUMBER(SEARCH("R72",G310)),0)+IFERROR(--ISNUMBER(SEARCH("R73",G310)),0)+IFERROR(--ISNUMBER(SEARCH("R74",G310)),0)+IFERROR(--ISNUMBER(SEARCH("R75",G310)),0)+IFERROR(--ISNUMBER(SEARCH("R76",G310)),0)+IFERROR(--ISNUMBER(SEARCH("R77",G310)),0)+IFERROR(--ISNUMBER(SEARCH("R78",G310)),0)+IFERROR(--ISNUMBER(SEARCH("R79",G310)),0)+IFERROR(--ISNUMBER(SEARCH("R80",G310)),0)+IFERROR(--ISNUMBER(SEARCH("R81",G310)),0)+IFERROR(--ISNUMBER(SEARCH("R82",G310)),0)+IFERROR(--ISNUMBER(SEARCH("R83",G310)),0)+IFERROR(--ISNUMBER(SEARCH("R84",G310)),0)+IFERROR(--ISNUMBER(SEARCH("R85",G310)),0)+IFERROR(--ISNUMBER(SEARCH("R86",G310)),0)+IFERROR(--ISNUMBER(SEARCH("R87",G310)),0)+IFERROR(--ISNUMBER(SEARCH("R88",G310)),0)+IFERROR(--ISNUMBER(SEARCH("R89",G310)),0)+IFERROR(--ISNUMBER(SEARCH("R90",G310)),0)+IFERROR(--ISNUMBER(SEARCH("R91",G310)),0)+IFERROR(--ISNUMBER(SEARCH("R92",G310)),0)+IFERROR(--ISNUMBER(SEARCH("R93",G310)),0)+IFERROR(--ISNUMBER(SEARCH("R94",G310)),0)+IFERROR(--ISNUMBER(SEARCH("R95",G310)),0)+IFERROR(--ISNUMBER(SEARCH("R96",G310)),0)+IFERROR(--ISNUMBER(SEARCH("R97",G310)),0)+IFERROR(--ISNUMBER(SEARCH("R98",G310)),0)+IFERROR(--ISNUMBER(SEARCH("R99",G310)),0)+IFERROR(--ISNUMBER(SEARCH("R100",G310)),0)+IFERROR(--ISNUMBER(SEARCH("R101",G310)),0)+IFERROR(--ISNUMBER(SEARCH("R102",G310)),0)+IFERROR(--ISNUMBER(SEARCH("R103",G310)),0)+IFERROR(--ISNUMBER(SEARCH("R104",G310)),0)+IFERROR(--ISNUMBER(SEARCH("R105",G310)),0)+IFERROR(--ISNUMBER(SEARCH("R106",G310)),0)+IFERROR(--ISNUMBER(SEARCH("R107",G310)),0)+IFERROR(--ISNUMBER(SEARCH("R108",G310)),0)+IFERROR(--ISNUMBER(SEARCH("R109",G310)),0)+IFERROR(--ISNUMBER(SEARCH("R110",G310)),0)+IFERROR(--ISNUMBER(SEARCH("R111",G310)),0)+IFERROR(--ISNUMBER(SEARCH("R112",G310)),0)+IFERROR(--ISNUMBER(SEARCH("R113",G310)),0)+IFERROR(--ISNUMBER(SEARCH("R114",G310)),0)+IFERROR(--ISNUMBER(SEARCH("R115",G310)),0)+IFERROR(--ISNUMBER(SEARCH("R116",G310)),0)+IFERROR(--ISNUMBER(SEARCH("R117",G310)),0)+IFERROR(--ISNUMBER(SEARCH("R118",G310)),0)+IFERROR(--ISNUMBER(SEARCH("R119",G310)),0)+IFERROR(--ISNUMBER(SEARCH("R120",G310)),0)+IFERROR(--ISNUMBER(SEARCH("R121",G310)),0)+IFERROR(--ISNUMBER(SEARCH("R122",G310)),0)+IFERROR(--ISNUMBER(SEARCH("R123",G310)),0)+IFERROR(--ISNUMBER(SEARCH("R124",G310)),0)+IFERROR(--ISNUMBER(SEARCH("R125",G310)),0)+IFERROR(--ISNUMBER(SEARCH("R126",G310)),0)+IFERROR(--ISNUMBER(SEARCH("R127",G310)),0)+IFERROR(--ISNUMBER(SEARCH("R128",G310)),0)+IFERROR(--ISNUMBER(SEARCH("R129",G310)),0)+IFERROR(--ISNUMBER(SEARCH("R130",G310)),0)+IFERROR(--ISNUMBER(SEARCH("R131",G310)),0)+IFERROR(--ISNUMBER(SEARCH("R132",G310)),0)+IFERROR(--ISNUMBER(SEARCH("R133",G310)),0)+IFERROR(--ISNUMBER(SEARCH("R134",G310)),0)+IFERROR(--ISNUMBER(SEARCH("R135",G310)),0)+IFERROR(--ISNUMBER(SEARCH("R136",G310)),0)+IFERROR(--ISNUMBER(SEARCH("R137",G310)),0)+IFERROR(--ISNUMBER(SEARCH("R138",G310)),0)+IFERROR(--ISNUMBER(SEARCH("R139",G310)),0)+IFERROR(--ISNUMBER(SEARCH("R140",G310)),0)+IFERROR(--ISNUMBER(SEARCH("R141",G310)),0))</f>
        <v/>
      </c>
      <c r="T310" s="58">
        <f>IF(A310="","",IFERROR(--ISNUMBER(SEARCH("R28",G310)),0)+IFERROR(--ISNUMBER(SEARCH("R29",G310)),0)+IFERROR(--ISNUMBER(SEARCH("R30",G310)),0)+IFERROR(--ISNUMBER(SEARCH("R32",G310)),0)+IFERROR(--ISNUMBER(SEARCH("R33",G310)),0)+IFERROR(--ISNUMBER(SEARCH("R35",G310)),0)+IFERROR(--ISNUMBER(SEARCH("R36",G310)),0)+IFERROR(--ISNUMBER(SEARCH("R38",G310)),0)+IFERROR(--ISNUMBER(SEARCH("R39",G310)),0)+IFERROR(--ISNUMBER(SEARCH("R43",G310)),0)+IFERROR(--ISNUMBER(SEARCH("R44",G310)),0)+IFERROR(--ISNUMBER(SEARCH("R45",G310)),0)+IFERROR(--ISNUMBER(SEARCH("R47",G310)),0)+IFERROR(--ISNUMBER(SEARCH("R48",G310)),0)+IFERROR(--ISNUMBER(SEARCH("R50",G310)),0)+IFERROR(--ISNUMBER(SEARCH("R51",G310)),0)+IFERROR(--ISNUMBER(SEARCH("R56",G310)),0)+IFERROR(--ISNUMBER(SEARCH("R58",G310)),0)+IFERROR(--ISNUMBER(SEARCH("R59",G310)),0)+IFERROR(--ISNUMBER(SEARCH("R60",G310)),0)+IFERROR(--ISNUMBER(SEARCH("R62",G310)),0)+IFERROR(--ISNUMBER(SEARCH("R63",G310)),0)+IFERROR(--ISNUMBER(SEARCH("R64",G310)),0)+IFERROR(--ISNUMBER(SEARCH("R66",G310)),0)+IFERROR(--ISNUMBER(SEARCH("R67",G310)),0)+IFERROR(--ISNUMBER(SEARCH("R72",G310)),0)+IFERROR(--ISNUMBER(SEARCH("R74",G310)),0)+IFERROR(--ISNUMBER(SEARCH("R75",G310)),0)+IFERROR(--ISNUMBER(SEARCH("R76",G310)),0)+IFERROR(--ISNUMBER(SEARCH("R77",G310)),0)+IFERROR(--ISNUMBER(SEARCH("R79",G310)),0)+IFERROR(--ISNUMBER(SEARCH("R80",G310)),0)+IFERROR(--ISNUMBER(SEARCH("R81",G310)),0)+IFERROR(--ISNUMBER(SEARCH("R83",G310)),0)+IFERROR(--ISNUMBER(SEARCH("R84",G310)),0)+IFERROR(--ISNUMBER(SEARCH("R89",G310)),0)+IFERROR(--ISNUMBER(SEARCH("R94",G310)),0)+IFERROR(--ISNUMBER(SEARCH("R95",G310)),0)+IFERROR(--ISNUMBER(SEARCH("R96",G310)),0)+IFERROR(--ISNUMBER(SEARCH("R98",G310)),0)+IFERROR(--ISNUMBER(SEARCH("R99",G310)),0)+IFERROR(--ISNUMBER(SEARCH("R100",G310)),0)+IFERROR(--ISNUMBER(SEARCH("R104",G310)),0)+IFERROR(--ISNUMBER(SEARCH("R105",G310)),0)+IFERROR(--ISNUMBER(SEARCH("R107",G310)),0)+IFERROR(--ISNUMBER(SEARCH("R108",G310)),0)+IFERROR(--ISNUMBER(SEARCH("R109",G310)),0)+IFERROR(--ISNUMBER(SEARCH("R110",G310)),0)+IFERROR(--ISNUMBER(SEARCH("R112",G310)),0)+IFERROR(--ISNUMBER(SEARCH("R113",G310)),0)+IFERROR(--ISNUMBER(SEARCH("R114",G310)),0)+IFERROR(--ISNUMBER(SEARCH("R118",G310)),0)+IFERROR(--ISNUMBER(SEARCH("R119",G310)),0)+IFERROR(--ISNUMBER(SEARCH("R120",G310)),0)+IFERROR(--ISNUMBER(SEARCH("R122",G310)),0)+IFERROR(--ISNUMBER(SEARCH("R123",G310)),0)+IFERROR(--ISNUMBER(SEARCH("R124",G310)),0)+IFERROR(--ISNUMBER(SEARCH("R128",G310)),0)+IFERROR(--ISNUMBER(SEARCH("R130",G310)),0)+IFERROR(--ISNUMBER(SEARCH("R131",G310)),0)+IFERROR(--ISNUMBER(SEARCH("R132",G310)),0)+IFERROR(--ISNUMBER(SEARCH("R135",G310)),0)+IFERROR(--ISNUMBER(SEARCH("R138",G310)),0)+IFERROR(--ISNUMBER(SEARCH("R141",G310)),0))</f>
        <v/>
      </c>
      <c r="U310" s="58">
        <f>IF(A310="","",IFERROR(--ISNUMBER(SEARCH("R28",G310))*28,0)+IFERROR(--ISNUMBER(SEARCH("R29",G310))*29,0)+IFERROR(--ISNUMBER(SEARCH("R30",G310))*30,0)+IFERROR(--ISNUMBER(SEARCH("R31",G310))*31,0)+IFERROR(--ISNUMBER(SEARCH("R32",G310))*32,0)+IFERROR(--ISNUMBER(SEARCH("R33",G310))*33,0)+IFERROR(--ISNUMBER(SEARCH("R34",G310))*34,0)+IFERROR(--ISNUMBER(SEARCH("R35",G310))*35,0)+IFERROR(--ISNUMBER(SEARCH("R36",G310))*36,0)+IFERROR(--ISNUMBER(SEARCH("R37",G310))*37,0)+IFERROR(--ISNUMBER(SEARCH("R38",G310))*38,0)+IFERROR(--ISNUMBER(SEARCH("R39",G310))*39,0)+IFERROR(--ISNUMBER(SEARCH("R40",G310))*40,0)+IFERROR(--ISNUMBER(SEARCH("R41",G310))*41,0)+IFERROR(--ISNUMBER(SEARCH("R42",G310))*42,0)+IFERROR(--ISNUMBER(SEARCH("R43",G310))*43,0)+IFERROR(--ISNUMBER(SEARCH("R44",G310))*44,0)+IFERROR(--ISNUMBER(SEARCH("R45",G310))*45,0)+IFERROR(--ISNUMBER(SEARCH("R46",G310))*46,0)+IFERROR(--ISNUMBER(SEARCH("R47",G310))*47,0)+IFERROR(--ISNUMBER(SEARCH("R48",G310))*48,0)+IFERROR(--ISNUMBER(SEARCH("R49",G310))*49,0)+IFERROR(--ISNUMBER(SEARCH("R50",G310))*50,0)+IFERROR(--ISNUMBER(SEARCH("R51",G310))*51,0)+IFERROR(--ISNUMBER(SEARCH("R52",G310))*52,0)+IFERROR(--ISNUMBER(SEARCH("R53",G310))*53,0)+IFERROR(--ISNUMBER(SEARCH("R54",G310))*54,0)+IFERROR(--ISNUMBER(SEARCH("R55",G310))*55,0)+IFERROR(--ISNUMBER(SEARCH("R56",G310))*56,0)+IFERROR(--ISNUMBER(SEARCH("R57",G310))*57,0)+IFERROR(--ISNUMBER(SEARCH("R58",G310))*58,0)+IFERROR(--ISNUMBER(SEARCH("R59",G310))*59,0)+IFERROR(--ISNUMBER(SEARCH("R60",G310))*60,0)+IFERROR(--ISNUMBER(SEARCH("R61",G310))*61,0)+IFERROR(--ISNUMBER(SEARCH("R62",G310))*62,0)+IFERROR(--ISNUMBER(SEARCH("R63",G310))*63,0)+IFERROR(--ISNUMBER(SEARCH("R64",G310))*64,0)+IFERROR(--ISNUMBER(SEARCH("R65",G310))*65,0)+IFERROR(--ISNUMBER(SEARCH("R66",G310))*66,0)+IFERROR(--ISNUMBER(SEARCH("R67",G310))*67,0)+IFERROR(--ISNUMBER(SEARCH("R68",G310))*68,0)+IFERROR(--ISNUMBER(SEARCH("R69",G310))*69,0)+IFERROR(--ISNUMBER(SEARCH("R70",G310))*70,0)+IFERROR(--ISNUMBER(SEARCH("R71",G310))*71,0)+IFERROR(--ISNUMBER(SEARCH("R72",G310))*72,0)+IFERROR(--ISNUMBER(SEARCH("R73",G310))*73,0)+IFERROR(--ISNUMBER(SEARCH("R74",G310))*74,0)+IFERROR(--ISNUMBER(SEARCH("R75",G310))*75,0)+IFERROR(--ISNUMBER(SEARCH("R76",G310))*76,0)+IFERROR(--ISNUMBER(SEARCH("R77",G310))*77,0)+IFERROR(--ISNUMBER(SEARCH("R78",G310))*78,0)+IFERROR(--ISNUMBER(SEARCH("R79",G310))*79,0)+IFERROR(--ISNUMBER(SEARCH("R80",G310))*80,0)+IFERROR(--ISNUMBER(SEARCH("R81",G310))*81,0)+IFERROR(--ISNUMBER(SEARCH("R82",G310))*82,0)+IFERROR(--ISNUMBER(SEARCH("R83",G310))*83,0)+IFERROR(--ISNUMBER(SEARCH("R84",G310))*84,0)+IFERROR(--ISNUMBER(SEARCH("R85",G310))*85,0)+IFERROR(--ISNUMBER(SEARCH("R86",G310))*86,0)+IFERROR(--ISNUMBER(SEARCH("R87",G310))*87,0)+IFERROR(--ISNUMBER(SEARCH("R88",G310))*88,0)+IFERROR(--ISNUMBER(SEARCH("R89",G310))*89,0)+IFERROR(--ISNUMBER(SEARCH("R90",G310))*90,0)+IFERROR(--ISNUMBER(SEARCH("R91",G310))*91,0)+IFERROR(--ISNUMBER(SEARCH("R92",G310))*92,0)+IFERROR(--ISNUMBER(SEARCH("R93",G310))*93,0)+IFERROR(--ISNUMBER(SEARCH("R94",G310))*94,0)+IFERROR(--ISNUMBER(SEARCH("R95",G310))*95,0)+IFERROR(--ISNUMBER(SEARCH("R96",G310))*96,0)+IFERROR(--ISNUMBER(SEARCH("R97",G310))*97,0)+IFERROR(--ISNUMBER(SEARCH("R98",G310))*98,0)+IFERROR(--ISNUMBER(SEARCH("R99",G310))*99,0)+IFERROR(--ISNUMBER(SEARCH("R100",G310))*100,0)+IFERROR(--ISNUMBER(SEARCH("R101",G310))*101,0)+IFERROR(--ISNUMBER(SEARCH("R102",G310))*102,0)+IFERROR(--ISNUMBER(SEARCH("R103",G310))*103,0)+IFERROR(--ISNUMBER(SEARCH("R104",G310))*104,0)+IFERROR(--ISNUMBER(SEARCH("R105",G310))*105,0)+IFERROR(--ISNUMBER(SEARCH("R106",G310))*106,0)+IFERROR(--ISNUMBER(SEARCH("R107",G310))*107,0)+IFERROR(--ISNUMBER(SEARCH("R108",G310))*108,0)+IFERROR(--ISNUMBER(SEARCH("R109",G310))*109,0)+IFERROR(--ISNUMBER(SEARCH("R110",G310))*110,0)+IFERROR(--ISNUMBER(SEARCH("R111",G310))*111,0)+IFERROR(--ISNUMBER(SEARCH("R112",G310))*112,0)+IFERROR(--ISNUMBER(SEARCH("R113",G310))*113,0)+IFERROR(--ISNUMBER(SEARCH("R114",G310))*114,0)+IFERROR(--ISNUMBER(SEARCH("R115",G310))*115,0)+IFERROR(--ISNUMBER(SEARCH("R116",G310))*116,0)+IFERROR(--ISNUMBER(SEARCH("R117",G310))*117,0)+IFERROR(--ISNUMBER(SEARCH("R118",G310))*118,0)+IFERROR(--ISNUMBER(SEARCH("R119",G310))*119,0)+IFERROR(--ISNUMBER(SEARCH("R120",G310))*120,0)+IFERROR(--ISNUMBER(SEARCH("R121",G310))*121,0)+IFERROR(--ISNUMBER(SEARCH("R122",G310))*122,0)+IFERROR(--ISNUMBER(SEARCH("R123",G310))*123,0)+IFERROR(--ISNUMBER(SEARCH("R124",G310))*124,0)+IFERROR(--ISNUMBER(SEARCH("R125",G310))*125,0)+IFERROR(--ISNUMBER(SEARCH("R126",G310))*126,0)+IFERROR(--ISNUMBER(SEARCH("R127",G310))*127,0)+IFERROR(--ISNUMBER(SEARCH("R128",G310))*128,0)+IFERROR(--ISNUMBER(SEARCH("R129",G310))*129,0)+IFERROR(--ISNUMBER(SEARCH("R130",G310))*130,0)+IFERROR(--ISNUMBER(SEARCH("R131",G310))*131,0)+IFERROR(--ISNUMBER(SEARCH("R132",G310))*132,0)+IFERROR(--ISNUMBER(SEARCH("R133",G310))*133,0)+IFERROR(--ISNUMBER(SEARCH("R134",G310))*134,0)+IFERROR(--ISNUMBER(SEARCH("R135",G310))*135,0)+IFERROR(--ISNUMBER(SEARCH("R136",G310))*136,0)+IFERROR(--ISNUMBER(SEARCH("R137",G310))*137,0)+IFERROR(--ISNUMBER(SEARCH("R138",G310))*138,0)+IFERROR(--ISNUMBER(SEARCH("R139",G310))*139,0)+IFERROR(--ISNUMBER(SEARCH("R140",G310))*140,0)+IFERROR(--ISNUMBER(SEARCH("R141",G310))*141,0))</f>
        <v/>
      </c>
      <c r="V310" s="59">
        <f>IF(A310="","",IF(K310&lt;&gt;"",K310,J310))</f>
        <v/>
      </c>
      <c r="W310" s="59">
        <f>IF(A310="","",IF(AND(V310=29,O310&lt;&gt;"",COUNTIFS($V$6:$V$505,29,$F$6:$F$505,F310,$C$6:$C$505,C310,$O$6:$O$505,"&lt;&gt;")&gt;1),IF(COUNTIFS($V$6:V310,29,$F$6:F310,F310,$C$6:C310,C310,$O$6:O310,"&lt;&gt;")=1,"Esta es la fila que se debe CONSERVAR (aparición 1 de "&amp;COUNTIFS($V$6:$V$505,29,$F$6:$F$505,F310,$C$6:$C$505,C310,$O$6:$O$505,"&lt;&gt;")&amp;" con el mismo tercero y valor, casilla 29). Si hay más filas iguales, bórreles el valor a ELLAS, no a esta.","DUPLICADO — ya existe otra fila con el mismo tercero y valor para casilla 29 (aparición "&amp;COUNTIFS($V$6:V310,29,$F$6:F310,F310,$C$6:C310,C310,$O$6:O310,"&lt;&gt;")&amp;" de "&amp;COUNTIFS($V$6:$V$505,29,$F$6:$F$505,F310,$C$6:$C$505,C310,$O$6:$O$505,"&lt;&gt;")&amp;"). Para resolverlo: seleccione la celda O"&amp;ROW()&amp;" (columna Valor a declarar de ESTA fila) y presione Supr."),""))</f>
        <v/>
      </c>
      <c r="X310" s="463">
        <f>IF(A310="","",F310)</f>
        <v/>
      </c>
      <c r="Y310" s="463">
        <f>IF(A310="","",SUMIF(Entrada_Manual!$I$88:$I$187,A310,Entrada_Manual!$F$88:$F$187))</f>
        <v/>
      </c>
      <c r="Z310" s="463">
        <f>IF(A310="","",X310-Y310)</f>
        <v/>
      </c>
      <c r="AA310">
        <f>IF(A310="","",SUMPRODUCT((Entrada_Manual!$I$88:$I$187=A310)*1))</f>
        <v/>
      </c>
      <c r="AB310">
        <f>IF(A310="","",IF(S310&lt;=1,"",IF(AA310=0,"PENDIENTE — SIN ASIGNAR",IF(Z310=0,"RESUELTO","PARCIAL — DIFERENCIA "&amp;TEXT(Z310,"#,##0")))))</f>
        <v/>
      </c>
    </row>
    <row r="311" ht="14.25" customHeight="1" s="235">
      <c r="A311" s="47">
        <f>IF(Exogena_RAW!E320&lt;&gt;"",ROW()-5,"")</f>
        <v/>
      </c>
      <c r="B311" s="48">
        <f>IF(A311="","",320)</f>
        <v/>
      </c>
      <c r="C311" s="48">
        <f>IF(A311="","",IFERROR(Exogena_RAW!A320,""))</f>
        <v/>
      </c>
      <c r="D311" s="48">
        <f>IF(A311="","",IFERROR(Exogena_RAW!B320,""))</f>
        <v/>
      </c>
      <c r="E311" s="48">
        <f>IF(A311="","",Exogena_RAW!E320)</f>
        <v/>
      </c>
      <c r="F311" s="461">
        <f>IF(A311="","",Exogena_RAW!F320)</f>
        <v/>
      </c>
      <c r="G311" s="48">
        <f>IF(A311="","",IFERROR(Exogena_RAW!G320,""))</f>
        <v/>
      </c>
      <c r="H311" s="48">
        <f>IF(A311="","",IFERROR(Exogena_RAW!H320,""))</f>
        <v/>
      </c>
      <c r="I311" s="48">
        <f>IF(A311="","",IFERROR(IF(S311&gt;1,"VARIAS CASILLAS",IF(S311=1,IF(T311=1,"PROPUESTA DE CASILLA","REVISIÓN: CASILLA NO DIRECTA"),IF(OR(ISNUMBER(SEARCH("TOPE",UPPER(E311))),ISNUMBER(SEARCH("TOPE",UPPER(G311)))),"SOLO CONTROL",IF(ISNUMBER(SEARCH("RETEN",UPPER(E311))),"RETENCIÓN","REVISAR")))),"REVISAR"))</f>
        <v/>
      </c>
      <c r="J311" s="48">
        <f>IF(A311="","",IF(ISNUMBER(SEARCH("ingreso laboral promedio de los últimos seis meses",E311)),"",IFERROR(IF(AND(S311=1,T311=1),U311,""),"")))</f>
        <v/>
      </c>
      <c r="K311" s="216" t="n"/>
      <c r="L311" s="48">
        <f>IF(A311="","",IFERROR(IF(K311&lt;&gt;"","Casilla elegida por usuario",IF(S311&gt;1,"Varias casillas — elegir en K",IF(J311&lt;&gt;"","Sugerencia directa",IF(S311=1,"No trasladar directo — revisar",IF(OR(ISNUMBER(SEARCH("TOPE",UPPER(E311))),ISNUMBER(SEARCH("TOPE",UPPER(G311)))),"Solo control","Revisar manualmente"))))),"Revisar manualmente"))</f>
        <v/>
      </c>
      <c r="M311" s="461">
        <f>IF(A311="","",IF(IF(K311&lt;&gt;"",K311,J311)="",0,IF(COUNTIFS(Reglas!$I$5:$I$118,IF(K311&lt;&gt;"",K311,J311),Reglas!$J$5:$J$118,"Sí")=1,F311,0)))</f>
        <v/>
      </c>
      <c r="N311" s="56" t="n"/>
      <c r="O311" s="462">
        <f>IF(A311="","",IF(M311=0,"",M311))</f>
        <v/>
      </c>
      <c r="P311" s="461">
        <f>IF(A311="","",IF(O311="",0,IF(ISNUMBER(O311),O311,0)))</f>
        <v/>
      </c>
      <c r="Q311" s="48">
        <f>IF(A311="","",IF(Exogena_RAW!$C$4="","BLOQUEADO: FALTA AÑO",IF(Exogena_RAW!$K$10&lt;&gt;Reglas!$B$5,"BLOQUEADO: AÑO",IF(IF(K311&lt;&gt;"",K311,J311)="",IF(S311&gt;1,"REQUIERE ASIGNACIÓN MANUAL (VARIAS CASILLAS)","INFORMATIVO (sin casilla — no se declara)"),IF(COUNTIFS(Reglas!$I$5:$I$118,IF(K311&lt;&gt;"",K311,J311),Reglas!$J$5:$J$118,"Sí")=0,"BLOQUEADO: CASILLA NO DIRECTA",IF(O311="","EXCLUIDO (valor borrado por el usuario)",IF(_xlfn.ISFORMULA(O311),IF(W311&lt;&gt;"","BORRADOR — VALOR SUGERIDO DIAN ⚠ VER ALERTA","BORRADOR — VALOR SUGERIDO DIAN"),IF(W311&lt;&gt;"","ACEPTADO ⚠ VER ALERTA","ACEPTADO"))))))))</f>
        <v/>
      </c>
      <c r="R311" s="218" t="n"/>
      <c r="S311" s="58">
        <f>IF(A311="","",IFERROR(--ISNUMBER(SEARCH("R28",G311)),0)+IFERROR(--ISNUMBER(SEARCH("R29",G311)),0)+IFERROR(--ISNUMBER(SEARCH("R30",G311)),0)+IFERROR(--ISNUMBER(SEARCH("R31",G311)),0)+IFERROR(--ISNUMBER(SEARCH("R32",G311)),0)+IFERROR(--ISNUMBER(SEARCH("R33",G311)),0)+IFERROR(--ISNUMBER(SEARCH("R34",G311)),0)+IFERROR(--ISNUMBER(SEARCH("R35",G311)),0)+IFERROR(--ISNUMBER(SEARCH("R36",G311)),0)+IFERROR(--ISNUMBER(SEARCH("R37",G311)),0)+IFERROR(--ISNUMBER(SEARCH("R38",G311)),0)+IFERROR(--ISNUMBER(SEARCH("R39",G311)),0)+IFERROR(--ISNUMBER(SEARCH("R40",G311)),0)+IFERROR(--ISNUMBER(SEARCH("R41",G311)),0)+IFERROR(--ISNUMBER(SEARCH("R42",G311)),0)+IFERROR(--ISNUMBER(SEARCH("R43",G311)),0)+IFERROR(--ISNUMBER(SEARCH("R44",G311)),0)+IFERROR(--ISNUMBER(SEARCH("R45",G311)),0)+IFERROR(--ISNUMBER(SEARCH("R46",G311)),0)+IFERROR(--ISNUMBER(SEARCH("R47",G311)),0)+IFERROR(--ISNUMBER(SEARCH("R48",G311)),0)+IFERROR(--ISNUMBER(SEARCH("R49",G311)),0)+IFERROR(--ISNUMBER(SEARCH("R50",G311)),0)+IFERROR(--ISNUMBER(SEARCH("R51",G311)),0)+IFERROR(--ISNUMBER(SEARCH("R52",G311)),0)+IFERROR(--ISNUMBER(SEARCH("R53",G311)),0)+IFERROR(--ISNUMBER(SEARCH("R54",G311)),0)+IFERROR(--ISNUMBER(SEARCH("R55",G311)),0)+IFERROR(--ISNUMBER(SEARCH("R56",G311)),0)+IFERROR(--ISNUMBER(SEARCH("R57",G311)),0)+IFERROR(--ISNUMBER(SEARCH("R58",G311)),0)+IFERROR(--ISNUMBER(SEARCH("R59",G311)),0)+IFERROR(--ISNUMBER(SEARCH("R60",G311)),0)+IFERROR(--ISNUMBER(SEARCH("R61",G311)),0)+IFERROR(--ISNUMBER(SEARCH("R62",G311)),0)+IFERROR(--ISNUMBER(SEARCH("R63",G311)),0)+IFERROR(--ISNUMBER(SEARCH("R64",G311)),0)+IFERROR(--ISNUMBER(SEARCH("R65",G311)),0)+IFERROR(--ISNUMBER(SEARCH("R66",G311)),0)+IFERROR(--ISNUMBER(SEARCH("R67",G311)),0)+IFERROR(--ISNUMBER(SEARCH("R68",G311)),0)+IFERROR(--ISNUMBER(SEARCH("R69",G311)),0)+IFERROR(--ISNUMBER(SEARCH("R70",G311)),0)+IFERROR(--ISNUMBER(SEARCH("R71",G311)),0)+IFERROR(--ISNUMBER(SEARCH("R72",G311)),0)+IFERROR(--ISNUMBER(SEARCH("R73",G311)),0)+IFERROR(--ISNUMBER(SEARCH("R74",G311)),0)+IFERROR(--ISNUMBER(SEARCH("R75",G311)),0)+IFERROR(--ISNUMBER(SEARCH("R76",G311)),0)+IFERROR(--ISNUMBER(SEARCH("R77",G311)),0)+IFERROR(--ISNUMBER(SEARCH("R78",G311)),0)+IFERROR(--ISNUMBER(SEARCH("R79",G311)),0)+IFERROR(--ISNUMBER(SEARCH("R80",G311)),0)+IFERROR(--ISNUMBER(SEARCH("R81",G311)),0)+IFERROR(--ISNUMBER(SEARCH("R82",G311)),0)+IFERROR(--ISNUMBER(SEARCH("R83",G311)),0)+IFERROR(--ISNUMBER(SEARCH("R84",G311)),0)+IFERROR(--ISNUMBER(SEARCH("R85",G311)),0)+IFERROR(--ISNUMBER(SEARCH("R86",G311)),0)+IFERROR(--ISNUMBER(SEARCH("R87",G311)),0)+IFERROR(--ISNUMBER(SEARCH("R88",G311)),0)+IFERROR(--ISNUMBER(SEARCH("R89",G311)),0)+IFERROR(--ISNUMBER(SEARCH("R90",G311)),0)+IFERROR(--ISNUMBER(SEARCH("R91",G311)),0)+IFERROR(--ISNUMBER(SEARCH("R92",G311)),0)+IFERROR(--ISNUMBER(SEARCH("R93",G311)),0)+IFERROR(--ISNUMBER(SEARCH("R94",G311)),0)+IFERROR(--ISNUMBER(SEARCH("R95",G311)),0)+IFERROR(--ISNUMBER(SEARCH("R96",G311)),0)+IFERROR(--ISNUMBER(SEARCH("R97",G311)),0)+IFERROR(--ISNUMBER(SEARCH("R98",G311)),0)+IFERROR(--ISNUMBER(SEARCH("R99",G311)),0)+IFERROR(--ISNUMBER(SEARCH("R100",G311)),0)+IFERROR(--ISNUMBER(SEARCH("R101",G311)),0)+IFERROR(--ISNUMBER(SEARCH("R102",G311)),0)+IFERROR(--ISNUMBER(SEARCH("R103",G311)),0)+IFERROR(--ISNUMBER(SEARCH("R104",G311)),0)+IFERROR(--ISNUMBER(SEARCH("R105",G311)),0)+IFERROR(--ISNUMBER(SEARCH("R106",G311)),0)+IFERROR(--ISNUMBER(SEARCH("R107",G311)),0)+IFERROR(--ISNUMBER(SEARCH("R108",G311)),0)+IFERROR(--ISNUMBER(SEARCH("R109",G311)),0)+IFERROR(--ISNUMBER(SEARCH("R110",G311)),0)+IFERROR(--ISNUMBER(SEARCH("R111",G311)),0)+IFERROR(--ISNUMBER(SEARCH("R112",G311)),0)+IFERROR(--ISNUMBER(SEARCH("R113",G311)),0)+IFERROR(--ISNUMBER(SEARCH("R114",G311)),0)+IFERROR(--ISNUMBER(SEARCH("R115",G311)),0)+IFERROR(--ISNUMBER(SEARCH("R116",G311)),0)+IFERROR(--ISNUMBER(SEARCH("R117",G311)),0)+IFERROR(--ISNUMBER(SEARCH("R118",G311)),0)+IFERROR(--ISNUMBER(SEARCH("R119",G311)),0)+IFERROR(--ISNUMBER(SEARCH("R120",G311)),0)+IFERROR(--ISNUMBER(SEARCH("R121",G311)),0)+IFERROR(--ISNUMBER(SEARCH("R122",G311)),0)+IFERROR(--ISNUMBER(SEARCH("R123",G311)),0)+IFERROR(--ISNUMBER(SEARCH("R124",G311)),0)+IFERROR(--ISNUMBER(SEARCH("R125",G311)),0)+IFERROR(--ISNUMBER(SEARCH("R126",G311)),0)+IFERROR(--ISNUMBER(SEARCH("R127",G311)),0)+IFERROR(--ISNUMBER(SEARCH("R128",G311)),0)+IFERROR(--ISNUMBER(SEARCH("R129",G311)),0)+IFERROR(--ISNUMBER(SEARCH("R130",G311)),0)+IFERROR(--ISNUMBER(SEARCH("R131",G311)),0)+IFERROR(--ISNUMBER(SEARCH("R132",G311)),0)+IFERROR(--ISNUMBER(SEARCH("R133",G311)),0)+IFERROR(--ISNUMBER(SEARCH("R134",G311)),0)+IFERROR(--ISNUMBER(SEARCH("R135",G311)),0)+IFERROR(--ISNUMBER(SEARCH("R136",G311)),0)+IFERROR(--ISNUMBER(SEARCH("R137",G311)),0)+IFERROR(--ISNUMBER(SEARCH("R138",G311)),0)+IFERROR(--ISNUMBER(SEARCH("R139",G311)),0)+IFERROR(--ISNUMBER(SEARCH("R140",G311)),0)+IFERROR(--ISNUMBER(SEARCH("R141",G311)),0))</f>
        <v/>
      </c>
      <c r="T311" s="58">
        <f>IF(A311="","",IFERROR(--ISNUMBER(SEARCH("R28",G311)),0)+IFERROR(--ISNUMBER(SEARCH("R29",G311)),0)+IFERROR(--ISNUMBER(SEARCH("R30",G311)),0)+IFERROR(--ISNUMBER(SEARCH("R32",G311)),0)+IFERROR(--ISNUMBER(SEARCH("R33",G311)),0)+IFERROR(--ISNUMBER(SEARCH("R35",G311)),0)+IFERROR(--ISNUMBER(SEARCH("R36",G311)),0)+IFERROR(--ISNUMBER(SEARCH("R38",G311)),0)+IFERROR(--ISNUMBER(SEARCH("R39",G311)),0)+IFERROR(--ISNUMBER(SEARCH("R43",G311)),0)+IFERROR(--ISNUMBER(SEARCH("R44",G311)),0)+IFERROR(--ISNUMBER(SEARCH("R45",G311)),0)+IFERROR(--ISNUMBER(SEARCH("R47",G311)),0)+IFERROR(--ISNUMBER(SEARCH("R48",G311)),0)+IFERROR(--ISNUMBER(SEARCH("R50",G311)),0)+IFERROR(--ISNUMBER(SEARCH("R51",G311)),0)+IFERROR(--ISNUMBER(SEARCH("R56",G311)),0)+IFERROR(--ISNUMBER(SEARCH("R58",G311)),0)+IFERROR(--ISNUMBER(SEARCH("R59",G311)),0)+IFERROR(--ISNUMBER(SEARCH("R60",G311)),0)+IFERROR(--ISNUMBER(SEARCH("R62",G311)),0)+IFERROR(--ISNUMBER(SEARCH("R63",G311)),0)+IFERROR(--ISNUMBER(SEARCH("R64",G311)),0)+IFERROR(--ISNUMBER(SEARCH("R66",G311)),0)+IFERROR(--ISNUMBER(SEARCH("R67",G311)),0)+IFERROR(--ISNUMBER(SEARCH("R72",G311)),0)+IFERROR(--ISNUMBER(SEARCH("R74",G311)),0)+IFERROR(--ISNUMBER(SEARCH("R75",G311)),0)+IFERROR(--ISNUMBER(SEARCH("R76",G311)),0)+IFERROR(--ISNUMBER(SEARCH("R77",G311)),0)+IFERROR(--ISNUMBER(SEARCH("R79",G311)),0)+IFERROR(--ISNUMBER(SEARCH("R80",G311)),0)+IFERROR(--ISNUMBER(SEARCH("R81",G311)),0)+IFERROR(--ISNUMBER(SEARCH("R83",G311)),0)+IFERROR(--ISNUMBER(SEARCH("R84",G311)),0)+IFERROR(--ISNUMBER(SEARCH("R89",G311)),0)+IFERROR(--ISNUMBER(SEARCH("R94",G311)),0)+IFERROR(--ISNUMBER(SEARCH("R95",G311)),0)+IFERROR(--ISNUMBER(SEARCH("R96",G311)),0)+IFERROR(--ISNUMBER(SEARCH("R98",G311)),0)+IFERROR(--ISNUMBER(SEARCH("R99",G311)),0)+IFERROR(--ISNUMBER(SEARCH("R100",G311)),0)+IFERROR(--ISNUMBER(SEARCH("R104",G311)),0)+IFERROR(--ISNUMBER(SEARCH("R105",G311)),0)+IFERROR(--ISNUMBER(SEARCH("R107",G311)),0)+IFERROR(--ISNUMBER(SEARCH("R108",G311)),0)+IFERROR(--ISNUMBER(SEARCH("R109",G311)),0)+IFERROR(--ISNUMBER(SEARCH("R110",G311)),0)+IFERROR(--ISNUMBER(SEARCH("R112",G311)),0)+IFERROR(--ISNUMBER(SEARCH("R113",G311)),0)+IFERROR(--ISNUMBER(SEARCH("R114",G311)),0)+IFERROR(--ISNUMBER(SEARCH("R118",G311)),0)+IFERROR(--ISNUMBER(SEARCH("R119",G311)),0)+IFERROR(--ISNUMBER(SEARCH("R120",G311)),0)+IFERROR(--ISNUMBER(SEARCH("R122",G311)),0)+IFERROR(--ISNUMBER(SEARCH("R123",G311)),0)+IFERROR(--ISNUMBER(SEARCH("R124",G311)),0)+IFERROR(--ISNUMBER(SEARCH("R128",G311)),0)+IFERROR(--ISNUMBER(SEARCH("R130",G311)),0)+IFERROR(--ISNUMBER(SEARCH("R131",G311)),0)+IFERROR(--ISNUMBER(SEARCH("R132",G311)),0)+IFERROR(--ISNUMBER(SEARCH("R135",G311)),0)+IFERROR(--ISNUMBER(SEARCH("R138",G311)),0)+IFERROR(--ISNUMBER(SEARCH("R141",G311)),0))</f>
        <v/>
      </c>
      <c r="U311" s="58">
        <f>IF(A311="","",IFERROR(--ISNUMBER(SEARCH("R28",G311))*28,0)+IFERROR(--ISNUMBER(SEARCH("R29",G311))*29,0)+IFERROR(--ISNUMBER(SEARCH("R30",G311))*30,0)+IFERROR(--ISNUMBER(SEARCH("R31",G311))*31,0)+IFERROR(--ISNUMBER(SEARCH("R32",G311))*32,0)+IFERROR(--ISNUMBER(SEARCH("R33",G311))*33,0)+IFERROR(--ISNUMBER(SEARCH("R34",G311))*34,0)+IFERROR(--ISNUMBER(SEARCH("R35",G311))*35,0)+IFERROR(--ISNUMBER(SEARCH("R36",G311))*36,0)+IFERROR(--ISNUMBER(SEARCH("R37",G311))*37,0)+IFERROR(--ISNUMBER(SEARCH("R38",G311))*38,0)+IFERROR(--ISNUMBER(SEARCH("R39",G311))*39,0)+IFERROR(--ISNUMBER(SEARCH("R40",G311))*40,0)+IFERROR(--ISNUMBER(SEARCH("R41",G311))*41,0)+IFERROR(--ISNUMBER(SEARCH("R42",G311))*42,0)+IFERROR(--ISNUMBER(SEARCH("R43",G311))*43,0)+IFERROR(--ISNUMBER(SEARCH("R44",G311))*44,0)+IFERROR(--ISNUMBER(SEARCH("R45",G311))*45,0)+IFERROR(--ISNUMBER(SEARCH("R46",G311))*46,0)+IFERROR(--ISNUMBER(SEARCH("R47",G311))*47,0)+IFERROR(--ISNUMBER(SEARCH("R48",G311))*48,0)+IFERROR(--ISNUMBER(SEARCH("R49",G311))*49,0)+IFERROR(--ISNUMBER(SEARCH("R50",G311))*50,0)+IFERROR(--ISNUMBER(SEARCH("R51",G311))*51,0)+IFERROR(--ISNUMBER(SEARCH("R52",G311))*52,0)+IFERROR(--ISNUMBER(SEARCH("R53",G311))*53,0)+IFERROR(--ISNUMBER(SEARCH("R54",G311))*54,0)+IFERROR(--ISNUMBER(SEARCH("R55",G311))*55,0)+IFERROR(--ISNUMBER(SEARCH("R56",G311))*56,0)+IFERROR(--ISNUMBER(SEARCH("R57",G311))*57,0)+IFERROR(--ISNUMBER(SEARCH("R58",G311))*58,0)+IFERROR(--ISNUMBER(SEARCH("R59",G311))*59,0)+IFERROR(--ISNUMBER(SEARCH("R60",G311))*60,0)+IFERROR(--ISNUMBER(SEARCH("R61",G311))*61,0)+IFERROR(--ISNUMBER(SEARCH("R62",G311))*62,0)+IFERROR(--ISNUMBER(SEARCH("R63",G311))*63,0)+IFERROR(--ISNUMBER(SEARCH("R64",G311))*64,0)+IFERROR(--ISNUMBER(SEARCH("R65",G311))*65,0)+IFERROR(--ISNUMBER(SEARCH("R66",G311))*66,0)+IFERROR(--ISNUMBER(SEARCH("R67",G311))*67,0)+IFERROR(--ISNUMBER(SEARCH("R68",G311))*68,0)+IFERROR(--ISNUMBER(SEARCH("R69",G311))*69,0)+IFERROR(--ISNUMBER(SEARCH("R70",G311))*70,0)+IFERROR(--ISNUMBER(SEARCH("R71",G311))*71,0)+IFERROR(--ISNUMBER(SEARCH("R72",G311))*72,0)+IFERROR(--ISNUMBER(SEARCH("R73",G311))*73,0)+IFERROR(--ISNUMBER(SEARCH("R74",G311))*74,0)+IFERROR(--ISNUMBER(SEARCH("R75",G311))*75,0)+IFERROR(--ISNUMBER(SEARCH("R76",G311))*76,0)+IFERROR(--ISNUMBER(SEARCH("R77",G311))*77,0)+IFERROR(--ISNUMBER(SEARCH("R78",G311))*78,0)+IFERROR(--ISNUMBER(SEARCH("R79",G311))*79,0)+IFERROR(--ISNUMBER(SEARCH("R80",G311))*80,0)+IFERROR(--ISNUMBER(SEARCH("R81",G311))*81,0)+IFERROR(--ISNUMBER(SEARCH("R82",G311))*82,0)+IFERROR(--ISNUMBER(SEARCH("R83",G311))*83,0)+IFERROR(--ISNUMBER(SEARCH("R84",G311))*84,0)+IFERROR(--ISNUMBER(SEARCH("R85",G311))*85,0)+IFERROR(--ISNUMBER(SEARCH("R86",G311))*86,0)+IFERROR(--ISNUMBER(SEARCH("R87",G311))*87,0)+IFERROR(--ISNUMBER(SEARCH("R88",G311))*88,0)+IFERROR(--ISNUMBER(SEARCH("R89",G311))*89,0)+IFERROR(--ISNUMBER(SEARCH("R90",G311))*90,0)+IFERROR(--ISNUMBER(SEARCH("R91",G311))*91,0)+IFERROR(--ISNUMBER(SEARCH("R92",G311))*92,0)+IFERROR(--ISNUMBER(SEARCH("R93",G311))*93,0)+IFERROR(--ISNUMBER(SEARCH("R94",G311))*94,0)+IFERROR(--ISNUMBER(SEARCH("R95",G311))*95,0)+IFERROR(--ISNUMBER(SEARCH("R96",G311))*96,0)+IFERROR(--ISNUMBER(SEARCH("R97",G311))*97,0)+IFERROR(--ISNUMBER(SEARCH("R98",G311))*98,0)+IFERROR(--ISNUMBER(SEARCH("R99",G311))*99,0)+IFERROR(--ISNUMBER(SEARCH("R100",G311))*100,0)+IFERROR(--ISNUMBER(SEARCH("R101",G311))*101,0)+IFERROR(--ISNUMBER(SEARCH("R102",G311))*102,0)+IFERROR(--ISNUMBER(SEARCH("R103",G311))*103,0)+IFERROR(--ISNUMBER(SEARCH("R104",G311))*104,0)+IFERROR(--ISNUMBER(SEARCH("R105",G311))*105,0)+IFERROR(--ISNUMBER(SEARCH("R106",G311))*106,0)+IFERROR(--ISNUMBER(SEARCH("R107",G311))*107,0)+IFERROR(--ISNUMBER(SEARCH("R108",G311))*108,0)+IFERROR(--ISNUMBER(SEARCH("R109",G311))*109,0)+IFERROR(--ISNUMBER(SEARCH("R110",G311))*110,0)+IFERROR(--ISNUMBER(SEARCH("R111",G311))*111,0)+IFERROR(--ISNUMBER(SEARCH("R112",G311))*112,0)+IFERROR(--ISNUMBER(SEARCH("R113",G311))*113,0)+IFERROR(--ISNUMBER(SEARCH("R114",G311))*114,0)+IFERROR(--ISNUMBER(SEARCH("R115",G311))*115,0)+IFERROR(--ISNUMBER(SEARCH("R116",G311))*116,0)+IFERROR(--ISNUMBER(SEARCH("R117",G311))*117,0)+IFERROR(--ISNUMBER(SEARCH("R118",G311))*118,0)+IFERROR(--ISNUMBER(SEARCH("R119",G311))*119,0)+IFERROR(--ISNUMBER(SEARCH("R120",G311))*120,0)+IFERROR(--ISNUMBER(SEARCH("R121",G311))*121,0)+IFERROR(--ISNUMBER(SEARCH("R122",G311))*122,0)+IFERROR(--ISNUMBER(SEARCH("R123",G311))*123,0)+IFERROR(--ISNUMBER(SEARCH("R124",G311))*124,0)+IFERROR(--ISNUMBER(SEARCH("R125",G311))*125,0)+IFERROR(--ISNUMBER(SEARCH("R126",G311))*126,0)+IFERROR(--ISNUMBER(SEARCH("R127",G311))*127,0)+IFERROR(--ISNUMBER(SEARCH("R128",G311))*128,0)+IFERROR(--ISNUMBER(SEARCH("R129",G311))*129,0)+IFERROR(--ISNUMBER(SEARCH("R130",G311))*130,0)+IFERROR(--ISNUMBER(SEARCH("R131",G311))*131,0)+IFERROR(--ISNUMBER(SEARCH("R132",G311))*132,0)+IFERROR(--ISNUMBER(SEARCH("R133",G311))*133,0)+IFERROR(--ISNUMBER(SEARCH("R134",G311))*134,0)+IFERROR(--ISNUMBER(SEARCH("R135",G311))*135,0)+IFERROR(--ISNUMBER(SEARCH("R136",G311))*136,0)+IFERROR(--ISNUMBER(SEARCH("R137",G311))*137,0)+IFERROR(--ISNUMBER(SEARCH("R138",G311))*138,0)+IFERROR(--ISNUMBER(SEARCH("R139",G311))*139,0)+IFERROR(--ISNUMBER(SEARCH("R140",G311))*140,0)+IFERROR(--ISNUMBER(SEARCH("R141",G311))*141,0))</f>
        <v/>
      </c>
      <c r="V311" s="59">
        <f>IF(A311="","",IF(K311&lt;&gt;"",K311,J311))</f>
        <v/>
      </c>
      <c r="W311" s="59">
        <f>IF(A311="","",IF(AND(V311=29,O311&lt;&gt;"",COUNTIFS($V$6:$V$505,29,$F$6:$F$505,F311,$C$6:$C$505,C311,$O$6:$O$505,"&lt;&gt;")&gt;1),IF(COUNTIFS($V$6:V311,29,$F$6:F311,F311,$C$6:C311,C311,$O$6:O311,"&lt;&gt;")=1,"Esta es la fila que se debe CONSERVAR (aparición 1 de "&amp;COUNTIFS($V$6:$V$505,29,$F$6:$F$505,F311,$C$6:$C$505,C311,$O$6:$O$505,"&lt;&gt;")&amp;" con el mismo tercero y valor, casilla 29). Si hay más filas iguales, bórreles el valor a ELLAS, no a esta.","DUPLICADO — ya existe otra fila con el mismo tercero y valor para casilla 29 (aparición "&amp;COUNTIFS($V$6:V311,29,$F$6:F311,F311,$C$6:C311,C311,$O$6:O311,"&lt;&gt;")&amp;" de "&amp;COUNTIFS($V$6:$V$505,29,$F$6:$F$505,F311,$C$6:$C$505,C311,$O$6:$O$505,"&lt;&gt;")&amp;"). Para resolverlo: seleccione la celda O"&amp;ROW()&amp;" (columna Valor a declarar de ESTA fila) y presione Supr."),""))</f>
        <v/>
      </c>
      <c r="X311" s="463">
        <f>IF(A311="","",F311)</f>
        <v/>
      </c>
      <c r="Y311" s="463">
        <f>IF(A311="","",SUMIF(Entrada_Manual!$I$88:$I$187,A311,Entrada_Manual!$F$88:$F$187))</f>
        <v/>
      </c>
      <c r="Z311" s="463">
        <f>IF(A311="","",X311-Y311)</f>
        <v/>
      </c>
      <c r="AA311">
        <f>IF(A311="","",SUMPRODUCT((Entrada_Manual!$I$88:$I$187=A311)*1))</f>
        <v/>
      </c>
      <c r="AB311">
        <f>IF(A311="","",IF(S311&lt;=1,"",IF(AA311=0,"PENDIENTE — SIN ASIGNAR",IF(Z311=0,"RESUELTO","PARCIAL — DIFERENCIA "&amp;TEXT(Z311,"#,##0")))))</f>
        <v/>
      </c>
    </row>
    <row r="312" ht="14.25" customHeight="1" s="235">
      <c r="A312" s="47">
        <f>IF(Exogena_RAW!E321&lt;&gt;"",ROW()-5,"")</f>
        <v/>
      </c>
      <c r="B312" s="48">
        <f>IF(A312="","",321)</f>
        <v/>
      </c>
      <c r="C312" s="48">
        <f>IF(A312="","",IFERROR(Exogena_RAW!A321,""))</f>
        <v/>
      </c>
      <c r="D312" s="48">
        <f>IF(A312="","",IFERROR(Exogena_RAW!B321,""))</f>
        <v/>
      </c>
      <c r="E312" s="48">
        <f>IF(A312="","",Exogena_RAW!E321)</f>
        <v/>
      </c>
      <c r="F312" s="461">
        <f>IF(A312="","",Exogena_RAW!F321)</f>
        <v/>
      </c>
      <c r="G312" s="48">
        <f>IF(A312="","",IFERROR(Exogena_RAW!G321,""))</f>
        <v/>
      </c>
      <c r="H312" s="48">
        <f>IF(A312="","",IFERROR(Exogena_RAW!H321,""))</f>
        <v/>
      </c>
      <c r="I312" s="48">
        <f>IF(A312="","",IFERROR(IF(S312&gt;1,"VARIAS CASILLAS",IF(S312=1,IF(T312=1,"PROPUESTA DE CASILLA","REVISIÓN: CASILLA NO DIRECTA"),IF(OR(ISNUMBER(SEARCH("TOPE",UPPER(E312))),ISNUMBER(SEARCH("TOPE",UPPER(G312)))),"SOLO CONTROL",IF(ISNUMBER(SEARCH("RETEN",UPPER(E312))),"RETENCIÓN","REVISAR")))),"REVISAR"))</f>
        <v/>
      </c>
      <c r="J312" s="48">
        <f>IF(A312="","",IF(ISNUMBER(SEARCH("ingreso laboral promedio de los últimos seis meses",E312)),"",IFERROR(IF(AND(S312=1,T312=1),U312,""),"")))</f>
        <v/>
      </c>
      <c r="K312" s="216" t="n"/>
      <c r="L312" s="48">
        <f>IF(A312="","",IFERROR(IF(K312&lt;&gt;"","Casilla elegida por usuario",IF(S312&gt;1,"Varias casillas — elegir en K",IF(J312&lt;&gt;"","Sugerencia directa",IF(S312=1,"No trasladar directo — revisar",IF(OR(ISNUMBER(SEARCH("TOPE",UPPER(E312))),ISNUMBER(SEARCH("TOPE",UPPER(G312)))),"Solo control","Revisar manualmente"))))),"Revisar manualmente"))</f>
        <v/>
      </c>
      <c r="M312" s="461">
        <f>IF(A312="","",IF(IF(K312&lt;&gt;"",K312,J312)="",0,IF(COUNTIFS(Reglas!$I$5:$I$118,IF(K312&lt;&gt;"",K312,J312),Reglas!$J$5:$J$118,"Sí")=1,F312,0)))</f>
        <v/>
      </c>
      <c r="N312" s="56" t="n"/>
      <c r="O312" s="462">
        <f>IF(A312="","",IF(M312=0,"",M312))</f>
        <v/>
      </c>
      <c r="P312" s="461">
        <f>IF(A312="","",IF(O312="",0,IF(ISNUMBER(O312),O312,0)))</f>
        <v/>
      </c>
      <c r="Q312" s="48">
        <f>IF(A312="","",IF(Exogena_RAW!$C$4="","BLOQUEADO: FALTA AÑO",IF(Exogena_RAW!$K$10&lt;&gt;Reglas!$B$5,"BLOQUEADO: AÑO",IF(IF(K312&lt;&gt;"",K312,J312)="",IF(S312&gt;1,"REQUIERE ASIGNACIÓN MANUAL (VARIAS CASILLAS)","INFORMATIVO (sin casilla — no se declara)"),IF(COUNTIFS(Reglas!$I$5:$I$118,IF(K312&lt;&gt;"",K312,J312),Reglas!$J$5:$J$118,"Sí")=0,"BLOQUEADO: CASILLA NO DIRECTA",IF(O312="","EXCLUIDO (valor borrado por el usuario)",IF(_xlfn.ISFORMULA(O312),IF(W312&lt;&gt;"","BORRADOR — VALOR SUGERIDO DIAN ⚠ VER ALERTA","BORRADOR — VALOR SUGERIDO DIAN"),IF(W312&lt;&gt;"","ACEPTADO ⚠ VER ALERTA","ACEPTADO"))))))))</f>
        <v/>
      </c>
      <c r="R312" s="218" t="n"/>
      <c r="S312" s="58">
        <f>IF(A312="","",IFERROR(--ISNUMBER(SEARCH("R28",G312)),0)+IFERROR(--ISNUMBER(SEARCH("R29",G312)),0)+IFERROR(--ISNUMBER(SEARCH("R30",G312)),0)+IFERROR(--ISNUMBER(SEARCH("R31",G312)),0)+IFERROR(--ISNUMBER(SEARCH("R32",G312)),0)+IFERROR(--ISNUMBER(SEARCH("R33",G312)),0)+IFERROR(--ISNUMBER(SEARCH("R34",G312)),0)+IFERROR(--ISNUMBER(SEARCH("R35",G312)),0)+IFERROR(--ISNUMBER(SEARCH("R36",G312)),0)+IFERROR(--ISNUMBER(SEARCH("R37",G312)),0)+IFERROR(--ISNUMBER(SEARCH("R38",G312)),0)+IFERROR(--ISNUMBER(SEARCH("R39",G312)),0)+IFERROR(--ISNUMBER(SEARCH("R40",G312)),0)+IFERROR(--ISNUMBER(SEARCH("R41",G312)),0)+IFERROR(--ISNUMBER(SEARCH("R42",G312)),0)+IFERROR(--ISNUMBER(SEARCH("R43",G312)),0)+IFERROR(--ISNUMBER(SEARCH("R44",G312)),0)+IFERROR(--ISNUMBER(SEARCH("R45",G312)),0)+IFERROR(--ISNUMBER(SEARCH("R46",G312)),0)+IFERROR(--ISNUMBER(SEARCH("R47",G312)),0)+IFERROR(--ISNUMBER(SEARCH("R48",G312)),0)+IFERROR(--ISNUMBER(SEARCH("R49",G312)),0)+IFERROR(--ISNUMBER(SEARCH("R50",G312)),0)+IFERROR(--ISNUMBER(SEARCH("R51",G312)),0)+IFERROR(--ISNUMBER(SEARCH("R52",G312)),0)+IFERROR(--ISNUMBER(SEARCH("R53",G312)),0)+IFERROR(--ISNUMBER(SEARCH("R54",G312)),0)+IFERROR(--ISNUMBER(SEARCH("R55",G312)),0)+IFERROR(--ISNUMBER(SEARCH("R56",G312)),0)+IFERROR(--ISNUMBER(SEARCH("R57",G312)),0)+IFERROR(--ISNUMBER(SEARCH("R58",G312)),0)+IFERROR(--ISNUMBER(SEARCH("R59",G312)),0)+IFERROR(--ISNUMBER(SEARCH("R60",G312)),0)+IFERROR(--ISNUMBER(SEARCH("R61",G312)),0)+IFERROR(--ISNUMBER(SEARCH("R62",G312)),0)+IFERROR(--ISNUMBER(SEARCH("R63",G312)),0)+IFERROR(--ISNUMBER(SEARCH("R64",G312)),0)+IFERROR(--ISNUMBER(SEARCH("R65",G312)),0)+IFERROR(--ISNUMBER(SEARCH("R66",G312)),0)+IFERROR(--ISNUMBER(SEARCH("R67",G312)),0)+IFERROR(--ISNUMBER(SEARCH("R68",G312)),0)+IFERROR(--ISNUMBER(SEARCH("R69",G312)),0)+IFERROR(--ISNUMBER(SEARCH("R70",G312)),0)+IFERROR(--ISNUMBER(SEARCH("R71",G312)),0)+IFERROR(--ISNUMBER(SEARCH("R72",G312)),0)+IFERROR(--ISNUMBER(SEARCH("R73",G312)),0)+IFERROR(--ISNUMBER(SEARCH("R74",G312)),0)+IFERROR(--ISNUMBER(SEARCH("R75",G312)),0)+IFERROR(--ISNUMBER(SEARCH("R76",G312)),0)+IFERROR(--ISNUMBER(SEARCH("R77",G312)),0)+IFERROR(--ISNUMBER(SEARCH("R78",G312)),0)+IFERROR(--ISNUMBER(SEARCH("R79",G312)),0)+IFERROR(--ISNUMBER(SEARCH("R80",G312)),0)+IFERROR(--ISNUMBER(SEARCH("R81",G312)),0)+IFERROR(--ISNUMBER(SEARCH("R82",G312)),0)+IFERROR(--ISNUMBER(SEARCH("R83",G312)),0)+IFERROR(--ISNUMBER(SEARCH("R84",G312)),0)+IFERROR(--ISNUMBER(SEARCH("R85",G312)),0)+IFERROR(--ISNUMBER(SEARCH("R86",G312)),0)+IFERROR(--ISNUMBER(SEARCH("R87",G312)),0)+IFERROR(--ISNUMBER(SEARCH("R88",G312)),0)+IFERROR(--ISNUMBER(SEARCH("R89",G312)),0)+IFERROR(--ISNUMBER(SEARCH("R90",G312)),0)+IFERROR(--ISNUMBER(SEARCH("R91",G312)),0)+IFERROR(--ISNUMBER(SEARCH("R92",G312)),0)+IFERROR(--ISNUMBER(SEARCH("R93",G312)),0)+IFERROR(--ISNUMBER(SEARCH("R94",G312)),0)+IFERROR(--ISNUMBER(SEARCH("R95",G312)),0)+IFERROR(--ISNUMBER(SEARCH("R96",G312)),0)+IFERROR(--ISNUMBER(SEARCH("R97",G312)),0)+IFERROR(--ISNUMBER(SEARCH("R98",G312)),0)+IFERROR(--ISNUMBER(SEARCH("R99",G312)),0)+IFERROR(--ISNUMBER(SEARCH("R100",G312)),0)+IFERROR(--ISNUMBER(SEARCH("R101",G312)),0)+IFERROR(--ISNUMBER(SEARCH("R102",G312)),0)+IFERROR(--ISNUMBER(SEARCH("R103",G312)),0)+IFERROR(--ISNUMBER(SEARCH("R104",G312)),0)+IFERROR(--ISNUMBER(SEARCH("R105",G312)),0)+IFERROR(--ISNUMBER(SEARCH("R106",G312)),0)+IFERROR(--ISNUMBER(SEARCH("R107",G312)),0)+IFERROR(--ISNUMBER(SEARCH("R108",G312)),0)+IFERROR(--ISNUMBER(SEARCH("R109",G312)),0)+IFERROR(--ISNUMBER(SEARCH("R110",G312)),0)+IFERROR(--ISNUMBER(SEARCH("R111",G312)),0)+IFERROR(--ISNUMBER(SEARCH("R112",G312)),0)+IFERROR(--ISNUMBER(SEARCH("R113",G312)),0)+IFERROR(--ISNUMBER(SEARCH("R114",G312)),0)+IFERROR(--ISNUMBER(SEARCH("R115",G312)),0)+IFERROR(--ISNUMBER(SEARCH("R116",G312)),0)+IFERROR(--ISNUMBER(SEARCH("R117",G312)),0)+IFERROR(--ISNUMBER(SEARCH("R118",G312)),0)+IFERROR(--ISNUMBER(SEARCH("R119",G312)),0)+IFERROR(--ISNUMBER(SEARCH("R120",G312)),0)+IFERROR(--ISNUMBER(SEARCH("R121",G312)),0)+IFERROR(--ISNUMBER(SEARCH("R122",G312)),0)+IFERROR(--ISNUMBER(SEARCH("R123",G312)),0)+IFERROR(--ISNUMBER(SEARCH("R124",G312)),0)+IFERROR(--ISNUMBER(SEARCH("R125",G312)),0)+IFERROR(--ISNUMBER(SEARCH("R126",G312)),0)+IFERROR(--ISNUMBER(SEARCH("R127",G312)),0)+IFERROR(--ISNUMBER(SEARCH("R128",G312)),0)+IFERROR(--ISNUMBER(SEARCH("R129",G312)),0)+IFERROR(--ISNUMBER(SEARCH("R130",G312)),0)+IFERROR(--ISNUMBER(SEARCH("R131",G312)),0)+IFERROR(--ISNUMBER(SEARCH("R132",G312)),0)+IFERROR(--ISNUMBER(SEARCH("R133",G312)),0)+IFERROR(--ISNUMBER(SEARCH("R134",G312)),0)+IFERROR(--ISNUMBER(SEARCH("R135",G312)),0)+IFERROR(--ISNUMBER(SEARCH("R136",G312)),0)+IFERROR(--ISNUMBER(SEARCH("R137",G312)),0)+IFERROR(--ISNUMBER(SEARCH("R138",G312)),0)+IFERROR(--ISNUMBER(SEARCH("R139",G312)),0)+IFERROR(--ISNUMBER(SEARCH("R140",G312)),0)+IFERROR(--ISNUMBER(SEARCH("R141",G312)),0))</f>
        <v/>
      </c>
      <c r="T312" s="58">
        <f>IF(A312="","",IFERROR(--ISNUMBER(SEARCH("R28",G312)),0)+IFERROR(--ISNUMBER(SEARCH("R29",G312)),0)+IFERROR(--ISNUMBER(SEARCH("R30",G312)),0)+IFERROR(--ISNUMBER(SEARCH("R32",G312)),0)+IFERROR(--ISNUMBER(SEARCH("R33",G312)),0)+IFERROR(--ISNUMBER(SEARCH("R35",G312)),0)+IFERROR(--ISNUMBER(SEARCH("R36",G312)),0)+IFERROR(--ISNUMBER(SEARCH("R38",G312)),0)+IFERROR(--ISNUMBER(SEARCH("R39",G312)),0)+IFERROR(--ISNUMBER(SEARCH("R43",G312)),0)+IFERROR(--ISNUMBER(SEARCH("R44",G312)),0)+IFERROR(--ISNUMBER(SEARCH("R45",G312)),0)+IFERROR(--ISNUMBER(SEARCH("R47",G312)),0)+IFERROR(--ISNUMBER(SEARCH("R48",G312)),0)+IFERROR(--ISNUMBER(SEARCH("R50",G312)),0)+IFERROR(--ISNUMBER(SEARCH("R51",G312)),0)+IFERROR(--ISNUMBER(SEARCH("R56",G312)),0)+IFERROR(--ISNUMBER(SEARCH("R58",G312)),0)+IFERROR(--ISNUMBER(SEARCH("R59",G312)),0)+IFERROR(--ISNUMBER(SEARCH("R60",G312)),0)+IFERROR(--ISNUMBER(SEARCH("R62",G312)),0)+IFERROR(--ISNUMBER(SEARCH("R63",G312)),0)+IFERROR(--ISNUMBER(SEARCH("R64",G312)),0)+IFERROR(--ISNUMBER(SEARCH("R66",G312)),0)+IFERROR(--ISNUMBER(SEARCH("R67",G312)),0)+IFERROR(--ISNUMBER(SEARCH("R72",G312)),0)+IFERROR(--ISNUMBER(SEARCH("R74",G312)),0)+IFERROR(--ISNUMBER(SEARCH("R75",G312)),0)+IFERROR(--ISNUMBER(SEARCH("R76",G312)),0)+IFERROR(--ISNUMBER(SEARCH("R77",G312)),0)+IFERROR(--ISNUMBER(SEARCH("R79",G312)),0)+IFERROR(--ISNUMBER(SEARCH("R80",G312)),0)+IFERROR(--ISNUMBER(SEARCH("R81",G312)),0)+IFERROR(--ISNUMBER(SEARCH("R83",G312)),0)+IFERROR(--ISNUMBER(SEARCH("R84",G312)),0)+IFERROR(--ISNUMBER(SEARCH("R89",G312)),0)+IFERROR(--ISNUMBER(SEARCH("R94",G312)),0)+IFERROR(--ISNUMBER(SEARCH("R95",G312)),0)+IFERROR(--ISNUMBER(SEARCH("R96",G312)),0)+IFERROR(--ISNUMBER(SEARCH("R98",G312)),0)+IFERROR(--ISNUMBER(SEARCH("R99",G312)),0)+IFERROR(--ISNUMBER(SEARCH("R100",G312)),0)+IFERROR(--ISNUMBER(SEARCH("R104",G312)),0)+IFERROR(--ISNUMBER(SEARCH("R105",G312)),0)+IFERROR(--ISNUMBER(SEARCH("R107",G312)),0)+IFERROR(--ISNUMBER(SEARCH("R108",G312)),0)+IFERROR(--ISNUMBER(SEARCH("R109",G312)),0)+IFERROR(--ISNUMBER(SEARCH("R110",G312)),0)+IFERROR(--ISNUMBER(SEARCH("R112",G312)),0)+IFERROR(--ISNUMBER(SEARCH("R113",G312)),0)+IFERROR(--ISNUMBER(SEARCH("R114",G312)),0)+IFERROR(--ISNUMBER(SEARCH("R118",G312)),0)+IFERROR(--ISNUMBER(SEARCH("R119",G312)),0)+IFERROR(--ISNUMBER(SEARCH("R120",G312)),0)+IFERROR(--ISNUMBER(SEARCH("R122",G312)),0)+IFERROR(--ISNUMBER(SEARCH("R123",G312)),0)+IFERROR(--ISNUMBER(SEARCH("R124",G312)),0)+IFERROR(--ISNUMBER(SEARCH("R128",G312)),0)+IFERROR(--ISNUMBER(SEARCH("R130",G312)),0)+IFERROR(--ISNUMBER(SEARCH("R131",G312)),0)+IFERROR(--ISNUMBER(SEARCH("R132",G312)),0)+IFERROR(--ISNUMBER(SEARCH("R135",G312)),0)+IFERROR(--ISNUMBER(SEARCH("R138",G312)),0)+IFERROR(--ISNUMBER(SEARCH("R141",G312)),0))</f>
        <v/>
      </c>
      <c r="U312" s="58">
        <f>IF(A312="","",IFERROR(--ISNUMBER(SEARCH("R28",G312))*28,0)+IFERROR(--ISNUMBER(SEARCH("R29",G312))*29,0)+IFERROR(--ISNUMBER(SEARCH("R30",G312))*30,0)+IFERROR(--ISNUMBER(SEARCH("R31",G312))*31,0)+IFERROR(--ISNUMBER(SEARCH("R32",G312))*32,0)+IFERROR(--ISNUMBER(SEARCH("R33",G312))*33,0)+IFERROR(--ISNUMBER(SEARCH("R34",G312))*34,0)+IFERROR(--ISNUMBER(SEARCH("R35",G312))*35,0)+IFERROR(--ISNUMBER(SEARCH("R36",G312))*36,0)+IFERROR(--ISNUMBER(SEARCH("R37",G312))*37,0)+IFERROR(--ISNUMBER(SEARCH("R38",G312))*38,0)+IFERROR(--ISNUMBER(SEARCH("R39",G312))*39,0)+IFERROR(--ISNUMBER(SEARCH("R40",G312))*40,0)+IFERROR(--ISNUMBER(SEARCH("R41",G312))*41,0)+IFERROR(--ISNUMBER(SEARCH("R42",G312))*42,0)+IFERROR(--ISNUMBER(SEARCH("R43",G312))*43,0)+IFERROR(--ISNUMBER(SEARCH("R44",G312))*44,0)+IFERROR(--ISNUMBER(SEARCH("R45",G312))*45,0)+IFERROR(--ISNUMBER(SEARCH("R46",G312))*46,0)+IFERROR(--ISNUMBER(SEARCH("R47",G312))*47,0)+IFERROR(--ISNUMBER(SEARCH("R48",G312))*48,0)+IFERROR(--ISNUMBER(SEARCH("R49",G312))*49,0)+IFERROR(--ISNUMBER(SEARCH("R50",G312))*50,0)+IFERROR(--ISNUMBER(SEARCH("R51",G312))*51,0)+IFERROR(--ISNUMBER(SEARCH("R52",G312))*52,0)+IFERROR(--ISNUMBER(SEARCH("R53",G312))*53,0)+IFERROR(--ISNUMBER(SEARCH("R54",G312))*54,0)+IFERROR(--ISNUMBER(SEARCH("R55",G312))*55,0)+IFERROR(--ISNUMBER(SEARCH("R56",G312))*56,0)+IFERROR(--ISNUMBER(SEARCH("R57",G312))*57,0)+IFERROR(--ISNUMBER(SEARCH("R58",G312))*58,0)+IFERROR(--ISNUMBER(SEARCH("R59",G312))*59,0)+IFERROR(--ISNUMBER(SEARCH("R60",G312))*60,0)+IFERROR(--ISNUMBER(SEARCH("R61",G312))*61,0)+IFERROR(--ISNUMBER(SEARCH("R62",G312))*62,0)+IFERROR(--ISNUMBER(SEARCH("R63",G312))*63,0)+IFERROR(--ISNUMBER(SEARCH("R64",G312))*64,0)+IFERROR(--ISNUMBER(SEARCH("R65",G312))*65,0)+IFERROR(--ISNUMBER(SEARCH("R66",G312))*66,0)+IFERROR(--ISNUMBER(SEARCH("R67",G312))*67,0)+IFERROR(--ISNUMBER(SEARCH("R68",G312))*68,0)+IFERROR(--ISNUMBER(SEARCH("R69",G312))*69,0)+IFERROR(--ISNUMBER(SEARCH("R70",G312))*70,0)+IFERROR(--ISNUMBER(SEARCH("R71",G312))*71,0)+IFERROR(--ISNUMBER(SEARCH("R72",G312))*72,0)+IFERROR(--ISNUMBER(SEARCH("R73",G312))*73,0)+IFERROR(--ISNUMBER(SEARCH("R74",G312))*74,0)+IFERROR(--ISNUMBER(SEARCH("R75",G312))*75,0)+IFERROR(--ISNUMBER(SEARCH("R76",G312))*76,0)+IFERROR(--ISNUMBER(SEARCH("R77",G312))*77,0)+IFERROR(--ISNUMBER(SEARCH("R78",G312))*78,0)+IFERROR(--ISNUMBER(SEARCH("R79",G312))*79,0)+IFERROR(--ISNUMBER(SEARCH("R80",G312))*80,0)+IFERROR(--ISNUMBER(SEARCH("R81",G312))*81,0)+IFERROR(--ISNUMBER(SEARCH("R82",G312))*82,0)+IFERROR(--ISNUMBER(SEARCH("R83",G312))*83,0)+IFERROR(--ISNUMBER(SEARCH("R84",G312))*84,0)+IFERROR(--ISNUMBER(SEARCH("R85",G312))*85,0)+IFERROR(--ISNUMBER(SEARCH("R86",G312))*86,0)+IFERROR(--ISNUMBER(SEARCH("R87",G312))*87,0)+IFERROR(--ISNUMBER(SEARCH("R88",G312))*88,0)+IFERROR(--ISNUMBER(SEARCH("R89",G312))*89,0)+IFERROR(--ISNUMBER(SEARCH("R90",G312))*90,0)+IFERROR(--ISNUMBER(SEARCH("R91",G312))*91,0)+IFERROR(--ISNUMBER(SEARCH("R92",G312))*92,0)+IFERROR(--ISNUMBER(SEARCH("R93",G312))*93,0)+IFERROR(--ISNUMBER(SEARCH("R94",G312))*94,0)+IFERROR(--ISNUMBER(SEARCH("R95",G312))*95,0)+IFERROR(--ISNUMBER(SEARCH("R96",G312))*96,0)+IFERROR(--ISNUMBER(SEARCH("R97",G312))*97,0)+IFERROR(--ISNUMBER(SEARCH("R98",G312))*98,0)+IFERROR(--ISNUMBER(SEARCH("R99",G312))*99,0)+IFERROR(--ISNUMBER(SEARCH("R100",G312))*100,0)+IFERROR(--ISNUMBER(SEARCH("R101",G312))*101,0)+IFERROR(--ISNUMBER(SEARCH("R102",G312))*102,0)+IFERROR(--ISNUMBER(SEARCH("R103",G312))*103,0)+IFERROR(--ISNUMBER(SEARCH("R104",G312))*104,0)+IFERROR(--ISNUMBER(SEARCH("R105",G312))*105,0)+IFERROR(--ISNUMBER(SEARCH("R106",G312))*106,0)+IFERROR(--ISNUMBER(SEARCH("R107",G312))*107,0)+IFERROR(--ISNUMBER(SEARCH("R108",G312))*108,0)+IFERROR(--ISNUMBER(SEARCH("R109",G312))*109,0)+IFERROR(--ISNUMBER(SEARCH("R110",G312))*110,0)+IFERROR(--ISNUMBER(SEARCH("R111",G312))*111,0)+IFERROR(--ISNUMBER(SEARCH("R112",G312))*112,0)+IFERROR(--ISNUMBER(SEARCH("R113",G312))*113,0)+IFERROR(--ISNUMBER(SEARCH("R114",G312))*114,0)+IFERROR(--ISNUMBER(SEARCH("R115",G312))*115,0)+IFERROR(--ISNUMBER(SEARCH("R116",G312))*116,0)+IFERROR(--ISNUMBER(SEARCH("R117",G312))*117,0)+IFERROR(--ISNUMBER(SEARCH("R118",G312))*118,0)+IFERROR(--ISNUMBER(SEARCH("R119",G312))*119,0)+IFERROR(--ISNUMBER(SEARCH("R120",G312))*120,0)+IFERROR(--ISNUMBER(SEARCH("R121",G312))*121,0)+IFERROR(--ISNUMBER(SEARCH("R122",G312))*122,0)+IFERROR(--ISNUMBER(SEARCH("R123",G312))*123,0)+IFERROR(--ISNUMBER(SEARCH("R124",G312))*124,0)+IFERROR(--ISNUMBER(SEARCH("R125",G312))*125,0)+IFERROR(--ISNUMBER(SEARCH("R126",G312))*126,0)+IFERROR(--ISNUMBER(SEARCH("R127",G312))*127,0)+IFERROR(--ISNUMBER(SEARCH("R128",G312))*128,0)+IFERROR(--ISNUMBER(SEARCH("R129",G312))*129,0)+IFERROR(--ISNUMBER(SEARCH("R130",G312))*130,0)+IFERROR(--ISNUMBER(SEARCH("R131",G312))*131,0)+IFERROR(--ISNUMBER(SEARCH("R132",G312))*132,0)+IFERROR(--ISNUMBER(SEARCH("R133",G312))*133,0)+IFERROR(--ISNUMBER(SEARCH("R134",G312))*134,0)+IFERROR(--ISNUMBER(SEARCH("R135",G312))*135,0)+IFERROR(--ISNUMBER(SEARCH("R136",G312))*136,0)+IFERROR(--ISNUMBER(SEARCH("R137",G312))*137,0)+IFERROR(--ISNUMBER(SEARCH("R138",G312))*138,0)+IFERROR(--ISNUMBER(SEARCH("R139",G312))*139,0)+IFERROR(--ISNUMBER(SEARCH("R140",G312))*140,0)+IFERROR(--ISNUMBER(SEARCH("R141",G312))*141,0))</f>
        <v/>
      </c>
      <c r="V312" s="59">
        <f>IF(A312="","",IF(K312&lt;&gt;"",K312,J312))</f>
        <v/>
      </c>
      <c r="W312" s="59">
        <f>IF(A312="","",IF(AND(V312=29,O312&lt;&gt;"",COUNTIFS($V$6:$V$505,29,$F$6:$F$505,F312,$C$6:$C$505,C312,$O$6:$O$505,"&lt;&gt;")&gt;1),IF(COUNTIFS($V$6:V312,29,$F$6:F312,F312,$C$6:C312,C312,$O$6:O312,"&lt;&gt;")=1,"Esta es la fila que se debe CONSERVAR (aparición 1 de "&amp;COUNTIFS($V$6:$V$505,29,$F$6:$F$505,F312,$C$6:$C$505,C312,$O$6:$O$505,"&lt;&gt;")&amp;" con el mismo tercero y valor, casilla 29). Si hay más filas iguales, bórreles el valor a ELLAS, no a esta.","DUPLICADO — ya existe otra fila con el mismo tercero y valor para casilla 29 (aparición "&amp;COUNTIFS($V$6:V312,29,$F$6:F312,F312,$C$6:C312,C312,$O$6:O312,"&lt;&gt;")&amp;" de "&amp;COUNTIFS($V$6:$V$505,29,$F$6:$F$505,F312,$C$6:$C$505,C312,$O$6:$O$505,"&lt;&gt;")&amp;"). Para resolverlo: seleccione la celda O"&amp;ROW()&amp;" (columna Valor a declarar de ESTA fila) y presione Supr."),""))</f>
        <v/>
      </c>
      <c r="X312" s="463">
        <f>IF(A312="","",F312)</f>
        <v/>
      </c>
      <c r="Y312" s="463">
        <f>IF(A312="","",SUMIF(Entrada_Manual!$I$88:$I$187,A312,Entrada_Manual!$F$88:$F$187))</f>
        <v/>
      </c>
      <c r="Z312" s="463">
        <f>IF(A312="","",X312-Y312)</f>
        <v/>
      </c>
      <c r="AA312">
        <f>IF(A312="","",SUMPRODUCT((Entrada_Manual!$I$88:$I$187=A312)*1))</f>
        <v/>
      </c>
      <c r="AB312">
        <f>IF(A312="","",IF(S312&lt;=1,"",IF(AA312=0,"PENDIENTE — SIN ASIGNAR",IF(Z312=0,"RESUELTO","PARCIAL — DIFERENCIA "&amp;TEXT(Z312,"#,##0")))))</f>
        <v/>
      </c>
    </row>
    <row r="313" ht="14.25" customHeight="1" s="235">
      <c r="A313" s="47">
        <f>IF(Exogena_RAW!E322&lt;&gt;"",ROW()-5,"")</f>
        <v/>
      </c>
      <c r="B313" s="48">
        <f>IF(A313="","",322)</f>
        <v/>
      </c>
      <c r="C313" s="48">
        <f>IF(A313="","",IFERROR(Exogena_RAW!A322,""))</f>
        <v/>
      </c>
      <c r="D313" s="48">
        <f>IF(A313="","",IFERROR(Exogena_RAW!B322,""))</f>
        <v/>
      </c>
      <c r="E313" s="48">
        <f>IF(A313="","",Exogena_RAW!E322)</f>
        <v/>
      </c>
      <c r="F313" s="461">
        <f>IF(A313="","",Exogena_RAW!F322)</f>
        <v/>
      </c>
      <c r="G313" s="48">
        <f>IF(A313="","",IFERROR(Exogena_RAW!G322,""))</f>
        <v/>
      </c>
      <c r="H313" s="48">
        <f>IF(A313="","",IFERROR(Exogena_RAW!H322,""))</f>
        <v/>
      </c>
      <c r="I313" s="48">
        <f>IF(A313="","",IFERROR(IF(S313&gt;1,"VARIAS CASILLAS",IF(S313=1,IF(T313=1,"PROPUESTA DE CASILLA","REVISIÓN: CASILLA NO DIRECTA"),IF(OR(ISNUMBER(SEARCH("TOPE",UPPER(E313))),ISNUMBER(SEARCH("TOPE",UPPER(G313)))),"SOLO CONTROL",IF(ISNUMBER(SEARCH("RETEN",UPPER(E313))),"RETENCIÓN","REVISAR")))),"REVISAR"))</f>
        <v/>
      </c>
      <c r="J313" s="48">
        <f>IF(A313="","",IF(ISNUMBER(SEARCH("ingreso laboral promedio de los últimos seis meses",E313)),"",IFERROR(IF(AND(S313=1,T313=1),U313,""),"")))</f>
        <v/>
      </c>
      <c r="K313" s="216" t="n"/>
      <c r="L313" s="48">
        <f>IF(A313="","",IFERROR(IF(K313&lt;&gt;"","Casilla elegida por usuario",IF(S313&gt;1,"Varias casillas — elegir en K",IF(J313&lt;&gt;"","Sugerencia directa",IF(S313=1,"No trasladar directo — revisar",IF(OR(ISNUMBER(SEARCH("TOPE",UPPER(E313))),ISNUMBER(SEARCH("TOPE",UPPER(G313)))),"Solo control","Revisar manualmente"))))),"Revisar manualmente"))</f>
        <v/>
      </c>
      <c r="M313" s="461">
        <f>IF(A313="","",IF(IF(K313&lt;&gt;"",K313,J313)="",0,IF(COUNTIFS(Reglas!$I$5:$I$118,IF(K313&lt;&gt;"",K313,J313),Reglas!$J$5:$J$118,"Sí")=1,F313,0)))</f>
        <v/>
      </c>
      <c r="N313" s="56" t="n"/>
      <c r="O313" s="462">
        <f>IF(A313="","",IF(M313=0,"",M313))</f>
        <v/>
      </c>
      <c r="P313" s="461">
        <f>IF(A313="","",IF(O313="",0,IF(ISNUMBER(O313),O313,0)))</f>
        <v/>
      </c>
      <c r="Q313" s="48">
        <f>IF(A313="","",IF(Exogena_RAW!$C$4="","BLOQUEADO: FALTA AÑO",IF(Exogena_RAW!$K$10&lt;&gt;Reglas!$B$5,"BLOQUEADO: AÑO",IF(IF(K313&lt;&gt;"",K313,J313)="",IF(S313&gt;1,"REQUIERE ASIGNACIÓN MANUAL (VARIAS CASILLAS)","INFORMATIVO (sin casilla — no se declara)"),IF(COUNTIFS(Reglas!$I$5:$I$118,IF(K313&lt;&gt;"",K313,J313),Reglas!$J$5:$J$118,"Sí")=0,"BLOQUEADO: CASILLA NO DIRECTA",IF(O313="","EXCLUIDO (valor borrado por el usuario)",IF(_xlfn.ISFORMULA(O313),IF(W313&lt;&gt;"","BORRADOR — VALOR SUGERIDO DIAN ⚠ VER ALERTA","BORRADOR — VALOR SUGERIDO DIAN"),IF(W313&lt;&gt;"","ACEPTADO ⚠ VER ALERTA","ACEPTADO"))))))))</f>
        <v/>
      </c>
      <c r="R313" s="218" t="n"/>
      <c r="S313" s="58">
        <f>IF(A313="","",IFERROR(--ISNUMBER(SEARCH("R28",G313)),0)+IFERROR(--ISNUMBER(SEARCH("R29",G313)),0)+IFERROR(--ISNUMBER(SEARCH("R30",G313)),0)+IFERROR(--ISNUMBER(SEARCH("R31",G313)),0)+IFERROR(--ISNUMBER(SEARCH("R32",G313)),0)+IFERROR(--ISNUMBER(SEARCH("R33",G313)),0)+IFERROR(--ISNUMBER(SEARCH("R34",G313)),0)+IFERROR(--ISNUMBER(SEARCH("R35",G313)),0)+IFERROR(--ISNUMBER(SEARCH("R36",G313)),0)+IFERROR(--ISNUMBER(SEARCH("R37",G313)),0)+IFERROR(--ISNUMBER(SEARCH("R38",G313)),0)+IFERROR(--ISNUMBER(SEARCH("R39",G313)),0)+IFERROR(--ISNUMBER(SEARCH("R40",G313)),0)+IFERROR(--ISNUMBER(SEARCH("R41",G313)),0)+IFERROR(--ISNUMBER(SEARCH("R42",G313)),0)+IFERROR(--ISNUMBER(SEARCH("R43",G313)),0)+IFERROR(--ISNUMBER(SEARCH("R44",G313)),0)+IFERROR(--ISNUMBER(SEARCH("R45",G313)),0)+IFERROR(--ISNUMBER(SEARCH("R46",G313)),0)+IFERROR(--ISNUMBER(SEARCH("R47",G313)),0)+IFERROR(--ISNUMBER(SEARCH("R48",G313)),0)+IFERROR(--ISNUMBER(SEARCH("R49",G313)),0)+IFERROR(--ISNUMBER(SEARCH("R50",G313)),0)+IFERROR(--ISNUMBER(SEARCH("R51",G313)),0)+IFERROR(--ISNUMBER(SEARCH("R52",G313)),0)+IFERROR(--ISNUMBER(SEARCH("R53",G313)),0)+IFERROR(--ISNUMBER(SEARCH("R54",G313)),0)+IFERROR(--ISNUMBER(SEARCH("R55",G313)),0)+IFERROR(--ISNUMBER(SEARCH("R56",G313)),0)+IFERROR(--ISNUMBER(SEARCH("R57",G313)),0)+IFERROR(--ISNUMBER(SEARCH("R58",G313)),0)+IFERROR(--ISNUMBER(SEARCH("R59",G313)),0)+IFERROR(--ISNUMBER(SEARCH("R60",G313)),0)+IFERROR(--ISNUMBER(SEARCH("R61",G313)),0)+IFERROR(--ISNUMBER(SEARCH("R62",G313)),0)+IFERROR(--ISNUMBER(SEARCH("R63",G313)),0)+IFERROR(--ISNUMBER(SEARCH("R64",G313)),0)+IFERROR(--ISNUMBER(SEARCH("R65",G313)),0)+IFERROR(--ISNUMBER(SEARCH("R66",G313)),0)+IFERROR(--ISNUMBER(SEARCH("R67",G313)),0)+IFERROR(--ISNUMBER(SEARCH("R68",G313)),0)+IFERROR(--ISNUMBER(SEARCH("R69",G313)),0)+IFERROR(--ISNUMBER(SEARCH("R70",G313)),0)+IFERROR(--ISNUMBER(SEARCH("R71",G313)),0)+IFERROR(--ISNUMBER(SEARCH("R72",G313)),0)+IFERROR(--ISNUMBER(SEARCH("R73",G313)),0)+IFERROR(--ISNUMBER(SEARCH("R74",G313)),0)+IFERROR(--ISNUMBER(SEARCH("R75",G313)),0)+IFERROR(--ISNUMBER(SEARCH("R76",G313)),0)+IFERROR(--ISNUMBER(SEARCH("R77",G313)),0)+IFERROR(--ISNUMBER(SEARCH("R78",G313)),0)+IFERROR(--ISNUMBER(SEARCH("R79",G313)),0)+IFERROR(--ISNUMBER(SEARCH("R80",G313)),0)+IFERROR(--ISNUMBER(SEARCH("R81",G313)),0)+IFERROR(--ISNUMBER(SEARCH("R82",G313)),0)+IFERROR(--ISNUMBER(SEARCH("R83",G313)),0)+IFERROR(--ISNUMBER(SEARCH("R84",G313)),0)+IFERROR(--ISNUMBER(SEARCH("R85",G313)),0)+IFERROR(--ISNUMBER(SEARCH("R86",G313)),0)+IFERROR(--ISNUMBER(SEARCH("R87",G313)),0)+IFERROR(--ISNUMBER(SEARCH("R88",G313)),0)+IFERROR(--ISNUMBER(SEARCH("R89",G313)),0)+IFERROR(--ISNUMBER(SEARCH("R90",G313)),0)+IFERROR(--ISNUMBER(SEARCH("R91",G313)),0)+IFERROR(--ISNUMBER(SEARCH("R92",G313)),0)+IFERROR(--ISNUMBER(SEARCH("R93",G313)),0)+IFERROR(--ISNUMBER(SEARCH("R94",G313)),0)+IFERROR(--ISNUMBER(SEARCH("R95",G313)),0)+IFERROR(--ISNUMBER(SEARCH("R96",G313)),0)+IFERROR(--ISNUMBER(SEARCH("R97",G313)),0)+IFERROR(--ISNUMBER(SEARCH("R98",G313)),0)+IFERROR(--ISNUMBER(SEARCH("R99",G313)),0)+IFERROR(--ISNUMBER(SEARCH("R100",G313)),0)+IFERROR(--ISNUMBER(SEARCH("R101",G313)),0)+IFERROR(--ISNUMBER(SEARCH("R102",G313)),0)+IFERROR(--ISNUMBER(SEARCH("R103",G313)),0)+IFERROR(--ISNUMBER(SEARCH("R104",G313)),0)+IFERROR(--ISNUMBER(SEARCH("R105",G313)),0)+IFERROR(--ISNUMBER(SEARCH("R106",G313)),0)+IFERROR(--ISNUMBER(SEARCH("R107",G313)),0)+IFERROR(--ISNUMBER(SEARCH("R108",G313)),0)+IFERROR(--ISNUMBER(SEARCH("R109",G313)),0)+IFERROR(--ISNUMBER(SEARCH("R110",G313)),0)+IFERROR(--ISNUMBER(SEARCH("R111",G313)),0)+IFERROR(--ISNUMBER(SEARCH("R112",G313)),0)+IFERROR(--ISNUMBER(SEARCH("R113",G313)),0)+IFERROR(--ISNUMBER(SEARCH("R114",G313)),0)+IFERROR(--ISNUMBER(SEARCH("R115",G313)),0)+IFERROR(--ISNUMBER(SEARCH("R116",G313)),0)+IFERROR(--ISNUMBER(SEARCH("R117",G313)),0)+IFERROR(--ISNUMBER(SEARCH("R118",G313)),0)+IFERROR(--ISNUMBER(SEARCH("R119",G313)),0)+IFERROR(--ISNUMBER(SEARCH("R120",G313)),0)+IFERROR(--ISNUMBER(SEARCH("R121",G313)),0)+IFERROR(--ISNUMBER(SEARCH("R122",G313)),0)+IFERROR(--ISNUMBER(SEARCH("R123",G313)),0)+IFERROR(--ISNUMBER(SEARCH("R124",G313)),0)+IFERROR(--ISNUMBER(SEARCH("R125",G313)),0)+IFERROR(--ISNUMBER(SEARCH("R126",G313)),0)+IFERROR(--ISNUMBER(SEARCH("R127",G313)),0)+IFERROR(--ISNUMBER(SEARCH("R128",G313)),0)+IFERROR(--ISNUMBER(SEARCH("R129",G313)),0)+IFERROR(--ISNUMBER(SEARCH("R130",G313)),0)+IFERROR(--ISNUMBER(SEARCH("R131",G313)),0)+IFERROR(--ISNUMBER(SEARCH("R132",G313)),0)+IFERROR(--ISNUMBER(SEARCH("R133",G313)),0)+IFERROR(--ISNUMBER(SEARCH("R134",G313)),0)+IFERROR(--ISNUMBER(SEARCH("R135",G313)),0)+IFERROR(--ISNUMBER(SEARCH("R136",G313)),0)+IFERROR(--ISNUMBER(SEARCH("R137",G313)),0)+IFERROR(--ISNUMBER(SEARCH("R138",G313)),0)+IFERROR(--ISNUMBER(SEARCH("R139",G313)),0)+IFERROR(--ISNUMBER(SEARCH("R140",G313)),0)+IFERROR(--ISNUMBER(SEARCH("R141",G313)),0))</f>
        <v/>
      </c>
      <c r="T313" s="58">
        <f>IF(A313="","",IFERROR(--ISNUMBER(SEARCH("R28",G313)),0)+IFERROR(--ISNUMBER(SEARCH("R29",G313)),0)+IFERROR(--ISNUMBER(SEARCH("R30",G313)),0)+IFERROR(--ISNUMBER(SEARCH("R32",G313)),0)+IFERROR(--ISNUMBER(SEARCH("R33",G313)),0)+IFERROR(--ISNUMBER(SEARCH("R35",G313)),0)+IFERROR(--ISNUMBER(SEARCH("R36",G313)),0)+IFERROR(--ISNUMBER(SEARCH("R38",G313)),0)+IFERROR(--ISNUMBER(SEARCH("R39",G313)),0)+IFERROR(--ISNUMBER(SEARCH("R43",G313)),0)+IFERROR(--ISNUMBER(SEARCH("R44",G313)),0)+IFERROR(--ISNUMBER(SEARCH("R45",G313)),0)+IFERROR(--ISNUMBER(SEARCH("R47",G313)),0)+IFERROR(--ISNUMBER(SEARCH("R48",G313)),0)+IFERROR(--ISNUMBER(SEARCH("R50",G313)),0)+IFERROR(--ISNUMBER(SEARCH("R51",G313)),0)+IFERROR(--ISNUMBER(SEARCH("R56",G313)),0)+IFERROR(--ISNUMBER(SEARCH("R58",G313)),0)+IFERROR(--ISNUMBER(SEARCH("R59",G313)),0)+IFERROR(--ISNUMBER(SEARCH("R60",G313)),0)+IFERROR(--ISNUMBER(SEARCH("R62",G313)),0)+IFERROR(--ISNUMBER(SEARCH("R63",G313)),0)+IFERROR(--ISNUMBER(SEARCH("R64",G313)),0)+IFERROR(--ISNUMBER(SEARCH("R66",G313)),0)+IFERROR(--ISNUMBER(SEARCH("R67",G313)),0)+IFERROR(--ISNUMBER(SEARCH("R72",G313)),0)+IFERROR(--ISNUMBER(SEARCH("R74",G313)),0)+IFERROR(--ISNUMBER(SEARCH("R75",G313)),0)+IFERROR(--ISNUMBER(SEARCH("R76",G313)),0)+IFERROR(--ISNUMBER(SEARCH("R77",G313)),0)+IFERROR(--ISNUMBER(SEARCH("R79",G313)),0)+IFERROR(--ISNUMBER(SEARCH("R80",G313)),0)+IFERROR(--ISNUMBER(SEARCH("R81",G313)),0)+IFERROR(--ISNUMBER(SEARCH("R83",G313)),0)+IFERROR(--ISNUMBER(SEARCH("R84",G313)),0)+IFERROR(--ISNUMBER(SEARCH("R89",G313)),0)+IFERROR(--ISNUMBER(SEARCH("R94",G313)),0)+IFERROR(--ISNUMBER(SEARCH("R95",G313)),0)+IFERROR(--ISNUMBER(SEARCH("R96",G313)),0)+IFERROR(--ISNUMBER(SEARCH("R98",G313)),0)+IFERROR(--ISNUMBER(SEARCH("R99",G313)),0)+IFERROR(--ISNUMBER(SEARCH("R100",G313)),0)+IFERROR(--ISNUMBER(SEARCH("R104",G313)),0)+IFERROR(--ISNUMBER(SEARCH("R105",G313)),0)+IFERROR(--ISNUMBER(SEARCH("R107",G313)),0)+IFERROR(--ISNUMBER(SEARCH("R108",G313)),0)+IFERROR(--ISNUMBER(SEARCH("R109",G313)),0)+IFERROR(--ISNUMBER(SEARCH("R110",G313)),0)+IFERROR(--ISNUMBER(SEARCH("R112",G313)),0)+IFERROR(--ISNUMBER(SEARCH("R113",G313)),0)+IFERROR(--ISNUMBER(SEARCH("R114",G313)),0)+IFERROR(--ISNUMBER(SEARCH("R118",G313)),0)+IFERROR(--ISNUMBER(SEARCH("R119",G313)),0)+IFERROR(--ISNUMBER(SEARCH("R120",G313)),0)+IFERROR(--ISNUMBER(SEARCH("R122",G313)),0)+IFERROR(--ISNUMBER(SEARCH("R123",G313)),0)+IFERROR(--ISNUMBER(SEARCH("R124",G313)),0)+IFERROR(--ISNUMBER(SEARCH("R128",G313)),0)+IFERROR(--ISNUMBER(SEARCH("R130",G313)),0)+IFERROR(--ISNUMBER(SEARCH("R131",G313)),0)+IFERROR(--ISNUMBER(SEARCH("R132",G313)),0)+IFERROR(--ISNUMBER(SEARCH("R135",G313)),0)+IFERROR(--ISNUMBER(SEARCH("R138",G313)),0)+IFERROR(--ISNUMBER(SEARCH("R141",G313)),0))</f>
        <v/>
      </c>
      <c r="U313" s="58">
        <f>IF(A313="","",IFERROR(--ISNUMBER(SEARCH("R28",G313))*28,0)+IFERROR(--ISNUMBER(SEARCH("R29",G313))*29,0)+IFERROR(--ISNUMBER(SEARCH("R30",G313))*30,0)+IFERROR(--ISNUMBER(SEARCH("R31",G313))*31,0)+IFERROR(--ISNUMBER(SEARCH("R32",G313))*32,0)+IFERROR(--ISNUMBER(SEARCH("R33",G313))*33,0)+IFERROR(--ISNUMBER(SEARCH("R34",G313))*34,0)+IFERROR(--ISNUMBER(SEARCH("R35",G313))*35,0)+IFERROR(--ISNUMBER(SEARCH("R36",G313))*36,0)+IFERROR(--ISNUMBER(SEARCH("R37",G313))*37,0)+IFERROR(--ISNUMBER(SEARCH("R38",G313))*38,0)+IFERROR(--ISNUMBER(SEARCH("R39",G313))*39,0)+IFERROR(--ISNUMBER(SEARCH("R40",G313))*40,0)+IFERROR(--ISNUMBER(SEARCH("R41",G313))*41,0)+IFERROR(--ISNUMBER(SEARCH("R42",G313))*42,0)+IFERROR(--ISNUMBER(SEARCH("R43",G313))*43,0)+IFERROR(--ISNUMBER(SEARCH("R44",G313))*44,0)+IFERROR(--ISNUMBER(SEARCH("R45",G313))*45,0)+IFERROR(--ISNUMBER(SEARCH("R46",G313))*46,0)+IFERROR(--ISNUMBER(SEARCH("R47",G313))*47,0)+IFERROR(--ISNUMBER(SEARCH("R48",G313))*48,0)+IFERROR(--ISNUMBER(SEARCH("R49",G313))*49,0)+IFERROR(--ISNUMBER(SEARCH("R50",G313))*50,0)+IFERROR(--ISNUMBER(SEARCH("R51",G313))*51,0)+IFERROR(--ISNUMBER(SEARCH("R52",G313))*52,0)+IFERROR(--ISNUMBER(SEARCH("R53",G313))*53,0)+IFERROR(--ISNUMBER(SEARCH("R54",G313))*54,0)+IFERROR(--ISNUMBER(SEARCH("R55",G313))*55,0)+IFERROR(--ISNUMBER(SEARCH("R56",G313))*56,0)+IFERROR(--ISNUMBER(SEARCH("R57",G313))*57,0)+IFERROR(--ISNUMBER(SEARCH("R58",G313))*58,0)+IFERROR(--ISNUMBER(SEARCH("R59",G313))*59,0)+IFERROR(--ISNUMBER(SEARCH("R60",G313))*60,0)+IFERROR(--ISNUMBER(SEARCH("R61",G313))*61,0)+IFERROR(--ISNUMBER(SEARCH("R62",G313))*62,0)+IFERROR(--ISNUMBER(SEARCH("R63",G313))*63,0)+IFERROR(--ISNUMBER(SEARCH("R64",G313))*64,0)+IFERROR(--ISNUMBER(SEARCH("R65",G313))*65,0)+IFERROR(--ISNUMBER(SEARCH("R66",G313))*66,0)+IFERROR(--ISNUMBER(SEARCH("R67",G313))*67,0)+IFERROR(--ISNUMBER(SEARCH("R68",G313))*68,0)+IFERROR(--ISNUMBER(SEARCH("R69",G313))*69,0)+IFERROR(--ISNUMBER(SEARCH("R70",G313))*70,0)+IFERROR(--ISNUMBER(SEARCH("R71",G313))*71,0)+IFERROR(--ISNUMBER(SEARCH("R72",G313))*72,0)+IFERROR(--ISNUMBER(SEARCH("R73",G313))*73,0)+IFERROR(--ISNUMBER(SEARCH("R74",G313))*74,0)+IFERROR(--ISNUMBER(SEARCH("R75",G313))*75,0)+IFERROR(--ISNUMBER(SEARCH("R76",G313))*76,0)+IFERROR(--ISNUMBER(SEARCH("R77",G313))*77,0)+IFERROR(--ISNUMBER(SEARCH("R78",G313))*78,0)+IFERROR(--ISNUMBER(SEARCH("R79",G313))*79,0)+IFERROR(--ISNUMBER(SEARCH("R80",G313))*80,0)+IFERROR(--ISNUMBER(SEARCH("R81",G313))*81,0)+IFERROR(--ISNUMBER(SEARCH("R82",G313))*82,0)+IFERROR(--ISNUMBER(SEARCH("R83",G313))*83,0)+IFERROR(--ISNUMBER(SEARCH("R84",G313))*84,0)+IFERROR(--ISNUMBER(SEARCH("R85",G313))*85,0)+IFERROR(--ISNUMBER(SEARCH("R86",G313))*86,0)+IFERROR(--ISNUMBER(SEARCH("R87",G313))*87,0)+IFERROR(--ISNUMBER(SEARCH("R88",G313))*88,0)+IFERROR(--ISNUMBER(SEARCH("R89",G313))*89,0)+IFERROR(--ISNUMBER(SEARCH("R90",G313))*90,0)+IFERROR(--ISNUMBER(SEARCH("R91",G313))*91,0)+IFERROR(--ISNUMBER(SEARCH("R92",G313))*92,0)+IFERROR(--ISNUMBER(SEARCH("R93",G313))*93,0)+IFERROR(--ISNUMBER(SEARCH("R94",G313))*94,0)+IFERROR(--ISNUMBER(SEARCH("R95",G313))*95,0)+IFERROR(--ISNUMBER(SEARCH("R96",G313))*96,0)+IFERROR(--ISNUMBER(SEARCH("R97",G313))*97,0)+IFERROR(--ISNUMBER(SEARCH("R98",G313))*98,0)+IFERROR(--ISNUMBER(SEARCH("R99",G313))*99,0)+IFERROR(--ISNUMBER(SEARCH("R100",G313))*100,0)+IFERROR(--ISNUMBER(SEARCH("R101",G313))*101,0)+IFERROR(--ISNUMBER(SEARCH("R102",G313))*102,0)+IFERROR(--ISNUMBER(SEARCH("R103",G313))*103,0)+IFERROR(--ISNUMBER(SEARCH("R104",G313))*104,0)+IFERROR(--ISNUMBER(SEARCH("R105",G313))*105,0)+IFERROR(--ISNUMBER(SEARCH("R106",G313))*106,0)+IFERROR(--ISNUMBER(SEARCH("R107",G313))*107,0)+IFERROR(--ISNUMBER(SEARCH("R108",G313))*108,0)+IFERROR(--ISNUMBER(SEARCH("R109",G313))*109,0)+IFERROR(--ISNUMBER(SEARCH("R110",G313))*110,0)+IFERROR(--ISNUMBER(SEARCH("R111",G313))*111,0)+IFERROR(--ISNUMBER(SEARCH("R112",G313))*112,0)+IFERROR(--ISNUMBER(SEARCH("R113",G313))*113,0)+IFERROR(--ISNUMBER(SEARCH("R114",G313))*114,0)+IFERROR(--ISNUMBER(SEARCH("R115",G313))*115,0)+IFERROR(--ISNUMBER(SEARCH("R116",G313))*116,0)+IFERROR(--ISNUMBER(SEARCH("R117",G313))*117,0)+IFERROR(--ISNUMBER(SEARCH("R118",G313))*118,0)+IFERROR(--ISNUMBER(SEARCH("R119",G313))*119,0)+IFERROR(--ISNUMBER(SEARCH("R120",G313))*120,0)+IFERROR(--ISNUMBER(SEARCH("R121",G313))*121,0)+IFERROR(--ISNUMBER(SEARCH("R122",G313))*122,0)+IFERROR(--ISNUMBER(SEARCH("R123",G313))*123,0)+IFERROR(--ISNUMBER(SEARCH("R124",G313))*124,0)+IFERROR(--ISNUMBER(SEARCH("R125",G313))*125,0)+IFERROR(--ISNUMBER(SEARCH("R126",G313))*126,0)+IFERROR(--ISNUMBER(SEARCH("R127",G313))*127,0)+IFERROR(--ISNUMBER(SEARCH("R128",G313))*128,0)+IFERROR(--ISNUMBER(SEARCH("R129",G313))*129,0)+IFERROR(--ISNUMBER(SEARCH("R130",G313))*130,0)+IFERROR(--ISNUMBER(SEARCH("R131",G313))*131,0)+IFERROR(--ISNUMBER(SEARCH("R132",G313))*132,0)+IFERROR(--ISNUMBER(SEARCH("R133",G313))*133,0)+IFERROR(--ISNUMBER(SEARCH("R134",G313))*134,0)+IFERROR(--ISNUMBER(SEARCH("R135",G313))*135,0)+IFERROR(--ISNUMBER(SEARCH("R136",G313))*136,0)+IFERROR(--ISNUMBER(SEARCH("R137",G313))*137,0)+IFERROR(--ISNUMBER(SEARCH("R138",G313))*138,0)+IFERROR(--ISNUMBER(SEARCH("R139",G313))*139,0)+IFERROR(--ISNUMBER(SEARCH("R140",G313))*140,0)+IFERROR(--ISNUMBER(SEARCH("R141",G313))*141,0))</f>
        <v/>
      </c>
      <c r="V313" s="59">
        <f>IF(A313="","",IF(K313&lt;&gt;"",K313,J313))</f>
        <v/>
      </c>
      <c r="W313" s="59">
        <f>IF(A313="","",IF(AND(V313=29,O313&lt;&gt;"",COUNTIFS($V$6:$V$505,29,$F$6:$F$505,F313,$C$6:$C$505,C313,$O$6:$O$505,"&lt;&gt;")&gt;1),IF(COUNTIFS($V$6:V313,29,$F$6:F313,F313,$C$6:C313,C313,$O$6:O313,"&lt;&gt;")=1,"Esta es la fila que se debe CONSERVAR (aparición 1 de "&amp;COUNTIFS($V$6:$V$505,29,$F$6:$F$505,F313,$C$6:$C$505,C313,$O$6:$O$505,"&lt;&gt;")&amp;" con el mismo tercero y valor, casilla 29). Si hay más filas iguales, bórreles el valor a ELLAS, no a esta.","DUPLICADO — ya existe otra fila con el mismo tercero y valor para casilla 29 (aparición "&amp;COUNTIFS($V$6:V313,29,$F$6:F313,F313,$C$6:C313,C313,$O$6:O313,"&lt;&gt;")&amp;" de "&amp;COUNTIFS($V$6:$V$505,29,$F$6:$F$505,F313,$C$6:$C$505,C313,$O$6:$O$505,"&lt;&gt;")&amp;"). Para resolverlo: seleccione la celda O"&amp;ROW()&amp;" (columna Valor a declarar de ESTA fila) y presione Supr."),""))</f>
        <v/>
      </c>
      <c r="X313" s="463">
        <f>IF(A313="","",F313)</f>
        <v/>
      </c>
      <c r="Y313" s="463">
        <f>IF(A313="","",SUMIF(Entrada_Manual!$I$88:$I$187,A313,Entrada_Manual!$F$88:$F$187))</f>
        <v/>
      </c>
      <c r="Z313" s="463">
        <f>IF(A313="","",X313-Y313)</f>
        <v/>
      </c>
      <c r="AA313">
        <f>IF(A313="","",SUMPRODUCT((Entrada_Manual!$I$88:$I$187=A313)*1))</f>
        <v/>
      </c>
      <c r="AB313">
        <f>IF(A313="","",IF(S313&lt;=1,"",IF(AA313=0,"PENDIENTE — SIN ASIGNAR",IF(Z313=0,"RESUELTO","PARCIAL — DIFERENCIA "&amp;TEXT(Z313,"#,##0")))))</f>
        <v/>
      </c>
    </row>
    <row r="314" ht="14.25" customHeight="1" s="235">
      <c r="A314" s="47">
        <f>IF(Exogena_RAW!E323&lt;&gt;"",ROW()-5,"")</f>
        <v/>
      </c>
      <c r="B314" s="48">
        <f>IF(A314="","",323)</f>
        <v/>
      </c>
      <c r="C314" s="48">
        <f>IF(A314="","",IFERROR(Exogena_RAW!A323,""))</f>
        <v/>
      </c>
      <c r="D314" s="48">
        <f>IF(A314="","",IFERROR(Exogena_RAW!B323,""))</f>
        <v/>
      </c>
      <c r="E314" s="48">
        <f>IF(A314="","",Exogena_RAW!E323)</f>
        <v/>
      </c>
      <c r="F314" s="461">
        <f>IF(A314="","",Exogena_RAW!F323)</f>
        <v/>
      </c>
      <c r="G314" s="48">
        <f>IF(A314="","",IFERROR(Exogena_RAW!G323,""))</f>
        <v/>
      </c>
      <c r="H314" s="48">
        <f>IF(A314="","",IFERROR(Exogena_RAW!H323,""))</f>
        <v/>
      </c>
      <c r="I314" s="48">
        <f>IF(A314="","",IFERROR(IF(S314&gt;1,"VARIAS CASILLAS",IF(S314=1,IF(T314=1,"PROPUESTA DE CASILLA","REVISIÓN: CASILLA NO DIRECTA"),IF(OR(ISNUMBER(SEARCH("TOPE",UPPER(E314))),ISNUMBER(SEARCH("TOPE",UPPER(G314)))),"SOLO CONTROL",IF(ISNUMBER(SEARCH("RETEN",UPPER(E314))),"RETENCIÓN","REVISAR")))),"REVISAR"))</f>
        <v/>
      </c>
      <c r="J314" s="48">
        <f>IF(A314="","",IF(ISNUMBER(SEARCH("ingreso laboral promedio de los últimos seis meses",E314)),"",IFERROR(IF(AND(S314=1,T314=1),U314,""),"")))</f>
        <v/>
      </c>
      <c r="K314" s="216" t="n"/>
      <c r="L314" s="48">
        <f>IF(A314="","",IFERROR(IF(K314&lt;&gt;"","Casilla elegida por usuario",IF(S314&gt;1,"Varias casillas — elegir en K",IF(J314&lt;&gt;"","Sugerencia directa",IF(S314=1,"No trasladar directo — revisar",IF(OR(ISNUMBER(SEARCH("TOPE",UPPER(E314))),ISNUMBER(SEARCH("TOPE",UPPER(G314)))),"Solo control","Revisar manualmente"))))),"Revisar manualmente"))</f>
        <v/>
      </c>
      <c r="M314" s="461">
        <f>IF(A314="","",IF(IF(K314&lt;&gt;"",K314,J314)="",0,IF(COUNTIFS(Reglas!$I$5:$I$118,IF(K314&lt;&gt;"",K314,J314),Reglas!$J$5:$J$118,"Sí")=1,F314,0)))</f>
        <v/>
      </c>
      <c r="N314" s="56" t="n"/>
      <c r="O314" s="462">
        <f>IF(A314="","",IF(M314=0,"",M314))</f>
        <v/>
      </c>
      <c r="P314" s="461">
        <f>IF(A314="","",IF(O314="",0,IF(ISNUMBER(O314),O314,0)))</f>
        <v/>
      </c>
      <c r="Q314" s="48">
        <f>IF(A314="","",IF(Exogena_RAW!$C$4="","BLOQUEADO: FALTA AÑO",IF(Exogena_RAW!$K$10&lt;&gt;Reglas!$B$5,"BLOQUEADO: AÑO",IF(IF(K314&lt;&gt;"",K314,J314)="",IF(S314&gt;1,"REQUIERE ASIGNACIÓN MANUAL (VARIAS CASILLAS)","INFORMATIVO (sin casilla — no se declara)"),IF(COUNTIFS(Reglas!$I$5:$I$118,IF(K314&lt;&gt;"",K314,J314),Reglas!$J$5:$J$118,"Sí")=0,"BLOQUEADO: CASILLA NO DIRECTA",IF(O314="","EXCLUIDO (valor borrado por el usuario)",IF(_xlfn.ISFORMULA(O314),IF(W314&lt;&gt;"","BORRADOR — VALOR SUGERIDO DIAN ⚠ VER ALERTA","BORRADOR — VALOR SUGERIDO DIAN"),IF(W314&lt;&gt;"","ACEPTADO ⚠ VER ALERTA","ACEPTADO"))))))))</f>
        <v/>
      </c>
      <c r="R314" s="218" t="n"/>
      <c r="S314" s="58">
        <f>IF(A314="","",IFERROR(--ISNUMBER(SEARCH("R28",G314)),0)+IFERROR(--ISNUMBER(SEARCH("R29",G314)),0)+IFERROR(--ISNUMBER(SEARCH("R30",G314)),0)+IFERROR(--ISNUMBER(SEARCH("R31",G314)),0)+IFERROR(--ISNUMBER(SEARCH("R32",G314)),0)+IFERROR(--ISNUMBER(SEARCH("R33",G314)),0)+IFERROR(--ISNUMBER(SEARCH("R34",G314)),0)+IFERROR(--ISNUMBER(SEARCH("R35",G314)),0)+IFERROR(--ISNUMBER(SEARCH("R36",G314)),0)+IFERROR(--ISNUMBER(SEARCH("R37",G314)),0)+IFERROR(--ISNUMBER(SEARCH("R38",G314)),0)+IFERROR(--ISNUMBER(SEARCH("R39",G314)),0)+IFERROR(--ISNUMBER(SEARCH("R40",G314)),0)+IFERROR(--ISNUMBER(SEARCH("R41",G314)),0)+IFERROR(--ISNUMBER(SEARCH("R42",G314)),0)+IFERROR(--ISNUMBER(SEARCH("R43",G314)),0)+IFERROR(--ISNUMBER(SEARCH("R44",G314)),0)+IFERROR(--ISNUMBER(SEARCH("R45",G314)),0)+IFERROR(--ISNUMBER(SEARCH("R46",G314)),0)+IFERROR(--ISNUMBER(SEARCH("R47",G314)),0)+IFERROR(--ISNUMBER(SEARCH("R48",G314)),0)+IFERROR(--ISNUMBER(SEARCH("R49",G314)),0)+IFERROR(--ISNUMBER(SEARCH("R50",G314)),0)+IFERROR(--ISNUMBER(SEARCH("R51",G314)),0)+IFERROR(--ISNUMBER(SEARCH("R52",G314)),0)+IFERROR(--ISNUMBER(SEARCH("R53",G314)),0)+IFERROR(--ISNUMBER(SEARCH("R54",G314)),0)+IFERROR(--ISNUMBER(SEARCH("R55",G314)),0)+IFERROR(--ISNUMBER(SEARCH("R56",G314)),0)+IFERROR(--ISNUMBER(SEARCH("R57",G314)),0)+IFERROR(--ISNUMBER(SEARCH("R58",G314)),0)+IFERROR(--ISNUMBER(SEARCH("R59",G314)),0)+IFERROR(--ISNUMBER(SEARCH("R60",G314)),0)+IFERROR(--ISNUMBER(SEARCH("R61",G314)),0)+IFERROR(--ISNUMBER(SEARCH("R62",G314)),0)+IFERROR(--ISNUMBER(SEARCH("R63",G314)),0)+IFERROR(--ISNUMBER(SEARCH("R64",G314)),0)+IFERROR(--ISNUMBER(SEARCH("R65",G314)),0)+IFERROR(--ISNUMBER(SEARCH("R66",G314)),0)+IFERROR(--ISNUMBER(SEARCH("R67",G314)),0)+IFERROR(--ISNUMBER(SEARCH("R68",G314)),0)+IFERROR(--ISNUMBER(SEARCH("R69",G314)),0)+IFERROR(--ISNUMBER(SEARCH("R70",G314)),0)+IFERROR(--ISNUMBER(SEARCH("R71",G314)),0)+IFERROR(--ISNUMBER(SEARCH("R72",G314)),0)+IFERROR(--ISNUMBER(SEARCH("R73",G314)),0)+IFERROR(--ISNUMBER(SEARCH("R74",G314)),0)+IFERROR(--ISNUMBER(SEARCH("R75",G314)),0)+IFERROR(--ISNUMBER(SEARCH("R76",G314)),0)+IFERROR(--ISNUMBER(SEARCH("R77",G314)),0)+IFERROR(--ISNUMBER(SEARCH("R78",G314)),0)+IFERROR(--ISNUMBER(SEARCH("R79",G314)),0)+IFERROR(--ISNUMBER(SEARCH("R80",G314)),0)+IFERROR(--ISNUMBER(SEARCH("R81",G314)),0)+IFERROR(--ISNUMBER(SEARCH("R82",G314)),0)+IFERROR(--ISNUMBER(SEARCH("R83",G314)),0)+IFERROR(--ISNUMBER(SEARCH("R84",G314)),0)+IFERROR(--ISNUMBER(SEARCH("R85",G314)),0)+IFERROR(--ISNUMBER(SEARCH("R86",G314)),0)+IFERROR(--ISNUMBER(SEARCH("R87",G314)),0)+IFERROR(--ISNUMBER(SEARCH("R88",G314)),0)+IFERROR(--ISNUMBER(SEARCH("R89",G314)),0)+IFERROR(--ISNUMBER(SEARCH("R90",G314)),0)+IFERROR(--ISNUMBER(SEARCH("R91",G314)),0)+IFERROR(--ISNUMBER(SEARCH("R92",G314)),0)+IFERROR(--ISNUMBER(SEARCH("R93",G314)),0)+IFERROR(--ISNUMBER(SEARCH("R94",G314)),0)+IFERROR(--ISNUMBER(SEARCH("R95",G314)),0)+IFERROR(--ISNUMBER(SEARCH("R96",G314)),0)+IFERROR(--ISNUMBER(SEARCH("R97",G314)),0)+IFERROR(--ISNUMBER(SEARCH("R98",G314)),0)+IFERROR(--ISNUMBER(SEARCH("R99",G314)),0)+IFERROR(--ISNUMBER(SEARCH("R100",G314)),0)+IFERROR(--ISNUMBER(SEARCH("R101",G314)),0)+IFERROR(--ISNUMBER(SEARCH("R102",G314)),0)+IFERROR(--ISNUMBER(SEARCH("R103",G314)),0)+IFERROR(--ISNUMBER(SEARCH("R104",G314)),0)+IFERROR(--ISNUMBER(SEARCH("R105",G314)),0)+IFERROR(--ISNUMBER(SEARCH("R106",G314)),0)+IFERROR(--ISNUMBER(SEARCH("R107",G314)),0)+IFERROR(--ISNUMBER(SEARCH("R108",G314)),0)+IFERROR(--ISNUMBER(SEARCH("R109",G314)),0)+IFERROR(--ISNUMBER(SEARCH("R110",G314)),0)+IFERROR(--ISNUMBER(SEARCH("R111",G314)),0)+IFERROR(--ISNUMBER(SEARCH("R112",G314)),0)+IFERROR(--ISNUMBER(SEARCH("R113",G314)),0)+IFERROR(--ISNUMBER(SEARCH("R114",G314)),0)+IFERROR(--ISNUMBER(SEARCH("R115",G314)),0)+IFERROR(--ISNUMBER(SEARCH("R116",G314)),0)+IFERROR(--ISNUMBER(SEARCH("R117",G314)),0)+IFERROR(--ISNUMBER(SEARCH("R118",G314)),0)+IFERROR(--ISNUMBER(SEARCH("R119",G314)),0)+IFERROR(--ISNUMBER(SEARCH("R120",G314)),0)+IFERROR(--ISNUMBER(SEARCH("R121",G314)),0)+IFERROR(--ISNUMBER(SEARCH("R122",G314)),0)+IFERROR(--ISNUMBER(SEARCH("R123",G314)),0)+IFERROR(--ISNUMBER(SEARCH("R124",G314)),0)+IFERROR(--ISNUMBER(SEARCH("R125",G314)),0)+IFERROR(--ISNUMBER(SEARCH("R126",G314)),0)+IFERROR(--ISNUMBER(SEARCH("R127",G314)),0)+IFERROR(--ISNUMBER(SEARCH("R128",G314)),0)+IFERROR(--ISNUMBER(SEARCH("R129",G314)),0)+IFERROR(--ISNUMBER(SEARCH("R130",G314)),0)+IFERROR(--ISNUMBER(SEARCH("R131",G314)),0)+IFERROR(--ISNUMBER(SEARCH("R132",G314)),0)+IFERROR(--ISNUMBER(SEARCH("R133",G314)),0)+IFERROR(--ISNUMBER(SEARCH("R134",G314)),0)+IFERROR(--ISNUMBER(SEARCH("R135",G314)),0)+IFERROR(--ISNUMBER(SEARCH("R136",G314)),0)+IFERROR(--ISNUMBER(SEARCH("R137",G314)),0)+IFERROR(--ISNUMBER(SEARCH("R138",G314)),0)+IFERROR(--ISNUMBER(SEARCH("R139",G314)),0)+IFERROR(--ISNUMBER(SEARCH("R140",G314)),0)+IFERROR(--ISNUMBER(SEARCH("R141",G314)),0))</f>
        <v/>
      </c>
      <c r="T314" s="58">
        <f>IF(A314="","",IFERROR(--ISNUMBER(SEARCH("R28",G314)),0)+IFERROR(--ISNUMBER(SEARCH("R29",G314)),0)+IFERROR(--ISNUMBER(SEARCH("R30",G314)),0)+IFERROR(--ISNUMBER(SEARCH("R32",G314)),0)+IFERROR(--ISNUMBER(SEARCH("R33",G314)),0)+IFERROR(--ISNUMBER(SEARCH("R35",G314)),0)+IFERROR(--ISNUMBER(SEARCH("R36",G314)),0)+IFERROR(--ISNUMBER(SEARCH("R38",G314)),0)+IFERROR(--ISNUMBER(SEARCH("R39",G314)),0)+IFERROR(--ISNUMBER(SEARCH("R43",G314)),0)+IFERROR(--ISNUMBER(SEARCH("R44",G314)),0)+IFERROR(--ISNUMBER(SEARCH("R45",G314)),0)+IFERROR(--ISNUMBER(SEARCH("R47",G314)),0)+IFERROR(--ISNUMBER(SEARCH("R48",G314)),0)+IFERROR(--ISNUMBER(SEARCH("R50",G314)),0)+IFERROR(--ISNUMBER(SEARCH("R51",G314)),0)+IFERROR(--ISNUMBER(SEARCH("R56",G314)),0)+IFERROR(--ISNUMBER(SEARCH("R58",G314)),0)+IFERROR(--ISNUMBER(SEARCH("R59",G314)),0)+IFERROR(--ISNUMBER(SEARCH("R60",G314)),0)+IFERROR(--ISNUMBER(SEARCH("R62",G314)),0)+IFERROR(--ISNUMBER(SEARCH("R63",G314)),0)+IFERROR(--ISNUMBER(SEARCH("R64",G314)),0)+IFERROR(--ISNUMBER(SEARCH("R66",G314)),0)+IFERROR(--ISNUMBER(SEARCH("R67",G314)),0)+IFERROR(--ISNUMBER(SEARCH("R72",G314)),0)+IFERROR(--ISNUMBER(SEARCH("R74",G314)),0)+IFERROR(--ISNUMBER(SEARCH("R75",G314)),0)+IFERROR(--ISNUMBER(SEARCH("R76",G314)),0)+IFERROR(--ISNUMBER(SEARCH("R77",G314)),0)+IFERROR(--ISNUMBER(SEARCH("R79",G314)),0)+IFERROR(--ISNUMBER(SEARCH("R80",G314)),0)+IFERROR(--ISNUMBER(SEARCH("R81",G314)),0)+IFERROR(--ISNUMBER(SEARCH("R83",G314)),0)+IFERROR(--ISNUMBER(SEARCH("R84",G314)),0)+IFERROR(--ISNUMBER(SEARCH("R89",G314)),0)+IFERROR(--ISNUMBER(SEARCH("R94",G314)),0)+IFERROR(--ISNUMBER(SEARCH("R95",G314)),0)+IFERROR(--ISNUMBER(SEARCH("R96",G314)),0)+IFERROR(--ISNUMBER(SEARCH("R98",G314)),0)+IFERROR(--ISNUMBER(SEARCH("R99",G314)),0)+IFERROR(--ISNUMBER(SEARCH("R100",G314)),0)+IFERROR(--ISNUMBER(SEARCH("R104",G314)),0)+IFERROR(--ISNUMBER(SEARCH("R105",G314)),0)+IFERROR(--ISNUMBER(SEARCH("R107",G314)),0)+IFERROR(--ISNUMBER(SEARCH("R108",G314)),0)+IFERROR(--ISNUMBER(SEARCH("R109",G314)),0)+IFERROR(--ISNUMBER(SEARCH("R110",G314)),0)+IFERROR(--ISNUMBER(SEARCH("R112",G314)),0)+IFERROR(--ISNUMBER(SEARCH("R113",G314)),0)+IFERROR(--ISNUMBER(SEARCH("R114",G314)),0)+IFERROR(--ISNUMBER(SEARCH("R118",G314)),0)+IFERROR(--ISNUMBER(SEARCH("R119",G314)),0)+IFERROR(--ISNUMBER(SEARCH("R120",G314)),0)+IFERROR(--ISNUMBER(SEARCH("R122",G314)),0)+IFERROR(--ISNUMBER(SEARCH("R123",G314)),0)+IFERROR(--ISNUMBER(SEARCH("R124",G314)),0)+IFERROR(--ISNUMBER(SEARCH("R128",G314)),0)+IFERROR(--ISNUMBER(SEARCH("R130",G314)),0)+IFERROR(--ISNUMBER(SEARCH("R131",G314)),0)+IFERROR(--ISNUMBER(SEARCH("R132",G314)),0)+IFERROR(--ISNUMBER(SEARCH("R135",G314)),0)+IFERROR(--ISNUMBER(SEARCH("R138",G314)),0)+IFERROR(--ISNUMBER(SEARCH("R141",G314)),0))</f>
        <v/>
      </c>
      <c r="U314" s="58">
        <f>IF(A314="","",IFERROR(--ISNUMBER(SEARCH("R28",G314))*28,0)+IFERROR(--ISNUMBER(SEARCH("R29",G314))*29,0)+IFERROR(--ISNUMBER(SEARCH("R30",G314))*30,0)+IFERROR(--ISNUMBER(SEARCH("R31",G314))*31,0)+IFERROR(--ISNUMBER(SEARCH("R32",G314))*32,0)+IFERROR(--ISNUMBER(SEARCH("R33",G314))*33,0)+IFERROR(--ISNUMBER(SEARCH("R34",G314))*34,0)+IFERROR(--ISNUMBER(SEARCH("R35",G314))*35,0)+IFERROR(--ISNUMBER(SEARCH("R36",G314))*36,0)+IFERROR(--ISNUMBER(SEARCH("R37",G314))*37,0)+IFERROR(--ISNUMBER(SEARCH("R38",G314))*38,0)+IFERROR(--ISNUMBER(SEARCH("R39",G314))*39,0)+IFERROR(--ISNUMBER(SEARCH("R40",G314))*40,0)+IFERROR(--ISNUMBER(SEARCH("R41",G314))*41,0)+IFERROR(--ISNUMBER(SEARCH("R42",G314))*42,0)+IFERROR(--ISNUMBER(SEARCH("R43",G314))*43,0)+IFERROR(--ISNUMBER(SEARCH("R44",G314))*44,0)+IFERROR(--ISNUMBER(SEARCH("R45",G314))*45,0)+IFERROR(--ISNUMBER(SEARCH("R46",G314))*46,0)+IFERROR(--ISNUMBER(SEARCH("R47",G314))*47,0)+IFERROR(--ISNUMBER(SEARCH("R48",G314))*48,0)+IFERROR(--ISNUMBER(SEARCH("R49",G314))*49,0)+IFERROR(--ISNUMBER(SEARCH("R50",G314))*50,0)+IFERROR(--ISNUMBER(SEARCH("R51",G314))*51,0)+IFERROR(--ISNUMBER(SEARCH("R52",G314))*52,0)+IFERROR(--ISNUMBER(SEARCH("R53",G314))*53,0)+IFERROR(--ISNUMBER(SEARCH("R54",G314))*54,0)+IFERROR(--ISNUMBER(SEARCH("R55",G314))*55,0)+IFERROR(--ISNUMBER(SEARCH("R56",G314))*56,0)+IFERROR(--ISNUMBER(SEARCH("R57",G314))*57,0)+IFERROR(--ISNUMBER(SEARCH("R58",G314))*58,0)+IFERROR(--ISNUMBER(SEARCH("R59",G314))*59,0)+IFERROR(--ISNUMBER(SEARCH("R60",G314))*60,0)+IFERROR(--ISNUMBER(SEARCH("R61",G314))*61,0)+IFERROR(--ISNUMBER(SEARCH("R62",G314))*62,0)+IFERROR(--ISNUMBER(SEARCH("R63",G314))*63,0)+IFERROR(--ISNUMBER(SEARCH("R64",G314))*64,0)+IFERROR(--ISNUMBER(SEARCH("R65",G314))*65,0)+IFERROR(--ISNUMBER(SEARCH("R66",G314))*66,0)+IFERROR(--ISNUMBER(SEARCH("R67",G314))*67,0)+IFERROR(--ISNUMBER(SEARCH("R68",G314))*68,0)+IFERROR(--ISNUMBER(SEARCH("R69",G314))*69,0)+IFERROR(--ISNUMBER(SEARCH("R70",G314))*70,0)+IFERROR(--ISNUMBER(SEARCH("R71",G314))*71,0)+IFERROR(--ISNUMBER(SEARCH("R72",G314))*72,0)+IFERROR(--ISNUMBER(SEARCH("R73",G314))*73,0)+IFERROR(--ISNUMBER(SEARCH("R74",G314))*74,0)+IFERROR(--ISNUMBER(SEARCH("R75",G314))*75,0)+IFERROR(--ISNUMBER(SEARCH("R76",G314))*76,0)+IFERROR(--ISNUMBER(SEARCH("R77",G314))*77,0)+IFERROR(--ISNUMBER(SEARCH("R78",G314))*78,0)+IFERROR(--ISNUMBER(SEARCH("R79",G314))*79,0)+IFERROR(--ISNUMBER(SEARCH("R80",G314))*80,0)+IFERROR(--ISNUMBER(SEARCH("R81",G314))*81,0)+IFERROR(--ISNUMBER(SEARCH("R82",G314))*82,0)+IFERROR(--ISNUMBER(SEARCH("R83",G314))*83,0)+IFERROR(--ISNUMBER(SEARCH("R84",G314))*84,0)+IFERROR(--ISNUMBER(SEARCH("R85",G314))*85,0)+IFERROR(--ISNUMBER(SEARCH("R86",G314))*86,0)+IFERROR(--ISNUMBER(SEARCH("R87",G314))*87,0)+IFERROR(--ISNUMBER(SEARCH("R88",G314))*88,0)+IFERROR(--ISNUMBER(SEARCH("R89",G314))*89,0)+IFERROR(--ISNUMBER(SEARCH("R90",G314))*90,0)+IFERROR(--ISNUMBER(SEARCH("R91",G314))*91,0)+IFERROR(--ISNUMBER(SEARCH("R92",G314))*92,0)+IFERROR(--ISNUMBER(SEARCH("R93",G314))*93,0)+IFERROR(--ISNUMBER(SEARCH("R94",G314))*94,0)+IFERROR(--ISNUMBER(SEARCH("R95",G314))*95,0)+IFERROR(--ISNUMBER(SEARCH("R96",G314))*96,0)+IFERROR(--ISNUMBER(SEARCH("R97",G314))*97,0)+IFERROR(--ISNUMBER(SEARCH("R98",G314))*98,0)+IFERROR(--ISNUMBER(SEARCH("R99",G314))*99,0)+IFERROR(--ISNUMBER(SEARCH("R100",G314))*100,0)+IFERROR(--ISNUMBER(SEARCH("R101",G314))*101,0)+IFERROR(--ISNUMBER(SEARCH("R102",G314))*102,0)+IFERROR(--ISNUMBER(SEARCH("R103",G314))*103,0)+IFERROR(--ISNUMBER(SEARCH("R104",G314))*104,0)+IFERROR(--ISNUMBER(SEARCH("R105",G314))*105,0)+IFERROR(--ISNUMBER(SEARCH("R106",G314))*106,0)+IFERROR(--ISNUMBER(SEARCH("R107",G314))*107,0)+IFERROR(--ISNUMBER(SEARCH("R108",G314))*108,0)+IFERROR(--ISNUMBER(SEARCH("R109",G314))*109,0)+IFERROR(--ISNUMBER(SEARCH("R110",G314))*110,0)+IFERROR(--ISNUMBER(SEARCH("R111",G314))*111,0)+IFERROR(--ISNUMBER(SEARCH("R112",G314))*112,0)+IFERROR(--ISNUMBER(SEARCH("R113",G314))*113,0)+IFERROR(--ISNUMBER(SEARCH("R114",G314))*114,0)+IFERROR(--ISNUMBER(SEARCH("R115",G314))*115,0)+IFERROR(--ISNUMBER(SEARCH("R116",G314))*116,0)+IFERROR(--ISNUMBER(SEARCH("R117",G314))*117,0)+IFERROR(--ISNUMBER(SEARCH("R118",G314))*118,0)+IFERROR(--ISNUMBER(SEARCH("R119",G314))*119,0)+IFERROR(--ISNUMBER(SEARCH("R120",G314))*120,0)+IFERROR(--ISNUMBER(SEARCH("R121",G314))*121,0)+IFERROR(--ISNUMBER(SEARCH("R122",G314))*122,0)+IFERROR(--ISNUMBER(SEARCH("R123",G314))*123,0)+IFERROR(--ISNUMBER(SEARCH("R124",G314))*124,0)+IFERROR(--ISNUMBER(SEARCH("R125",G314))*125,0)+IFERROR(--ISNUMBER(SEARCH("R126",G314))*126,0)+IFERROR(--ISNUMBER(SEARCH("R127",G314))*127,0)+IFERROR(--ISNUMBER(SEARCH("R128",G314))*128,0)+IFERROR(--ISNUMBER(SEARCH("R129",G314))*129,0)+IFERROR(--ISNUMBER(SEARCH("R130",G314))*130,0)+IFERROR(--ISNUMBER(SEARCH("R131",G314))*131,0)+IFERROR(--ISNUMBER(SEARCH("R132",G314))*132,0)+IFERROR(--ISNUMBER(SEARCH("R133",G314))*133,0)+IFERROR(--ISNUMBER(SEARCH("R134",G314))*134,0)+IFERROR(--ISNUMBER(SEARCH("R135",G314))*135,0)+IFERROR(--ISNUMBER(SEARCH("R136",G314))*136,0)+IFERROR(--ISNUMBER(SEARCH("R137",G314))*137,0)+IFERROR(--ISNUMBER(SEARCH("R138",G314))*138,0)+IFERROR(--ISNUMBER(SEARCH("R139",G314))*139,0)+IFERROR(--ISNUMBER(SEARCH("R140",G314))*140,0)+IFERROR(--ISNUMBER(SEARCH("R141",G314))*141,0))</f>
        <v/>
      </c>
      <c r="V314" s="59">
        <f>IF(A314="","",IF(K314&lt;&gt;"",K314,J314))</f>
        <v/>
      </c>
      <c r="W314" s="59">
        <f>IF(A314="","",IF(AND(V314=29,O314&lt;&gt;"",COUNTIFS($V$6:$V$505,29,$F$6:$F$505,F314,$C$6:$C$505,C314,$O$6:$O$505,"&lt;&gt;")&gt;1),IF(COUNTIFS($V$6:V314,29,$F$6:F314,F314,$C$6:C314,C314,$O$6:O314,"&lt;&gt;")=1,"Esta es la fila que se debe CONSERVAR (aparición 1 de "&amp;COUNTIFS($V$6:$V$505,29,$F$6:$F$505,F314,$C$6:$C$505,C314,$O$6:$O$505,"&lt;&gt;")&amp;" con el mismo tercero y valor, casilla 29). Si hay más filas iguales, bórreles el valor a ELLAS, no a esta.","DUPLICADO — ya existe otra fila con el mismo tercero y valor para casilla 29 (aparición "&amp;COUNTIFS($V$6:V314,29,$F$6:F314,F314,$C$6:C314,C314,$O$6:O314,"&lt;&gt;")&amp;" de "&amp;COUNTIFS($V$6:$V$505,29,$F$6:$F$505,F314,$C$6:$C$505,C314,$O$6:$O$505,"&lt;&gt;")&amp;"). Para resolverlo: seleccione la celda O"&amp;ROW()&amp;" (columna Valor a declarar de ESTA fila) y presione Supr."),""))</f>
        <v/>
      </c>
      <c r="X314" s="463">
        <f>IF(A314="","",F314)</f>
        <v/>
      </c>
      <c r="Y314" s="463">
        <f>IF(A314="","",SUMIF(Entrada_Manual!$I$88:$I$187,A314,Entrada_Manual!$F$88:$F$187))</f>
        <v/>
      </c>
      <c r="Z314" s="463">
        <f>IF(A314="","",X314-Y314)</f>
        <v/>
      </c>
      <c r="AA314">
        <f>IF(A314="","",SUMPRODUCT((Entrada_Manual!$I$88:$I$187=A314)*1))</f>
        <v/>
      </c>
      <c r="AB314">
        <f>IF(A314="","",IF(S314&lt;=1,"",IF(AA314=0,"PENDIENTE — SIN ASIGNAR",IF(Z314=0,"RESUELTO","PARCIAL — DIFERENCIA "&amp;TEXT(Z314,"#,##0")))))</f>
        <v/>
      </c>
    </row>
    <row r="315" ht="14.25" customHeight="1" s="235">
      <c r="A315" s="47">
        <f>IF(Exogena_RAW!E324&lt;&gt;"",ROW()-5,"")</f>
        <v/>
      </c>
      <c r="B315" s="48">
        <f>IF(A315="","",324)</f>
        <v/>
      </c>
      <c r="C315" s="48">
        <f>IF(A315="","",IFERROR(Exogena_RAW!A324,""))</f>
        <v/>
      </c>
      <c r="D315" s="48">
        <f>IF(A315="","",IFERROR(Exogena_RAW!B324,""))</f>
        <v/>
      </c>
      <c r="E315" s="48">
        <f>IF(A315="","",Exogena_RAW!E324)</f>
        <v/>
      </c>
      <c r="F315" s="461">
        <f>IF(A315="","",Exogena_RAW!F324)</f>
        <v/>
      </c>
      <c r="G315" s="48">
        <f>IF(A315="","",IFERROR(Exogena_RAW!G324,""))</f>
        <v/>
      </c>
      <c r="H315" s="48">
        <f>IF(A315="","",IFERROR(Exogena_RAW!H324,""))</f>
        <v/>
      </c>
      <c r="I315" s="48">
        <f>IF(A315="","",IFERROR(IF(S315&gt;1,"VARIAS CASILLAS",IF(S315=1,IF(T315=1,"PROPUESTA DE CASILLA","REVISIÓN: CASILLA NO DIRECTA"),IF(OR(ISNUMBER(SEARCH("TOPE",UPPER(E315))),ISNUMBER(SEARCH("TOPE",UPPER(G315)))),"SOLO CONTROL",IF(ISNUMBER(SEARCH("RETEN",UPPER(E315))),"RETENCIÓN","REVISAR")))),"REVISAR"))</f>
        <v/>
      </c>
      <c r="J315" s="48">
        <f>IF(A315="","",IF(ISNUMBER(SEARCH("ingreso laboral promedio de los últimos seis meses",E315)),"",IFERROR(IF(AND(S315=1,T315=1),U315,""),"")))</f>
        <v/>
      </c>
      <c r="K315" s="216" t="n"/>
      <c r="L315" s="48">
        <f>IF(A315="","",IFERROR(IF(K315&lt;&gt;"","Casilla elegida por usuario",IF(S315&gt;1,"Varias casillas — elegir en K",IF(J315&lt;&gt;"","Sugerencia directa",IF(S315=1,"No trasladar directo — revisar",IF(OR(ISNUMBER(SEARCH("TOPE",UPPER(E315))),ISNUMBER(SEARCH("TOPE",UPPER(G315)))),"Solo control","Revisar manualmente"))))),"Revisar manualmente"))</f>
        <v/>
      </c>
      <c r="M315" s="461">
        <f>IF(A315="","",IF(IF(K315&lt;&gt;"",K315,J315)="",0,IF(COUNTIFS(Reglas!$I$5:$I$118,IF(K315&lt;&gt;"",K315,J315),Reglas!$J$5:$J$118,"Sí")=1,F315,0)))</f>
        <v/>
      </c>
      <c r="N315" s="56" t="n"/>
      <c r="O315" s="462">
        <f>IF(A315="","",IF(M315=0,"",M315))</f>
        <v/>
      </c>
      <c r="P315" s="461">
        <f>IF(A315="","",IF(O315="",0,IF(ISNUMBER(O315),O315,0)))</f>
        <v/>
      </c>
      <c r="Q315" s="48">
        <f>IF(A315="","",IF(Exogena_RAW!$C$4="","BLOQUEADO: FALTA AÑO",IF(Exogena_RAW!$K$10&lt;&gt;Reglas!$B$5,"BLOQUEADO: AÑO",IF(IF(K315&lt;&gt;"",K315,J315)="",IF(S315&gt;1,"REQUIERE ASIGNACIÓN MANUAL (VARIAS CASILLAS)","INFORMATIVO (sin casilla — no se declara)"),IF(COUNTIFS(Reglas!$I$5:$I$118,IF(K315&lt;&gt;"",K315,J315),Reglas!$J$5:$J$118,"Sí")=0,"BLOQUEADO: CASILLA NO DIRECTA",IF(O315="","EXCLUIDO (valor borrado por el usuario)",IF(_xlfn.ISFORMULA(O315),IF(W315&lt;&gt;"","BORRADOR — VALOR SUGERIDO DIAN ⚠ VER ALERTA","BORRADOR — VALOR SUGERIDO DIAN"),IF(W315&lt;&gt;"","ACEPTADO ⚠ VER ALERTA","ACEPTADO"))))))))</f>
        <v/>
      </c>
      <c r="R315" s="218" t="n"/>
      <c r="S315" s="58">
        <f>IF(A315="","",IFERROR(--ISNUMBER(SEARCH("R28",G315)),0)+IFERROR(--ISNUMBER(SEARCH("R29",G315)),0)+IFERROR(--ISNUMBER(SEARCH("R30",G315)),0)+IFERROR(--ISNUMBER(SEARCH("R31",G315)),0)+IFERROR(--ISNUMBER(SEARCH("R32",G315)),0)+IFERROR(--ISNUMBER(SEARCH("R33",G315)),0)+IFERROR(--ISNUMBER(SEARCH("R34",G315)),0)+IFERROR(--ISNUMBER(SEARCH("R35",G315)),0)+IFERROR(--ISNUMBER(SEARCH("R36",G315)),0)+IFERROR(--ISNUMBER(SEARCH("R37",G315)),0)+IFERROR(--ISNUMBER(SEARCH("R38",G315)),0)+IFERROR(--ISNUMBER(SEARCH("R39",G315)),0)+IFERROR(--ISNUMBER(SEARCH("R40",G315)),0)+IFERROR(--ISNUMBER(SEARCH("R41",G315)),0)+IFERROR(--ISNUMBER(SEARCH("R42",G315)),0)+IFERROR(--ISNUMBER(SEARCH("R43",G315)),0)+IFERROR(--ISNUMBER(SEARCH("R44",G315)),0)+IFERROR(--ISNUMBER(SEARCH("R45",G315)),0)+IFERROR(--ISNUMBER(SEARCH("R46",G315)),0)+IFERROR(--ISNUMBER(SEARCH("R47",G315)),0)+IFERROR(--ISNUMBER(SEARCH("R48",G315)),0)+IFERROR(--ISNUMBER(SEARCH("R49",G315)),0)+IFERROR(--ISNUMBER(SEARCH("R50",G315)),0)+IFERROR(--ISNUMBER(SEARCH("R51",G315)),0)+IFERROR(--ISNUMBER(SEARCH("R52",G315)),0)+IFERROR(--ISNUMBER(SEARCH("R53",G315)),0)+IFERROR(--ISNUMBER(SEARCH("R54",G315)),0)+IFERROR(--ISNUMBER(SEARCH("R55",G315)),0)+IFERROR(--ISNUMBER(SEARCH("R56",G315)),0)+IFERROR(--ISNUMBER(SEARCH("R57",G315)),0)+IFERROR(--ISNUMBER(SEARCH("R58",G315)),0)+IFERROR(--ISNUMBER(SEARCH("R59",G315)),0)+IFERROR(--ISNUMBER(SEARCH("R60",G315)),0)+IFERROR(--ISNUMBER(SEARCH("R61",G315)),0)+IFERROR(--ISNUMBER(SEARCH("R62",G315)),0)+IFERROR(--ISNUMBER(SEARCH("R63",G315)),0)+IFERROR(--ISNUMBER(SEARCH("R64",G315)),0)+IFERROR(--ISNUMBER(SEARCH("R65",G315)),0)+IFERROR(--ISNUMBER(SEARCH("R66",G315)),0)+IFERROR(--ISNUMBER(SEARCH("R67",G315)),0)+IFERROR(--ISNUMBER(SEARCH("R68",G315)),0)+IFERROR(--ISNUMBER(SEARCH("R69",G315)),0)+IFERROR(--ISNUMBER(SEARCH("R70",G315)),0)+IFERROR(--ISNUMBER(SEARCH("R71",G315)),0)+IFERROR(--ISNUMBER(SEARCH("R72",G315)),0)+IFERROR(--ISNUMBER(SEARCH("R73",G315)),0)+IFERROR(--ISNUMBER(SEARCH("R74",G315)),0)+IFERROR(--ISNUMBER(SEARCH("R75",G315)),0)+IFERROR(--ISNUMBER(SEARCH("R76",G315)),0)+IFERROR(--ISNUMBER(SEARCH("R77",G315)),0)+IFERROR(--ISNUMBER(SEARCH("R78",G315)),0)+IFERROR(--ISNUMBER(SEARCH("R79",G315)),0)+IFERROR(--ISNUMBER(SEARCH("R80",G315)),0)+IFERROR(--ISNUMBER(SEARCH("R81",G315)),0)+IFERROR(--ISNUMBER(SEARCH("R82",G315)),0)+IFERROR(--ISNUMBER(SEARCH("R83",G315)),0)+IFERROR(--ISNUMBER(SEARCH("R84",G315)),0)+IFERROR(--ISNUMBER(SEARCH("R85",G315)),0)+IFERROR(--ISNUMBER(SEARCH("R86",G315)),0)+IFERROR(--ISNUMBER(SEARCH("R87",G315)),0)+IFERROR(--ISNUMBER(SEARCH("R88",G315)),0)+IFERROR(--ISNUMBER(SEARCH("R89",G315)),0)+IFERROR(--ISNUMBER(SEARCH("R90",G315)),0)+IFERROR(--ISNUMBER(SEARCH("R91",G315)),0)+IFERROR(--ISNUMBER(SEARCH("R92",G315)),0)+IFERROR(--ISNUMBER(SEARCH("R93",G315)),0)+IFERROR(--ISNUMBER(SEARCH("R94",G315)),0)+IFERROR(--ISNUMBER(SEARCH("R95",G315)),0)+IFERROR(--ISNUMBER(SEARCH("R96",G315)),0)+IFERROR(--ISNUMBER(SEARCH("R97",G315)),0)+IFERROR(--ISNUMBER(SEARCH("R98",G315)),0)+IFERROR(--ISNUMBER(SEARCH("R99",G315)),0)+IFERROR(--ISNUMBER(SEARCH("R100",G315)),0)+IFERROR(--ISNUMBER(SEARCH("R101",G315)),0)+IFERROR(--ISNUMBER(SEARCH("R102",G315)),0)+IFERROR(--ISNUMBER(SEARCH("R103",G315)),0)+IFERROR(--ISNUMBER(SEARCH("R104",G315)),0)+IFERROR(--ISNUMBER(SEARCH("R105",G315)),0)+IFERROR(--ISNUMBER(SEARCH("R106",G315)),0)+IFERROR(--ISNUMBER(SEARCH("R107",G315)),0)+IFERROR(--ISNUMBER(SEARCH("R108",G315)),0)+IFERROR(--ISNUMBER(SEARCH("R109",G315)),0)+IFERROR(--ISNUMBER(SEARCH("R110",G315)),0)+IFERROR(--ISNUMBER(SEARCH("R111",G315)),0)+IFERROR(--ISNUMBER(SEARCH("R112",G315)),0)+IFERROR(--ISNUMBER(SEARCH("R113",G315)),0)+IFERROR(--ISNUMBER(SEARCH("R114",G315)),0)+IFERROR(--ISNUMBER(SEARCH("R115",G315)),0)+IFERROR(--ISNUMBER(SEARCH("R116",G315)),0)+IFERROR(--ISNUMBER(SEARCH("R117",G315)),0)+IFERROR(--ISNUMBER(SEARCH("R118",G315)),0)+IFERROR(--ISNUMBER(SEARCH("R119",G315)),0)+IFERROR(--ISNUMBER(SEARCH("R120",G315)),0)+IFERROR(--ISNUMBER(SEARCH("R121",G315)),0)+IFERROR(--ISNUMBER(SEARCH("R122",G315)),0)+IFERROR(--ISNUMBER(SEARCH("R123",G315)),0)+IFERROR(--ISNUMBER(SEARCH("R124",G315)),0)+IFERROR(--ISNUMBER(SEARCH("R125",G315)),0)+IFERROR(--ISNUMBER(SEARCH("R126",G315)),0)+IFERROR(--ISNUMBER(SEARCH("R127",G315)),0)+IFERROR(--ISNUMBER(SEARCH("R128",G315)),0)+IFERROR(--ISNUMBER(SEARCH("R129",G315)),0)+IFERROR(--ISNUMBER(SEARCH("R130",G315)),0)+IFERROR(--ISNUMBER(SEARCH("R131",G315)),0)+IFERROR(--ISNUMBER(SEARCH("R132",G315)),0)+IFERROR(--ISNUMBER(SEARCH("R133",G315)),0)+IFERROR(--ISNUMBER(SEARCH("R134",G315)),0)+IFERROR(--ISNUMBER(SEARCH("R135",G315)),0)+IFERROR(--ISNUMBER(SEARCH("R136",G315)),0)+IFERROR(--ISNUMBER(SEARCH("R137",G315)),0)+IFERROR(--ISNUMBER(SEARCH("R138",G315)),0)+IFERROR(--ISNUMBER(SEARCH("R139",G315)),0)+IFERROR(--ISNUMBER(SEARCH("R140",G315)),0)+IFERROR(--ISNUMBER(SEARCH("R141",G315)),0))</f>
        <v/>
      </c>
      <c r="T315" s="58">
        <f>IF(A315="","",IFERROR(--ISNUMBER(SEARCH("R28",G315)),0)+IFERROR(--ISNUMBER(SEARCH("R29",G315)),0)+IFERROR(--ISNUMBER(SEARCH("R30",G315)),0)+IFERROR(--ISNUMBER(SEARCH("R32",G315)),0)+IFERROR(--ISNUMBER(SEARCH("R33",G315)),0)+IFERROR(--ISNUMBER(SEARCH("R35",G315)),0)+IFERROR(--ISNUMBER(SEARCH("R36",G315)),0)+IFERROR(--ISNUMBER(SEARCH("R38",G315)),0)+IFERROR(--ISNUMBER(SEARCH("R39",G315)),0)+IFERROR(--ISNUMBER(SEARCH("R43",G315)),0)+IFERROR(--ISNUMBER(SEARCH("R44",G315)),0)+IFERROR(--ISNUMBER(SEARCH("R45",G315)),0)+IFERROR(--ISNUMBER(SEARCH("R47",G315)),0)+IFERROR(--ISNUMBER(SEARCH("R48",G315)),0)+IFERROR(--ISNUMBER(SEARCH("R50",G315)),0)+IFERROR(--ISNUMBER(SEARCH("R51",G315)),0)+IFERROR(--ISNUMBER(SEARCH("R56",G315)),0)+IFERROR(--ISNUMBER(SEARCH("R58",G315)),0)+IFERROR(--ISNUMBER(SEARCH("R59",G315)),0)+IFERROR(--ISNUMBER(SEARCH("R60",G315)),0)+IFERROR(--ISNUMBER(SEARCH("R62",G315)),0)+IFERROR(--ISNUMBER(SEARCH("R63",G315)),0)+IFERROR(--ISNUMBER(SEARCH("R64",G315)),0)+IFERROR(--ISNUMBER(SEARCH("R66",G315)),0)+IFERROR(--ISNUMBER(SEARCH("R67",G315)),0)+IFERROR(--ISNUMBER(SEARCH("R72",G315)),0)+IFERROR(--ISNUMBER(SEARCH("R74",G315)),0)+IFERROR(--ISNUMBER(SEARCH("R75",G315)),0)+IFERROR(--ISNUMBER(SEARCH("R76",G315)),0)+IFERROR(--ISNUMBER(SEARCH("R77",G315)),0)+IFERROR(--ISNUMBER(SEARCH("R79",G315)),0)+IFERROR(--ISNUMBER(SEARCH("R80",G315)),0)+IFERROR(--ISNUMBER(SEARCH("R81",G315)),0)+IFERROR(--ISNUMBER(SEARCH("R83",G315)),0)+IFERROR(--ISNUMBER(SEARCH("R84",G315)),0)+IFERROR(--ISNUMBER(SEARCH("R89",G315)),0)+IFERROR(--ISNUMBER(SEARCH("R94",G315)),0)+IFERROR(--ISNUMBER(SEARCH("R95",G315)),0)+IFERROR(--ISNUMBER(SEARCH("R96",G315)),0)+IFERROR(--ISNUMBER(SEARCH("R98",G315)),0)+IFERROR(--ISNUMBER(SEARCH("R99",G315)),0)+IFERROR(--ISNUMBER(SEARCH("R100",G315)),0)+IFERROR(--ISNUMBER(SEARCH("R104",G315)),0)+IFERROR(--ISNUMBER(SEARCH("R105",G315)),0)+IFERROR(--ISNUMBER(SEARCH("R107",G315)),0)+IFERROR(--ISNUMBER(SEARCH("R108",G315)),0)+IFERROR(--ISNUMBER(SEARCH("R109",G315)),0)+IFERROR(--ISNUMBER(SEARCH("R110",G315)),0)+IFERROR(--ISNUMBER(SEARCH("R112",G315)),0)+IFERROR(--ISNUMBER(SEARCH("R113",G315)),0)+IFERROR(--ISNUMBER(SEARCH("R114",G315)),0)+IFERROR(--ISNUMBER(SEARCH("R118",G315)),0)+IFERROR(--ISNUMBER(SEARCH("R119",G315)),0)+IFERROR(--ISNUMBER(SEARCH("R120",G315)),0)+IFERROR(--ISNUMBER(SEARCH("R122",G315)),0)+IFERROR(--ISNUMBER(SEARCH("R123",G315)),0)+IFERROR(--ISNUMBER(SEARCH("R124",G315)),0)+IFERROR(--ISNUMBER(SEARCH("R128",G315)),0)+IFERROR(--ISNUMBER(SEARCH("R130",G315)),0)+IFERROR(--ISNUMBER(SEARCH("R131",G315)),0)+IFERROR(--ISNUMBER(SEARCH("R132",G315)),0)+IFERROR(--ISNUMBER(SEARCH("R135",G315)),0)+IFERROR(--ISNUMBER(SEARCH("R138",G315)),0)+IFERROR(--ISNUMBER(SEARCH("R141",G315)),0))</f>
        <v/>
      </c>
      <c r="U315" s="58">
        <f>IF(A315="","",IFERROR(--ISNUMBER(SEARCH("R28",G315))*28,0)+IFERROR(--ISNUMBER(SEARCH("R29",G315))*29,0)+IFERROR(--ISNUMBER(SEARCH("R30",G315))*30,0)+IFERROR(--ISNUMBER(SEARCH("R31",G315))*31,0)+IFERROR(--ISNUMBER(SEARCH("R32",G315))*32,0)+IFERROR(--ISNUMBER(SEARCH("R33",G315))*33,0)+IFERROR(--ISNUMBER(SEARCH("R34",G315))*34,0)+IFERROR(--ISNUMBER(SEARCH("R35",G315))*35,0)+IFERROR(--ISNUMBER(SEARCH("R36",G315))*36,0)+IFERROR(--ISNUMBER(SEARCH("R37",G315))*37,0)+IFERROR(--ISNUMBER(SEARCH("R38",G315))*38,0)+IFERROR(--ISNUMBER(SEARCH("R39",G315))*39,0)+IFERROR(--ISNUMBER(SEARCH("R40",G315))*40,0)+IFERROR(--ISNUMBER(SEARCH("R41",G315))*41,0)+IFERROR(--ISNUMBER(SEARCH("R42",G315))*42,0)+IFERROR(--ISNUMBER(SEARCH("R43",G315))*43,0)+IFERROR(--ISNUMBER(SEARCH("R44",G315))*44,0)+IFERROR(--ISNUMBER(SEARCH("R45",G315))*45,0)+IFERROR(--ISNUMBER(SEARCH("R46",G315))*46,0)+IFERROR(--ISNUMBER(SEARCH("R47",G315))*47,0)+IFERROR(--ISNUMBER(SEARCH("R48",G315))*48,0)+IFERROR(--ISNUMBER(SEARCH("R49",G315))*49,0)+IFERROR(--ISNUMBER(SEARCH("R50",G315))*50,0)+IFERROR(--ISNUMBER(SEARCH("R51",G315))*51,0)+IFERROR(--ISNUMBER(SEARCH("R52",G315))*52,0)+IFERROR(--ISNUMBER(SEARCH("R53",G315))*53,0)+IFERROR(--ISNUMBER(SEARCH("R54",G315))*54,0)+IFERROR(--ISNUMBER(SEARCH("R55",G315))*55,0)+IFERROR(--ISNUMBER(SEARCH("R56",G315))*56,0)+IFERROR(--ISNUMBER(SEARCH("R57",G315))*57,0)+IFERROR(--ISNUMBER(SEARCH("R58",G315))*58,0)+IFERROR(--ISNUMBER(SEARCH("R59",G315))*59,0)+IFERROR(--ISNUMBER(SEARCH("R60",G315))*60,0)+IFERROR(--ISNUMBER(SEARCH("R61",G315))*61,0)+IFERROR(--ISNUMBER(SEARCH("R62",G315))*62,0)+IFERROR(--ISNUMBER(SEARCH("R63",G315))*63,0)+IFERROR(--ISNUMBER(SEARCH("R64",G315))*64,0)+IFERROR(--ISNUMBER(SEARCH("R65",G315))*65,0)+IFERROR(--ISNUMBER(SEARCH("R66",G315))*66,0)+IFERROR(--ISNUMBER(SEARCH("R67",G315))*67,0)+IFERROR(--ISNUMBER(SEARCH("R68",G315))*68,0)+IFERROR(--ISNUMBER(SEARCH("R69",G315))*69,0)+IFERROR(--ISNUMBER(SEARCH("R70",G315))*70,0)+IFERROR(--ISNUMBER(SEARCH("R71",G315))*71,0)+IFERROR(--ISNUMBER(SEARCH("R72",G315))*72,0)+IFERROR(--ISNUMBER(SEARCH("R73",G315))*73,0)+IFERROR(--ISNUMBER(SEARCH("R74",G315))*74,0)+IFERROR(--ISNUMBER(SEARCH("R75",G315))*75,0)+IFERROR(--ISNUMBER(SEARCH("R76",G315))*76,0)+IFERROR(--ISNUMBER(SEARCH("R77",G315))*77,0)+IFERROR(--ISNUMBER(SEARCH("R78",G315))*78,0)+IFERROR(--ISNUMBER(SEARCH("R79",G315))*79,0)+IFERROR(--ISNUMBER(SEARCH("R80",G315))*80,0)+IFERROR(--ISNUMBER(SEARCH("R81",G315))*81,0)+IFERROR(--ISNUMBER(SEARCH("R82",G315))*82,0)+IFERROR(--ISNUMBER(SEARCH("R83",G315))*83,0)+IFERROR(--ISNUMBER(SEARCH("R84",G315))*84,0)+IFERROR(--ISNUMBER(SEARCH("R85",G315))*85,0)+IFERROR(--ISNUMBER(SEARCH("R86",G315))*86,0)+IFERROR(--ISNUMBER(SEARCH("R87",G315))*87,0)+IFERROR(--ISNUMBER(SEARCH("R88",G315))*88,0)+IFERROR(--ISNUMBER(SEARCH("R89",G315))*89,0)+IFERROR(--ISNUMBER(SEARCH("R90",G315))*90,0)+IFERROR(--ISNUMBER(SEARCH("R91",G315))*91,0)+IFERROR(--ISNUMBER(SEARCH("R92",G315))*92,0)+IFERROR(--ISNUMBER(SEARCH("R93",G315))*93,0)+IFERROR(--ISNUMBER(SEARCH("R94",G315))*94,0)+IFERROR(--ISNUMBER(SEARCH("R95",G315))*95,0)+IFERROR(--ISNUMBER(SEARCH("R96",G315))*96,0)+IFERROR(--ISNUMBER(SEARCH("R97",G315))*97,0)+IFERROR(--ISNUMBER(SEARCH("R98",G315))*98,0)+IFERROR(--ISNUMBER(SEARCH("R99",G315))*99,0)+IFERROR(--ISNUMBER(SEARCH("R100",G315))*100,0)+IFERROR(--ISNUMBER(SEARCH("R101",G315))*101,0)+IFERROR(--ISNUMBER(SEARCH("R102",G315))*102,0)+IFERROR(--ISNUMBER(SEARCH("R103",G315))*103,0)+IFERROR(--ISNUMBER(SEARCH("R104",G315))*104,0)+IFERROR(--ISNUMBER(SEARCH("R105",G315))*105,0)+IFERROR(--ISNUMBER(SEARCH("R106",G315))*106,0)+IFERROR(--ISNUMBER(SEARCH("R107",G315))*107,0)+IFERROR(--ISNUMBER(SEARCH("R108",G315))*108,0)+IFERROR(--ISNUMBER(SEARCH("R109",G315))*109,0)+IFERROR(--ISNUMBER(SEARCH("R110",G315))*110,0)+IFERROR(--ISNUMBER(SEARCH("R111",G315))*111,0)+IFERROR(--ISNUMBER(SEARCH("R112",G315))*112,0)+IFERROR(--ISNUMBER(SEARCH("R113",G315))*113,0)+IFERROR(--ISNUMBER(SEARCH("R114",G315))*114,0)+IFERROR(--ISNUMBER(SEARCH("R115",G315))*115,0)+IFERROR(--ISNUMBER(SEARCH("R116",G315))*116,0)+IFERROR(--ISNUMBER(SEARCH("R117",G315))*117,0)+IFERROR(--ISNUMBER(SEARCH("R118",G315))*118,0)+IFERROR(--ISNUMBER(SEARCH("R119",G315))*119,0)+IFERROR(--ISNUMBER(SEARCH("R120",G315))*120,0)+IFERROR(--ISNUMBER(SEARCH("R121",G315))*121,0)+IFERROR(--ISNUMBER(SEARCH("R122",G315))*122,0)+IFERROR(--ISNUMBER(SEARCH("R123",G315))*123,0)+IFERROR(--ISNUMBER(SEARCH("R124",G315))*124,0)+IFERROR(--ISNUMBER(SEARCH("R125",G315))*125,0)+IFERROR(--ISNUMBER(SEARCH("R126",G315))*126,0)+IFERROR(--ISNUMBER(SEARCH("R127",G315))*127,0)+IFERROR(--ISNUMBER(SEARCH("R128",G315))*128,0)+IFERROR(--ISNUMBER(SEARCH("R129",G315))*129,0)+IFERROR(--ISNUMBER(SEARCH("R130",G315))*130,0)+IFERROR(--ISNUMBER(SEARCH("R131",G315))*131,0)+IFERROR(--ISNUMBER(SEARCH("R132",G315))*132,0)+IFERROR(--ISNUMBER(SEARCH("R133",G315))*133,0)+IFERROR(--ISNUMBER(SEARCH("R134",G315))*134,0)+IFERROR(--ISNUMBER(SEARCH("R135",G315))*135,0)+IFERROR(--ISNUMBER(SEARCH("R136",G315))*136,0)+IFERROR(--ISNUMBER(SEARCH("R137",G315))*137,0)+IFERROR(--ISNUMBER(SEARCH("R138",G315))*138,0)+IFERROR(--ISNUMBER(SEARCH("R139",G315))*139,0)+IFERROR(--ISNUMBER(SEARCH("R140",G315))*140,0)+IFERROR(--ISNUMBER(SEARCH("R141",G315))*141,0))</f>
        <v/>
      </c>
      <c r="V315" s="59">
        <f>IF(A315="","",IF(K315&lt;&gt;"",K315,J315))</f>
        <v/>
      </c>
      <c r="W315" s="59">
        <f>IF(A315="","",IF(AND(V315=29,O315&lt;&gt;"",COUNTIFS($V$6:$V$505,29,$F$6:$F$505,F315,$C$6:$C$505,C315,$O$6:$O$505,"&lt;&gt;")&gt;1),IF(COUNTIFS($V$6:V315,29,$F$6:F315,F315,$C$6:C315,C315,$O$6:O315,"&lt;&gt;")=1,"Esta es la fila que se debe CONSERVAR (aparición 1 de "&amp;COUNTIFS($V$6:$V$505,29,$F$6:$F$505,F315,$C$6:$C$505,C315,$O$6:$O$505,"&lt;&gt;")&amp;" con el mismo tercero y valor, casilla 29). Si hay más filas iguales, bórreles el valor a ELLAS, no a esta.","DUPLICADO — ya existe otra fila con el mismo tercero y valor para casilla 29 (aparición "&amp;COUNTIFS($V$6:V315,29,$F$6:F315,F315,$C$6:C315,C315,$O$6:O315,"&lt;&gt;")&amp;" de "&amp;COUNTIFS($V$6:$V$505,29,$F$6:$F$505,F315,$C$6:$C$505,C315,$O$6:$O$505,"&lt;&gt;")&amp;"). Para resolverlo: seleccione la celda O"&amp;ROW()&amp;" (columna Valor a declarar de ESTA fila) y presione Supr."),""))</f>
        <v/>
      </c>
      <c r="X315" s="463">
        <f>IF(A315="","",F315)</f>
        <v/>
      </c>
      <c r="Y315" s="463">
        <f>IF(A315="","",SUMIF(Entrada_Manual!$I$88:$I$187,A315,Entrada_Manual!$F$88:$F$187))</f>
        <v/>
      </c>
      <c r="Z315" s="463">
        <f>IF(A315="","",X315-Y315)</f>
        <v/>
      </c>
      <c r="AA315">
        <f>IF(A315="","",SUMPRODUCT((Entrada_Manual!$I$88:$I$187=A315)*1))</f>
        <v/>
      </c>
      <c r="AB315">
        <f>IF(A315="","",IF(S315&lt;=1,"",IF(AA315=0,"PENDIENTE — SIN ASIGNAR",IF(Z315=0,"RESUELTO","PARCIAL — DIFERENCIA "&amp;TEXT(Z315,"#,##0")))))</f>
        <v/>
      </c>
    </row>
    <row r="316" ht="14.25" customHeight="1" s="235">
      <c r="A316" s="47">
        <f>IF(Exogena_RAW!E325&lt;&gt;"",ROW()-5,"")</f>
        <v/>
      </c>
      <c r="B316" s="48">
        <f>IF(A316="","",325)</f>
        <v/>
      </c>
      <c r="C316" s="48">
        <f>IF(A316="","",IFERROR(Exogena_RAW!A325,""))</f>
        <v/>
      </c>
      <c r="D316" s="48">
        <f>IF(A316="","",IFERROR(Exogena_RAW!B325,""))</f>
        <v/>
      </c>
      <c r="E316" s="48">
        <f>IF(A316="","",Exogena_RAW!E325)</f>
        <v/>
      </c>
      <c r="F316" s="461">
        <f>IF(A316="","",Exogena_RAW!F325)</f>
        <v/>
      </c>
      <c r="G316" s="48">
        <f>IF(A316="","",IFERROR(Exogena_RAW!G325,""))</f>
        <v/>
      </c>
      <c r="H316" s="48">
        <f>IF(A316="","",IFERROR(Exogena_RAW!H325,""))</f>
        <v/>
      </c>
      <c r="I316" s="48">
        <f>IF(A316="","",IFERROR(IF(S316&gt;1,"VARIAS CASILLAS",IF(S316=1,IF(T316=1,"PROPUESTA DE CASILLA","REVISIÓN: CASILLA NO DIRECTA"),IF(OR(ISNUMBER(SEARCH("TOPE",UPPER(E316))),ISNUMBER(SEARCH("TOPE",UPPER(G316)))),"SOLO CONTROL",IF(ISNUMBER(SEARCH("RETEN",UPPER(E316))),"RETENCIÓN","REVISAR")))),"REVISAR"))</f>
        <v/>
      </c>
      <c r="J316" s="48">
        <f>IF(A316="","",IF(ISNUMBER(SEARCH("ingreso laboral promedio de los últimos seis meses",E316)),"",IFERROR(IF(AND(S316=1,T316=1),U316,""),"")))</f>
        <v/>
      </c>
      <c r="K316" s="216" t="n"/>
      <c r="L316" s="48">
        <f>IF(A316="","",IFERROR(IF(K316&lt;&gt;"","Casilla elegida por usuario",IF(S316&gt;1,"Varias casillas — elegir en K",IF(J316&lt;&gt;"","Sugerencia directa",IF(S316=1,"No trasladar directo — revisar",IF(OR(ISNUMBER(SEARCH("TOPE",UPPER(E316))),ISNUMBER(SEARCH("TOPE",UPPER(G316)))),"Solo control","Revisar manualmente"))))),"Revisar manualmente"))</f>
        <v/>
      </c>
      <c r="M316" s="461">
        <f>IF(A316="","",IF(IF(K316&lt;&gt;"",K316,J316)="",0,IF(COUNTIFS(Reglas!$I$5:$I$118,IF(K316&lt;&gt;"",K316,J316),Reglas!$J$5:$J$118,"Sí")=1,F316,0)))</f>
        <v/>
      </c>
      <c r="N316" s="56" t="n"/>
      <c r="O316" s="462">
        <f>IF(A316="","",IF(M316=0,"",M316))</f>
        <v/>
      </c>
      <c r="P316" s="461">
        <f>IF(A316="","",IF(O316="",0,IF(ISNUMBER(O316),O316,0)))</f>
        <v/>
      </c>
      <c r="Q316" s="48">
        <f>IF(A316="","",IF(Exogena_RAW!$C$4="","BLOQUEADO: FALTA AÑO",IF(Exogena_RAW!$K$10&lt;&gt;Reglas!$B$5,"BLOQUEADO: AÑO",IF(IF(K316&lt;&gt;"",K316,J316)="",IF(S316&gt;1,"REQUIERE ASIGNACIÓN MANUAL (VARIAS CASILLAS)","INFORMATIVO (sin casilla — no se declara)"),IF(COUNTIFS(Reglas!$I$5:$I$118,IF(K316&lt;&gt;"",K316,J316),Reglas!$J$5:$J$118,"Sí")=0,"BLOQUEADO: CASILLA NO DIRECTA",IF(O316="","EXCLUIDO (valor borrado por el usuario)",IF(_xlfn.ISFORMULA(O316),IF(W316&lt;&gt;"","BORRADOR — VALOR SUGERIDO DIAN ⚠ VER ALERTA","BORRADOR — VALOR SUGERIDO DIAN"),IF(W316&lt;&gt;"","ACEPTADO ⚠ VER ALERTA","ACEPTADO"))))))))</f>
        <v/>
      </c>
      <c r="R316" s="218" t="n"/>
      <c r="S316" s="58">
        <f>IF(A316="","",IFERROR(--ISNUMBER(SEARCH("R28",G316)),0)+IFERROR(--ISNUMBER(SEARCH("R29",G316)),0)+IFERROR(--ISNUMBER(SEARCH("R30",G316)),0)+IFERROR(--ISNUMBER(SEARCH("R31",G316)),0)+IFERROR(--ISNUMBER(SEARCH("R32",G316)),0)+IFERROR(--ISNUMBER(SEARCH("R33",G316)),0)+IFERROR(--ISNUMBER(SEARCH("R34",G316)),0)+IFERROR(--ISNUMBER(SEARCH("R35",G316)),0)+IFERROR(--ISNUMBER(SEARCH("R36",G316)),0)+IFERROR(--ISNUMBER(SEARCH("R37",G316)),0)+IFERROR(--ISNUMBER(SEARCH("R38",G316)),0)+IFERROR(--ISNUMBER(SEARCH("R39",G316)),0)+IFERROR(--ISNUMBER(SEARCH("R40",G316)),0)+IFERROR(--ISNUMBER(SEARCH("R41",G316)),0)+IFERROR(--ISNUMBER(SEARCH("R42",G316)),0)+IFERROR(--ISNUMBER(SEARCH("R43",G316)),0)+IFERROR(--ISNUMBER(SEARCH("R44",G316)),0)+IFERROR(--ISNUMBER(SEARCH("R45",G316)),0)+IFERROR(--ISNUMBER(SEARCH("R46",G316)),0)+IFERROR(--ISNUMBER(SEARCH("R47",G316)),0)+IFERROR(--ISNUMBER(SEARCH("R48",G316)),0)+IFERROR(--ISNUMBER(SEARCH("R49",G316)),0)+IFERROR(--ISNUMBER(SEARCH("R50",G316)),0)+IFERROR(--ISNUMBER(SEARCH("R51",G316)),0)+IFERROR(--ISNUMBER(SEARCH("R52",G316)),0)+IFERROR(--ISNUMBER(SEARCH("R53",G316)),0)+IFERROR(--ISNUMBER(SEARCH("R54",G316)),0)+IFERROR(--ISNUMBER(SEARCH("R55",G316)),0)+IFERROR(--ISNUMBER(SEARCH("R56",G316)),0)+IFERROR(--ISNUMBER(SEARCH("R57",G316)),0)+IFERROR(--ISNUMBER(SEARCH("R58",G316)),0)+IFERROR(--ISNUMBER(SEARCH("R59",G316)),0)+IFERROR(--ISNUMBER(SEARCH("R60",G316)),0)+IFERROR(--ISNUMBER(SEARCH("R61",G316)),0)+IFERROR(--ISNUMBER(SEARCH("R62",G316)),0)+IFERROR(--ISNUMBER(SEARCH("R63",G316)),0)+IFERROR(--ISNUMBER(SEARCH("R64",G316)),0)+IFERROR(--ISNUMBER(SEARCH("R65",G316)),0)+IFERROR(--ISNUMBER(SEARCH("R66",G316)),0)+IFERROR(--ISNUMBER(SEARCH("R67",G316)),0)+IFERROR(--ISNUMBER(SEARCH("R68",G316)),0)+IFERROR(--ISNUMBER(SEARCH("R69",G316)),0)+IFERROR(--ISNUMBER(SEARCH("R70",G316)),0)+IFERROR(--ISNUMBER(SEARCH("R71",G316)),0)+IFERROR(--ISNUMBER(SEARCH("R72",G316)),0)+IFERROR(--ISNUMBER(SEARCH("R73",G316)),0)+IFERROR(--ISNUMBER(SEARCH("R74",G316)),0)+IFERROR(--ISNUMBER(SEARCH("R75",G316)),0)+IFERROR(--ISNUMBER(SEARCH("R76",G316)),0)+IFERROR(--ISNUMBER(SEARCH("R77",G316)),0)+IFERROR(--ISNUMBER(SEARCH("R78",G316)),0)+IFERROR(--ISNUMBER(SEARCH("R79",G316)),0)+IFERROR(--ISNUMBER(SEARCH("R80",G316)),0)+IFERROR(--ISNUMBER(SEARCH("R81",G316)),0)+IFERROR(--ISNUMBER(SEARCH("R82",G316)),0)+IFERROR(--ISNUMBER(SEARCH("R83",G316)),0)+IFERROR(--ISNUMBER(SEARCH("R84",G316)),0)+IFERROR(--ISNUMBER(SEARCH("R85",G316)),0)+IFERROR(--ISNUMBER(SEARCH("R86",G316)),0)+IFERROR(--ISNUMBER(SEARCH("R87",G316)),0)+IFERROR(--ISNUMBER(SEARCH("R88",G316)),0)+IFERROR(--ISNUMBER(SEARCH("R89",G316)),0)+IFERROR(--ISNUMBER(SEARCH("R90",G316)),0)+IFERROR(--ISNUMBER(SEARCH("R91",G316)),0)+IFERROR(--ISNUMBER(SEARCH("R92",G316)),0)+IFERROR(--ISNUMBER(SEARCH("R93",G316)),0)+IFERROR(--ISNUMBER(SEARCH("R94",G316)),0)+IFERROR(--ISNUMBER(SEARCH("R95",G316)),0)+IFERROR(--ISNUMBER(SEARCH("R96",G316)),0)+IFERROR(--ISNUMBER(SEARCH("R97",G316)),0)+IFERROR(--ISNUMBER(SEARCH("R98",G316)),0)+IFERROR(--ISNUMBER(SEARCH("R99",G316)),0)+IFERROR(--ISNUMBER(SEARCH("R100",G316)),0)+IFERROR(--ISNUMBER(SEARCH("R101",G316)),0)+IFERROR(--ISNUMBER(SEARCH("R102",G316)),0)+IFERROR(--ISNUMBER(SEARCH("R103",G316)),0)+IFERROR(--ISNUMBER(SEARCH("R104",G316)),0)+IFERROR(--ISNUMBER(SEARCH("R105",G316)),0)+IFERROR(--ISNUMBER(SEARCH("R106",G316)),0)+IFERROR(--ISNUMBER(SEARCH("R107",G316)),0)+IFERROR(--ISNUMBER(SEARCH("R108",G316)),0)+IFERROR(--ISNUMBER(SEARCH("R109",G316)),0)+IFERROR(--ISNUMBER(SEARCH("R110",G316)),0)+IFERROR(--ISNUMBER(SEARCH("R111",G316)),0)+IFERROR(--ISNUMBER(SEARCH("R112",G316)),0)+IFERROR(--ISNUMBER(SEARCH("R113",G316)),0)+IFERROR(--ISNUMBER(SEARCH("R114",G316)),0)+IFERROR(--ISNUMBER(SEARCH("R115",G316)),0)+IFERROR(--ISNUMBER(SEARCH("R116",G316)),0)+IFERROR(--ISNUMBER(SEARCH("R117",G316)),0)+IFERROR(--ISNUMBER(SEARCH("R118",G316)),0)+IFERROR(--ISNUMBER(SEARCH("R119",G316)),0)+IFERROR(--ISNUMBER(SEARCH("R120",G316)),0)+IFERROR(--ISNUMBER(SEARCH("R121",G316)),0)+IFERROR(--ISNUMBER(SEARCH("R122",G316)),0)+IFERROR(--ISNUMBER(SEARCH("R123",G316)),0)+IFERROR(--ISNUMBER(SEARCH("R124",G316)),0)+IFERROR(--ISNUMBER(SEARCH("R125",G316)),0)+IFERROR(--ISNUMBER(SEARCH("R126",G316)),0)+IFERROR(--ISNUMBER(SEARCH("R127",G316)),0)+IFERROR(--ISNUMBER(SEARCH("R128",G316)),0)+IFERROR(--ISNUMBER(SEARCH("R129",G316)),0)+IFERROR(--ISNUMBER(SEARCH("R130",G316)),0)+IFERROR(--ISNUMBER(SEARCH("R131",G316)),0)+IFERROR(--ISNUMBER(SEARCH("R132",G316)),0)+IFERROR(--ISNUMBER(SEARCH("R133",G316)),0)+IFERROR(--ISNUMBER(SEARCH("R134",G316)),0)+IFERROR(--ISNUMBER(SEARCH("R135",G316)),0)+IFERROR(--ISNUMBER(SEARCH("R136",G316)),0)+IFERROR(--ISNUMBER(SEARCH("R137",G316)),0)+IFERROR(--ISNUMBER(SEARCH("R138",G316)),0)+IFERROR(--ISNUMBER(SEARCH("R139",G316)),0)+IFERROR(--ISNUMBER(SEARCH("R140",G316)),0)+IFERROR(--ISNUMBER(SEARCH("R141",G316)),0))</f>
        <v/>
      </c>
      <c r="T316" s="58">
        <f>IF(A316="","",IFERROR(--ISNUMBER(SEARCH("R28",G316)),0)+IFERROR(--ISNUMBER(SEARCH("R29",G316)),0)+IFERROR(--ISNUMBER(SEARCH("R30",G316)),0)+IFERROR(--ISNUMBER(SEARCH("R32",G316)),0)+IFERROR(--ISNUMBER(SEARCH("R33",G316)),0)+IFERROR(--ISNUMBER(SEARCH("R35",G316)),0)+IFERROR(--ISNUMBER(SEARCH("R36",G316)),0)+IFERROR(--ISNUMBER(SEARCH("R38",G316)),0)+IFERROR(--ISNUMBER(SEARCH("R39",G316)),0)+IFERROR(--ISNUMBER(SEARCH("R43",G316)),0)+IFERROR(--ISNUMBER(SEARCH("R44",G316)),0)+IFERROR(--ISNUMBER(SEARCH("R45",G316)),0)+IFERROR(--ISNUMBER(SEARCH("R47",G316)),0)+IFERROR(--ISNUMBER(SEARCH("R48",G316)),0)+IFERROR(--ISNUMBER(SEARCH("R50",G316)),0)+IFERROR(--ISNUMBER(SEARCH("R51",G316)),0)+IFERROR(--ISNUMBER(SEARCH("R56",G316)),0)+IFERROR(--ISNUMBER(SEARCH("R58",G316)),0)+IFERROR(--ISNUMBER(SEARCH("R59",G316)),0)+IFERROR(--ISNUMBER(SEARCH("R60",G316)),0)+IFERROR(--ISNUMBER(SEARCH("R62",G316)),0)+IFERROR(--ISNUMBER(SEARCH("R63",G316)),0)+IFERROR(--ISNUMBER(SEARCH("R64",G316)),0)+IFERROR(--ISNUMBER(SEARCH("R66",G316)),0)+IFERROR(--ISNUMBER(SEARCH("R67",G316)),0)+IFERROR(--ISNUMBER(SEARCH("R72",G316)),0)+IFERROR(--ISNUMBER(SEARCH("R74",G316)),0)+IFERROR(--ISNUMBER(SEARCH("R75",G316)),0)+IFERROR(--ISNUMBER(SEARCH("R76",G316)),0)+IFERROR(--ISNUMBER(SEARCH("R77",G316)),0)+IFERROR(--ISNUMBER(SEARCH("R79",G316)),0)+IFERROR(--ISNUMBER(SEARCH("R80",G316)),0)+IFERROR(--ISNUMBER(SEARCH("R81",G316)),0)+IFERROR(--ISNUMBER(SEARCH("R83",G316)),0)+IFERROR(--ISNUMBER(SEARCH("R84",G316)),0)+IFERROR(--ISNUMBER(SEARCH("R89",G316)),0)+IFERROR(--ISNUMBER(SEARCH("R94",G316)),0)+IFERROR(--ISNUMBER(SEARCH("R95",G316)),0)+IFERROR(--ISNUMBER(SEARCH("R96",G316)),0)+IFERROR(--ISNUMBER(SEARCH("R98",G316)),0)+IFERROR(--ISNUMBER(SEARCH("R99",G316)),0)+IFERROR(--ISNUMBER(SEARCH("R100",G316)),0)+IFERROR(--ISNUMBER(SEARCH("R104",G316)),0)+IFERROR(--ISNUMBER(SEARCH("R105",G316)),0)+IFERROR(--ISNUMBER(SEARCH("R107",G316)),0)+IFERROR(--ISNUMBER(SEARCH("R108",G316)),0)+IFERROR(--ISNUMBER(SEARCH("R109",G316)),0)+IFERROR(--ISNUMBER(SEARCH("R110",G316)),0)+IFERROR(--ISNUMBER(SEARCH("R112",G316)),0)+IFERROR(--ISNUMBER(SEARCH("R113",G316)),0)+IFERROR(--ISNUMBER(SEARCH("R114",G316)),0)+IFERROR(--ISNUMBER(SEARCH("R118",G316)),0)+IFERROR(--ISNUMBER(SEARCH("R119",G316)),0)+IFERROR(--ISNUMBER(SEARCH("R120",G316)),0)+IFERROR(--ISNUMBER(SEARCH("R122",G316)),0)+IFERROR(--ISNUMBER(SEARCH("R123",G316)),0)+IFERROR(--ISNUMBER(SEARCH("R124",G316)),0)+IFERROR(--ISNUMBER(SEARCH("R128",G316)),0)+IFERROR(--ISNUMBER(SEARCH("R130",G316)),0)+IFERROR(--ISNUMBER(SEARCH("R131",G316)),0)+IFERROR(--ISNUMBER(SEARCH("R132",G316)),0)+IFERROR(--ISNUMBER(SEARCH("R135",G316)),0)+IFERROR(--ISNUMBER(SEARCH("R138",G316)),0)+IFERROR(--ISNUMBER(SEARCH("R141",G316)),0))</f>
        <v/>
      </c>
      <c r="U316" s="58">
        <f>IF(A316="","",IFERROR(--ISNUMBER(SEARCH("R28",G316))*28,0)+IFERROR(--ISNUMBER(SEARCH("R29",G316))*29,0)+IFERROR(--ISNUMBER(SEARCH("R30",G316))*30,0)+IFERROR(--ISNUMBER(SEARCH("R31",G316))*31,0)+IFERROR(--ISNUMBER(SEARCH("R32",G316))*32,0)+IFERROR(--ISNUMBER(SEARCH("R33",G316))*33,0)+IFERROR(--ISNUMBER(SEARCH("R34",G316))*34,0)+IFERROR(--ISNUMBER(SEARCH("R35",G316))*35,0)+IFERROR(--ISNUMBER(SEARCH("R36",G316))*36,0)+IFERROR(--ISNUMBER(SEARCH("R37",G316))*37,0)+IFERROR(--ISNUMBER(SEARCH("R38",G316))*38,0)+IFERROR(--ISNUMBER(SEARCH("R39",G316))*39,0)+IFERROR(--ISNUMBER(SEARCH("R40",G316))*40,0)+IFERROR(--ISNUMBER(SEARCH("R41",G316))*41,0)+IFERROR(--ISNUMBER(SEARCH("R42",G316))*42,0)+IFERROR(--ISNUMBER(SEARCH("R43",G316))*43,0)+IFERROR(--ISNUMBER(SEARCH("R44",G316))*44,0)+IFERROR(--ISNUMBER(SEARCH("R45",G316))*45,0)+IFERROR(--ISNUMBER(SEARCH("R46",G316))*46,0)+IFERROR(--ISNUMBER(SEARCH("R47",G316))*47,0)+IFERROR(--ISNUMBER(SEARCH("R48",G316))*48,0)+IFERROR(--ISNUMBER(SEARCH("R49",G316))*49,0)+IFERROR(--ISNUMBER(SEARCH("R50",G316))*50,0)+IFERROR(--ISNUMBER(SEARCH("R51",G316))*51,0)+IFERROR(--ISNUMBER(SEARCH("R52",G316))*52,0)+IFERROR(--ISNUMBER(SEARCH("R53",G316))*53,0)+IFERROR(--ISNUMBER(SEARCH("R54",G316))*54,0)+IFERROR(--ISNUMBER(SEARCH("R55",G316))*55,0)+IFERROR(--ISNUMBER(SEARCH("R56",G316))*56,0)+IFERROR(--ISNUMBER(SEARCH("R57",G316))*57,0)+IFERROR(--ISNUMBER(SEARCH("R58",G316))*58,0)+IFERROR(--ISNUMBER(SEARCH("R59",G316))*59,0)+IFERROR(--ISNUMBER(SEARCH("R60",G316))*60,0)+IFERROR(--ISNUMBER(SEARCH("R61",G316))*61,0)+IFERROR(--ISNUMBER(SEARCH("R62",G316))*62,0)+IFERROR(--ISNUMBER(SEARCH("R63",G316))*63,0)+IFERROR(--ISNUMBER(SEARCH("R64",G316))*64,0)+IFERROR(--ISNUMBER(SEARCH("R65",G316))*65,0)+IFERROR(--ISNUMBER(SEARCH("R66",G316))*66,0)+IFERROR(--ISNUMBER(SEARCH("R67",G316))*67,0)+IFERROR(--ISNUMBER(SEARCH("R68",G316))*68,0)+IFERROR(--ISNUMBER(SEARCH("R69",G316))*69,0)+IFERROR(--ISNUMBER(SEARCH("R70",G316))*70,0)+IFERROR(--ISNUMBER(SEARCH("R71",G316))*71,0)+IFERROR(--ISNUMBER(SEARCH("R72",G316))*72,0)+IFERROR(--ISNUMBER(SEARCH("R73",G316))*73,0)+IFERROR(--ISNUMBER(SEARCH("R74",G316))*74,0)+IFERROR(--ISNUMBER(SEARCH("R75",G316))*75,0)+IFERROR(--ISNUMBER(SEARCH("R76",G316))*76,0)+IFERROR(--ISNUMBER(SEARCH("R77",G316))*77,0)+IFERROR(--ISNUMBER(SEARCH("R78",G316))*78,0)+IFERROR(--ISNUMBER(SEARCH("R79",G316))*79,0)+IFERROR(--ISNUMBER(SEARCH("R80",G316))*80,0)+IFERROR(--ISNUMBER(SEARCH("R81",G316))*81,0)+IFERROR(--ISNUMBER(SEARCH("R82",G316))*82,0)+IFERROR(--ISNUMBER(SEARCH("R83",G316))*83,0)+IFERROR(--ISNUMBER(SEARCH("R84",G316))*84,0)+IFERROR(--ISNUMBER(SEARCH("R85",G316))*85,0)+IFERROR(--ISNUMBER(SEARCH("R86",G316))*86,0)+IFERROR(--ISNUMBER(SEARCH("R87",G316))*87,0)+IFERROR(--ISNUMBER(SEARCH("R88",G316))*88,0)+IFERROR(--ISNUMBER(SEARCH("R89",G316))*89,0)+IFERROR(--ISNUMBER(SEARCH("R90",G316))*90,0)+IFERROR(--ISNUMBER(SEARCH("R91",G316))*91,0)+IFERROR(--ISNUMBER(SEARCH("R92",G316))*92,0)+IFERROR(--ISNUMBER(SEARCH("R93",G316))*93,0)+IFERROR(--ISNUMBER(SEARCH("R94",G316))*94,0)+IFERROR(--ISNUMBER(SEARCH("R95",G316))*95,0)+IFERROR(--ISNUMBER(SEARCH("R96",G316))*96,0)+IFERROR(--ISNUMBER(SEARCH("R97",G316))*97,0)+IFERROR(--ISNUMBER(SEARCH("R98",G316))*98,0)+IFERROR(--ISNUMBER(SEARCH("R99",G316))*99,0)+IFERROR(--ISNUMBER(SEARCH("R100",G316))*100,0)+IFERROR(--ISNUMBER(SEARCH("R101",G316))*101,0)+IFERROR(--ISNUMBER(SEARCH("R102",G316))*102,0)+IFERROR(--ISNUMBER(SEARCH("R103",G316))*103,0)+IFERROR(--ISNUMBER(SEARCH("R104",G316))*104,0)+IFERROR(--ISNUMBER(SEARCH("R105",G316))*105,0)+IFERROR(--ISNUMBER(SEARCH("R106",G316))*106,0)+IFERROR(--ISNUMBER(SEARCH("R107",G316))*107,0)+IFERROR(--ISNUMBER(SEARCH("R108",G316))*108,0)+IFERROR(--ISNUMBER(SEARCH("R109",G316))*109,0)+IFERROR(--ISNUMBER(SEARCH("R110",G316))*110,0)+IFERROR(--ISNUMBER(SEARCH("R111",G316))*111,0)+IFERROR(--ISNUMBER(SEARCH("R112",G316))*112,0)+IFERROR(--ISNUMBER(SEARCH("R113",G316))*113,0)+IFERROR(--ISNUMBER(SEARCH("R114",G316))*114,0)+IFERROR(--ISNUMBER(SEARCH("R115",G316))*115,0)+IFERROR(--ISNUMBER(SEARCH("R116",G316))*116,0)+IFERROR(--ISNUMBER(SEARCH("R117",G316))*117,0)+IFERROR(--ISNUMBER(SEARCH("R118",G316))*118,0)+IFERROR(--ISNUMBER(SEARCH("R119",G316))*119,0)+IFERROR(--ISNUMBER(SEARCH("R120",G316))*120,0)+IFERROR(--ISNUMBER(SEARCH("R121",G316))*121,0)+IFERROR(--ISNUMBER(SEARCH("R122",G316))*122,0)+IFERROR(--ISNUMBER(SEARCH("R123",G316))*123,0)+IFERROR(--ISNUMBER(SEARCH("R124",G316))*124,0)+IFERROR(--ISNUMBER(SEARCH("R125",G316))*125,0)+IFERROR(--ISNUMBER(SEARCH("R126",G316))*126,0)+IFERROR(--ISNUMBER(SEARCH("R127",G316))*127,0)+IFERROR(--ISNUMBER(SEARCH("R128",G316))*128,0)+IFERROR(--ISNUMBER(SEARCH("R129",G316))*129,0)+IFERROR(--ISNUMBER(SEARCH("R130",G316))*130,0)+IFERROR(--ISNUMBER(SEARCH("R131",G316))*131,0)+IFERROR(--ISNUMBER(SEARCH("R132",G316))*132,0)+IFERROR(--ISNUMBER(SEARCH("R133",G316))*133,0)+IFERROR(--ISNUMBER(SEARCH("R134",G316))*134,0)+IFERROR(--ISNUMBER(SEARCH("R135",G316))*135,0)+IFERROR(--ISNUMBER(SEARCH("R136",G316))*136,0)+IFERROR(--ISNUMBER(SEARCH("R137",G316))*137,0)+IFERROR(--ISNUMBER(SEARCH("R138",G316))*138,0)+IFERROR(--ISNUMBER(SEARCH("R139",G316))*139,0)+IFERROR(--ISNUMBER(SEARCH("R140",G316))*140,0)+IFERROR(--ISNUMBER(SEARCH("R141",G316))*141,0))</f>
        <v/>
      </c>
      <c r="V316" s="59">
        <f>IF(A316="","",IF(K316&lt;&gt;"",K316,J316))</f>
        <v/>
      </c>
      <c r="W316" s="59">
        <f>IF(A316="","",IF(AND(V316=29,O316&lt;&gt;"",COUNTIFS($V$6:$V$505,29,$F$6:$F$505,F316,$C$6:$C$505,C316,$O$6:$O$505,"&lt;&gt;")&gt;1),IF(COUNTIFS($V$6:V316,29,$F$6:F316,F316,$C$6:C316,C316,$O$6:O316,"&lt;&gt;")=1,"Esta es la fila que se debe CONSERVAR (aparición 1 de "&amp;COUNTIFS($V$6:$V$505,29,$F$6:$F$505,F316,$C$6:$C$505,C316,$O$6:$O$505,"&lt;&gt;")&amp;" con el mismo tercero y valor, casilla 29). Si hay más filas iguales, bórreles el valor a ELLAS, no a esta.","DUPLICADO — ya existe otra fila con el mismo tercero y valor para casilla 29 (aparición "&amp;COUNTIFS($V$6:V316,29,$F$6:F316,F316,$C$6:C316,C316,$O$6:O316,"&lt;&gt;")&amp;" de "&amp;COUNTIFS($V$6:$V$505,29,$F$6:$F$505,F316,$C$6:$C$505,C316,$O$6:$O$505,"&lt;&gt;")&amp;"). Para resolverlo: seleccione la celda O"&amp;ROW()&amp;" (columna Valor a declarar de ESTA fila) y presione Supr."),""))</f>
        <v/>
      </c>
      <c r="X316" s="463">
        <f>IF(A316="","",F316)</f>
        <v/>
      </c>
      <c r="Y316" s="463">
        <f>IF(A316="","",SUMIF(Entrada_Manual!$I$88:$I$187,A316,Entrada_Manual!$F$88:$F$187))</f>
        <v/>
      </c>
      <c r="Z316" s="463">
        <f>IF(A316="","",X316-Y316)</f>
        <v/>
      </c>
      <c r="AA316">
        <f>IF(A316="","",SUMPRODUCT((Entrada_Manual!$I$88:$I$187=A316)*1))</f>
        <v/>
      </c>
      <c r="AB316">
        <f>IF(A316="","",IF(S316&lt;=1,"",IF(AA316=0,"PENDIENTE — SIN ASIGNAR",IF(Z316=0,"RESUELTO","PARCIAL — DIFERENCIA "&amp;TEXT(Z316,"#,##0")))))</f>
        <v/>
      </c>
    </row>
    <row r="317" ht="14.25" customHeight="1" s="235">
      <c r="A317" s="47">
        <f>IF(Exogena_RAW!E326&lt;&gt;"",ROW()-5,"")</f>
        <v/>
      </c>
      <c r="B317" s="48">
        <f>IF(A317="","",326)</f>
        <v/>
      </c>
      <c r="C317" s="48">
        <f>IF(A317="","",IFERROR(Exogena_RAW!A326,""))</f>
        <v/>
      </c>
      <c r="D317" s="48">
        <f>IF(A317="","",IFERROR(Exogena_RAW!B326,""))</f>
        <v/>
      </c>
      <c r="E317" s="48">
        <f>IF(A317="","",Exogena_RAW!E326)</f>
        <v/>
      </c>
      <c r="F317" s="461">
        <f>IF(A317="","",Exogena_RAW!F326)</f>
        <v/>
      </c>
      <c r="G317" s="48">
        <f>IF(A317="","",IFERROR(Exogena_RAW!G326,""))</f>
        <v/>
      </c>
      <c r="H317" s="48">
        <f>IF(A317="","",IFERROR(Exogena_RAW!H326,""))</f>
        <v/>
      </c>
      <c r="I317" s="48">
        <f>IF(A317="","",IFERROR(IF(S317&gt;1,"VARIAS CASILLAS",IF(S317=1,IF(T317=1,"PROPUESTA DE CASILLA","REVISIÓN: CASILLA NO DIRECTA"),IF(OR(ISNUMBER(SEARCH("TOPE",UPPER(E317))),ISNUMBER(SEARCH("TOPE",UPPER(G317)))),"SOLO CONTROL",IF(ISNUMBER(SEARCH("RETEN",UPPER(E317))),"RETENCIÓN","REVISAR")))),"REVISAR"))</f>
        <v/>
      </c>
      <c r="J317" s="48">
        <f>IF(A317="","",IF(ISNUMBER(SEARCH("ingreso laboral promedio de los últimos seis meses",E317)),"",IFERROR(IF(AND(S317=1,T317=1),U317,""),"")))</f>
        <v/>
      </c>
      <c r="K317" s="216" t="n"/>
      <c r="L317" s="48">
        <f>IF(A317="","",IFERROR(IF(K317&lt;&gt;"","Casilla elegida por usuario",IF(S317&gt;1,"Varias casillas — elegir en K",IF(J317&lt;&gt;"","Sugerencia directa",IF(S317=1,"No trasladar directo — revisar",IF(OR(ISNUMBER(SEARCH("TOPE",UPPER(E317))),ISNUMBER(SEARCH("TOPE",UPPER(G317)))),"Solo control","Revisar manualmente"))))),"Revisar manualmente"))</f>
        <v/>
      </c>
      <c r="M317" s="461">
        <f>IF(A317="","",IF(IF(K317&lt;&gt;"",K317,J317)="",0,IF(COUNTIFS(Reglas!$I$5:$I$118,IF(K317&lt;&gt;"",K317,J317),Reglas!$J$5:$J$118,"Sí")=1,F317,0)))</f>
        <v/>
      </c>
      <c r="N317" s="56" t="n"/>
      <c r="O317" s="462">
        <f>IF(A317="","",IF(M317=0,"",M317))</f>
        <v/>
      </c>
      <c r="P317" s="461">
        <f>IF(A317="","",IF(O317="",0,IF(ISNUMBER(O317),O317,0)))</f>
        <v/>
      </c>
      <c r="Q317" s="48">
        <f>IF(A317="","",IF(Exogena_RAW!$C$4="","BLOQUEADO: FALTA AÑO",IF(Exogena_RAW!$K$10&lt;&gt;Reglas!$B$5,"BLOQUEADO: AÑO",IF(IF(K317&lt;&gt;"",K317,J317)="",IF(S317&gt;1,"REQUIERE ASIGNACIÓN MANUAL (VARIAS CASILLAS)","INFORMATIVO (sin casilla — no se declara)"),IF(COUNTIFS(Reglas!$I$5:$I$118,IF(K317&lt;&gt;"",K317,J317),Reglas!$J$5:$J$118,"Sí")=0,"BLOQUEADO: CASILLA NO DIRECTA",IF(O317="","EXCLUIDO (valor borrado por el usuario)",IF(_xlfn.ISFORMULA(O317),IF(W317&lt;&gt;"","BORRADOR — VALOR SUGERIDO DIAN ⚠ VER ALERTA","BORRADOR — VALOR SUGERIDO DIAN"),IF(W317&lt;&gt;"","ACEPTADO ⚠ VER ALERTA","ACEPTADO"))))))))</f>
        <v/>
      </c>
      <c r="R317" s="218" t="n"/>
      <c r="S317" s="58">
        <f>IF(A317="","",IFERROR(--ISNUMBER(SEARCH("R28",G317)),0)+IFERROR(--ISNUMBER(SEARCH("R29",G317)),0)+IFERROR(--ISNUMBER(SEARCH("R30",G317)),0)+IFERROR(--ISNUMBER(SEARCH("R31",G317)),0)+IFERROR(--ISNUMBER(SEARCH("R32",G317)),0)+IFERROR(--ISNUMBER(SEARCH("R33",G317)),0)+IFERROR(--ISNUMBER(SEARCH("R34",G317)),0)+IFERROR(--ISNUMBER(SEARCH("R35",G317)),0)+IFERROR(--ISNUMBER(SEARCH("R36",G317)),0)+IFERROR(--ISNUMBER(SEARCH("R37",G317)),0)+IFERROR(--ISNUMBER(SEARCH("R38",G317)),0)+IFERROR(--ISNUMBER(SEARCH("R39",G317)),0)+IFERROR(--ISNUMBER(SEARCH("R40",G317)),0)+IFERROR(--ISNUMBER(SEARCH("R41",G317)),0)+IFERROR(--ISNUMBER(SEARCH("R42",G317)),0)+IFERROR(--ISNUMBER(SEARCH("R43",G317)),0)+IFERROR(--ISNUMBER(SEARCH("R44",G317)),0)+IFERROR(--ISNUMBER(SEARCH("R45",G317)),0)+IFERROR(--ISNUMBER(SEARCH("R46",G317)),0)+IFERROR(--ISNUMBER(SEARCH("R47",G317)),0)+IFERROR(--ISNUMBER(SEARCH("R48",G317)),0)+IFERROR(--ISNUMBER(SEARCH("R49",G317)),0)+IFERROR(--ISNUMBER(SEARCH("R50",G317)),0)+IFERROR(--ISNUMBER(SEARCH("R51",G317)),0)+IFERROR(--ISNUMBER(SEARCH("R52",G317)),0)+IFERROR(--ISNUMBER(SEARCH("R53",G317)),0)+IFERROR(--ISNUMBER(SEARCH("R54",G317)),0)+IFERROR(--ISNUMBER(SEARCH("R55",G317)),0)+IFERROR(--ISNUMBER(SEARCH("R56",G317)),0)+IFERROR(--ISNUMBER(SEARCH("R57",G317)),0)+IFERROR(--ISNUMBER(SEARCH("R58",G317)),0)+IFERROR(--ISNUMBER(SEARCH("R59",G317)),0)+IFERROR(--ISNUMBER(SEARCH("R60",G317)),0)+IFERROR(--ISNUMBER(SEARCH("R61",G317)),0)+IFERROR(--ISNUMBER(SEARCH("R62",G317)),0)+IFERROR(--ISNUMBER(SEARCH("R63",G317)),0)+IFERROR(--ISNUMBER(SEARCH("R64",G317)),0)+IFERROR(--ISNUMBER(SEARCH("R65",G317)),0)+IFERROR(--ISNUMBER(SEARCH("R66",G317)),0)+IFERROR(--ISNUMBER(SEARCH("R67",G317)),0)+IFERROR(--ISNUMBER(SEARCH("R68",G317)),0)+IFERROR(--ISNUMBER(SEARCH("R69",G317)),0)+IFERROR(--ISNUMBER(SEARCH("R70",G317)),0)+IFERROR(--ISNUMBER(SEARCH("R71",G317)),0)+IFERROR(--ISNUMBER(SEARCH("R72",G317)),0)+IFERROR(--ISNUMBER(SEARCH("R73",G317)),0)+IFERROR(--ISNUMBER(SEARCH("R74",G317)),0)+IFERROR(--ISNUMBER(SEARCH("R75",G317)),0)+IFERROR(--ISNUMBER(SEARCH("R76",G317)),0)+IFERROR(--ISNUMBER(SEARCH("R77",G317)),0)+IFERROR(--ISNUMBER(SEARCH("R78",G317)),0)+IFERROR(--ISNUMBER(SEARCH("R79",G317)),0)+IFERROR(--ISNUMBER(SEARCH("R80",G317)),0)+IFERROR(--ISNUMBER(SEARCH("R81",G317)),0)+IFERROR(--ISNUMBER(SEARCH("R82",G317)),0)+IFERROR(--ISNUMBER(SEARCH("R83",G317)),0)+IFERROR(--ISNUMBER(SEARCH("R84",G317)),0)+IFERROR(--ISNUMBER(SEARCH("R85",G317)),0)+IFERROR(--ISNUMBER(SEARCH("R86",G317)),0)+IFERROR(--ISNUMBER(SEARCH("R87",G317)),0)+IFERROR(--ISNUMBER(SEARCH("R88",G317)),0)+IFERROR(--ISNUMBER(SEARCH("R89",G317)),0)+IFERROR(--ISNUMBER(SEARCH("R90",G317)),0)+IFERROR(--ISNUMBER(SEARCH("R91",G317)),0)+IFERROR(--ISNUMBER(SEARCH("R92",G317)),0)+IFERROR(--ISNUMBER(SEARCH("R93",G317)),0)+IFERROR(--ISNUMBER(SEARCH("R94",G317)),0)+IFERROR(--ISNUMBER(SEARCH("R95",G317)),0)+IFERROR(--ISNUMBER(SEARCH("R96",G317)),0)+IFERROR(--ISNUMBER(SEARCH("R97",G317)),0)+IFERROR(--ISNUMBER(SEARCH("R98",G317)),0)+IFERROR(--ISNUMBER(SEARCH("R99",G317)),0)+IFERROR(--ISNUMBER(SEARCH("R100",G317)),0)+IFERROR(--ISNUMBER(SEARCH("R101",G317)),0)+IFERROR(--ISNUMBER(SEARCH("R102",G317)),0)+IFERROR(--ISNUMBER(SEARCH("R103",G317)),0)+IFERROR(--ISNUMBER(SEARCH("R104",G317)),0)+IFERROR(--ISNUMBER(SEARCH("R105",G317)),0)+IFERROR(--ISNUMBER(SEARCH("R106",G317)),0)+IFERROR(--ISNUMBER(SEARCH("R107",G317)),0)+IFERROR(--ISNUMBER(SEARCH("R108",G317)),0)+IFERROR(--ISNUMBER(SEARCH("R109",G317)),0)+IFERROR(--ISNUMBER(SEARCH("R110",G317)),0)+IFERROR(--ISNUMBER(SEARCH("R111",G317)),0)+IFERROR(--ISNUMBER(SEARCH("R112",G317)),0)+IFERROR(--ISNUMBER(SEARCH("R113",G317)),0)+IFERROR(--ISNUMBER(SEARCH("R114",G317)),0)+IFERROR(--ISNUMBER(SEARCH("R115",G317)),0)+IFERROR(--ISNUMBER(SEARCH("R116",G317)),0)+IFERROR(--ISNUMBER(SEARCH("R117",G317)),0)+IFERROR(--ISNUMBER(SEARCH("R118",G317)),0)+IFERROR(--ISNUMBER(SEARCH("R119",G317)),0)+IFERROR(--ISNUMBER(SEARCH("R120",G317)),0)+IFERROR(--ISNUMBER(SEARCH("R121",G317)),0)+IFERROR(--ISNUMBER(SEARCH("R122",G317)),0)+IFERROR(--ISNUMBER(SEARCH("R123",G317)),0)+IFERROR(--ISNUMBER(SEARCH("R124",G317)),0)+IFERROR(--ISNUMBER(SEARCH("R125",G317)),0)+IFERROR(--ISNUMBER(SEARCH("R126",G317)),0)+IFERROR(--ISNUMBER(SEARCH("R127",G317)),0)+IFERROR(--ISNUMBER(SEARCH("R128",G317)),0)+IFERROR(--ISNUMBER(SEARCH("R129",G317)),0)+IFERROR(--ISNUMBER(SEARCH("R130",G317)),0)+IFERROR(--ISNUMBER(SEARCH("R131",G317)),0)+IFERROR(--ISNUMBER(SEARCH("R132",G317)),0)+IFERROR(--ISNUMBER(SEARCH("R133",G317)),0)+IFERROR(--ISNUMBER(SEARCH("R134",G317)),0)+IFERROR(--ISNUMBER(SEARCH("R135",G317)),0)+IFERROR(--ISNUMBER(SEARCH("R136",G317)),0)+IFERROR(--ISNUMBER(SEARCH("R137",G317)),0)+IFERROR(--ISNUMBER(SEARCH("R138",G317)),0)+IFERROR(--ISNUMBER(SEARCH("R139",G317)),0)+IFERROR(--ISNUMBER(SEARCH("R140",G317)),0)+IFERROR(--ISNUMBER(SEARCH("R141",G317)),0))</f>
        <v/>
      </c>
      <c r="T317" s="58">
        <f>IF(A317="","",IFERROR(--ISNUMBER(SEARCH("R28",G317)),0)+IFERROR(--ISNUMBER(SEARCH("R29",G317)),0)+IFERROR(--ISNUMBER(SEARCH("R30",G317)),0)+IFERROR(--ISNUMBER(SEARCH("R32",G317)),0)+IFERROR(--ISNUMBER(SEARCH("R33",G317)),0)+IFERROR(--ISNUMBER(SEARCH("R35",G317)),0)+IFERROR(--ISNUMBER(SEARCH("R36",G317)),0)+IFERROR(--ISNUMBER(SEARCH("R38",G317)),0)+IFERROR(--ISNUMBER(SEARCH("R39",G317)),0)+IFERROR(--ISNUMBER(SEARCH("R43",G317)),0)+IFERROR(--ISNUMBER(SEARCH("R44",G317)),0)+IFERROR(--ISNUMBER(SEARCH("R45",G317)),0)+IFERROR(--ISNUMBER(SEARCH("R47",G317)),0)+IFERROR(--ISNUMBER(SEARCH("R48",G317)),0)+IFERROR(--ISNUMBER(SEARCH("R50",G317)),0)+IFERROR(--ISNUMBER(SEARCH("R51",G317)),0)+IFERROR(--ISNUMBER(SEARCH("R56",G317)),0)+IFERROR(--ISNUMBER(SEARCH("R58",G317)),0)+IFERROR(--ISNUMBER(SEARCH("R59",G317)),0)+IFERROR(--ISNUMBER(SEARCH("R60",G317)),0)+IFERROR(--ISNUMBER(SEARCH("R62",G317)),0)+IFERROR(--ISNUMBER(SEARCH("R63",G317)),0)+IFERROR(--ISNUMBER(SEARCH("R64",G317)),0)+IFERROR(--ISNUMBER(SEARCH("R66",G317)),0)+IFERROR(--ISNUMBER(SEARCH("R67",G317)),0)+IFERROR(--ISNUMBER(SEARCH("R72",G317)),0)+IFERROR(--ISNUMBER(SEARCH("R74",G317)),0)+IFERROR(--ISNUMBER(SEARCH("R75",G317)),0)+IFERROR(--ISNUMBER(SEARCH("R76",G317)),0)+IFERROR(--ISNUMBER(SEARCH("R77",G317)),0)+IFERROR(--ISNUMBER(SEARCH("R79",G317)),0)+IFERROR(--ISNUMBER(SEARCH("R80",G317)),0)+IFERROR(--ISNUMBER(SEARCH("R81",G317)),0)+IFERROR(--ISNUMBER(SEARCH("R83",G317)),0)+IFERROR(--ISNUMBER(SEARCH("R84",G317)),0)+IFERROR(--ISNUMBER(SEARCH("R89",G317)),0)+IFERROR(--ISNUMBER(SEARCH("R94",G317)),0)+IFERROR(--ISNUMBER(SEARCH("R95",G317)),0)+IFERROR(--ISNUMBER(SEARCH("R96",G317)),0)+IFERROR(--ISNUMBER(SEARCH("R98",G317)),0)+IFERROR(--ISNUMBER(SEARCH("R99",G317)),0)+IFERROR(--ISNUMBER(SEARCH("R100",G317)),0)+IFERROR(--ISNUMBER(SEARCH("R104",G317)),0)+IFERROR(--ISNUMBER(SEARCH("R105",G317)),0)+IFERROR(--ISNUMBER(SEARCH("R107",G317)),0)+IFERROR(--ISNUMBER(SEARCH("R108",G317)),0)+IFERROR(--ISNUMBER(SEARCH("R109",G317)),0)+IFERROR(--ISNUMBER(SEARCH("R110",G317)),0)+IFERROR(--ISNUMBER(SEARCH("R112",G317)),0)+IFERROR(--ISNUMBER(SEARCH("R113",G317)),0)+IFERROR(--ISNUMBER(SEARCH("R114",G317)),0)+IFERROR(--ISNUMBER(SEARCH("R118",G317)),0)+IFERROR(--ISNUMBER(SEARCH("R119",G317)),0)+IFERROR(--ISNUMBER(SEARCH("R120",G317)),0)+IFERROR(--ISNUMBER(SEARCH("R122",G317)),0)+IFERROR(--ISNUMBER(SEARCH("R123",G317)),0)+IFERROR(--ISNUMBER(SEARCH("R124",G317)),0)+IFERROR(--ISNUMBER(SEARCH("R128",G317)),0)+IFERROR(--ISNUMBER(SEARCH("R130",G317)),0)+IFERROR(--ISNUMBER(SEARCH("R131",G317)),0)+IFERROR(--ISNUMBER(SEARCH("R132",G317)),0)+IFERROR(--ISNUMBER(SEARCH("R135",G317)),0)+IFERROR(--ISNUMBER(SEARCH("R138",G317)),0)+IFERROR(--ISNUMBER(SEARCH("R141",G317)),0))</f>
        <v/>
      </c>
      <c r="U317" s="58">
        <f>IF(A317="","",IFERROR(--ISNUMBER(SEARCH("R28",G317))*28,0)+IFERROR(--ISNUMBER(SEARCH("R29",G317))*29,0)+IFERROR(--ISNUMBER(SEARCH("R30",G317))*30,0)+IFERROR(--ISNUMBER(SEARCH("R31",G317))*31,0)+IFERROR(--ISNUMBER(SEARCH("R32",G317))*32,0)+IFERROR(--ISNUMBER(SEARCH("R33",G317))*33,0)+IFERROR(--ISNUMBER(SEARCH("R34",G317))*34,0)+IFERROR(--ISNUMBER(SEARCH("R35",G317))*35,0)+IFERROR(--ISNUMBER(SEARCH("R36",G317))*36,0)+IFERROR(--ISNUMBER(SEARCH("R37",G317))*37,0)+IFERROR(--ISNUMBER(SEARCH("R38",G317))*38,0)+IFERROR(--ISNUMBER(SEARCH("R39",G317))*39,0)+IFERROR(--ISNUMBER(SEARCH("R40",G317))*40,0)+IFERROR(--ISNUMBER(SEARCH("R41",G317))*41,0)+IFERROR(--ISNUMBER(SEARCH("R42",G317))*42,0)+IFERROR(--ISNUMBER(SEARCH("R43",G317))*43,0)+IFERROR(--ISNUMBER(SEARCH("R44",G317))*44,0)+IFERROR(--ISNUMBER(SEARCH("R45",G317))*45,0)+IFERROR(--ISNUMBER(SEARCH("R46",G317))*46,0)+IFERROR(--ISNUMBER(SEARCH("R47",G317))*47,0)+IFERROR(--ISNUMBER(SEARCH("R48",G317))*48,0)+IFERROR(--ISNUMBER(SEARCH("R49",G317))*49,0)+IFERROR(--ISNUMBER(SEARCH("R50",G317))*50,0)+IFERROR(--ISNUMBER(SEARCH("R51",G317))*51,0)+IFERROR(--ISNUMBER(SEARCH("R52",G317))*52,0)+IFERROR(--ISNUMBER(SEARCH("R53",G317))*53,0)+IFERROR(--ISNUMBER(SEARCH("R54",G317))*54,0)+IFERROR(--ISNUMBER(SEARCH("R55",G317))*55,0)+IFERROR(--ISNUMBER(SEARCH("R56",G317))*56,0)+IFERROR(--ISNUMBER(SEARCH("R57",G317))*57,0)+IFERROR(--ISNUMBER(SEARCH("R58",G317))*58,0)+IFERROR(--ISNUMBER(SEARCH("R59",G317))*59,0)+IFERROR(--ISNUMBER(SEARCH("R60",G317))*60,0)+IFERROR(--ISNUMBER(SEARCH("R61",G317))*61,0)+IFERROR(--ISNUMBER(SEARCH("R62",G317))*62,0)+IFERROR(--ISNUMBER(SEARCH("R63",G317))*63,0)+IFERROR(--ISNUMBER(SEARCH("R64",G317))*64,0)+IFERROR(--ISNUMBER(SEARCH("R65",G317))*65,0)+IFERROR(--ISNUMBER(SEARCH("R66",G317))*66,0)+IFERROR(--ISNUMBER(SEARCH("R67",G317))*67,0)+IFERROR(--ISNUMBER(SEARCH("R68",G317))*68,0)+IFERROR(--ISNUMBER(SEARCH("R69",G317))*69,0)+IFERROR(--ISNUMBER(SEARCH("R70",G317))*70,0)+IFERROR(--ISNUMBER(SEARCH("R71",G317))*71,0)+IFERROR(--ISNUMBER(SEARCH("R72",G317))*72,0)+IFERROR(--ISNUMBER(SEARCH("R73",G317))*73,0)+IFERROR(--ISNUMBER(SEARCH("R74",G317))*74,0)+IFERROR(--ISNUMBER(SEARCH("R75",G317))*75,0)+IFERROR(--ISNUMBER(SEARCH("R76",G317))*76,0)+IFERROR(--ISNUMBER(SEARCH("R77",G317))*77,0)+IFERROR(--ISNUMBER(SEARCH("R78",G317))*78,0)+IFERROR(--ISNUMBER(SEARCH("R79",G317))*79,0)+IFERROR(--ISNUMBER(SEARCH("R80",G317))*80,0)+IFERROR(--ISNUMBER(SEARCH("R81",G317))*81,0)+IFERROR(--ISNUMBER(SEARCH("R82",G317))*82,0)+IFERROR(--ISNUMBER(SEARCH("R83",G317))*83,0)+IFERROR(--ISNUMBER(SEARCH("R84",G317))*84,0)+IFERROR(--ISNUMBER(SEARCH("R85",G317))*85,0)+IFERROR(--ISNUMBER(SEARCH("R86",G317))*86,0)+IFERROR(--ISNUMBER(SEARCH("R87",G317))*87,0)+IFERROR(--ISNUMBER(SEARCH("R88",G317))*88,0)+IFERROR(--ISNUMBER(SEARCH("R89",G317))*89,0)+IFERROR(--ISNUMBER(SEARCH("R90",G317))*90,0)+IFERROR(--ISNUMBER(SEARCH("R91",G317))*91,0)+IFERROR(--ISNUMBER(SEARCH("R92",G317))*92,0)+IFERROR(--ISNUMBER(SEARCH("R93",G317))*93,0)+IFERROR(--ISNUMBER(SEARCH("R94",G317))*94,0)+IFERROR(--ISNUMBER(SEARCH("R95",G317))*95,0)+IFERROR(--ISNUMBER(SEARCH("R96",G317))*96,0)+IFERROR(--ISNUMBER(SEARCH("R97",G317))*97,0)+IFERROR(--ISNUMBER(SEARCH("R98",G317))*98,0)+IFERROR(--ISNUMBER(SEARCH("R99",G317))*99,0)+IFERROR(--ISNUMBER(SEARCH("R100",G317))*100,0)+IFERROR(--ISNUMBER(SEARCH("R101",G317))*101,0)+IFERROR(--ISNUMBER(SEARCH("R102",G317))*102,0)+IFERROR(--ISNUMBER(SEARCH("R103",G317))*103,0)+IFERROR(--ISNUMBER(SEARCH("R104",G317))*104,0)+IFERROR(--ISNUMBER(SEARCH("R105",G317))*105,0)+IFERROR(--ISNUMBER(SEARCH("R106",G317))*106,0)+IFERROR(--ISNUMBER(SEARCH("R107",G317))*107,0)+IFERROR(--ISNUMBER(SEARCH("R108",G317))*108,0)+IFERROR(--ISNUMBER(SEARCH("R109",G317))*109,0)+IFERROR(--ISNUMBER(SEARCH("R110",G317))*110,0)+IFERROR(--ISNUMBER(SEARCH("R111",G317))*111,0)+IFERROR(--ISNUMBER(SEARCH("R112",G317))*112,0)+IFERROR(--ISNUMBER(SEARCH("R113",G317))*113,0)+IFERROR(--ISNUMBER(SEARCH("R114",G317))*114,0)+IFERROR(--ISNUMBER(SEARCH("R115",G317))*115,0)+IFERROR(--ISNUMBER(SEARCH("R116",G317))*116,0)+IFERROR(--ISNUMBER(SEARCH("R117",G317))*117,0)+IFERROR(--ISNUMBER(SEARCH("R118",G317))*118,0)+IFERROR(--ISNUMBER(SEARCH("R119",G317))*119,0)+IFERROR(--ISNUMBER(SEARCH("R120",G317))*120,0)+IFERROR(--ISNUMBER(SEARCH("R121",G317))*121,0)+IFERROR(--ISNUMBER(SEARCH("R122",G317))*122,0)+IFERROR(--ISNUMBER(SEARCH("R123",G317))*123,0)+IFERROR(--ISNUMBER(SEARCH("R124",G317))*124,0)+IFERROR(--ISNUMBER(SEARCH("R125",G317))*125,0)+IFERROR(--ISNUMBER(SEARCH("R126",G317))*126,0)+IFERROR(--ISNUMBER(SEARCH("R127",G317))*127,0)+IFERROR(--ISNUMBER(SEARCH("R128",G317))*128,0)+IFERROR(--ISNUMBER(SEARCH("R129",G317))*129,0)+IFERROR(--ISNUMBER(SEARCH("R130",G317))*130,0)+IFERROR(--ISNUMBER(SEARCH("R131",G317))*131,0)+IFERROR(--ISNUMBER(SEARCH("R132",G317))*132,0)+IFERROR(--ISNUMBER(SEARCH("R133",G317))*133,0)+IFERROR(--ISNUMBER(SEARCH("R134",G317))*134,0)+IFERROR(--ISNUMBER(SEARCH("R135",G317))*135,0)+IFERROR(--ISNUMBER(SEARCH("R136",G317))*136,0)+IFERROR(--ISNUMBER(SEARCH("R137",G317))*137,0)+IFERROR(--ISNUMBER(SEARCH("R138",G317))*138,0)+IFERROR(--ISNUMBER(SEARCH("R139",G317))*139,0)+IFERROR(--ISNUMBER(SEARCH("R140",G317))*140,0)+IFERROR(--ISNUMBER(SEARCH("R141",G317))*141,0))</f>
        <v/>
      </c>
      <c r="V317" s="59">
        <f>IF(A317="","",IF(K317&lt;&gt;"",K317,J317))</f>
        <v/>
      </c>
      <c r="W317" s="59">
        <f>IF(A317="","",IF(AND(V317=29,O317&lt;&gt;"",COUNTIFS($V$6:$V$505,29,$F$6:$F$505,F317,$C$6:$C$505,C317,$O$6:$O$505,"&lt;&gt;")&gt;1),IF(COUNTIFS($V$6:V317,29,$F$6:F317,F317,$C$6:C317,C317,$O$6:O317,"&lt;&gt;")=1,"Esta es la fila que se debe CONSERVAR (aparición 1 de "&amp;COUNTIFS($V$6:$V$505,29,$F$6:$F$505,F317,$C$6:$C$505,C317,$O$6:$O$505,"&lt;&gt;")&amp;" con el mismo tercero y valor, casilla 29). Si hay más filas iguales, bórreles el valor a ELLAS, no a esta.","DUPLICADO — ya existe otra fila con el mismo tercero y valor para casilla 29 (aparición "&amp;COUNTIFS($V$6:V317,29,$F$6:F317,F317,$C$6:C317,C317,$O$6:O317,"&lt;&gt;")&amp;" de "&amp;COUNTIFS($V$6:$V$505,29,$F$6:$F$505,F317,$C$6:$C$505,C317,$O$6:$O$505,"&lt;&gt;")&amp;"). Para resolverlo: seleccione la celda O"&amp;ROW()&amp;" (columna Valor a declarar de ESTA fila) y presione Supr."),""))</f>
        <v/>
      </c>
      <c r="X317" s="463">
        <f>IF(A317="","",F317)</f>
        <v/>
      </c>
      <c r="Y317" s="463">
        <f>IF(A317="","",SUMIF(Entrada_Manual!$I$88:$I$187,A317,Entrada_Manual!$F$88:$F$187))</f>
        <v/>
      </c>
      <c r="Z317" s="463">
        <f>IF(A317="","",X317-Y317)</f>
        <v/>
      </c>
      <c r="AA317">
        <f>IF(A317="","",SUMPRODUCT((Entrada_Manual!$I$88:$I$187=A317)*1))</f>
        <v/>
      </c>
      <c r="AB317">
        <f>IF(A317="","",IF(S317&lt;=1,"",IF(AA317=0,"PENDIENTE — SIN ASIGNAR",IF(Z317=0,"RESUELTO","PARCIAL — DIFERENCIA "&amp;TEXT(Z317,"#,##0")))))</f>
        <v/>
      </c>
    </row>
    <row r="318" ht="14.25" customHeight="1" s="235">
      <c r="A318" s="47">
        <f>IF(Exogena_RAW!E327&lt;&gt;"",ROW()-5,"")</f>
        <v/>
      </c>
      <c r="B318" s="48">
        <f>IF(A318="","",327)</f>
        <v/>
      </c>
      <c r="C318" s="48">
        <f>IF(A318="","",IFERROR(Exogena_RAW!A327,""))</f>
        <v/>
      </c>
      <c r="D318" s="48">
        <f>IF(A318="","",IFERROR(Exogena_RAW!B327,""))</f>
        <v/>
      </c>
      <c r="E318" s="48">
        <f>IF(A318="","",Exogena_RAW!E327)</f>
        <v/>
      </c>
      <c r="F318" s="461">
        <f>IF(A318="","",Exogena_RAW!F327)</f>
        <v/>
      </c>
      <c r="G318" s="48">
        <f>IF(A318="","",IFERROR(Exogena_RAW!G327,""))</f>
        <v/>
      </c>
      <c r="H318" s="48">
        <f>IF(A318="","",IFERROR(Exogena_RAW!H327,""))</f>
        <v/>
      </c>
      <c r="I318" s="48">
        <f>IF(A318="","",IFERROR(IF(S318&gt;1,"VARIAS CASILLAS",IF(S318=1,IF(T318=1,"PROPUESTA DE CASILLA","REVISIÓN: CASILLA NO DIRECTA"),IF(OR(ISNUMBER(SEARCH("TOPE",UPPER(E318))),ISNUMBER(SEARCH("TOPE",UPPER(G318)))),"SOLO CONTROL",IF(ISNUMBER(SEARCH("RETEN",UPPER(E318))),"RETENCIÓN","REVISAR")))),"REVISAR"))</f>
        <v/>
      </c>
      <c r="J318" s="48">
        <f>IF(A318="","",IF(ISNUMBER(SEARCH("ingreso laboral promedio de los últimos seis meses",E318)),"",IFERROR(IF(AND(S318=1,T318=1),U318,""),"")))</f>
        <v/>
      </c>
      <c r="K318" s="216" t="n"/>
      <c r="L318" s="48">
        <f>IF(A318="","",IFERROR(IF(K318&lt;&gt;"","Casilla elegida por usuario",IF(S318&gt;1,"Varias casillas — elegir en K",IF(J318&lt;&gt;"","Sugerencia directa",IF(S318=1,"No trasladar directo — revisar",IF(OR(ISNUMBER(SEARCH("TOPE",UPPER(E318))),ISNUMBER(SEARCH("TOPE",UPPER(G318)))),"Solo control","Revisar manualmente"))))),"Revisar manualmente"))</f>
        <v/>
      </c>
      <c r="M318" s="461">
        <f>IF(A318="","",IF(IF(K318&lt;&gt;"",K318,J318)="",0,IF(COUNTIFS(Reglas!$I$5:$I$118,IF(K318&lt;&gt;"",K318,J318),Reglas!$J$5:$J$118,"Sí")=1,F318,0)))</f>
        <v/>
      </c>
      <c r="N318" s="56" t="n"/>
      <c r="O318" s="462">
        <f>IF(A318="","",IF(M318=0,"",M318))</f>
        <v/>
      </c>
      <c r="P318" s="461">
        <f>IF(A318="","",IF(O318="",0,IF(ISNUMBER(O318),O318,0)))</f>
        <v/>
      </c>
      <c r="Q318" s="48">
        <f>IF(A318="","",IF(Exogena_RAW!$C$4="","BLOQUEADO: FALTA AÑO",IF(Exogena_RAW!$K$10&lt;&gt;Reglas!$B$5,"BLOQUEADO: AÑO",IF(IF(K318&lt;&gt;"",K318,J318)="",IF(S318&gt;1,"REQUIERE ASIGNACIÓN MANUAL (VARIAS CASILLAS)","INFORMATIVO (sin casilla — no se declara)"),IF(COUNTIFS(Reglas!$I$5:$I$118,IF(K318&lt;&gt;"",K318,J318),Reglas!$J$5:$J$118,"Sí")=0,"BLOQUEADO: CASILLA NO DIRECTA",IF(O318="","EXCLUIDO (valor borrado por el usuario)",IF(_xlfn.ISFORMULA(O318),IF(W318&lt;&gt;"","BORRADOR — VALOR SUGERIDO DIAN ⚠ VER ALERTA","BORRADOR — VALOR SUGERIDO DIAN"),IF(W318&lt;&gt;"","ACEPTADO ⚠ VER ALERTA","ACEPTADO"))))))))</f>
        <v/>
      </c>
      <c r="R318" s="218" t="n"/>
      <c r="S318" s="58">
        <f>IF(A318="","",IFERROR(--ISNUMBER(SEARCH("R28",G318)),0)+IFERROR(--ISNUMBER(SEARCH("R29",G318)),0)+IFERROR(--ISNUMBER(SEARCH("R30",G318)),0)+IFERROR(--ISNUMBER(SEARCH("R31",G318)),0)+IFERROR(--ISNUMBER(SEARCH("R32",G318)),0)+IFERROR(--ISNUMBER(SEARCH("R33",G318)),0)+IFERROR(--ISNUMBER(SEARCH("R34",G318)),0)+IFERROR(--ISNUMBER(SEARCH("R35",G318)),0)+IFERROR(--ISNUMBER(SEARCH("R36",G318)),0)+IFERROR(--ISNUMBER(SEARCH("R37",G318)),0)+IFERROR(--ISNUMBER(SEARCH("R38",G318)),0)+IFERROR(--ISNUMBER(SEARCH("R39",G318)),0)+IFERROR(--ISNUMBER(SEARCH("R40",G318)),0)+IFERROR(--ISNUMBER(SEARCH("R41",G318)),0)+IFERROR(--ISNUMBER(SEARCH("R42",G318)),0)+IFERROR(--ISNUMBER(SEARCH("R43",G318)),0)+IFERROR(--ISNUMBER(SEARCH("R44",G318)),0)+IFERROR(--ISNUMBER(SEARCH("R45",G318)),0)+IFERROR(--ISNUMBER(SEARCH("R46",G318)),0)+IFERROR(--ISNUMBER(SEARCH("R47",G318)),0)+IFERROR(--ISNUMBER(SEARCH("R48",G318)),0)+IFERROR(--ISNUMBER(SEARCH("R49",G318)),0)+IFERROR(--ISNUMBER(SEARCH("R50",G318)),0)+IFERROR(--ISNUMBER(SEARCH("R51",G318)),0)+IFERROR(--ISNUMBER(SEARCH("R52",G318)),0)+IFERROR(--ISNUMBER(SEARCH("R53",G318)),0)+IFERROR(--ISNUMBER(SEARCH("R54",G318)),0)+IFERROR(--ISNUMBER(SEARCH("R55",G318)),0)+IFERROR(--ISNUMBER(SEARCH("R56",G318)),0)+IFERROR(--ISNUMBER(SEARCH("R57",G318)),0)+IFERROR(--ISNUMBER(SEARCH("R58",G318)),0)+IFERROR(--ISNUMBER(SEARCH("R59",G318)),0)+IFERROR(--ISNUMBER(SEARCH("R60",G318)),0)+IFERROR(--ISNUMBER(SEARCH("R61",G318)),0)+IFERROR(--ISNUMBER(SEARCH("R62",G318)),0)+IFERROR(--ISNUMBER(SEARCH("R63",G318)),0)+IFERROR(--ISNUMBER(SEARCH("R64",G318)),0)+IFERROR(--ISNUMBER(SEARCH("R65",G318)),0)+IFERROR(--ISNUMBER(SEARCH("R66",G318)),0)+IFERROR(--ISNUMBER(SEARCH("R67",G318)),0)+IFERROR(--ISNUMBER(SEARCH("R68",G318)),0)+IFERROR(--ISNUMBER(SEARCH("R69",G318)),0)+IFERROR(--ISNUMBER(SEARCH("R70",G318)),0)+IFERROR(--ISNUMBER(SEARCH("R71",G318)),0)+IFERROR(--ISNUMBER(SEARCH("R72",G318)),0)+IFERROR(--ISNUMBER(SEARCH("R73",G318)),0)+IFERROR(--ISNUMBER(SEARCH("R74",G318)),0)+IFERROR(--ISNUMBER(SEARCH("R75",G318)),0)+IFERROR(--ISNUMBER(SEARCH("R76",G318)),0)+IFERROR(--ISNUMBER(SEARCH("R77",G318)),0)+IFERROR(--ISNUMBER(SEARCH("R78",G318)),0)+IFERROR(--ISNUMBER(SEARCH("R79",G318)),0)+IFERROR(--ISNUMBER(SEARCH("R80",G318)),0)+IFERROR(--ISNUMBER(SEARCH("R81",G318)),0)+IFERROR(--ISNUMBER(SEARCH("R82",G318)),0)+IFERROR(--ISNUMBER(SEARCH("R83",G318)),0)+IFERROR(--ISNUMBER(SEARCH("R84",G318)),0)+IFERROR(--ISNUMBER(SEARCH("R85",G318)),0)+IFERROR(--ISNUMBER(SEARCH("R86",G318)),0)+IFERROR(--ISNUMBER(SEARCH("R87",G318)),0)+IFERROR(--ISNUMBER(SEARCH("R88",G318)),0)+IFERROR(--ISNUMBER(SEARCH("R89",G318)),0)+IFERROR(--ISNUMBER(SEARCH("R90",G318)),0)+IFERROR(--ISNUMBER(SEARCH("R91",G318)),0)+IFERROR(--ISNUMBER(SEARCH("R92",G318)),0)+IFERROR(--ISNUMBER(SEARCH("R93",G318)),0)+IFERROR(--ISNUMBER(SEARCH("R94",G318)),0)+IFERROR(--ISNUMBER(SEARCH("R95",G318)),0)+IFERROR(--ISNUMBER(SEARCH("R96",G318)),0)+IFERROR(--ISNUMBER(SEARCH("R97",G318)),0)+IFERROR(--ISNUMBER(SEARCH("R98",G318)),0)+IFERROR(--ISNUMBER(SEARCH("R99",G318)),0)+IFERROR(--ISNUMBER(SEARCH("R100",G318)),0)+IFERROR(--ISNUMBER(SEARCH("R101",G318)),0)+IFERROR(--ISNUMBER(SEARCH("R102",G318)),0)+IFERROR(--ISNUMBER(SEARCH("R103",G318)),0)+IFERROR(--ISNUMBER(SEARCH("R104",G318)),0)+IFERROR(--ISNUMBER(SEARCH("R105",G318)),0)+IFERROR(--ISNUMBER(SEARCH("R106",G318)),0)+IFERROR(--ISNUMBER(SEARCH("R107",G318)),0)+IFERROR(--ISNUMBER(SEARCH("R108",G318)),0)+IFERROR(--ISNUMBER(SEARCH("R109",G318)),0)+IFERROR(--ISNUMBER(SEARCH("R110",G318)),0)+IFERROR(--ISNUMBER(SEARCH("R111",G318)),0)+IFERROR(--ISNUMBER(SEARCH("R112",G318)),0)+IFERROR(--ISNUMBER(SEARCH("R113",G318)),0)+IFERROR(--ISNUMBER(SEARCH("R114",G318)),0)+IFERROR(--ISNUMBER(SEARCH("R115",G318)),0)+IFERROR(--ISNUMBER(SEARCH("R116",G318)),0)+IFERROR(--ISNUMBER(SEARCH("R117",G318)),0)+IFERROR(--ISNUMBER(SEARCH("R118",G318)),0)+IFERROR(--ISNUMBER(SEARCH("R119",G318)),0)+IFERROR(--ISNUMBER(SEARCH("R120",G318)),0)+IFERROR(--ISNUMBER(SEARCH("R121",G318)),0)+IFERROR(--ISNUMBER(SEARCH("R122",G318)),0)+IFERROR(--ISNUMBER(SEARCH("R123",G318)),0)+IFERROR(--ISNUMBER(SEARCH("R124",G318)),0)+IFERROR(--ISNUMBER(SEARCH("R125",G318)),0)+IFERROR(--ISNUMBER(SEARCH("R126",G318)),0)+IFERROR(--ISNUMBER(SEARCH("R127",G318)),0)+IFERROR(--ISNUMBER(SEARCH("R128",G318)),0)+IFERROR(--ISNUMBER(SEARCH("R129",G318)),0)+IFERROR(--ISNUMBER(SEARCH("R130",G318)),0)+IFERROR(--ISNUMBER(SEARCH("R131",G318)),0)+IFERROR(--ISNUMBER(SEARCH("R132",G318)),0)+IFERROR(--ISNUMBER(SEARCH("R133",G318)),0)+IFERROR(--ISNUMBER(SEARCH("R134",G318)),0)+IFERROR(--ISNUMBER(SEARCH("R135",G318)),0)+IFERROR(--ISNUMBER(SEARCH("R136",G318)),0)+IFERROR(--ISNUMBER(SEARCH("R137",G318)),0)+IFERROR(--ISNUMBER(SEARCH("R138",G318)),0)+IFERROR(--ISNUMBER(SEARCH("R139",G318)),0)+IFERROR(--ISNUMBER(SEARCH("R140",G318)),0)+IFERROR(--ISNUMBER(SEARCH("R141",G318)),0))</f>
        <v/>
      </c>
      <c r="T318" s="58">
        <f>IF(A318="","",IFERROR(--ISNUMBER(SEARCH("R28",G318)),0)+IFERROR(--ISNUMBER(SEARCH("R29",G318)),0)+IFERROR(--ISNUMBER(SEARCH("R30",G318)),0)+IFERROR(--ISNUMBER(SEARCH("R32",G318)),0)+IFERROR(--ISNUMBER(SEARCH("R33",G318)),0)+IFERROR(--ISNUMBER(SEARCH("R35",G318)),0)+IFERROR(--ISNUMBER(SEARCH("R36",G318)),0)+IFERROR(--ISNUMBER(SEARCH("R38",G318)),0)+IFERROR(--ISNUMBER(SEARCH("R39",G318)),0)+IFERROR(--ISNUMBER(SEARCH("R43",G318)),0)+IFERROR(--ISNUMBER(SEARCH("R44",G318)),0)+IFERROR(--ISNUMBER(SEARCH("R45",G318)),0)+IFERROR(--ISNUMBER(SEARCH("R47",G318)),0)+IFERROR(--ISNUMBER(SEARCH("R48",G318)),0)+IFERROR(--ISNUMBER(SEARCH("R50",G318)),0)+IFERROR(--ISNUMBER(SEARCH("R51",G318)),0)+IFERROR(--ISNUMBER(SEARCH("R56",G318)),0)+IFERROR(--ISNUMBER(SEARCH("R58",G318)),0)+IFERROR(--ISNUMBER(SEARCH("R59",G318)),0)+IFERROR(--ISNUMBER(SEARCH("R60",G318)),0)+IFERROR(--ISNUMBER(SEARCH("R62",G318)),0)+IFERROR(--ISNUMBER(SEARCH("R63",G318)),0)+IFERROR(--ISNUMBER(SEARCH("R64",G318)),0)+IFERROR(--ISNUMBER(SEARCH("R66",G318)),0)+IFERROR(--ISNUMBER(SEARCH("R67",G318)),0)+IFERROR(--ISNUMBER(SEARCH("R72",G318)),0)+IFERROR(--ISNUMBER(SEARCH("R74",G318)),0)+IFERROR(--ISNUMBER(SEARCH("R75",G318)),0)+IFERROR(--ISNUMBER(SEARCH("R76",G318)),0)+IFERROR(--ISNUMBER(SEARCH("R77",G318)),0)+IFERROR(--ISNUMBER(SEARCH("R79",G318)),0)+IFERROR(--ISNUMBER(SEARCH("R80",G318)),0)+IFERROR(--ISNUMBER(SEARCH("R81",G318)),0)+IFERROR(--ISNUMBER(SEARCH("R83",G318)),0)+IFERROR(--ISNUMBER(SEARCH("R84",G318)),0)+IFERROR(--ISNUMBER(SEARCH("R89",G318)),0)+IFERROR(--ISNUMBER(SEARCH("R94",G318)),0)+IFERROR(--ISNUMBER(SEARCH("R95",G318)),0)+IFERROR(--ISNUMBER(SEARCH("R96",G318)),0)+IFERROR(--ISNUMBER(SEARCH("R98",G318)),0)+IFERROR(--ISNUMBER(SEARCH("R99",G318)),0)+IFERROR(--ISNUMBER(SEARCH("R100",G318)),0)+IFERROR(--ISNUMBER(SEARCH("R104",G318)),0)+IFERROR(--ISNUMBER(SEARCH("R105",G318)),0)+IFERROR(--ISNUMBER(SEARCH("R107",G318)),0)+IFERROR(--ISNUMBER(SEARCH("R108",G318)),0)+IFERROR(--ISNUMBER(SEARCH("R109",G318)),0)+IFERROR(--ISNUMBER(SEARCH("R110",G318)),0)+IFERROR(--ISNUMBER(SEARCH("R112",G318)),0)+IFERROR(--ISNUMBER(SEARCH("R113",G318)),0)+IFERROR(--ISNUMBER(SEARCH("R114",G318)),0)+IFERROR(--ISNUMBER(SEARCH("R118",G318)),0)+IFERROR(--ISNUMBER(SEARCH("R119",G318)),0)+IFERROR(--ISNUMBER(SEARCH("R120",G318)),0)+IFERROR(--ISNUMBER(SEARCH("R122",G318)),0)+IFERROR(--ISNUMBER(SEARCH("R123",G318)),0)+IFERROR(--ISNUMBER(SEARCH("R124",G318)),0)+IFERROR(--ISNUMBER(SEARCH("R128",G318)),0)+IFERROR(--ISNUMBER(SEARCH("R130",G318)),0)+IFERROR(--ISNUMBER(SEARCH("R131",G318)),0)+IFERROR(--ISNUMBER(SEARCH("R132",G318)),0)+IFERROR(--ISNUMBER(SEARCH("R135",G318)),0)+IFERROR(--ISNUMBER(SEARCH("R138",G318)),0)+IFERROR(--ISNUMBER(SEARCH("R141",G318)),0))</f>
        <v/>
      </c>
      <c r="U318" s="58">
        <f>IF(A318="","",IFERROR(--ISNUMBER(SEARCH("R28",G318))*28,0)+IFERROR(--ISNUMBER(SEARCH("R29",G318))*29,0)+IFERROR(--ISNUMBER(SEARCH("R30",G318))*30,0)+IFERROR(--ISNUMBER(SEARCH("R31",G318))*31,0)+IFERROR(--ISNUMBER(SEARCH("R32",G318))*32,0)+IFERROR(--ISNUMBER(SEARCH("R33",G318))*33,0)+IFERROR(--ISNUMBER(SEARCH("R34",G318))*34,0)+IFERROR(--ISNUMBER(SEARCH("R35",G318))*35,0)+IFERROR(--ISNUMBER(SEARCH("R36",G318))*36,0)+IFERROR(--ISNUMBER(SEARCH("R37",G318))*37,0)+IFERROR(--ISNUMBER(SEARCH("R38",G318))*38,0)+IFERROR(--ISNUMBER(SEARCH("R39",G318))*39,0)+IFERROR(--ISNUMBER(SEARCH("R40",G318))*40,0)+IFERROR(--ISNUMBER(SEARCH("R41",G318))*41,0)+IFERROR(--ISNUMBER(SEARCH("R42",G318))*42,0)+IFERROR(--ISNUMBER(SEARCH("R43",G318))*43,0)+IFERROR(--ISNUMBER(SEARCH("R44",G318))*44,0)+IFERROR(--ISNUMBER(SEARCH("R45",G318))*45,0)+IFERROR(--ISNUMBER(SEARCH("R46",G318))*46,0)+IFERROR(--ISNUMBER(SEARCH("R47",G318))*47,0)+IFERROR(--ISNUMBER(SEARCH("R48",G318))*48,0)+IFERROR(--ISNUMBER(SEARCH("R49",G318))*49,0)+IFERROR(--ISNUMBER(SEARCH("R50",G318))*50,0)+IFERROR(--ISNUMBER(SEARCH("R51",G318))*51,0)+IFERROR(--ISNUMBER(SEARCH("R52",G318))*52,0)+IFERROR(--ISNUMBER(SEARCH("R53",G318))*53,0)+IFERROR(--ISNUMBER(SEARCH("R54",G318))*54,0)+IFERROR(--ISNUMBER(SEARCH("R55",G318))*55,0)+IFERROR(--ISNUMBER(SEARCH("R56",G318))*56,0)+IFERROR(--ISNUMBER(SEARCH("R57",G318))*57,0)+IFERROR(--ISNUMBER(SEARCH("R58",G318))*58,0)+IFERROR(--ISNUMBER(SEARCH("R59",G318))*59,0)+IFERROR(--ISNUMBER(SEARCH("R60",G318))*60,0)+IFERROR(--ISNUMBER(SEARCH("R61",G318))*61,0)+IFERROR(--ISNUMBER(SEARCH("R62",G318))*62,0)+IFERROR(--ISNUMBER(SEARCH("R63",G318))*63,0)+IFERROR(--ISNUMBER(SEARCH("R64",G318))*64,0)+IFERROR(--ISNUMBER(SEARCH("R65",G318))*65,0)+IFERROR(--ISNUMBER(SEARCH("R66",G318))*66,0)+IFERROR(--ISNUMBER(SEARCH("R67",G318))*67,0)+IFERROR(--ISNUMBER(SEARCH("R68",G318))*68,0)+IFERROR(--ISNUMBER(SEARCH("R69",G318))*69,0)+IFERROR(--ISNUMBER(SEARCH("R70",G318))*70,0)+IFERROR(--ISNUMBER(SEARCH("R71",G318))*71,0)+IFERROR(--ISNUMBER(SEARCH("R72",G318))*72,0)+IFERROR(--ISNUMBER(SEARCH("R73",G318))*73,0)+IFERROR(--ISNUMBER(SEARCH("R74",G318))*74,0)+IFERROR(--ISNUMBER(SEARCH("R75",G318))*75,0)+IFERROR(--ISNUMBER(SEARCH("R76",G318))*76,0)+IFERROR(--ISNUMBER(SEARCH("R77",G318))*77,0)+IFERROR(--ISNUMBER(SEARCH("R78",G318))*78,0)+IFERROR(--ISNUMBER(SEARCH("R79",G318))*79,0)+IFERROR(--ISNUMBER(SEARCH("R80",G318))*80,0)+IFERROR(--ISNUMBER(SEARCH("R81",G318))*81,0)+IFERROR(--ISNUMBER(SEARCH("R82",G318))*82,0)+IFERROR(--ISNUMBER(SEARCH("R83",G318))*83,0)+IFERROR(--ISNUMBER(SEARCH("R84",G318))*84,0)+IFERROR(--ISNUMBER(SEARCH("R85",G318))*85,0)+IFERROR(--ISNUMBER(SEARCH("R86",G318))*86,0)+IFERROR(--ISNUMBER(SEARCH("R87",G318))*87,0)+IFERROR(--ISNUMBER(SEARCH("R88",G318))*88,0)+IFERROR(--ISNUMBER(SEARCH("R89",G318))*89,0)+IFERROR(--ISNUMBER(SEARCH("R90",G318))*90,0)+IFERROR(--ISNUMBER(SEARCH("R91",G318))*91,0)+IFERROR(--ISNUMBER(SEARCH("R92",G318))*92,0)+IFERROR(--ISNUMBER(SEARCH("R93",G318))*93,0)+IFERROR(--ISNUMBER(SEARCH("R94",G318))*94,0)+IFERROR(--ISNUMBER(SEARCH("R95",G318))*95,0)+IFERROR(--ISNUMBER(SEARCH("R96",G318))*96,0)+IFERROR(--ISNUMBER(SEARCH("R97",G318))*97,0)+IFERROR(--ISNUMBER(SEARCH("R98",G318))*98,0)+IFERROR(--ISNUMBER(SEARCH("R99",G318))*99,0)+IFERROR(--ISNUMBER(SEARCH("R100",G318))*100,0)+IFERROR(--ISNUMBER(SEARCH("R101",G318))*101,0)+IFERROR(--ISNUMBER(SEARCH("R102",G318))*102,0)+IFERROR(--ISNUMBER(SEARCH("R103",G318))*103,0)+IFERROR(--ISNUMBER(SEARCH("R104",G318))*104,0)+IFERROR(--ISNUMBER(SEARCH("R105",G318))*105,0)+IFERROR(--ISNUMBER(SEARCH("R106",G318))*106,0)+IFERROR(--ISNUMBER(SEARCH("R107",G318))*107,0)+IFERROR(--ISNUMBER(SEARCH("R108",G318))*108,0)+IFERROR(--ISNUMBER(SEARCH("R109",G318))*109,0)+IFERROR(--ISNUMBER(SEARCH("R110",G318))*110,0)+IFERROR(--ISNUMBER(SEARCH("R111",G318))*111,0)+IFERROR(--ISNUMBER(SEARCH("R112",G318))*112,0)+IFERROR(--ISNUMBER(SEARCH("R113",G318))*113,0)+IFERROR(--ISNUMBER(SEARCH("R114",G318))*114,0)+IFERROR(--ISNUMBER(SEARCH("R115",G318))*115,0)+IFERROR(--ISNUMBER(SEARCH("R116",G318))*116,0)+IFERROR(--ISNUMBER(SEARCH("R117",G318))*117,0)+IFERROR(--ISNUMBER(SEARCH("R118",G318))*118,0)+IFERROR(--ISNUMBER(SEARCH("R119",G318))*119,0)+IFERROR(--ISNUMBER(SEARCH("R120",G318))*120,0)+IFERROR(--ISNUMBER(SEARCH("R121",G318))*121,0)+IFERROR(--ISNUMBER(SEARCH("R122",G318))*122,0)+IFERROR(--ISNUMBER(SEARCH("R123",G318))*123,0)+IFERROR(--ISNUMBER(SEARCH("R124",G318))*124,0)+IFERROR(--ISNUMBER(SEARCH("R125",G318))*125,0)+IFERROR(--ISNUMBER(SEARCH("R126",G318))*126,0)+IFERROR(--ISNUMBER(SEARCH("R127",G318))*127,0)+IFERROR(--ISNUMBER(SEARCH("R128",G318))*128,0)+IFERROR(--ISNUMBER(SEARCH("R129",G318))*129,0)+IFERROR(--ISNUMBER(SEARCH("R130",G318))*130,0)+IFERROR(--ISNUMBER(SEARCH("R131",G318))*131,0)+IFERROR(--ISNUMBER(SEARCH("R132",G318))*132,0)+IFERROR(--ISNUMBER(SEARCH("R133",G318))*133,0)+IFERROR(--ISNUMBER(SEARCH("R134",G318))*134,0)+IFERROR(--ISNUMBER(SEARCH("R135",G318))*135,0)+IFERROR(--ISNUMBER(SEARCH("R136",G318))*136,0)+IFERROR(--ISNUMBER(SEARCH("R137",G318))*137,0)+IFERROR(--ISNUMBER(SEARCH("R138",G318))*138,0)+IFERROR(--ISNUMBER(SEARCH("R139",G318))*139,0)+IFERROR(--ISNUMBER(SEARCH("R140",G318))*140,0)+IFERROR(--ISNUMBER(SEARCH("R141",G318))*141,0))</f>
        <v/>
      </c>
      <c r="V318" s="59">
        <f>IF(A318="","",IF(K318&lt;&gt;"",K318,J318))</f>
        <v/>
      </c>
      <c r="W318" s="59">
        <f>IF(A318="","",IF(AND(V318=29,O318&lt;&gt;"",COUNTIFS($V$6:$V$505,29,$F$6:$F$505,F318,$C$6:$C$505,C318,$O$6:$O$505,"&lt;&gt;")&gt;1),IF(COUNTIFS($V$6:V318,29,$F$6:F318,F318,$C$6:C318,C318,$O$6:O318,"&lt;&gt;")=1,"Esta es la fila que se debe CONSERVAR (aparición 1 de "&amp;COUNTIFS($V$6:$V$505,29,$F$6:$F$505,F318,$C$6:$C$505,C318,$O$6:$O$505,"&lt;&gt;")&amp;" con el mismo tercero y valor, casilla 29). Si hay más filas iguales, bórreles el valor a ELLAS, no a esta.","DUPLICADO — ya existe otra fila con el mismo tercero y valor para casilla 29 (aparición "&amp;COUNTIFS($V$6:V318,29,$F$6:F318,F318,$C$6:C318,C318,$O$6:O318,"&lt;&gt;")&amp;" de "&amp;COUNTIFS($V$6:$V$505,29,$F$6:$F$505,F318,$C$6:$C$505,C318,$O$6:$O$505,"&lt;&gt;")&amp;"). Para resolverlo: seleccione la celda O"&amp;ROW()&amp;" (columna Valor a declarar de ESTA fila) y presione Supr."),""))</f>
        <v/>
      </c>
      <c r="X318" s="463">
        <f>IF(A318="","",F318)</f>
        <v/>
      </c>
      <c r="Y318" s="463">
        <f>IF(A318="","",SUMIF(Entrada_Manual!$I$88:$I$187,A318,Entrada_Manual!$F$88:$F$187))</f>
        <v/>
      </c>
      <c r="Z318" s="463">
        <f>IF(A318="","",X318-Y318)</f>
        <v/>
      </c>
      <c r="AA318">
        <f>IF(A318="","",SUMPRODUCT((Entrada_Manual!$I$88:$I$187=A318)*1))</f>
        <v/>
      </c>
      <c r="AB318">
        <f>IF(A318="","",IF(S318&lt;=1,"",IF(AA318=0,"PENDIENTE — SIN ASIGNAR",IF(Z318=0,"RESUELTO","PARCIAL — DIFERENCIA "&amp;TEXT(Z318,"#,##0")))))</f>
        <v/>
      </c>
    </row>
    <row r="319" ht="14.25" customHeight="1" s="235">
      <c r="A319" s="47">
        <f>IF(Exogena_RAW!E328&lt;&gt;"",ROW()-5,"")</f>
        <v/>
      </c>
      <c r="B319" s="48">
        <f>IF(A319="","",328)</f>
        <v/>
      </c>
      <c r="C319" s="48">
        <f>IF(A319="","",IFERROR(Exogena_RAW!A328,""))</f>
        <v/>
      </c>
      <c r="D319" s="48">
        <f>IF(A319="","",IFERROR(Exogena_RAW!B328,""))</f>
        <v/>
      </c>
      <c r="E319" s="48">
        <f>IF(A319="","",Exogena_RAW!E328)</f>
        <v/>
      </c>
      <c r="F319" s="461">
        <f>IF(A319="","",Exogena_RAW!F328)</f>
        <v/>
      </c>
      <c r="G319" s="48">
        <f>IF(A319="","",IFERROR(Exogena_RAW!G328,""))</f>
        <v/>
      </c>
      <c r="H319" s="48">
        <f>IF(A319="","",IFERROR(Exogena_RAW!H328,""))</f>
        <v/>
      </c>
      <c r="I319" s="48">
        <f>IF(A319="","",IFERROR(IF(S319&gt;1,"VARIAS CASILLAS",IF(S319=1,IF(T319=1,"PROPUESTA DE CASILLA","REVISIÓN: CASILLA NO DIRECTA"),IF(OR(ISNUMBER(SEARCH("TOPE",UPPER(E319))),ISNUMBER(SEARCH("TOPE",UPPER(G319)))),"SOLO CONTROL",IF(ISNUMBER(SEARCH("RETEN",UPPER(E319))),"RETENCIÓN","REVISAR")))),"REVISAR"))</f>
        <v/>
      </c>
      <c r="J319" s="48">
        <f>IF(A319="","",IF(ISNUMBER(SEARCH("ingreso laboral promedio de los últimos seis meses",E319)),"",IFERROR(IF(AND(S319=1,T319=1),U319,""),"")))</f>
        <v/>
      </c>
      <c r="K319" s="216" t="n"/>
      <c r="L319" s="48">
        <f>IF(A319="","",IFERROR(IF(K319&lt;&gt;"","Casilla elegida por usuario",IF(S319&gt;1,"Varias casillas — elegir en K",IF(J319&lt;&gt;"","Sugerencia directa",IF(S319=1,"No trasladar directo — revisar",IF(OR(ISNUMBER(SEARCH("TOPE",UPPER(E319))),ISNUMBER(SEARCH("TOPE",UPPER(G319)))),"Solo control","Revisar manualmente"))))),"Revisar manualmente"))</f>
        <v/>
      </c>
      <c r="M319" s="461">
        <f>IF(A319="","",IF(IF(K319&lt;&gt;"",K319,J319)="",0,IF(COUNTIFS(Reglas!$I$5:$I$118,IF(K319&lt;&gt;"",K319,J319),Reglas!$J$5:$J$118,"Sí")=1,F319,0)))</f>
        <v/>
      </c>
      <c r="N319" s="56" t="n"/>
      <c r="O319" s="462">
        <f>IF(A319="","",IF(M319=0,"",M319))</f>
        <v/>
      </c>
      <c r="P319" s="461">
        <f>IF(A319="","",IF(O319="",0,IF(ISNUMBER(O319),O319,0)))</f>
        <v/>
      </c>
      <c r="Q319" s="48">
        <f>IF(A319="","",IF(Exogena_RAW!$C$4="","BLOQUEADO: FALTA AÑO",IF(Exogena_RAW!$K$10&lt;&gt;Reglas!$B$5,"BLOQUEADO: AÑO",IF(IF(K319&lt;&gt;"",K319,J319)="",IF(S319&gt;1,"REQUIERE ASIGNACIÓN MANUAL (VARIAS CASILLAS)","INFORMATIVO (sin casilla — no se declara)"),IF(COUNTIFS(Reglas!$I$5:$I$118,IF(K319&lt;&gt;"",K319,J319),Reglas!$J$5:$J$118,"Sí")=0,"BLOQUEADO: CASILLA NO DIRECTA",IF(O319="","EXCLUIDO (valor borrado por el usuario)",IF(_xlfn.ISFORMULA(O319),IF(W319&lt;&gt;"","BORRADOR — VALOR SUGERIDO DIAN ⚠ VER ALERTA","BORRADOR — VALOR SUGERIDO DIAN"),IF(W319&lt;&gt;"","ACEPTADO ⚠ VER ALERTA","ACEPTADO"))))))))</f>
        <v/>
      </c>
      <c r="R319" s="218" t="n"/>
      <c r="S319" s="58">
        <f>IF(A319="","",IFERROR(--ISNUMBER(SEARCH("R28",G319)),0)+IFERROR(--ISNUMBER(SEARCH("R29",G319)),0)+IFERROR(--ISNUMBER(SEARCH("R30",G319)),0)+IFERROR(--ISNUMBER(SEARCH("R31",G319)),0)+IFERROR(--ISNUMBER(SEARCH("R32",G319)),0)+IFERROR(--ISNUMBER(SEARCH("R33",G319)),0)+IFERROR(--ISNUMBER(SEARCH("R34",G319)),0)+IFERROR(--ISNUMBER(SEARCH("R35",G319)),0)+IFERROR(--ISNUMBER(SEARCH("R36",G319)),0)+IFERROR(--ISNUMBER(SEARCH("R37",G319)),0)+IFERROR(--ISNUMBER(SEARCH("R38",G319)),0)+IFERROR(--ISNUMBER(SEARCH("R39",G319)),0)+IFERROR(--ISNUMBER(SEARCH("R40",G319)),0)+IFERROR(--ISNUMBER(SEARCH("R41",G319)),0)+IFERROR(--ISNUMBER(SEARCH("R42",G319)),0)+IFERROR(--ISNUMBER(SEARCH("R43",G319)),0)+IFERROR(--ISNUMBER(SEARCH("R44",G319)),0)+IFERROR(--ISNUMBER(SEARCH("R45",G319)),0)+IFERROR(--ISNUMBER(SEARCH("R46",G319)),0)+IFERROR(--ISNUMBER(SEARCH("R47",G319)),0)+IFERROR(--ISNUMBER(SEARCH("R48",G319)),0)+IFERROR(--ISNUMBER(SEARCH("R49",G319)),0)+IFERROR(--ISNUMBER(SEARCH("R50",G319)),0)+IFERROR(--ISNUMBER(SEARCH("R51",G319)),0)+IFERROR(--ISNUMBER(SEARCH("R52",G319)),0)+IFERROR(--ISNUMBER(SEARCH("R53",G319)),0)+IFERROR(--ISNUMBER(SEARCH("R54",G319)),0)+IFERROR(--ISNUMBER(SEARCH("R55",G319)),0)+IFERROR(--ISNUMBER(SEARCH("R56",G319)),0)+IFERROR(--ISNUMBER(SEARCH("R57",G319)),0)+IFERROR(--ISNUMBER(SEARCH("R58",G319)),0)+IFERROR(--ISNUMBER(SEARCH("R59",G319)),0)+IFERROR(--ISNUMBER(SEARCH("R60",G319)),0)+IFERROR(--ISNUMBER(SEARCH("R61",G319)),0)+IFERROR(--ISNUMBER(SEARCH("R62",G319)),0)+IFERROR(--ISNUMBER(SEARCH("R63",G319)),0)+IFERROR(--ISNUMBER(SEARCH("R64",G319)),0)+IFERROR(--ISNUMBER(SEARCH("R65",G319)),0)+IFERROR(--ISNUMBER(SEARCH("R66",G319)),0)+IFERROR(--ISNUMBER(SEARCH("R67",G319)),0)+IFERROR(--ISNUMBER(SEARCH("R68",G319)),0)+IFERROR(--ISNUMBER(SEARCH("R69",G319)),0)+IFERROR(--ISNUMBER(SEARCH("R70",G319)),0)+IFERROR(--ISNUMBER(SEARCH("R71",G319)),0)+IFERROR(--ISNUMBER(SEARCH("R72",G319)),0)+IFERROR(--ISNUMBER(SEARCH("R73",G319)),0)+IFERROR(--ISNUMBER(SEARCH("R74",G319)),0)+IFERROR(--ISNUMBER(SEARCH("R75",G319)),0)+IFERROR(--ISNUMBER(SEARCH("R76",G319)),0)+IFERROR(--ISNUMBER(SEARCH("R77",G319)),0)+IFERROR(--ISNUMBER(SEARCH("R78",G319)),0)+IFERROR(--ISNUMBER(SEARCH("R79",G319)),0)+IFERROR(--ISNUMBER(SEARCH("R80",G319)),0)+IFERROR(--ISNUMBER(SEARCH("R81",G319)),0)+IFERROR(--ISNUMBER(SEARCH("R82",G319)),0)+IFERROR(--ISNUMBER(SEARCH("R83",G319)),0)+IFERROR(--ISNUMBER(SEARCH("R84",G319)),0)+IFERROR(--ISNUMBER(SEARCH("R85",G319)),0)+IFERROR(--ISNUMBER(SEARCH("R86",G319)),0)+IFERROR(--ISNUMBER(SEARCH("R87",G319)),0)+IFERROR(--ISNUMBER(SEARCH("R88",G319)),0)+IFERROR(--ISNUMBER(SEARCH("R89",G319)),0)+IFERROR(--ISNUMBER(SEARCH("R90",G319)),0)+IFERROR(--ISNUMBER(SEARCH("R91",G319)),0)+IFERROR(--ISNUMBER(SEARCH("R92",G319)),0)+IFERROR(--ISNUMBER(SEARCH("R93",G319)),0)+IFERROR(--ISNUMBER(SEARCH("R94",G319)),0)+IFERROR(--ISNUMBER(SEARCH("R95",G319)),0)+IFERROR(--ISNUMBER(SEARCH("R96",G319)),0)+IFERROR(--ISNUMBER(SEARCH("R97",G319)),0)+IFERROR(--ISNUMBER(SEARCH("R98",G319)),0)+IFERROR(--ISNUMBER(SEARCH("R99",G319)),0)+IFERROR(--ISNUMBER(SEARCH("R100",G319)),0)+IFERROR(--ISNUMBER(SEARCH("R101",G319)),0)+IFERROR(--ISNUMBER(SEARCH("R102",G319)),0)+IFERROR(--ISNUMBER(SEARCH("R103",G319)),0)+IFERROR(--ISNUMBER(SEARCH("R104",G319)),0)+IFERROR(--ISNUMBER(SEARCH("R105",G319)),0)+IFERROR(--ISNUMBER(SEARCH("R106",G319)),0)+IFERROR(--ISNUMBER(SEARCH("R107",G319)),0)+IFERROR(--ISNUMBER(SEARCH("R108",G319)),0)+IFERROR(--ISNUMBER(SEARCH("R109",G319)),0)+IFERROR(--ISNUMBER(SEARCH("R110",G319)),0)+IFERROR(--ISNUMBER(SEARCH("R111",G319)),0)+IFERROR(--ISNUMBER(SEARCH("R112",G319)),0)+IFERROR(--ISNUMBER(SEARCH("R113",G319)),0)+IFERROR(--ISNUMBER(SEARCH("R114",G319)),0)+IFERROR(--ISNUMBER(SEARCH("R115",G319)),0)+IFERROR(--ISNUMBER(SEARCH("R116",G319)),0)+IFERROR(--ISNUMBER(SEARCH("R117",G319)),0)+IFERROR(--ISNUMBER(SEARCH("R118",G319)),0)+IFERROR(--ISNUMBER(SEARCH("R119",G319)),0)+IFERROR(--ISNUMBER(SEARCH("R120",G319)),0)+IFERROR(--ISNUMBER(SEARCH("R121",G319)),0)+IFERROR(--ISNUMBER(SEARCH("R122",G319)),0)+IFERROR(--ISNUMBER(SEARCH("R123",G319)),0)+IFERROR(--ISNUMBER(SEARCH("R124",G319)),0)+IFERROR(--ISNUMBER(SEARCH("R125",G319)),0)+IFERROR(--ISNUMBER(SEARCH("R126",G319)),0)+IFERROR(--ISNUMBER(SEARCH("R127",G319)),0)+IFERROR(--ISNUMBER(SEARCH("R128",G319)),0)+IFERROR(--ISNUMBER(SEARCH("R129",G319)),0)+IFERROR(--ISNUMBER(SEARCH("R130",G319)),0)+IFERROR(--ISNUMBER(SEARCH("R131",G319)),0)+IFERROR(--ISNUMBER(SEARCH("R132",G319)),0)+IFERROR(--ISNUMBER(SEARCH("R133",G319)),0)+IFERROR(--ISNUMBER(SEARCH("R134",G319)),0)+IFERROR(--ISNUMBER(SEARCH("R135",G319)),0)+IFERROR(--ISNUMBER(SEARCH("R136",G319)),0)+IFERROR(--ISNUMBER(SEARCH("R137",G319)),0)+IFERROR(--ISNUMBER(SEARCH("R138",G319)),0)+IFERROR(--ISNUMBER(SEARCH("R139",G319)),0)+IFERROR(--ISNUMBER(SEARCH("R140",G319)),0)+IFERROR(--ISNUMBER(SEARCH("R141",G319)),0))</f>
        <v/>
      </c>
      <c r="T319" s="58">
        <f>IF(A319="","",IFERROR(--ISNUMBER(SEARCH("R28",G319)),0)+IFERROR(--ISNUMBER(SEARCH("R29",G319)),0)+IFERROR(--ISNUMBER(SEARCH("R30",G319)),0)+IFERROR(--ISNUMBER(SEARCH("R32",G319)),0)+IFERROR(--ISNUMBER(SEARCH("R33",G319)),0)+IFERROR(--ISNUMBER(SEARCH("R35",G319)),0)+IFERROR(--ISNUMBER(SEARCH("R36",G319)),0)+IFERROR(--ISNUMBER(SEARCH("R38",G319)),0)+IFERROR(--ISNUMBER(SEARCH("R39",G319)),0)+IFERROR(--ISNUMBER(SEARCH("R43",G319)),0)+IFERROR(--ISNUMBER(SEARCH("R44",G319)),0)+IFERROR(--ISNUMBER(SEARCH("R45",G319)),0)+IFERROR(--ISNUMBER(SEARCH("R47",G319)),0)+IFERROR(--ISNUMBER(SEARCH("R48",G319)),0)+IFERROR(--ISNUMBER(SEARCH("R50",G319)),0)+IFERROR(--ISNUMBER(SEARCH("R51",G319)),0)+IFERROR(--ISNUMBER(SEARCH("R56",G319)),0)+IFERROR(--ISNUMBER(SEARCH("R58",G319)),0)+IFERROR(--ISNUMBER(SEARCH("R59",G319)),0)+IFERROR(--ISNUMBER(SEARCH("R60",G319)),0)+IFERROR(--ISNUMBER(SEARCH("R62",G319)),0)+IFERROR(--ISNUMBER(SEARCH("R63",G319)),0)+IFERROR(--ISNUMBER(SEARCH("R64",G319)),0)+IFERROR(--ISNUMBER(SEARCH("R66",G319)),0)+IFERROR(--ISNUMBER(SEARCH("R67",G319)),0)+IFERROR(--ISNUMBER(SEARCH("R72",G319)),0)+IFERROR(--ISNUMBER(SEARCH("R74",G319)),0)+IFERROR(--ISNUMBER(SEARCH("R75",G319)),0)+IFERROR(--ISNUMBER(SEARCH("R76",G319)),0)+IFERROR(--ISNUMBER(SEARCH("R77",G319)),0)+IFERROR(--ISNUMBER(SEARCH("R79",G319)),0)+IFERROR(--ISNUMBER(SEARCH("R80",G319)),0)+IFERROR(--ISNUMBER(SEARCH("R81",G319)),0)+IFERROR(--ISNUMBER(SEARCH("R83",G319)),0)+IFERROR(--ISNUMBER(SEARCH("R84",G319)),0)+IFERROR(--ISNUMBER(SEARCH("R89",G319)),0)+IFERROR(--ISNUMBER(SEARCH("R94",G319)),0)+IFERROR(--ISNUMBER(SEARCH("R95",G319)),0)+IFERROR(--ISNUMBER(SEARCH("R96",G319)),0)+IFERROR(--ISNUMBER(SEARCH("R98",G319)),0)+IFERROR(--ISNUMBER(SEARCH("R99",G319)),0)+IFERROR(--ISNUMBER(SEARCH("R100",G319)),0)+IFERROR(--ISNUMBER(SEARCH("R104",G319)),0)+IFERROR(--ISNUMBER(SEARCH("R105",G319)),0)+IFERROR(--ISNUMBER(SEARCH("R107",G319)),0)+IFERROR(--ISNUMBER(SEARCH("R108",G319)),0)+IFERROR(--ISNUMBER(SEARCH("R109",G319)),0)+IFERROR(--ISNUMBER(SEARCH("R110",G319)),0)+IFERROR(--ISNUMBER(SEARCH("R112",G319)),0)+IFERROR(--ISNUMBER(SEARCH("R113",G319)),0)+IFERROR(--ISNUMBER(SEARCH("R114",G319)),0)+IFERROR(--ISNUMBER(SEARCH("R118",G319)),0)+IFERROR(--ISNUMBER(SEARCH("R119",G319)),0)+IFERROR(--ISNUMBER(SEARCH("R120",G319)),0)+IFERROR(--ISNUMBER(SEARCH("R122",G319)),0)+IFERROR(--ISNUMBER(SEARCH("R123",G319)),0)+IFERROR(--ISNUMBER(SEARCH("R124",G319)),0)+IFERROR(--ISNUMBER(SEARCH("R128",G319)),0)+IFERROR(--ISNUMBER(SEARCH("R130",G319)),0)+IFERROR(--ISNUMBER(SEARCH("R131",G319)),0)+IFERROR(--ISNUMBER(SEARCH("R132",G319)),0)+IFERROR(--ISNUMBER(SEARCH("R135",G319)),0)+IFERROR(--ISNUMBER(SEARCH("R138",G319)),0)+IFERROR(--ISNUMBER(SEARCH("R141",G319)),0))</f>
        <v/>
      </c>
      <c r="U319" s="58">
        <f>IF(A319="","",IFERROR(--ISNUMBER(SEARCH("R28",G319))*28,0)+IFERROR(--ISNUMBER(SEARCH("R29",G319))*29,0)+IFERROR(--ISNUMBER(SEARCH("R30",G319))*30,0)+IFERROR(--ISNUMBER(SEARCH("R31",G319))*31,0)+IFERROR(--ISNUMBER(SEARCH("R32",G319))*32,0)+IFERROR(--ISNUMBER(SEARCH("R33",G319))*33,0)+IFERROR(--ISNUMBER(SEARCH("R34",G319))*34,0)+IFERROR(--ISNUMBER(SEARCH("R35",G319))*35,0)+IFERROR(--ISNUMBER(SEARCH("R36",G319))*36,0)+IFERROR(--ISNUMBER(SEARCH("R37",G319))*37,0)+IFERROR(--ISNUMBER(SEARCH("R38",G319))*38,0)+IFERROR(--ISNUMBER(SEARCH("R39",G319))*39,0)+IFERROR(--ISNUMBER(SEARCH("R40",G319))*40,0)+IFERROR(--ISNUMBER(SEARCH("R41",G319))*41,0)+IFERROR(--ISNUMBER(SEARCH("R42",G319))*42,0)+IFERROR(--ISNUMBER(SEARCH("R43",G319))*43,0)+IFERROR(--ISNUMBER(SEARCH("R44",G319))*44,0)+IFERROR(--ISNUMBER(SEARCH("R45",G319))*45,0)+IFERROR(--ISNUMBER(SEARCH("R46",G319))*46,0)+IFERROR(--ISNUMBER(SEARCH("R47",G319))*47,0)+IFERROR(--ISNUMBER(SEARCH("R48",G319))*48,0)+IFERROR(--ISNUMBER(SEARCH("R49",G319))*49,0)+IFERROR(--ISNUMBER(SEARCH("R50",G319))*50,0)+IFERROR(--ISNUMBER(SEARCH("R51",G319))*51,0)+IFERROR(--ISNUMBER(SEARCH("R52",G319))*52,0)+IFERROR(--ISNUMBER(SEARCH("R53",G319))*53,0)+IFERROR(--ISNUMBER(SEARCH("R54",G319))*54,0)+IFERROR(--ISNUMBER(SEARCH("R55",G319))*55,0)+IFERROR(--ISNUMBER(SEARCH("R56",G319))*56,0)+IFERROR(--ISNUMBER(SEARCH("R57",G319))*57,0)+IFERROR(--ISNUMBER(SEARCH("R58",G319))*58,0)+IFERROR(--ISNUMBER(SEARCH("R59",G319))*59,0)+IFERROR(--ISNUMBER(SEARCH("R60",G319))*60,0)+IFERROR(--ISNUMBER(SEARCH("R61",G319))*61,0)+IFERROR(--ISNUMBER(SEARCH("R62",G319))*62,0)+IFERROR(--ISNUMBER(SEARCH("R63",G319))*63,0)+IFERROR(--ISNUMBER(SEARCH("R64",G319))*64,0)+IFERROR(--ISNUMBER(SEARCH("R65",G319))*65,0)+IFERROR(--ISNUMBER(SEARCH("R66",G319))*66,0)+IFERROR(--ISNUMBER(SEARCH("R67",G319))*67,0)+IFERROR(--ISNUMBER(SEARCH("R68",G319))*68,0)+IFERROR(--ISNUMBER(SEARCH("R69",G319))*69,0)+IFERROR(--ISNUMBER(SEARCH("R70",G319))*70,0)+IFERROR(--ISNUMBER(SEARCH("R71",G319))*71,0)+IFERROR(--ISNUMBER(SEARCH("R72",G319))*72,0)+IFERROR(--ISNUMBER(SEARCH("R73",G319))*73,0)+IFERROR(--ISNUMBER(SEARCH("R74",G319))*74,0)+IFERROR(--ISNUMBER(SEARCH("R75",G319))*75,0)+IFERROR(--ISNUMBER(SEARCH("R76",G319))*76,0)+IFERROR(--ISNUMBER(SEARCH("R77",G319))*77,0)+IFERROR(--ISNUMBER(SEARCH("R78",G319))*78,0)+IFERROR(--ISNUMBER(SEARCH("R79",G319))*79,0)+IFERROR(--ISNUMBER(SEARCH("R80",G319))*80,0)+IFERROR(--ISNUMBER(SEARCH("R81",G319))*81,0)+IFERROR(--ISNUMBER(SEARCH("R82",G319))*82,0)+IFERROR(--ISNUMBER(SEARCH("R83",G319))*83,0)+IFERROR(--ISNUMBER(SEARCH("R84",G319))*84,0)+IFERROR(--ISNUMBER(SEARCH("R85",G319))*85,0)+IFERROR(--ISNUMBER(SEARCH("R86",G319))*86,0)+IFERROR(--ISNUMBER(SEARCH("R87",G319))*87,0)+IFERROR(--ISNUMBER(SEARCH("R88",G319))*88,0)+IFERROR(--ISNUMBER(SEARCH("R89",G319))*89,0)+IFERROR(--ISNUMBER(SEARCH("R90",G319))*90,0)+IFERROR(--ISNUMBER(SEARCH("R91",G319))*91,0)+IFERROR(--ISNUMBER(SEARCH("R92",G319))*92,0)+IFERROR(--ISNUMBER(SEARCH("R93",G319))*93,0)+IFERROR(--ISNUMBER(SEARCH("R94",G319))*94,0)+IFERROR(--ISNUMBER(SEARCH("R95",G319))*95,0)+IFERROR(--ISNUMBER(SEARCH("R96",G319))*96,0)+IFERROR(--ISNUMBER(SEARCH("R97",G319))*97,0)+IFERROR(--ISNUMBER(SEARCH("R98",G319))*98,0)+IFERROR(--ISNUMBER(SEARCH("R99",G319))*99,0)+IFERROR(--ISNUMBER(SEARCH("R100",G319))*100,0)+IFERROR(--ISNUMBER(SEARCH("R101",G319))*101,0)+IFERROR(--ISNUMBER(SEARCH("R102",G319))*102,0)+IFERROR(--ISNUMBER(SEARCH("R103",G319))*103,0)+IFERROR(--ISNUMBER(SEARCH("R104",G319))*104,0)+IFERROR(--ISNUMBER(SEARCH("R105",G319))*105,0)+IFERROR(--ISNUMBER(SEARCH("R106",G319))*106,0)+IFERROR(--ISNUMBER(SEARCH("R107",G319))*107,0)+IFERROR(--ISNUMBER(SEARCH("R108",G319))*108,0)+IFERROR(--ISNUMBER(SEARCH("R109",G319))*109,0)+IFERROR(--ISNUMBER(SEARCH("R110",G319))*110,0)+IFERROR(--ISNUMBER(SEARCH("R111",G319))*111,0)+IFERROR(--ISNUMBER(SEARCH("R112",G319))*112,0)+IFERROR(--ISNUMBER(SEARCH("R113",G319))*113,0)+IFERROR(--ISNUMBER(SEARCH("R114",G319))*114,0)+IFERROR(--ISNUMBER(SEARCH("R115",G319))*115,0)+IFERROR(--ISNUMBER(SEARCH("R116",G319))*116,0)+IFERROR(--ISNUMBER(SEARCH("R117",G319))*117,0)+IFERROR(--ISNUMBER(SEARCH("R118",G319))*118,0)+IFERROR(--ISNUMBER(SEARCH("R119",G319))*119,0)+IFERROR(--ISNUMBER(SEARCH("R120",G319))*120,0)+IFERROR(--ISNUMBER(SEARCH("R121",G319))*121,0)+IFERROR(--ISNUMBER(SEARCH("R122",G319))*122,0)+IFERROR(--ISNUMBER(SEARCH("R123",G319))*123,0)+IFERROR(--ISNUMBER(SEARCH("R124",G319))*124,0)+IFERROR(--ISNUMBER(SEARCH("R125",G319))*125,0)+IFERROR(--ISNUMBER(SEARCH("R126",G319))*126,0)+IFERROR(--ISNUMBER(SEARCH("R127",G319))*127,0)+IFERROR(--ISNUMBER(SEARCH("R128",G319))*128,0)+IFERROR(--ISNUMBER(SEARCH("R129",G319))*129,0)+IFERROR(--ISNUMBER(SEARCH("R130",G319))*130,0)+IFERROR(--ISNUMBER(SEARCH("R131",G319))*131,0)+IFERROR(--ISNUMBER(SEARCH("R132",G319))*132,0)+IFERROR(--ISNUMBER(SEARCH("R133",G319))*133,0)+IFERROR(--ISNUMBER(SEARCH("R134",G319))*134,0)+IFERROR(--ISNUMBER(SEARCH("R135",G319))*135,0)+IFERROR(--ISNUMBER(SEARCH("R136",G319))*136,0)+IFERROR(--ISNUMBER(SEARCH("R137",G319))*137,0)+IFERROR(--ISNUMBER(SEARCH("R138",G319))*138,0)+IFERROR(--ISNUMBER(SEARCH("R139",G319))*139,0)+IFERROR(--ISNUMBER(SEARCH("R140",G319))*140,0)+IFERROR(--ISNUMBER(SEARCH("R141",G319))*141,0))</f>
        <v/>
      </c>
      <c r="V319" s="59">
        <f>IF(A319="","",IF(K319&lt;&gt;"",K319,J319))</f>
        <v/>
      </c>
      <c r="W319" s="59">
        <f>IF(A319="","",IF(AND(V319=29,O319&lt;&gt;"",COUNTIFS($V$6:$V$505,29,$F$6:$F$505,F319,$C$6:$C$505,C319,$O$6:$O$505,"&lt;&gt;")&gt;1),IF(COUNTIFS($V$6:V319,29,$F$6:F319,F319,$C$6:C319,C319,$O$6:O319,"&lt;&gt;")=1,"Esta es la fila que se debe CONSERVAR (aparición 1 de "&amp;COUNTIFS($V$6:$V$505,29,$F$6:$F$505,F319,$C$6:$C$505,C319,$O$6:$O$505,"&lt;&gt;")&amp;" con el mismo tercero y valor, casilla 29). Si hay más filas iguales, bórreles el valor a ELLAS, no a esta.","DUPLICADO — ya existe otra fila con el mismo tercero y valor para casilla 29 (aparición "&amp;COUNTIFS($V$6:V319,29,$F$6:F319,F319,$C$6:C319,C319,$O$6:O319,"&lt;&gt;")&amp;" de "&amp;COUNTIFS($V$6:$V$505,29,$F$6:$F$505,F319,$C$6:$C$505,C319,$O$6:$O$505,"&lt;&gt;")&amp;"). Para resolverlo: seleccione la celda O"&amp;ROW()&amp;" (columna Valor a declarar de ESTA fila) y presione Supr."),""))</f>
        <v/>
      </c>
      <c r="X319" s="463">
        <f>IF(A319="","",F319)</f>
        <v/>
      </c>
      <c r="Y319" s="463">
        <f>IF(A319="","",SUMIF(Entrada_Manual!$I$88:$I$187,A319,Entrada_Manual!$F$88:$F$187))</f>
        <v/>
      </c>
      <c r="Z319" s="463">
        <f>IF(A319="","",X319-Y319)</f>
        <v/>
      </c>
      <c r="AA319">
        <f>IF(A319="","",SUMPRODUCT((Entrada_Manual!$I$88:$I$187=A319)*1))</f>
        <v/>
      </c>
      <c r="AB319">
        <f>IF(A319="","",IF(S319&lt;=1,"",IF(AA319=0,"PENDIENTE — SIN ASIGNAR",IF(Z319=0,"RESUELTO","PARCIAL — DIFERENCIA "&amp;TEXT(Z319,"#,##0")))))</f>
        <v/>
      </c>
    </row>
    <row r="320" ht="14.25" customHeight="1" s="235">
      <c r="A320" s="47">
        <f>IF(Exogena_RAW!E329&lt;&gt;"",ROW()-5,"")</f>
        <v/>
      </c>
      <c r="B320" s="48">
        <f>IF(A320="","",329)</f>
        <v/>
      </c>
      <c r="C320" s="48">
        <f>IF(A320="","",IFERROR(Exogena_RAW!A329,""))</f>
        <v/>
      </c>
      <c r="D320" s="48">
        <f>IF(A320="","",IFERROR(Exogena_RAW!B329,""))</f>
        <v/>
      </c>
      <c r="E320" s="48">
        <f>IF(A320="","",Exogena_RAW!E329)</f>
        <v/>
      </c>
      <c r="F320" s="461">
        <f>IF(A320="","",Exogena_RAW!F329)</f>
        <v/>
      </c>
      <c r="G320" s="48">
        <f>IF(A320="","",IFERROR(Exogena_RAW!G329,""))</f>
        <v/>
      </c>
      <c r="H320" s="48">
        <f>IF(A320="","",IFERROR(Exogena_RAW!H329,""))</f>
        <v/>
      </c>
      <c r="I320" s="48">
        <f>IF(A320="","",IFERROR(IF(S320&gt;1,"VARIAS CASILLAS",IF(S320=1,IF(T320=1,"PROPUESTA DE CASILLA","REVISIÓN: CASILLA NO DIRECTA"),IF(OR(ISNUMBER(SEARCH("TOPE",UPPER(E320))),ISNUMBER(SEARCH("TOPE",UPPER(G320)))),"SOLO CONTROL",IF(ISNUMBER(SEARCH("RETEN",UPPER(E320))),"RETENCIÓN","REVISAR")))),"REVISAR"))</f>
        <v/>
      </c>
      <c r="J320" s="48">
        <f>IF(A320="","",IF(ISNUMBER(SEARCH("ingreso laboral promedio de los últimos seis meses",E320)),"",IFERROR(IF(AND(S320=1,T320=1),U320,""),"")))</f>
        <v/>
      </c>
      <c r="K320" s="216" t="n"/>
      <c r="L320" s="48">
        <f>IF(A320="","",IFERROR(IF(K320&lt;&gt;"","Casilla elegida por usuario",IF(S320&gt;1,"Varias casillas — elegir en K",IF(J320&lt;&gt;"","Sugerencia directa",IF(S320=1,"No trasladar directo — revisar",IF(OR(ISNUMBER(SEARCH("TOPE",UPPER(E320))),ISNUMBER(SEARCH("TOPE",UPPER(G320)))),"Solo control","Revisar manualmente"))))),"Revisar manualmente"))</f>
        <v/>
      </c>
      <c r="M320" s="461">
        <f>IF(A320="","",IF(IF(K320&lt;&gt;"",K320,J320)="",0,IF(COUNTIFS(Reglas!$I$5:$I$118,IF(K320&lt;&gt;"",K320,J320),Reglas!$J$5:$J$118,"Sí")=1,F320,0)))</f>
        <v/>
      </c>
      <c r="N320" s="56" t="n"/>
      <c r="O320" s="462">
        <f>IF(A320="","",IF(M320=0,"",M320))</f>
        <v/>
      </c>
      <c r="P320" s="461">
        <f>IF(A320="","",IF(O320="",0,IF(ISNUMBER(O320),O320,0)))</f>
        <v/>
      </c>
      <c r="Q320" s="48">
        <f>IF(A320="","",IF(Exogena_RAW!$C$4="","BLOQUEADO: FALTA AÑO",IF(Exogena_RAW!$K$10&lt;&gt;Reglas!$B$5,"BLOQUEADO: AÑO",IF(IF(K320&lt;&gt;"",K320,J320)="",IF(S320&gt;1,"REQUIERE ASIGNACIÓN MANUAL (VARIAS CASILLAS)","INFORMATIVO (sin casilla — no se declara)"),IF(COUNTIFS(Reglas!$I$5:$I$118,IF(K320&lt;&gt;"",K320,J320),Reglas!$J$5:$J$118,"Sí")=0,"BLOQUEADO: CASILLA NO DIRECTA",IF(O320="","EXCLUIDO (valor borrado por el usuario)",IF(_xlfn.ISFORMULA(O320),IF(W320&lt;&gt;"","BORRADOR — VALOR SUGERIDO DIAN ⚠ VER ALERTA","BORRADOR — VALOR SUGERIDO DIAN"),IF(W320&lt;&gt;"","ACEPTADO ⚠ VER ALERTA","ACEPTADO"))))))))</f>
        <v/>
      </c>
      <c r="R320" s="218" t="n"/>
      <c r="S320" s="58">
        <f>IF(A320="","",IFERROR(--ISNUMBER(SEARCH("R28",G320)),0)+IFERROR(--ISNUMBER(SEARCH("R29",G320)),0)+IFERROR(--ISNUMBER(SEARCH("R30",G320)),0)+IFERROR(--ISNUMBER(SEARCH("R31",G320)),0)+IFERROR(--ISNUMBER(SEARCH("R32",G320)),0)+IFERROR(--ISNUMBER(SEARCH("R33",G320)),0)+IFERROR(--ISNUMBER(SEARCH("R34",G320)),0)+IFERROR(--ISNUMBER(SEARCH("R35",G320)),0)+IFERROR(--ISNUMBER(SEARCH("R36",G320)),0)+IFERROR(--ISNUMBER(SEARCH("R37",G320)),0)+IFERROR(--ISNUMBER(SEARCH("R38",G320)),0)+IFERROR(--ISNUMBER(SEARCH("R39",G320)),0)+IFERROR(--ISNUMBER(SEARCH("R40",G320)),0)+IFERROR(--ISNUMBER(SEARCH("R41",G320)),0)+IFERROR(--ISNUMBER(SEARCH("R42",G320)),0)+IFERROR(--ISNUMBER(SEARCH("R43",G320)),0)+IFERROR(--ISNUMBER(SEARCH("R44",G320)),0)+IFERROR(--ISNUMBER(SEARCH("R45",G320)),0)+IFERROR(--ISNUMBER(SEARCH("R46",G320)),0)+IFERROR(--ISNUMBER(SEARCH("R47",G320)),0)+IFERROR(--ISNUMBER(SEARCH("R48",G320)),0)+IFERROR(--ISNUMBER(SEARCH("R49",G320)),0)+IFERROR(--ISNUMBER(SEARCH("R50",G320)),0)+IFERROR(--ISNUMBER(SEARCH("R51",G320)),0)+IFERROR(--ISNUMBER(SEARCH("R52",G320)),0)+IFERROR(--ISNUMBER(SEARCH("R53",G320)),0)+IFERROR(--ISNUMBER(SEARCH("R54",G320)),0)+IFERROR(--ISNUMBER(SEARCH("R55",G320)),0)+IFERROR(--ISNUMBER(SEARCH("R56",G320)),0)+IFERROR(--ISNUMBER(SEARCH("R57",G320)),0)+IFERROR(--ISNUMBER(SEARCH("R58",G320)),0)+IFERROR(--ISNUMBER(SEARCH("R59",G320)),0)+IFERROR(--ISNUMBER(SEARCH("R60",G320)),0)+IFERROR(--ISNUMBER(SEARCH("R61",G320)),0)+IFERROR(--ISNUMBER(SEARCH("R62",G320)),0)+IFERROR(--ISNUMBER(SEARCH("R63",G320)),0)+IFERROR(--ISNUMBER(SEARCH("R64",G320)),0)+IFERROR(--ISNUMBER(SEARCH("R65",G320)),0)+IFERROR(--ISNUMBER(SEARCH("R66",G320)),0)+IFERROR(--ISNUMBER(SEARCH("R67",G320)),0)+IFERROR(--ISNUMBER(SEARCH("R68",G320)),0)+IFERROR(--ISNUMBER(SEARCH("R69",G320)),0)+IFERROR(--ISNUMBER(SEARCH("R70",G320)),0)+IFERROR(--ISNUMBER(SEARCH("R71",G320)),0)+IFERROR(--ISNUMBER(SEARCH("R72",G320)),0)+IFERROR(--ISNUMBER(SEARCH("R73",G320)),0)+IFERROR(--ISNUMBER(SEARCH("R74",G320)),0)+IFERROR(--ISNUMBER(SEARCH("R75",G320)),0)+IFERROR(--ISNUMBER(SEARCH("R76",G320)),0)+IFERROR(--ISNUMBER(SEARCH("R77",G320)),0)+IFERROR(--ISNUMBER(SEARCH("R78",G320)),0)+IFERROR(--ISNUMBER(SEARCH("R79",G320)),0)+IFERROR(--ISNUMBER(SEARCH("R80",G320)),0)+IFERROR(--ISNUMBER(SEARCH("R81",G320)),0)+IFERROR(--ISNUMBER(SEARCH("R82",G320)),0)+IFERROR(--ISNUMBER(SEARCH("R83",G320)),0)+IFERROR(--ISNUMBER(SEARCH("R84",G320)),0)+IFERROR(--ISNUMBER(SEARCH("R85",G320)),0)+IFERROR(--ISNUMBER(SEARCH("R86",G320)),0)+IFERROR(--ISNUMBER(SEARCH("R87",G320)),0)+IFERROR(--ISNUMBER(SEARCH("R88",G320)),0)+IFERROR(--ISNUMBER(SEARCH("R89",G320)),0)+IFERROR(--ISNUMBER(SEARCH("R90",G320)),0)+IFERROR(--ISNUMBER(SEARCH("R91",G320)),0)+IFERROR(--ISNUMBER(SEARCH("R92",G320)),0)+IFERROR(--ISNUMBER(SEARCH("R93",G320)),0)+IFERROR(--ISNUMBER(SEARCH("R94",G320)),0)+IFERROR(--ISNUMBER(SEARCH("R95",G320)),0)+IFERROR(--ISNUMBER(SEARCH("R96",G320)),0)+IFERROR(--ISNUMBER(SEARCH("R97",G320)),0)+IFERROR(--ISNUMBER(SEARCH("R98",G320)),0)+IFERROR(--ISNUMBER(SEARCH("R99",G320)),0)+IFERROR(--ISNUMBER(SEARCH("R100",G320)),0)+IFERROR(--ISNUMBER(SEARCH("R101",G320)),0)+IFERROR(--ISNUMBER(SEARCH("R102",G320)),0)+IFERROR(--ISNUMBER(SEARCH("R103",G320)),0)+IFERROR(--ISNUMBER(SEARCH("R104",G320)),0)+IFERROR(--ISNUMBER(SEARCH("R105",G320)),0)+IFERROR(--ISNUMBER(SEARCH("R106",G320)),0)+IFERROR(--ISNUMBER(SEARCH("R107",G320)),0)+IFERROR(--ISNUMBER(SEARCH("R108",G320)),0)+IFERROR(--ISNUMBER(SEARCH("R109",G320)),0)+IFERROR(--ISNUMBER(SEARCH("R110",G320)),0)+IFERROR(--ISNUMBER(SEARCH("R111",G320)),0)+IFERROR(--ISNUMBER(SEARCH("R112",G320)),0)+IFERROR(--ISNUMBER(SEARCH("R113",G320)),0)+IFERROR(--ISNUMBER(SEARCH("R114",G320)),0)+IFERROR(--ISNUMBER(SEARCH("R115",G320)),0)+IFERROR(--ISNUMBER(SEARCH("R116",G320)),0)+IFERROR(--ISNUMBER(SEARCH("R117",G320)),0)+IFERROR(--ISNUMBER(SEARCH("R118",G320)),0)+IFERROR(--ISNUMBER(SEARCH("R119",G320)),0)+IFERROR(--ISNUMBER(SEARCH("R120",G320)),0)+IFERROR(--ISNUMBER(SEARCH("R121",G320)),0)+IFERROR(--ISNUMBER(SEARCH("R122",G320)),0)+IFERROR(--ISNUMBER(SEARCH("R123",G320)),0)+IFERROR(--ISNUMBER(SEARCH("R124",G320)),0)+IFERROR(--ISNUMBER(SEARCH("R125",G320)),0)+IFERROR(--ISNUMBER(SEARCH("R126",G320)),0)+IFERROR(--ISNUMBER(SEARCH("R127",G320)),0)+IFERROR(--ISNUMBER(SEARCH("R128",G320)),0)+IFERROR(--ISNUMBER(SEARCH("R129",G320)),0)+IFERROR(--ISNUMBER(SEARCH("R130",G320)),0)+IFERROR(--ISNUMBER(SEARCH("R131",G320)),0)+IFERROR(--ISNUMBER(SEARCH("R132",G320)),0)+IFERROR(--ISNUMBER(SEARCH("R133",G320)),0)+IFERROR(--ISNUMBER(SEARCH("R134",G320)),0)+IFERROR(--ISNUMBER(SEARCH("R135",G320)),0)+IFERROR(--ISNUMBER(SEARCH("R136",G320)),0)+IFERROR(--ISNUMBER(SEARCH("R137",G320)),0)+IFERROR(--ISNUMBER(SEARCH("R138",G320)),0)+IFERROR(--ISNUMBER(SEARCH("R139",G320)),0)+IFERROR(--ISNUMBER(SEARCH("R140",G320)),0)+IFERROR(--ISNUMBER(SEARCH("R141",G320)),0))</f>
        <v/>
      </c>
      <c r="T320" s="58">
        <f>IF(A320="","",IFERROR(--ISNUMBER(SEARCH("R28",G320)),0)+IFERROR(--ISNUMBER(SEARCH("R29",G320)),0)+IFERROR(--ISNUMBER(SEARCH("R30",G320)),0)+IFERROR(--ISNUMBER(SEARCH("R32",G320)),0)+IFERROR(--ISNUMBER(SEARCH("R33",G320)),0)+IFERROR(--ISNUMBER(SEARCH("R35",G320)),0)+IFERROR(--ISNUMBER(SEARCH("R36",G320)),0)+IFERROR(--ISNUMBER(SEARCH("R38",G320)),0)+IFERROR(--ISNUMBER(SEARCH("R39",G320)),0)+IFERROR(--ISNUMBER(SEARCH("R43",G320)),0)+IFERROR(--ISNUMBER(SEARCH("R44",G320)),0)+IFERROR(--ISNUMBER(SEARCH("R45",G320)),0)+IFERROR(--ISNUMBER(SEARCH("R47",G320)),0)+IFERROR(--ISNUMBER(SEARCH("R48",G320)),0)+IFERROR(--ISNUMBER(SEARCH("R50",G320)),0)+IFERROR(--ISNUMBER(SEARCH("R51",G320)),0)+IFERROR(--ISNUMBER(SEARCH("R56",G320)),0)+IFERROR(--ISNUMBER(SEARCH("R58",G320)),0)+IFERROR(--ISNUMBER(SEARCH("R59",G320)),0)+IFERROR(--ISNUMBER(SEARCH("R60",G320)),0)+IFERROR(--ISNUMBER(SEARCH("R62",G320)),0)+IFERROR(--ISNUMBER(SEARCH("R63",G320)),0)+IFERROR(--ISNUMBER(SEARCH("R64",G320)),0)+IFERROR(--ISNUMBER(SEARCH("R66",G320)),0)+IFERROR(--ISNUMBER(SEARCH("R67",G320)),0)+IFERROR(--ISNUMBER(SEARCH("R72",G320)),0)+IFERROR(--ISNUMBER(SEARCH("R74",G320)),0)+IFERROR(--ISNUMBER(SEARCH("R75",G320)),0)+IFERROR(--ISNUMBER(SEARCH("R76",G320)),0)+IFERROR(--ISNUMBER(SEARCH("R77",G320)),0)+IFERROR(--ISNUMBER(SEARCH("R79",G320)),0)+IFERROR(--ISNUMBER(SEARCH("R80",G320)),0)+IFERROR(--ISNUMBER(SEARCH("R81",G320)),0)+IFERROR(--ISNUMBER(SEARCH("R83",G320)),0)+IFERROR(--ISNUMBER(SEARCH("R84",G320)),0)+IFERROR(--ISNUMBER(SEARCH("R89",G320)),0)+IFERROR(--ISNUMBER(SEARCH("R94",G320)),0)+IFERROR(--ISNUMBER(SEARCH("R95",G320)),0)+IFERROR(--ISNUMBER(SEARCH("R96",G320)),0)+IFERROR(--ISNUMBER(SEARCH("R98",G320)),0)+IFERROR(--ISNUMBER(SEARCH("R99",G320)),0)+IFERROR(--ISNUMBER(SEARCH("R100",G320)),0)+IFERROR(--ISNUMBER(SEARCH("R104",G320)),0)+IFERROR(--ISNUMBER(SEARCH("R105",G320)),0)+IFERROR(--ISNUMBER(SEARCH("R107",G320)),0)+IFERROR(--ISNUMBER(SEARCH("R108",G320)),0)+IFERROR(--ISNUMBER(SEARCH("R109",G320)),0)+IFERROR(--ISNUMBER(SEARCH("R110",G320)),0)+IFERROR(--ISNUMBER(SEARCH("R112",G320)),0)+IFERROR(--ISNUMBER(SEARCH("R113",G320)),0)+IFERROR(--ISNUMBER(SEARCH("R114",G320)),0)+IFERROR(--ISNUMBER(SEARCH("R118",G320)),0)+IFERROR(--ISNUMBER(SEARCH("R119",G320)),0)+IFERROR(--ISNUMBER(SEARCH("R120",G320)),0)+IFERROR(--ISNUMBER(SEARCH("R122",G320)),0)+IFERROR(--ISNUMBER(SEARCH("R123",G320)),0)+IFERROR(--ISNUMBER(SEARCH("R124",G320)),0)+IFERROR(--ISNUMBER(SEARCH("R128",G320)),0)+IFERROR(--ISNUMBER(SEARCH("R130",G320)),0)+IFERROR(--ISNUMBER(SEARCH("R131",G320)),0)+IFERROR(--ISNUMBER(SEARCH("R132",G320)),0)+IFERROR(--ISNUMBER(SEARCH("R135",G320)),0)+IFERROR(--ISNUMBER(SEARCH("R138",G320)),0)+IFERROR(--ISNUMBER(SEARCH("R141",G320)),0))</f>
        <v/>
      </c>
      <c r="U320" s="58">
        <f>IF(A320="","",IFERROR(--ISNUMBER(SEARCH("R28",G320))*28,0)+IFERROR(--ISNUMBER(SEARCH("R29",G320))*29,0)+IFERROR(--ISNUMBER(SEARCH("R30",G320))*30,0)+IFERROR(--ISNUMBER(SEARCH("R31",G320))*31,0)+IFERROR(--ISNUMBER(SEARCH("R32",G320))*32,0)+IFERROR(--ISNUMBER(SEARCH("R33",G320))*33,0)+IFERROR(--ISNUMBER(SEARCH("R34",G320))*34,0)+IFERROR(--ISNUMBER(SEARCH("R35",G320))*35,0)+IFERROR(--ISNUMBER(SEARCH("R36",G320))*36,0)+IFERROR(--ISNUMBER(SEARCH("R37",G320))*37,0)+IFERROR(--ISNUMBER(SEARCH("R38",G320))*38,0)+IFERROR(--ISNUMBER(SEARCH("R39",G320))*39,0)+IFERROR(--ISNUMBER(SEARCH("R40",G320))*40,0)+IFERROR(--ISNUMBER(SEARCH("R41",G320))*41,0)+IFERROR(--ISNUMBER(SEARCH("R42",G320))*42,0)+IFERROR(--ISNUMBER(SEARCH("R43",G320))*43,0)+IFERROR(--ISNUMBER(SEARCH("R44",G320))*44,0)+IFERROR(--ISNUMBER(SEARCH("R45",G320))*45,0)+IFERROR(--ISNUMBER(SEARCH("R46",G320))*46,0)+IFERROR(--ISNUMBER(SEARCH("R47",G320))*47,0)+IFERROR(--ISNUMBER(SEARCH("R48",G320))*48,0)+IFERROR(--ISNUMBER(SEARCH("R49",G320))*49,0)+IFERROR(--ISNUMBER(SEARCH("R50",G320))*50,0)+IFERROR(--ISNUMBER(SEARCH("R51",G320))*51,0)+IFERROR(--ISNUMBER(SEARCH("R52",G320))*52,0)+IFERROR(--ISNUMBER(SEARCH("R53",G320))*53,0)+IFERROR(--ISNUMBER(SEARCH("R54",G320))*54,0)+IFERROR(--ISNUMBER(SEARCH("R55",G320))*55,0)+IFERROR(--ISNUMBER(SEARCH("R56",G320))*56,0)+IFERROR(--ISNUMBER(SEARCH("R57",G320))*57,0)+IFERROR(--ISNUMBER(SEARCH("R58",G320))*58,0)+IFERROR(--ISNUMBER(SEARCH("R59",G320))*59,0)+IFERROR(--ISNUMBER(SEARCH("R60",G320))*60,0)+IFERROR(--ISNUMBER(SEARCH("R61",G320))*61,0)+IFERROR(--ISNUMBER(SEARCH("R62",G320))*62,0)+IFERROR(--ISNUMBER(SEARCH("R63",G320))*63,0)+IFERROR(--ISNUMBER(SEARCH("R64",G320))*64,0)+IFERROR(--ISNUMBER(SEARCH("R65",G320))*65,0)+IFERROR(--ISNUMBER(SEARCH("R66",G320))*66,0)+IFERROR(--ISNUMBER(SEARCH("R67",G320))*67,0)+IFERROR(--ISNUMBER(SEARCH("R68",G320))*68,0)+IFERROR(--ISNUMBER(SEARCH("R69",G320))*69,0)+IFERROR(--ISNUMBER(SEARCH("R70",G320))*70,0)+IFERROR(--ISNUMBER(SEARCH("R71",G320))*71,0)+IFERROR(--ISNUMBER(SEARCH("R72",G320))*72,0)+IFERROR(--ISNUMBER(SEARCH("R73",G320))*73,0)+IFERROR(--ISNUMBER(SEARCH("R74",G320))*74,0)+IFERROR(--ISNUMBER(SEARCH("R75",G320))*75,0)+IFERROR(--ISNUMBER(SEARCH("R76",G320))*76,0)+IFERROR(--ISNUMBER(SEARCH("R77",G320))*77,0)+IFERROR(--ISNUMBER(SEARCH("R78",G320))*78,0)+IFERROR(--ISNUMBER(SEARCH("R79",G320))*79,0)+IFERROR(--ISNUMBER(SEARCH("R80",G320))*80,0)+IFERROR(--ISNUMBER(SEARCH("R81",G320))*81,0)+IFERROR(--ISNUMBER(SEARCH("R82",G320))*82,0)+IFERROR(--ISNUMBER(SEARCH("R83",G320))*83,0)+IFERROR(--ISNUMBER(SEARCH("R84",G320))*84,0)+IFERROR(--ISNUMBER(SEARCH("R85",G320))*85,0)+IFERROR(--ISNUMBER(SEARCH("R86",G320))*86,0)+IFERROR(--ISNUMBER(SEARCH("R87",G320))*87,0)+IFERROR(--ISNUMBER(SEARCH("R88",G320))*88,0)+IFERROR(--ISNUMBER(SEARCH("R89",G320))*89,0)+IFERROR(--ISNUMBER(SEARCH("R90",G320))*90,0)+IFERROR(--ISNUMBER(SEARCH("R91",G320))*91,0)+IFERROR(--ISNUMBER(SEARCH("R92",G320))*92,0)+IFERROR(--ISNUMBER(SEARCH("R93",G320))*93,0)+IFERROR(--ISNUMBER(SEARCH("R94",G320))*94,0)+IFERROR(--ISNUMBER(SEARCH("R95",G320))*95,0)+IFERROR(--ISNUMBER(SEARCH("R96",G320))*96,0)+IFERROR(--ISNUMBER(SEARCH("R97",G320))*97,0)+IFERROR(--ISNUMBER(SEARCH("R98",G320))*98,0)+IFERROR(--ISNUMBER(SEARCH("R99",G320))*99,0)+IFERROR(--ISNUMBER(SEARCH("R100",G320))*100,0)+IFERROR(--ISNUMBER(SEARCH("R101",G320))*101,0)+IFERROR(--ISNUMBER(SEARCH("R102",G320))*102,0)+IFERROR(--ISNUMBER(SEARCH("R103",G320))*103,0)+IFERROR(--ISNUMBER(SEARCH("R104",G320))*104,0)+IFERROR(--ISNUMBER(SEARCH("R105",G320))*105,0)+IFERROR(--ISNUMBER(SEARCH("R106",G320))*106,0)+IFERROR(--ISNUMBER(SEARCH("R107",G320))*107,0)+IFERROR(--ISNUMBER(SEARCH("R108",G320))*108,0)+IFERROR(--ISNUMBER(SEARCH("R109",G320))*109,0)+IFERROR(--ISNUMBER(SEARCH("R110",G320))*110,0)+IFERROR(--ISNUMBER(SEARCH("R111",G320))*111,0)+IFERROR(--ISNUMBER(SEARCH("R112",G320))*112,0)+IFERROR(--ISNUMBER(SEARCH("R113",G320))*113,0)+IFERROR(--ISNUMBER(SEARCH("R114",G320))*114,0)+IFERROR(--ISNUMBER(SEARCH("R115",G320))*115,0)+IFERROR(--ISNUMBER(SEARCH("R116",G320))*116,0)+IFERROR(--ISNUMBER(SEARCH("R117",G320))*117,0)+IFERROR(--ISNUMBER(SEARCH("R118",G320))*118,0)+IFERROR(--ISNUMBER(SEARCH("R119",G320))*119,0)+IFERROR(--ISNUMBER(SEARCH("R120",G320))*120,0)+IFERROR(--ISNUMBER(SEARCH("R121",G320))*121,0)+IFERROR(--ISNUMBER(SEARCH("R122",G320))*122,0)+IFERROR(--ISNUMBER(SEARCH("R123",G320))*123,0)+IFERROR(--ISNUMBER(SEARCH("R124",G320))*124,0)+IFERROR(--ISNUMBER(SEARCH("R125",G320))*125,0)+IFERROR(--ISNUMBER(SEARCH("R126",G320))*126,0)+IFERROR(--ISNUMBER(SEARCH("R127",G320))*127,0)+IFERROR(--ISNUMBER(SEARCH("R128",G320))*128,0)+IFERROR(--ISNUMBER(SEARCH("R129",G320))*129,0)+IFERROR(--ISNUMBER(SEARCH("R130",G320))*130,0)+IFERROR(--ISNUMBER(SEARCH("R131",G320))*131,0)+IFERROR(--ISNUMBER(SEARCH("R132",G320))*132,0)+IFERROR(--ISNUMBER(SEARCH("R133",G320))*133,0)+IFERROR(--ISNUMBER(SEARCH("R134",G320))*134,0)+IFERROR(--ISNUMBER(SEARCH("R135",G320))*135,0)+IFERROR(--ISNUMBER(SEARCH("R136",G320))*136,0)+IFERROR(--ISNUMBER(SEARCH("R137",G320))*137,0)+IFERROR(--ISNUMBER(SEARCH("R138",G320))*138,0)+IFERROR(--ISNUMBER(SEARCH("R139",G320))*139,0)+IFERROR(--ISNUMBER(SEARCH("R140",G320))*140,0)+IFERROR(--ISNUMBER(SEARCH("R141",G320))*141,0))</f>
        <v/>
      </c>
      <c r="V320" s="59">
        <f>IF(A320="","",IF(K320&lt;&gt;"",K320,J320))</f>
        <v/>
      </c>
      <c r="W320" s="59">
        <f>IF(A320="","",IF(AND(V320=29,O320&lt;&gt;"",COUNTIFS($V$6:$V$505,29,$F$6:$F$505,F320,$C$6:$C$505,C320,$O$6:$O$505,"&lt;&gt;")&gt;1),IF(COUNTIFS($V$6:V320,29,$F$6:F320,F320,$C$6:C320,C320,$O$6:O320,"&lt;&gt;")=1,"Esta es la fila que se debe CONSERVAR (aparición 1 de "&amp;COUNTIFS($V$6:$V$505,29,$F$6:$F$505,F320,$C$6:$C$505,C320,$O$6:$O$505,"&lt;&gt;")&amp;" con el mismo tercero y valor, casilla 29). Si hay más filas iguales, bórreles el valor a ELLAS, no a esta.","DUPLICADO — ya existe otra fila con el mismo tercero y valor para casilla 29 (aparición "&amp;COUNTIFS($V$6:V320,29,$F$6:F320,F320,$C$6:C320,C320,$O$6:O320,"&lt;&gt;")&amp;" de "&amp;COUNTIFS($V$6:$V$505,29,$F$6:$F$505,F320,$C$6:$C$505,C320,$O$6:$O$505,"&lt;&gt;")&amp;"). Para resolverlo: seleccione la celda O"&amp;ROW()&amp;" (columna Valor a declarar de ESTA fila) y presione Supr."),""))</f>
        <v/>
      </c>
      <c r="X320" s="463">
        <f>IF(A320="","",F320)</f>
        <v/>
      </c>
      <c r="Y320" s="463">
        <f>IF(A320="","",SUMIF(Entrada_Manual!$I$88:$I$187,A320,Entrada_Manual!$F$88:$F$187))</f>
        <v/>
      </c>
      <c r="Z320" s="463">
        <f>IF(A320="","",X320-Y320)</f>
        <v/>
      </c>
      <c r="AA320">
        <f>IF(A320="","",SUMPRODUCT((Entrada_Manual!$I$88:$I$187=A320)*1))</f>
        <v/>
      </c>
      <c r="AB320">
        <f>IF(A320="","",IF(S320&lt;=1,"",IF(AA320=0,"PENDIENTE — SIN ASIGNAR",IF(Z320=0,"RESUELTO","PARCIAL — DIFERENCIA "&amp;TEXT(Z320,"#,##0")))))</f>
        <v/>
      </c>
    </row>
    <row r="321" ht="14.25" customHeight="1" s="235">
      <c r="A321" s="47">
        <f>IF(Exogena_RAW!E330&lt;&gt;"",ROW()-5,"")</f>
        <v/>
      </c>
      <c r="B321" s="48">
        <f>IF(A321="","",330)</f>
        <v/>
      </c>
      <c r="C321" s="48">
        <f>IF(A321="","",IFERROR(Exogena_RAW!A330,""))</f>
        <v/>
      </c>
      <c r="D321" s="48">
        <f>IF(A321="","",IFERROR(Exogena_RAW!B330,""))</f>
        <v/>
      </c>
      <c r="E321" s="48">
        <f>IF(A321="","",Exogena_RAW!E330)</f>
        <v/>
      </c>
      <c r="F321" s="461">
        <f>IF(A321="","",Exogena_RAW!F330)</f>
        <v/>
      </c>
      <c r="G321" s="48">
        <f>IF(A321="","",IFERROR(Exogena_RAW!G330,""))</f>
        <v/>
      </c>
      <c r="H321" s="48">
        <f>IF(A321="","",IFERROR(Exogena_RAW!H330,""))</f>
        <v/>
      </c>
      <c r="I321" s="48">
        <f>IF(A321="","",IFERROR(IF(S321&gt;1,"VARIAS CASILLAS",IF(S321=1,IF(T321=1,"PROPUESTA DE CASILLA","REVISIÓN: CASILLA NO DIRECTA"),IF(OR(ISNUMBER(SEARCH("TOPE",UPPER(E321))),ISNUMBER(SEARCH("TOPE",UPPER(G321)))),"SOLO CONTROL",IF(ISNUMBER(SEARCH("RETEN",UPPER(E321))),"RETENCIÓN","REVISAR")))),"REVISAR"))</f>
        <v/>
      </c>
      <c r="J321" s="48">
        <f>IF(A321="","",IF(ISNUMBER(SEARCH("ingreso laboral promedio de los últimos seis meses",E321)),"",IFERROR(IF(AND(S321=1,T321=1),U321,""),"")))</f>
        <v/>
      </c>
      <c r="K321" s="216" t="n"/>
      <c r="L321" s="48">
        <f>IF(A321="","",IFERROR(IF(K321&lt;&gt;"","Casilla elegida por usuario",IF(S321&gt;1,"Varias casillas — elegir en K",IF(J321&lt;&gt;"","Sugerencia directa",IF(S321=1,"No trasladar directo — revisar",IF(OR(ISNUMBER(SEARCH("TOPE",UPPER(E321))),ISNUMBER(SEARCH("TOPE",UPPER(G321)))),"Solo control","Revisar manualmente"))))),"Revisar manualmente"))</f>
        <v/>
      </c>
      <c r="M321" s="461">
        <f>IF(A321="","",IF(IF(K321&lt;&gt;"",K321,J321)="",0,IF(COUNTIFS(Reglas!$I$5:$I$118,IF(K321&lt;&gt;"",K321,J321),Reglas!$J$5:$J$118,"Sí")=1,F321,0)))</f>
        <v/>
      </c>
      <c r="N321" s="56" t="n"/>
      <c r="O321" s="462">
        <f>IF(A321="","",IF(M321=0,"",M321))</f>
        <v/>
      </c>
      <c r="P321" s="461">
        <f>IF(A321="","",IF(O321="",0,IF(ISNUMBER(O321),O321,0)))</f>
        <v/>
      </c>
      <c r="Q321" s="48">
        <f>IF(A321="","",IF(Exogena_RAW!$C$4="","BLOQUEADO: FALTA AÑO",IF(Exogena_RAW!$K$10&lt;&gt;Reglas!$B$5,"BLOQUEADO: AÑO",IF(IF(K321&lt;&gt;"",K321,J321)="",IF(S321&gt;1,"REQUIERE ASIGNACIÓN MANUAL (VARIAS CASILLAS)","INFORMATIVO (sin casilla — no se declara)"),IF(COUNTIFS(Reglas!$I$5:$I$118,IF(K321&lt;&gt;"",K321,J321),Reglas!$J$5:$J$118,"Sí")=0,"BLOQUEADO: CASILLA NO DIRECTA",IF(O321="","EXCLUIDO (valor borrado por el usuario)",IF(_xlfn.ISFORMULA(O321),IF(W321&lt;&gt;"","BORRADOR — VALOR SUGERIDO DIAN ⚠ VER ALERTA","BORRADOR — VALOR SUGERIDO DIAN"),IF(W321&lt;&gt;"","ACEPTADO ⚠ VER ALERTA","ACEPTADO"))))))))</f>
        <v/>
      </c>
      <c r="R321" s="218" t="n"/>
      <c r="S321" s="58">
        <f>IF(A321="","",IFERROR(--ISNUMBER(SEARCH("R28",G321)),0)+IFERROR(--ISNUMBER(SEARCH("R29",G321)),0)+IFERROR(--ISNUMBER(SEARCH("R30",G321)),0)+IFERROR(--ISNUMBER(SEARCH("R31",G321)),0)+IFERROR(--ISNUMBER(SEARCH("R32",G321)),0)+IFERROR(--ISNUMBER(SEARCH("R33",G321)),0)+IFERROR(--ISNUMBER(SEARCH("R34",G321)),0)+IFERROR(--ISNUMBER(SEARCH("R35",G321)),0)+IFERROR(--ISNUMBER(SEARCH("R36",G321)),0)+IFERROR(--ISNUMBER(SEARCH("R37",G321)),0)+IFERROR(--ISNUMBER(SEARCH("R38",G321)),0)+IFERROR(--ISNUMBER(SEARCH("R39",G321)),0)+IFERROR(--ISNUMBER(SEARCH("R40",G321)),0)+IFERROR(--ISNUMBER(SEARCH("R41",G321)),0)+IFERROR(--ISNUMBER(SEARCH("R42",G321)),0)+IFERROR(--ISNUMBER(SEARCH("R43",G321)),0)+IFERROR(--ISNUMBER(SEARCH("R44",G321)),0)+IFERROR(--ISNUMBER(SEARCH("R45",G321)),0)+IFERROR(--ISNUMBER(SEARCH("R46",G321)),0)+IFERROR(--ISNUMBER(SEARCH("R47",G321)),0)+IFERROR(--ISNUMBER(SEARCH("R48",G321)),0)+IFERROR(--ISNUMBER(SEARCH("R49",G321)),0)+IFERROR(--ISNUMBER(SEARCH("R50",G321)),0)+IFERROR(--ISNUMBER(SEARCH("R51",G321)),0)+IFERROR(--ISNUMBER(SEARCH("R52",G321)),0)+IFERROR(--ISNUMBER(SEARCH("R53",G321)),0)+IFERROR(--ISNUMBER(SEARCH("R54",G321)),0)+IFERROR(--ISNUMBER(SEARCH("R55",G321)),0)+IFERROR(--ISNUMBER(SEARCH("R56",G321)),0)+IFERROR(--ISNUMBER(SEARCH("R57",G321)),0)+IFERROR(--ISNUMBER(SEARCH("R58",G321)),0)+IFERROR(--ISNUMBER(SEARCH("R59",G321)),0)+IFERROR(--ISNUMBER(SEARCH("R60",G321)),0)+IFERROR(--ISNUMBER(SEARCH("R61",G321)),0)+IFERROR(--ISNUMBER(SEARCH("R62",G321)),0)+IFERROR(--ISNUMBER(SEARCH("R63",G321)),0)+IFERROR(--ISNUMBER(SEARCH("R64",G321)),0)+IFERROR(--ISNUMBER(SEARCH("R65",G321)),0)+IFERROR(--ISNUMBER(SEARCH("R66",G321)),0)+IFERROR(--ISNUMBER(SEARCH("R67",G321)),0)+IFERROR(--ISNUMBER(SEARCH("R68",G321)),0)+IFERROR(--ISNUMBER(SEARCH("R69",G321)),0)+IFERROR(--ISNUMBER(SEARCH("R70",G321)),0)+IFERROR(--ISNUMBER(SEARCH("R71",G321)),0)+IFERROR(--ISNUMBER(SEARCH("R72",G321)),0)+IFERROR(--ISNUMBER(SEARCH("R73",G321)),0)+IFERROR(--ISNUMBER(SEARCH("R74",G321)),0)+IFERROR(--ISNUMBER(SEARCH("R75",G321)),0)+IFERROR(--ISNUMBER(SEARCH("R76",G321)),0)+IFERROR(--ISNUMBER(SEARCH("R77",G321)),0)+IFERROR(--ISNUMBER(SEARCH("R78",G321)),0)+IFERROR(--ISNUMBER(SEARCH("R79",G321)),0)+IFERROR(--ISNUMBER(SEARCH("R80",G321)),0)+IFERROR(--ISNUMBER(SEARCH("R81",G321)),0)+IFERROR(--ISNUMBER(SEARCH("R82",G321)),0)+IFERROR(--ISNUMBER(SEARCH("R83",G321)),0)+IFERROR(--ISNUMBER(SEARCH("R84",G321)),0)+IFERROR(--ISNUMBER(SEARCH("R85",G321)),0)+IFERROR(--ISNUMBER(SEARCH("R86",G321)),0)+IFERROR(--ISNUMBER(SEARCH("R87",G321)),0)+IFERROR(--ISNUMBER(SEARCH("R88",G321)),0)+IFERROR(--ISNUMBER(SEARCH("R89",G321)),0)+IFERROR(--ISNUMBER(SEARCH("R90",G321)),0)+IFERROR(--ISNUMBER(SEARCH("R91",G321)),0)+IFERROR(--ISNUMBER(SEARCH("R92",G321)),0)+IFERROR(--ISNUMBER(SEARCH("R93",G321)),0)+IFERROR(--ISNUMBER(SEARCH("R94",G321)),0)+IFERROR(--ISNUMBER(SEARCH("R95",G321)),0)+IFERROR(--ISNUMBER(SEARCH("R96",G321)),0)+IFERROR(--ISNUMBER(SEARCH("R97",G321)),0)+IFERROR(--ISNUMBER(SEARCH("R98",G321)),0)+IFERROR(--ISNUMBER(SEARCH("R99",G321)),0)+IFERROR(--ISNUMBER(SEARCH("R100",G321)),0)+IFERROR(--ISNUMBER(SEARCH("R101",G321)),0)+IFERROR(--ISNUMBER(SEARCH("R102",G321)),0)+IFERROR(--ISNUMBER(SEARCH("R103",G321)),0)+IFERROR(--ISNUMBER(SEARCH("R104",G321)),0)+IFERROR(--ISNUMBER(SEARCH("R105",G321)),0)+IFERROR(--ISNUMBER(SEARCH("R106",G321)),0)+IFERROR(--ISNUMBER(SEARCH("R107",G321)),0)+IFERROR(--ISNUMBER(SEARCH("R108",G321)),0)+IFERROR(--ISNUMBER(SEARCH("R109",G321)),0)+IFERROR(--ISNUMBER(SEARCH("R110",G321)),0)+IFERROR(--ISNUMBER(SEARCH("R111",G321)),0)+IFERROR(--ISNUMBER(SEARCH("R112",G321)),0)+IFERROR(--ISNUMBER(SEARCH("R113",G321)),0)+IFERROR(--ISNUMBER(SEARCH("R114",G321)),0)+IFERROR(--ISNUMBER(SEARCH("R115",G321)),0)+IFERROR(--ISNUMBER(SEARCH("R116",G321)),0)+IFERROR(--ISNUMBER(SEARCH("R117",G321)),0)+IFERROR(--ISNUMBER(SEARCH("R118",G321)),0)+IFERROR(--ISNUMBER(SEARCH("R119",G321)),0)+IFERROR(--ISNUMBER(SEARCH("R120",G321)),0)+IFERROR(--ISNUMBER(SEARCH("R121",G321)),0)+IFERROR(--ISNUMBER(SEARCH("R122",G321)),0)+IFERROR(--ISNUMBER(SEARCH("R123",G321)),0)+IFERROR(--ISNUMBER(SEARCH("R124",G321)),0)+IFERROR(--ISNUMBER(SEARCH("R125",G321)),0)+IFERROR(--ISNUMBER(SEARCH("R126",G321)),0)+IFERROR(--ISNUMBER(SEARCH("R127",G321)),0)+IFERROR(--ISNUMBER(SEARCH("R128",G321)),0)+IFERROR(--ISNUMBER(SEARCH("R129",G321)),0)+IFERROR(--ISNUMBER(SEARCH("R130",G321)),0)+IFERROR(--ISNUMBER(SEARCH("R131",G321)),0)+IFERROR(--ISNUMBER(SEARCH("R132",G321)),0)+IFERROR(--ISNUMBER(SEARCH("R133",G321)),0)+IFERROR(--ISNUMBER(SEARCH("R134",G321)),0)+IFERROR(--ISNUMBER(SEARCH("R135",G321)),0)+IFERROR(--ISNUMBER(SEARCH("R136",G321)),0)+IFERROR(--ISNUMBER(SEARCH("R137",G321)),0)+IFERROR(--ISNUMBER(SEARCH("R138",G321)),0)+IFERROR(--ISNUMBER(SEARCH("R139",G321)),0)+IFERROR(--ISNUMBER(SEARCH("R140",G321)),0)+IFERROR(--ISNUMBER(SEARCH("R141",G321)),0))</f>
        <v/>
      </c>
      <c r="T321" s="58">
        <f>IF(A321="","",IFERROR(--ISNUMBER(SEARCH("R28",G321)),0)+IFERROR(--ISNUMBER(SEARCH("R29",G321)),0)+IFERROR(--ISNUMBER(SEARCH("R30",G321)),0)+IFERROR(--ISNUMBER(SEARCH("R32",G321)),0)+IFERROR(--ISNUMBER(SEARCH("R33",G321)),0)+IFERROR(--ISNUMBER(SEARCH("R35",G321)),0)+IFERROR(--ISNUMBER(SEARCH("R36",G321)),0)+IFERROR(--ISNUMBER(SEARCH("R38",G321)),0)+IFERROR(--ISNUMBER(SEARCH("R39",G321)),0)+IFERROR(--ISNUMBER(SEARCH("R43",G321)),0)+IFERROR(--ISNUMBER(SEARCH("R44",G321)),0)+IFERROR(--ISNUMBER(SEARCH("R45",G321)),0)+IFERROR(--ISNUMBER(SEARCH("R47",G321)),0)+IFERROR(--ISNUMBER(SEARCH("R48",G321)),0)+IFERROR(--ISNUMBER(SEARCH("R50",G321)),0)+IFERROR(--ISNUMBER(SEARCH("R51",G321)),0)+IFERROR(--ISNUMBER(SEARCH("R56",G321)),0)+IFERROR(--ISNUMBER(SEARCH("R58",G321)),0)+IFERROR(--ISNUMBER(SEARCH("R59",G321)),0)+IFERROR(--ISNUMBER(SEARCH("R60",G321)),0)+IFERROR(--ISNUMBER(SEARCH("R62",G321)),0)+IFERROR(--ISNUMBER(SEARCH("R63",G321)),0)+IFERROR(--ISNUMBER(SEARCH("R64",G321)),0)+IFERROR(--ISNUMBER(SEARCH("R66",G321)),0)+IFERROR(--ISNUMBER(SEARCH("R67",G321)),0)+IFERROR(--ISNUMBER(SEARCH("R72",G321)),0)+IFERROR(--ISNUMBER(SEARCH("R74",G321)),0)+IFERROR(--ISNUMBER(SEARCH("R75",G321)),0)+IFERROR(--ISNUMBER(SEARCH("R76",G321)),0)+IFERROR(--ISNUMBER(SEARCH("R77",G321)),0)+IFERROR(--ISNUMBER(SEARCH("R79",G321)),0)+IFERROR(--ISNUMBER(SEARCH("R80",G321)),0)+IFERROR(--ISNUMBER(SEARCH("R81",G321)),0)+IFERROR(--ISNUMBER(SEARCH("R83",G321)),0)+IFERROR(--ISNUMBER(SEARCH("R84",G321)),0)+IFERROR(--ISNUMBER(SEARCH("R89",G321)),0)+IFERROR(--ISNUMBER(SEARCH("R94",G321)),0)+IFERROR(--ISNUMBER(SEARCH("R95",G321)),0)+IFERROR(--ISNUMBER(SEARCH("R96",G321)),0)+IFERROR(--ISNUMBER(SEARCH("R98",G321)),0)+IFERROR(--ISNUMBER(SEARCH("R99",G321)),0)+IFERROR(--ISNUMBER(SEARCH("R100",G321)),0)+IFERROR(--ISNUMBER(SEARCH("R104",G321)),0)+IFERROR(--ISNUMBER(SEARCH("R105",G321)),0)+IFERROR(--ISNUMBER(SEARCH("R107",G321)),0)+IFERROR(--ISNUMBER(SEARCH("R108",G321)),0)+IFERROR(--ISNUMBER(SEARCH("R109",G321)),0)+IFERROR(--ISNUMBER(SEARCH("R110",G321)),0)+IFERROR(--ISNUMBER(SEARCH("R112",G321)),0)+IFERROR(--ISNUMBER(SEARCH("R113",G321)),0)+IFERROR(--ISNUMBER(SEARCH("R114",G321)),0)+IFERROR(--ISNUMBER(SEARCH("R118",G321)),0)+IFERROR(--ISNUMBER(SEARCH("R119",G321)),0)+IFERROR(--ISNUMBER(SEARCH("R120",G321)),0)+IFERROR(--ISNUMBER(SEARCH("R122",G321)),0)+IFERROR(--ISNUMBER(SEARCH("R123",G321)),0)+IFERROR(--ISNUMBER(SEARCH("R124",G321)),0)+IFERROR(--ISNUMBER(SEARCH("R128",G321)),0)+IFERROR(--ISNUMBER(SEARCH("R130",G321)),0)+IFERROR(--ISNUMBER(SEARCH("R131",G321)),0)+IFERROR(--ISNUMBER(SEARCH("R132",G321)),0)+IFERROR(--ISNUMBER(SEARCH("R135",G321)),0)+IFERROR(--ISNUMBER(SEARCH("R138",G321)),0)+IFERROR(--ISNUMBER(SEARCH("R141",G321)),0))</f>
        <v/>
      </c>
      <c r="U321" s="58">
        <f>IF(A321="","",IFERROR(--ISNUMBER(SEARCH("R28",G321))*28,0)+IFERROR(--ISNUMBER(SEARCH("R29",G321))*29,0)+IFERROR(--ISNUMBER(SEARCH("R30",G321))*30,0)+IFERROR(--ISNUMBER(SEARCH("R31",G321))*31,0)+IFERROR(--ISNUMBER(SEARCH("R32",G321))*32,0)+IFERROR(--ISNUMBER(SEARCH("R33",G321))*33,0)+IFERROR(--ISNUMBER(SEARCH("R34",G321))*34,0)+IFERROR(--ISNUMBER(SEARCH("R35",G321))*35,0)+IFERROR(--ISNUMBER(SEARCH("R36",G321))*36,0)+IFERROR(--ISNUMBER(SEARCH("R37",G321))*37,0)+IFERROR(--ISNUMBER(SEARCH("R38",G321))*38,0)+IFERROR(--ISNUMBER(SEARCH("R39",G321))*39,0)+IFERROR(--ISNUMBER(SEARCH("R40",G321))*40,0)+IFERROR(--ISNUMBER(SEARCH("R41",G321))*41,0)+IFERROR(--ISNUMBER(SEARCH("R42",G321))*42,0)+IFERROR(--ISNUMBER(SEARCH("R43",G321))*43,0)+IFERROR(--ISNUMBER(SEARCH("R44",G321))*44,0)+IFERROR(--ISNUMBER(SEARCH("R45",G321))*45,0)+IFERROR(--ISNUMBER(SEARCH("R46",G321))*46,0)+IFERROR(--ISNUMBER(SEARCH("R47",G321))*47,0)+IFERROR(--ISNUMBER(SEARCH("R48",G321))*48,0)+IFERROR(--ISNUMBER(SEARCH("R49",G321))*49,0)+IFERROR(--ISNUMBER(SEARCH("R50",G321))*50,0)+IFERROR(--ISNUMBER(SEARCH("R51",G321))*51,0)+IFERROR(--ISNUMBER(SEARCH("R52",G321))*52,0)+IFERROR(--ISNUMBER(SEARCH("R53",G321))*53,0)+IFERROR(--ISNUMBER(SEARCH("R54",G321))*54,0)+IFERROR(--ISNUMBER(SEARCH("R55",G321))*55,0)+IFERROR(--ISNUMBER(SEARCH("R56",G321))*56,0)+IFERROR(--ISNUMBER(SEARCH("R57",G321))*57,0)+IFERROR(--ISNUMBER(SEARCH("R58",G321))*58,0)+IFERROR(--ISNUMBER(SEARCH("R59",G321))*59,0)+IFERROR(--ISNUMBER(SEARCH("R60",G321))*60,0)+IFERROR(--ISNUMBER(SEARCH("R61",G321))*61,0)+IFERROR(--ISNUMBER(SEARCH("R62",G321))*62,0)+IFERROR(--ISNUMBER(SEARCH("R63",G321))*63,0)+IFERROR(--ISNUMBER(SEARCH("R64",G321))*64,0)+IFERROR(--ISNUMBER(SEARCH("R65",G321))*65,0)+IFERROR(--ISNUMBER(SEARCH("R66",G321))*66,0)+IFERROR(--ISNUMBER(SEARCH("R67",G321))*67,0)+IFERROR(--ISNUMBER(SEARCH("R68",G321))*68,0)+IFERROR(--ISNUMBER(SEARCH("R69",G321))*69,0)+IFERROR(--ISNUMBER(SEARCH("R70",G321))*70,0)+IFERROR(--ISNUMBER(SEARCH("R71",G321))*71,0)+IFERROR(--ISNUMBER(SEARCH("R72",G321))*72,0)+IFERROR(--ISNUMBER(SEARCH("R73",G321))*73,0)+IFERROR(--ISNUMBER(SEARCH("R74",G321))*74,0)+IFERROR(--ISNUMBER(SEARCH("R75",G321))*75,0)+IFERROR(--ISNUMBER(SEARCH("R76",G321))*76,0)+IFERROR(--ISNUMBER(SEARCH("R77",G321))*77,0)+IFERROR(--ISNUMBER(SEARCH("R78",G321))*78,0)+IFERROR(--ISNUMBER(SEARCH("R79",G321))*79,0)+IFERROR(--ISNUMBER(SEARCH("R80",G321))*80,0)+IFERROR(--ISNUMBER(SEARCH("R81",G321))*81,0)+IFERROR(--ISNUMBER(SEARCH("R82",G321))*82,0)+IFERROR(--ISNUMBER(SEARCH("R83",G321))*83,0)+IFERROR(--ISNUMBER(SEARCH("R84",G321))*84,0)+IFERROR(--ISNUMBER(SEARCH("R85",G321))*85,0)+IFERROR(--ISNUMBER(SEARCH("R86",G321))*86,0)+IFERROR(--ISNUMBER(SEARCH("R87",G321))*87,0)+IFERROR(--ISNUMBER(SEARCH("R88",G321))*88,0)+IFERROR(--ISNUMBER(SEARCH("R89",G321))*89,0)+IFERROR(--ISNUMBER(SEARCH("R90",G321))*90,0)+IFERROR(--ISNUMBER(SEARCH("R91",G321))*91,0)+IFERROR(--ISNUMBER(SEARCH("R92",G321))*92,0)+IFERROR(--ISNUMBER(SEARCH("R93",G321))*93,0)+IFERROR(--ISNUMBER(SEARCH("R94",G321))*94,0)+IFERROR(--ISNUMBER(SEARCH("R95",G321))*95,0)+IFERROR(--ISNUMBER(SEARCH("R96",G321))*96,0)+IFERROR(--ISNUMBER(SEARCH("R97",G321))*97,0)+IFERROR(--ISNUMBER(SEARCH("R98",G321))*98,0)+IFERROR(--ISNUMBER(SEARCH("R99",G321))*99,0)+IFERROR(--ISNUMBER(SEARCH("R100",G321))*100,0)+IFERROR(--ISNUMBER(SEARCH("R101",G321))*101,0)+IFERROR(--ISNUMBER(SEARCH("R102",G321))*102,0)+IFERROR(--ISNUMBER(SEARCH("R103",G321))*103,0)+IFERROR(--ISNUMBER(SEARCH("R104",G321))*104,0)+IFERROR(--ISNUMBER(SEARCH("R105",G321))*105,0)+IFERROR(--ISNUMBER(SEARCH("R106",G321))*106,0)+IFERROR(--ISNUMBER(SEARCH("R107",G321))*107,0)+IFERROR(--ISNUMBER(SEARCH("R108",G321))*108,0)+IFERROR(--ISNUMBER(SEARCH("R109",G321))*109,0)+IFERROR(--ISNUMBER(SEARCH("R110",G321))*110,0)+IFERROR(--ISNUMBER(SEARCH("R111",G321))*111,0)+IFERROR(--ISNUMBER(SEARCH("R112",G321))*112,0)+IFERROR(--ISNUMBER(SEARCH("R113",G321))*113,0)+IFERROR(--ISNUMBER(SEARCH("R114",G321))*114,0)+IFERROR(--ISNUMBER(SEARCH("R115",G321))*115,0)+IFERROR(--ISNUMBER(SEARCH("R116",G321))*116,0)+IFERROR(--ISNUMBER(SEARCH("R117",G321))*117,0)+IFERROR(--ISNUMBER(SEARCH("R118",G321))*118,0)+IFERROR(--ISNUMBER(SEARCH("R119",G321))*119,0)+IFERROR(--ISNUMBER(SEARCH("R120",G321))*120,0)+IFERROR(--ISNUMBER(SEARCH("R121",G321))*121,0)+IFERROR(--ISNUMBER(SEARCH("R122",G321))*122,0)+IFERROR(--ISNUMBER(SEARCH("R123",G321))*123,0)+IFERROR(--ISNUMBER(SEARCH("R124",G321))*124,0)+IFERROR(--ISNUMBER(SEARCH("R125",G321))*125,0)+IFERROR(--ISNUMBER(SEARCH("R126",G321))*126,0)+IFERROR(--ISNUMBER(SEARCH("R127",G321))*127,0)+IFERROR(--ISNUMBER(SEARCH("R128",G321))*128,0)+IFERROR(--ISNUMBER(SEARCH("R129",G321))*129,0)+IFERROR(--ISNUMBER(SEARCH("R130",G321))*130,0)+IFERROR(--ISNUMBER(SEARCH("R131",G321))*131,0)+IFERROR(--ISNUMBER(SEARCH("R132",G321))*132,0)+IFERROR(--ISNUMBER(SEARCH("R133",G321))*133,0)+IFERROR(--ISNUMBER(SEARCH("R134",G321))*134,0)+IFERROR(--ISNUMBER(SEARCH("R135",G321))*135,0)+IFERROR(--ISNUMBER(SEARCH("R136",G321))*136,0)+IFERROR(--ISNUMBER(SEARCH("R137",G321))*137,0)+IFERROR(--ISNUMBER(SEARCH("R138",G321))*138,0)+IFERROR(--ISNUMBER(SEARCH("R139",G321))*139,0)+IFERROR(--ISNUMBER(SEARCH("R140",G321))*140,0)+IFERROR(--ISNUMBER(SEARCH("R141",G321))*141,0))</f>
        <v/>
      </c>
      <c r="V321" s="59">
        <f>IF(A321="","",IF(K321&lt;&gt;"",K321,J321))</f>
        <v/>
      </c>
      <c r="W321" s="59">
        <f>IF(A321="","",IF(AND(V321=29,O321&lt;&gt;"",COUNTIFS($V$6:$V$505,29,$F$6:$F$505,F321,$C$6:$C$505,C321,$O$6:$O$505,"&lt;&gt;")&gt;1),IF(COUNTIFS($V$6:V321,29,$F$6:F321,F321,$C$6:C321,C321,$O$6:O321,"&lt;&gt;")=1,"Esta es la fila que se debe CONSERVAR (aparición 1 de "&amp;COUNTIFS($V$6:$V$505,29,$F$6:$F$505,F321,$C$6:$C$505,C321,$O$6:$O$505,"&lt;&gt;")&amp;" con el mismo tercero y valor, casilla 29). Si hay más filas iguales, bórreles el valor a ELLAS, no a esta.","DUPLICADO — ya existe otra fila con el mismo tercero y valor para casilla 29 (aparición "&amp;COUNTIFS($V$6:V321,29,$F$6:F321,F321,$C$6:C321,C321,$O$6:O321,"&lt;&gt;")&amp;" de "&amp;COUNTIFS($V$6:$V$505,29,$F$6:$F$505,F321,$C$6:$C$505,C321,$O$6:$O$505,"&lt;&gt;")&amp;"). Para resolverlo: seleccione la celda O"&amp;ROW()&amp;" (columna Valor a declarar de ESTA fila) y presione Supr."),""))</f>
        <v/>
      </c>
      <c r="X321" s="463">
        <f>IF(A321="","",F321)</f>
        <v/>
      </c>
      <c r="Y321" s="463">
        <f>IF(A321="","",SUMIF(Entrada_Manual!$I$88:$I$187,A321,Entrada_Manual!$F$88:$F$187))</f>
        <v/>
      </c>
      <c r="Z321" s="463">
        <f>IF(A321="","",X321-Y321)</f>
        <v/>
      </c>
      <c r="AA321">
        <f>IF(A321="","",SUMPRODUCT((Entrada_Manual!$I$88:$I$187=A321)*1))</f>
        <v/>
      </c>
      <c r="AB321">
        <f>IF(A321="","",IF(S321&lt;=1,"",IF(AA321=0,"PENDIENTE — SIN ASIGNAR",IF(Z321=0,"RESUELTO","PARCIAL — DIFERENCIA "&amp;TEXT(Z321,"#,##0")))))</f>
        <v/>
      </c>
    </row>
    <row r="322" ht="14.25" customHeight="1" s="235">
      <c r="A322" s="47">
        <f>IF(Exogena_RAW!E331&lt;&gt;"",ROW()-5,"")</f>
        <v/>
      </c>
      <c r="B322" s="48">
        <f>IF(A322="","",331)</f>
        <v/>
      </c>
      <c r="C322" s="48">
        <f>IF(A322="","",IFERROR(Exogena_RAW!A331,""))</f>
        <v/>
      </c>
      <c r="D322" s="48">
        <f>IF(A322="","",IFERROR(Exogena_RAW!B331,""))</f>
        <v/>
      </c>
      <c r="E322" s="48">
        <f>IF(A322="","",Exogena_RAW!E331)</f>
        <v/>
      </c>
      <c r="F322" s="461">
        <f>IF(A322="","",Exogena_RAW!F331)</f>
        <v/>
      </c>
      <c r="G322" s="48">
        <f>IF(A322="","",IFERROR(Exogena_RAW!G331,""))</f>
        <v/>
      </c>
      <c r="H322" s="48">
        <f>IF(A322="","",IFERROR(Exogena_RAW!H331,""))</f>
        <v/>
      </c>
      <c r="I322" s="48">
        <f>IF(A322="","",IFERROR(IF(S322&gt;1,"VARIAS CASILLAS",IF(S322=1,IF(T322=1,"PROPUESTA DE CASILLA","REVISIÓN: CASILLA NO DIRECTA"),IF(OR(ISNUMBER(SEARCH("TOPE",UPPER(E322))),ISNUMBER(SEARCH("TOPE",UPPER(G322)))),"SOLO CONTROL",IF(ISNUMBER(SEARCH("RETEN",UPPER(E322))),"RETENCIÓN","REVISAR")))),"REVISAR"))</f>
        <v/>
      </c>
      <c r="J322" s="48">
        <f>IF(A322="","",IF(ISNUMBER(SEARCH("ingreso laboral promedio de los últimos seis meses",E322)),"",IFERROR(IF(AND(S322=1,T322=1),U322,""),"")))</f>
        <v/>
      </c>
      <c r="K322" s="216" t="n"/>
      <c r="L322" s="48">
        <f>IF(A322="","",IFERROR(IF(K322&lt;&gt;"","Casilla elegida por usuario",IF(S322&gt;1,"Varias casillas — elegir en K",IF(J322&lt;&gt;"","Sugerencia directa",IF(S322=1,"No trasladar directo — revisar",IF(OR(ISNUMBER(SEARCH("TOPE",UPPER(E322))),ISNUMBER(SEARCH("TOPE",UPPER(G322)))),"Solo control","Revisar manualmente"))))),"Revisar manualmente"))</f>
        <v/>
      </c>
      <c r="M322" s="461">
        <f>IF(A322="","",IF(IF(K322&lt;&gt;"",K322,J322)="",0,IF(COUNTIFS(Reglas!$I$5:$I$118,IF(K322&lt;&gt;"",K322,J322),Reglas!$J$5:$J$118,"Sí")=1,F322,0)))</f>
        <v/>
      </c>
      <c r="N322" s="56" t="n"/>
      <c r="O322" s="462">
        <f>IF(A322="","",IF(M322=0,"",M322))</f>
        <v/>
      </c>
      <c r="P322" s="461">
        <f>IF(A322="","",IF(O322="",0,IF(ISNUMBER(O322),O322,0)))</f>
        <v/>
      </c>
      <c r="Q322" s="48">
        <f>IF(A322="","",IF(Exogena_RAW!$C$4="","BLOQUEADO: FALTA AÑO",IF(Exogena_RAW!$K$10&lt;&gt;Reglas!$B$5,"BLOQUEADO: AÑO",IF(IF(K322&lt;&gt;"",K322,J322)="",IF(S322&gt;1,"REQUIERE ASIGNACIÓN MANUAL (VARIAS CASILLAS)","INFORMATIVO (sin casilla — no se declara)"),IF(COUNTIFS(Reglas!$I$5:$I$118,IF(K322&lt;&gt;"",K322,J322),Reglas!$J$5:$J$118,"Sí")=0,"BLOQUEADO: CASILLA NO DIRECTA",IF(O322="","EXCLUIDO (valor borrado por el usuario)",IF(_xlfn.ISFORMULA(O322),IF(W322&lt;&gt;"","BORRADOR — VALOR SUGERIDO DIAN ⚠ VER ALERTA","BORRADOR — VALOR SUGERIDO DIAN"),IF(W322&lt;&gt;"","ACEPTADO ⚠ VER ALERTA","ACEPTADO"))))))))</f>
        <v/>
      </c>
      <c r="R322" s="218" t="n"/>
      <c r="S322" s="58">
        <f>IF(A322="","",IFERROR(--ISNUMBER(SEARCH("R28",G322)),0)+IFERROR(--ISNUMBER(SEARCH("R29",G322)),0)+IFERROR(--ISNUMBER(SEARCH("R30",G322)),0)+IFERROR(--ISNUMBER(SEARCH("R31",G322)),0)+IFERROR(--ISNUMBER(SEARCH("R32",G322)),0)+IFERROR(--ISNUMBER(SEARCH("R33",G322)),0)+IFERROR(--ISNUMBER(SEARCH("R34",G322)),0)+IFERROR(--ISNUMBER(SEARCH("R35",G322)),0)+IFERROR(--ISNUMBER(SEARCH("R36",G322)),0)+IFERROR(--ISNUMBER(SEARCH("R37",G322)),0)+IFERROR(--ISNUMBER(SEARCH("R38",G322)),0)+IFERROR(--ISNUMBER(SEARCH("R39",G322)),0)+IFERROR(--ISNUMBER(SEARCH("R40",G322)),0)+IFERROR(--ISNUMBER(SEARCH("R41",G322)),0)+IFERROR(--ISNUMBER(SEARCH("R42",G322)),0)+IFERROR(--ISNUMBER(SEARCH("R43",G322)),0)+IFERROR(--ISNUMBER(SEARCH("R44",G322)),0)+IFERROR(--ISNUMBER(SEARCH("R45",G322)),0)+IFERROR(--ISNUMBER(SEARCH("R46",G322)),0)+IFERROR(--ISNUMBER(SEARCH("R47",G322)),0)+IFERROR(--ISNUMBER(SEARCH("R48",G322)),0)+IFERROR(--ISNUMBER(SEARCH("R49",G322)),0)+IFERROR(--ISNUMBER(SEARCH("R50",G322)),0)+IFERROR(--ISNUMBER(SEARCH("R51",G322)),0)+IFERROR(--ISNUMBER(SEARCH("R52",G322)),0)+IFERROR(--ISNUMBER(SEARCH("R53",G322)),0)+IFERROR(--ISNUMBER(SEARCH("R54",G322)),0)+IFERROR(--ISNUMBER(SEARCH("R55",G322)),0)+IFERROR(--ISNUMBER(SEARCH("R56",G322)),0)+IFERROR(--ISNUMBER(SEARCH("R57",G322)),0)+IFERROR(--ISNUMBER(SEARCH("R58",G322)),0)+IFERROR(--ISNUMBER(SEARCH("R59",G322)),0)+IFERROR(--ISNUMBER(SEARCH("R60",G322)),0)+IFERROR(--ISNUMBER(SEARCH("R61",G322)),0)+IFERROR(--ISNUMBER(SEARCH("R62",G322)),0)+IFERROR(--ISNUMBER(SEARCH("R63",G322)),0)+IFERROR(--ISNUMBER(SEARCH("R64",G322)),0)+IFERROR(--ISNUMBER(SEARCH("R65",G322)),0)+IFERROR(--ISNUMBER(SEARCH("R66",G322)),0)+IFERROR(--ISNUMBER(SEARCH("R67",G322)),0)+IFERROR(--ISNUMBER(SEARCH("R68",G322)),0)+IFERROR(--ISNUMBER(SEARCH("R69",G322)),0)+IFERROR(--ISNUMBER(SEARCH("R70",G322)),0)+IFERROR(--ISNUMBER(SEARCH("R71",G322)),0)+IFERROR(--ISNUMBER(SEARCH("R72",G322)),0)+IFERROR(--ISNUMBER(SEARCH("R73",G322)),0)+IFERROR(--ISNUMBER(SEARCH("R74",G322)),0)+IFERROR(--ISNUMBER(SEARCH("R75",G322)),0)+IFERROR(--ISNUMBER(SEARCH("R76",G322)),0)+IFERROR(--ISNUMBER(SEARCH("R77",G322)),0)+IFERROR(--ISNUMBER(SEARCH("R78",G322)),0)+IFERROR(--ISNUMBER(SEARCH("R79",G322)),0)+IFERROR(--ISNUMBER(SEARCH("R80",G322)),0)+IFERROR(--ISNUMBER(SEARCH("R81",G322)),0)+IFERROR(--ISNUMBER(SEARCH("R82",G322)),0)+IFERROR(--ISNUMBER(SEARCH("R83",G322)),0)+IFERROR(--ISNUMBER(SEARCH("R84",G322)),0)+IFERROR(--ISNUMBER(SEARCH("R85",G322)),0)+IFERROR(--ISNUMBER(SEARCH("R86",G322)),0)+IFERROR(--ISNUMBER(SEARCH("R87",G322)),0)+IFERROR(--ISNUMBER(SEARCH("R88",G322)),0)+IFERROR(--ISNUMBER(SEARCH("R89",G322)),0)+IFERROR(--ISNUMBER(SEARCH("R90",G322)),0)+IFERROR(--ISNUMBER(SEARCH("R91",G322)),0)+IFERROR(--ISNUMBER(SEARCH("R92",G322)),0)+IFERROR(--ISNUMBER(SEARCH("R93",G322)),0)+IFERROR(--ISNUMBER(SEARCH("R94",G322)),0)+IFERROR(--ISNUMBER(SEARCH("R95",G322)),0)+IFERROR(--ISNUMBER(SEARCH("R96",G322)),0)+IFERROR(--ISNUMBER(SEARCH("R97",G322)),0)+IFERROR(--ISNUMBER(SEARCH("R98",G322)),0)+IFERROR(--ISNUMBER(SEARCH("R99",G322)),0)+IFERROR(--ISNUMBER(SEARCH("R100",G322)),0)+IFERROR(--ISNUMBER(SEARCH("R101",G322)),0)+IFERROR(--ISNUMBER(SEARCH("R102",G322)),0)+IFERROR(--ISNUMBER(SEARCH("R103",G322)),0)+IFERROR(--ISNUMBER(SEARCH("R104",G322)),0)+IFERROR(--ISNUMBER(SEARCH("R105",G322)),0)+IFERROR(--ISNUMBER(SEARCH("R106",G322)),0)+IFERROR(--ISNUMBER(SEARCH("R107",G322)),0)+IFERROR(--ISNUMBER(SEARCH("R108",G322)),0)+IFERROR(--ISNUMBER(SEARCH("R109",G322)),0)+IFERROR(--ISNUMBER(SEARCH("R110",G322)),0)+IFERROR(--ISNUMBER(SEARCH("R111",G322)),0)+IFERROR(--ISNUMBER(SEARCH("R112",G322)),0)+IFERROR(--ISNUMBER(SEARCH("R113",G322)),0)+IFERROR(--ISNUMBER(SEARCH("R114",G322)),0)+IFERROR(--ISNUMBER(SEARCH("R115",G322)),0)+IFERROR(--ISNUMBER(SEARCH("R116",G322)),0)+IFERROR(--ISNUMBER(SEARCH("R117",G322)),0)+IFERROR(--ISNUMBER(SEARCH("R118",G322)),0)+IFERROR(--ISNUMBER(SEARCH("R119",G322)),0)+IFERROR(--ISNUMBER(SEARCH("R120",G322)),0)+IFERROR(--ISNUMBER(SEARCH("R121",G322)),0)+IFERROR(--ISNUMBER(SEARCH("R122",G322)),0)+IFERROR(--ISNUMBER(SEARCH("R123",G322)),0)+IFERROR(--ISNUMBER(SEARCH("R124",G322)),0)+IFERROR(--ISNUMBER(SEARCH("R125",G322)),0)+IFERROR(--ISNUMBER(SEARCH("R126",G322)),0)+IFERROR(--ISNUMBER(SEARCH("R127",G322)),0)+IFERROR(--ISNUMBER(SEARCH("R128",G322)),0)+IFERROR(--ISNUMBER(SEARCH("R129",G322)),0)+IFERROR(--ISNUMBER(SEARCH("R130",G322)),0)+IFERROR(--ISNUMBER(SEARCH("R131",G322)),0)+IFERROR(--ISNUMBER(SEARCH("R132",G322)),0)+IFERROR(--ISNUMBER(SEARCH("R133",G322)),0)+IFERROR(--ISNUMBER(SEARCH("R134",G322)),0)+IFERROR(--ISNUMBER(SEARCH("R135",G322)),0)+IFERROR(--ISNUMBER(SEARCH("R136",G322)),0)+IFERROR(--ISNUMBER(SEARCH("R137",G322)),0)+IFERROR(--ISNUMBER(SEARCH("R138",G322)),0)+IFERROR(--ISNUMBER(SEARCH("R139",G322)),0)+IFERROR(--ISNUMBER(SEARCH("R140",G322)),0)+IFERROR(--ISNUMBER(SEARCH("R141",G322)),0))</f>
        <v/>
      </c>
      <c r="T322" s="58">
        <f>IF(A322="","",IFERROR(--ISNUMBER(SEARCH("R28",G322)),0)+IFERROR(--ISNUMBER(SEARCH("R29",G322)),0)+IFERROR(--ISNUMBER(SEARCH("R30",G322)),0)+IFERROR(--ISNUMBER(SEARCH("R32",G322)),0)+IFERROR(--ISNUMBER(SEARCH("R33",G322)),0)+IFERROR(--ISNUMBER(SEARCH("R35",G322)),0)+IFERROR(--ISNUMBER(SEARCH("R36",G322)),0)+IFERROR(--ISNUMBER(SEARCH("R38",G322)),0)+IFERROR(--ISNUMBER(SEARCH("R39",G322)),0)+IFERROR(--ISNUMBER(SEARCH("R43",G322)),0)+IFERROR(--ISNUMBER(SEARCH("R44",G322)),0)+IFERROR(--ISNUMBER(SEARCH("R45",G322)),0)+IFERROR(--ISNUMBER(SEARCH("R47",G322)),0)+IFERROR(--ISNUMBER(SEARCH("R48",G322)),0)+IFERROR(--ISNUMBER(SEARCH("R50",G322)),0)+IFERROR(--ISNUMBER(SEARCH("R51",G322)),0)+IFERROR(--ISNUMBER(SEARCH("R56",G322)),0)+IFERROR(--ISNUMBER(SEARCH("R58",G322)),0)+IFERROR(--ISNUMBER(SEARCH("R59",G322)),0)+IFERROR(--ISNUMBER(SEARCH("R60",G322)),0)+IFERROR(--ISNUMBER(SEARCH("R62",G322)),0)+IFERROR(--ISNUMBER(SEARCH("R63",G322)),0)+IFERROR(--ISNUMBER(SEARCH("R64",G322)),0)+IFERROR(--ISNUMBER(SEARCH("R66",G322)),0)+IFERROR(--ISNUMBER(SEARCH("R67",G322)),0)+IFERROR(--ISNUMBER(SEARCH("R72",G322)),0)+IFERROR(--ISNUMBER(SEARCH("R74",G322)),0)+IFERROR(--ISNUMBER(SEARCH("R75",G322)),0)+IFERROR(--ISNUMBER(SEARCH("R76",G322)),0)+IFERROR(--ISNUMBER(SEARCH("R77",G322)),0)+IFERROR(--ISNUMBER(SEARCH("R79",G322)),0)+IFERROR(--ISNUMBER(SEARCH("R80",G322)),0)+IFERROR(--ISNUMBER(SEARCH("R81",G322)),0)+IFERROR(--ISNUMBER(SEARCH("R83",G322)),0)+IFERROR(--ISNUMBER(SEARCH("R84",G322)),0)+IFERROR(--ISNUMBER(SEARCH("R89",G322)),0)+IFERROR(--ISNUMBER(SEARCH("R94",G322)),0)+IFERROR(--ISNUMBER(SEARCH("R95",G322)),0)+IFERROR(--ISNUMBER(SEARCH("R96",G322)),0)+IFERROR(--ISNUMBER(SEARCH("R98",G322)),0)+IFERROR(--ISNUMBER(SEARCH("R99",G322)),0)+IFERROR(--ISNUMBER(SEARCH("R100",G322)),0)+IFERROR(--ISNUMBER(SEARCH("R104",G322)),0)+IFERROR(--ISNUMBER(SEARCH("R105",G322)),0)+IFERROR(--ISNUMBER(SEARCH("R107",G322)),0)+IFERROR(--ISNUMBER(SEARCH("R108",G322)),0)+IFERROR(--ISNUMBER(SEARCH("R109",G322)),0)+IFERROR(--ISNUMBER(SEARCH("R110",G322)),0)+IFERROR(--ISNUMBER(SEARCH("R112",G322)),0)+IFERROR(--ISNUMBER(SEARCH("R113",G322)),0)+IFERROR(--ISNUMBER(SEARCH("R114",G322)),0)+IFERROR(--ISNUMBER(SEARCH("R118",G322)),0)+IFERROR(--ISNUMBER(SEARCH("R119",G322)),0)+IFERROR(--ISNUMBER(SEARCH("R120",G322)),0)+IFERROR(--ISNUMBER(SEARCH("R122",G322)),0)+IFERROR(--ISNUMBER(SEARCH("R123",G322)),0)+IFERROR(--ISNUMBER(SEARCH("R124",G322)),0)+IFERROR(--ISNUMBER(SEARCH("R128",G322)),0)+IFERROR(--ISNUMBER(SEARCH("R130",G322)),0)+IFERROR(--ISNUMBER(SEARCH("R131",G322)),0)+IFERROR(--ISNUMBER(SEARCH("R132",G322)),0)+IFERROR(--ISNUMBER(SEARCH("R135",G322)),0)+IFERROR(--ISNUMBER(SEARCH("R138",G322)),0)+IFERROR(--ISNUMBER(SEARCH("R141",G322)),0))</f>
        <v/>
      </c>
      <c r="U322" s="58">
        <f>IF(A322="","",IFERROR(--ISNUMBER(SEARCH("R28",G322))*28,0)+IFERROR(--ISNUMBER(SEARCH("R29",G322))*29,0)+IFERROR(--ISNUMBER(SEARCH("R30",G322))*30,0)+IFERROR(--ISNUMBER(SEARCH("R31",G322))*31,0)+IFERROR(--ISNUMBER(SEARCH("R32",G322))*32,0)+IFERROR(--ISNUMBER(SEARCH("R33",G322))*33,0)+IFERROR(--ISNUMBER(SEARCH("R34",G322))*34,0)+IFERROR(--ISNUMBER(SEARCH("R35",G322))*35,0)+IFERROR(--ISNUMBER(SEARCH("R36",G322))*36,0)+IFERROR(--ISNUMBER(SEARCH("R37",G322))*37,0)+IFERROR(--ISNUMBER(SEARCH("R38",G322))*38,0)+IFERROR(--ISNUMBER(SEARCH("R39",G322))*39,0)+IFERROR(--ISNUMBER(SEARCH("R40",G322))*40,0)+IFERROR(--ISNUMBER(SEARCH("R41",G322))*41,0)+IFERROR(--ISNUMBER(SEARCH("R42",G322))*42,0)+IFERROR(--ISNUMBER(SEARCH("R43",G322))*43,0)+IFERROR(--ISNUMBER(SEARCH("R44",G322))*44,0)+IFERROR(--ISNUMBER(SEARCH("R45",G322))*45,0)+IFERROR(--ISNUMBER(SEARCH("R46",G322))*46,0)+IFERROR(--ISNUMBER(SEARCH("R47",G322))*47,0)+IFERROR(--ISNUMBER(SEARCH("R48",G322))*48,0)+IFERROR(--ISNUMBER(SEARCH("R49",G322))*49,0)+IFERROR(--ISNUMBER(SEARCH("R50",G322))*50,0)+IFERROR(--ISNUMBER(SEARCH("R51",G322))*51,0)+IFERROR(--ISNUMBER(SEARCH("R52",G322))*52,0)+IFERROR(--ISNUMBER(SEARCH("R53",G322))*53,0)+IFERROR(--ISNUMBER(SEARCH("R54",G322))*54,0)+IFERROR(--ISNUMBER(SEARCH("R55",G322))*55,0)+IFERROR(--ISNUMBER(SEARCH("R56",G322))*56,0)+IFERROR(--ISNUMBER(SEARCH("R57",G322))*57,0)+IFERROR(--ISNUMBER(SEARCH("R58",G322))*58,0)+IFERROR(--ISNUMBER(SEARCH("R59",G322))*59,0)+IFERROR(--ISNUMBER(SEARCH("R60",G322))*60,0)+IFERROR(--ISNUMBER(SEARCH("R61",G322))*61,0)+IFERROR(--ISNUMBER(SEARCH("R62",G322))*62,0)+IFERROR(--ISNUMBER(SEARCH("R63",G322))*63,0)+IFERROR(--ISNUMBER(SEARCH("R64",G322))*64,0)+IFERROR(--ISNUMBER(SEARCH("R65",G322))*65,0)+IFERROR(--ISNUMBER(SEARCH("R66",G322))*66,0)+IFERROR(--ISNUMBER(SEARCH("R67",G322))*67,0)+IFERROR(--ISNUMBER(SEARCH("R68",G322))*68,0)+IFERROR(--ISNUMBER(SEARCH("R69",G322))*69,0)+IFERROR(--ISNUMBER(SEARCH("R70",G322))*70,0)+IFERROR(--ISNUMBER(SEARCH("R71",G322))*71,0)+IFERROR(--ISNUMBER(SEARCH("R72",G322))*72,0)+IFERROR(--ISNUMBER(SEARCH("R73",G322))*73,0)+IFERROR(--ISNUMBER(SEARCH("R74",G322))*74,0)+IFERROR(--ISNUMBER(SEARCH("R75",G322))*75,0)+IFERROR(--ISNUMBER(SEARCH("R76",G322))*76,0)+IFERROR(--ISNUMBER(SEARCH("R77",G322))*77,0)+IFERROR(--ISNUMBER(SEARCH("R78",G322))*78,0)+IFERROR(--ISNUMBER(SEARCH("R79",G322))*79,0)+IFERROR(--ISNUMBER(SEARCH("R80",G322))*80,0)+IFERROR(--ISNUMBER(SEARCH("R81",G322))*81,0)+IFERROR(--ISNUMBER(SEARCH("R82",G322))*82,0)+IFERROR(--ISNUMBER(SEARCH("R83",G322))*83,0)+IFERROR(--ISNUMBER(SEARCH("R84",G322))*84,0)+IFERROR(--ISNUMBER(SEARCH("R85",G322))*85,0)+IFERROR(--ISNUMBER(SEARCH("R86",G322))*86,0)+IFERROR(--ISNUMBER(SEARCH("R87",G322))*87,0)+IFERROR(--ISNUMBER(SEARCH("R88",G322))*88,0)+IFERROR(--ISNUMBER(SEARCH("R89",G322))*89,0)+IFERROR(--ISNUMBER(SEARCH("R90",G322))*90,0)+IFERROR(--ISNUMBER(SEARCH("R91",G322))*91,0)+IFERROR(--ISNUMBER(SEARCH("R92",G322))*92,0)+IFERROR(--ISNUMBER(SEARCH("R93",G322))*93,0)+IFERROR(--ISNUMBER(SEARCH("R94",G322))*94,0)+IFERROR(--ISNUMBER(SEARCH("R95",G322))*95,0)+IFERROR(--ISNUMBER(SEARCH("R96",G322))*96,0)+IFERROR(--ISNUMBER(SEARCH("R97",G322))*97,0)+IFERROR(--ISNUMBER(SEARCH("R98",G322))*98,0)+IFERROR(--ISNUMBER(SEARCH("R99",G322))*99,0)+IFERROR(--ISNUMBER(SEARCH("R100",G322))*100,0)+IFERROR(--ISNUMBER(SEARCH("R101",G322))*101,0)+IFERROR(--ISNUMBER(SEARCH("R102",G322))*102,0)+IFERROR(--ISNUMBER(SEARCH("R103",G322))*103,0)+IFERROR(--ISNUMBER(SEARCH("R104",G322))*104,0)+IFERROR(--ISNUMBER(SEARCH("R105",G322))*105,0)+IFERROR(--ISNUMBER(SEARCH("R106",G322))*106,0)+IFERROR(--ISNUMBER(SEARCH("R107",G322))*107,0)+IFERROR(--ISNUMBER(SEARCH("R108",G322))*108,0)+IFERROR(--ISNUMBER(SEARCH("R109",G322))*109,0)+IFERROR(--ISNUMBER(SEARCH("R110",G322))*110,0)+IFERROR(--ISNUMBER(SEARCH("R111",G322))*111,0)+IFERROR(--ISNUMBER(SEARCH("R112",G322))*112,0)+IFERROR(--ISNUMBER(SEARCH("R113",G322))*113,0)+IFERROR(--ISNUMBER(SEARCH("R114",G322))*114,0)+IFERROR(--ISNUMBER(SEARCH("R115",G322))*115,0)+IFERROR(--ISNUMBER(SEARCH("R116",G322))*116,0)+IFERROR(--ISNUMBER(SEARCH("R117",G322))*117,0)+IFERROR(--ISNUMBER(SEARCH("R118",G322))*118,0)+IFERROR(--ISNUMBER(SEARCH("R119",G322))*119,0)+IFERROR(--ISNUMBER(SEARCH("R120",G322))*120,0)+IFERROR(--ISNUMBER(SEARCH("R121",G322))*121,0)+IFERROR(--ISNUMBER(SEARCH("R122",G322))*122,0)+IFERROR(--ISNUMBER(SEARCH("R123",G322))*123,0)+IFERROR(--ISNUMBER(SEARCH("R124",G322))*124,0)+IFERROR(--ISNUMBER(SEARCH("R125",G322))*125,0)+IFERROR(--ISNUMBER(SEARCH("R126",G322))*126,0)+IFERROR(--ISNUMBER(SEARCH("R127",G322))*127,0)+IFERROR(--ISNUMBER(SEARCH("R128",G322))*128,0)+IFERROR(--ISNUMBER(SEARCH("R129",G322))*129,0)+IFERROR(--ISNUMBER(SEARCH("R130",G322))*130,0)+IFERROR(--ISNUMBER(SEARCH("R131",G322))*131,0)+IFERROR(--ISNUMBER(SEARCH("R132",G322))*132,0)+IFERROR(--ISNUMBER(SEARCH("R133",G322))*133,0)+IFERROR(--ISNUMBER(SEARCH("R134",G322))*134,0)+IFERROR(--ISNUMBER(SEARCH("R135",G322))*135,0)+IFERROR(--ISNUMBER(SEARCH("R136",G322))*136,0)+IFERROR(--ISNUMBER(SEARCH("R137",G322))*137,0)+IFERROR(--ISNUMBER(SEARCH("R138",G322))*138,0)+IFERROR(--ISNUMBER(SEARCH("R139",G322))*139,0)+IFERROR(--ISNUMBER(SEARCH("R140",G322))*140,0)+IFERROR(--ISNUMBER(SEARCH("R141",G322))*141,0))</f>
        <v/>
      </c>
      <c r="V322" s="59">
        <f>IF(A322="","",IF(K322&lt;&gt;"",K322,J322))</f>
        <v/>
      </c>
      <c r="W322" s="59">
        <f>IF(A322="","",IF(AND(V322=29,O322&lt;&gt;"",COUNTIFS($V$6:$V$505,29,$F$6:$F$505,F322,$C$6:$C$505,C322,$O$6:$O$505,"&lt;&gt;")&gt;1),IF(COUNTIFS($V$6:V322,29,$F$6:F322,F322,$C$6:C322,C322,$O$6:O322,"&lt;&gt;")=1,"Esta es la fila que se debe CONSERVAR (aparición 1 de "&amp;COUNTIFS($V$6:$V$505,29,$F$6:$F$505,F322,$C$6:$C$505,C322,$O$6:$O$505,"&lt;&gt;")&amp;" con el mismo tercero y valor, casilla 29). Si hay más filas iguales, bórreles el valor a ELLAS, no a esta.","DUPLICADO — ya existe otra fila con el mismo tercero y valor para casilla 29 (aparición "&amp;COUNTIFS($V$6:V322,29,$F$6:F322,F322,$C$6:C322,C322,$O$6:O322,"&lt;&gt;")&amp;" de "&amp;COUNTIFS($V$6:$V$505,29,$F$6:$F$505,F322,$C$6:$C$505,C322,$O$6:$O$505,"&lt;&gt;")&amp;"). Para resolverlo: seleccione la celda O"&amp;ROW()&amp;" (columna Valor a declarar de ESTA fila) y presione Supr."),""))</f>
        <v/>
      </c>
      <c r="X322" s="463">
        <f>IF(A322="","",F322)</f>
        <v/>
      </c>
      <c r="Y322" s="463">
        <f>IF(A322="","",SUMIF(Entrada_Manual!$I$88:$I$187,A322,Entrada_Manual!$F$88:$F$187))</f>
        <v/>
      </c>
      <c r="Z322" s="463">
        <f>IF(A322="","",X322-Y322)</f>
        <v/>
      </c>
      <c r="AA322">
        <f>IF(A322="","",SUMPRODUCT((Entrada_Manual!$I$88:$I$187=A322)*1))</f>
        <v/>
      </c>
      <c r="AB322">
        <f>IF(A322="","",IF(S322&lt;=1,"",IF(AA322=0,"PENDIENTE — SIN ASIGNAR",IF(Z322=0,"RESUELTO","PARCIAL — DIFERENCIA "&amp;TEXT(Z322,"#,##0")))))</f>
        <v/>
      </c>
    </row>
    <row r="323" ht="14.25" customHeight="1" s="235">
      <c r="A323" s="47">
        <f>IF(Exogena_RAW!E332&lt;&gt;"",ROW()-5,"")</f>
        <v/>
      </c>
      <c r="B323" s="48">
        <f>IF(A323="","",332)</f>
        <v/>
      </c>
      <c r="C323" s="48">
        <f>IF(A323="","",IFERROR(Exogena_RAW!A332,""))</f>
        <v/>
      </c>
      <c r="D323" s="48">
        <f>IF(A323="","",IFERROR(Exogena_RAW!B332,""))</f>
        <v/>
      </c>
      <c r="E323" s="48">
        <f>IF(A323="","",Exogena_RAW!E332)</f>
        <v/>
      </c>
      <c r="F323" s="461">
        <f>IF(A323="","",Exogena_RAW!F332)</f>
        <v/>
      </c>
      <c r="G323" s="48">
        <f>IF(A323="","",IFERROR(Exogena_RAW!G332,""))</f>
        <v/>
      </c>
      <c r="H323" s="48">
        <f>IF(A323="","",IFERROR(Exogena_RAW!H332,""))</f>
        <v/>
      </c>
      <c r="I323" s="48">
        <f>IF(A323="","",IFERROR(IF(S323&gt;1,"VARIAS CASILLAS",IF(S323=1,IF(T323=1,"PROPUESTA DE CASILLA","REVISIÓN: CASILLA NO DIRECTA"),IF(OR(ISNUMBER(SEARCH("TOPE",UPPER(E323))),ISNUMBER(SEARCH("TOPE",UPPER(G323)))),"SOLO CONTROL",IF(ISNUMBER(SEARCH("RETEN",UPPER(E323))),"RETENCIÓN","REVISAR")))),"REVISAR"))</f>
        <v/>
      </c>
      <c r="J323" s="48">
        <f>IF(A323="","",IF(ISNUMBER(SEARCH("ingreso laboral promedio de los últimos seis meses",E323)),"",IFERROR(IF(AND(S323=1,T323=1),U323,""),"")))</f>
        <v/>
      </c>
      <c r="K323" s="216" t="n"/>
      <c r="L323" s="48">
        <f>IF(A323="","",IFERROR(IF(K323&lt;&gt;"","Casilla elegida por usuario",IF(S323&gt;1,"Varias casillas — elegir en K",IF(J323&lt;&gt;"","Sugerencia directa",IF(S323=1,"No trasladar directo — revisar",IF(OR(ISNUMBER(SEARCH("TOPE",UPPER(E323))),ISNUMBER(SEARCH("TOPE",UPPER(G323)))),"Solo control","Revisar manualmente"))))),"Revisar manualmente"))</f>
        <v/>
      </c>
      <c r="M323" s="461">
        <f>IF(A323="","",IF(IF(K323&lt;&gt;"",K323,J323)="",0,IF(COUNTIFS(Reglas!$I$5:$I$118,IF(K323&lt;&gt;"",K323,J323),Reglas!$J$5:$J$118,"Sí")=1,F323,0)))</f>
        <v/>
      </c>
      <c r="N323" s="56" t="n"/>
      <c r="O323" s="462">
        <f>IF(A323="","",IF(M323=0,"",M323))</f>
        <v/>
      </c>
      <c r="P323" s="461">
        <f>IF(A323="","",IF(O323="",0,IF(ISNUMBER(O323),O323,0)))</f>
        <v/>
      </c>
      <c r="Q323" s="48">
        <f>IF(A323="","",IF(Exogena_RAW!$C$4="","BLOQUEADO: FALTA AÑO",IF(Exogena_RAW!$K$10&lt;&gt;Reglas!$B$5,"BLOQUEADO: AÑO",IF(IF(K323&lt;&gt;"",K323,J323)="",IF(S323&gt;1,"REQUIERE ASIGNACIÓN MANUAL (VARIAS CASILLAS)","INFORMATIVO (sin casilla — no se declara)"),IF(COUNTIFS(Reglas!$I$5:$I$118,IF(K323&lt;&gt;"",K323,J323),Reglas!$J$5:$J$118,"Sí")=0,"BLOQUEADO: CASILLA NO DIRECTA",IF(O323="","EXCLUIDO (valor borrado por el usuario)",IF(_xlfn.ISFORMULA(O323),IF(W323&lt;&gt;"","BORRADOR — VALOR SUGERIDO DIAN ⚠ VER ALERTA","BORRADOR — VALOR SUGERIDO DIAN"),IF(W323&lt;&gt;"","ACEPTADO ⚠ VER ALERTA","ACEPTADO"))))))))</f>
        <v/>
      </c>
      <c r="R323" s="218" t="n"/>
      <c r="S323" s="58">
        <f>IF(A323="","",IFERROR(--ISNUMBER(SEARCH("R28",G323)),0)+IFERROR(--ISNUMBER(SEARCH("R29",G323)),0)+IFERROR(--ISNUMBER(SEARCH("R30",G323)),0)+IFERROR(--ISNUMBER(SEARCH("R31",G323)),0)+IFERROR(--ISNUMBER(SEARCH("R32",G323)),0)+IFERROR(--ISNUMBER(SEARCH("R33",G323)),0)+IFERROR(--ISNUMBER(SEARCH("R34",G323)),0)+IFERROR(--ISNUMBER(SEARCH("R35",G323)),0)+IFERROR(--ISNUMBER(SEARCH("R36",G323)),0)+IFERROR(--ISNUMBER(SEARCH("R37",G323)),0)+IFERROR(--ISNUMBER(SEARCH("R38",G323)),0)+IFERROR(--ISNUMBER(SEARCH("R39",G323)),0)+IFERROR(--ISNUMBER(SEARCH("R40",G323)),0)+IFERROR(--ISNUMBER(SEARCH("R41",G323)),0)+IFERROR(--ISNUMBER(SEARCH("R42",G323)),0)+IFERROR(--ISNUMBER(SEARCH("R43",G323)),0)+IFERROR(--ISNUMBER(SEARCH("R44",G323)),0)+IFERROR(--ISNUMBER(SEARCH("R45",G323)),0)+IFERROR(--ISNUMBER(SEARCH("R46",G323)),0)+IFERROR(--ISNUMBER(SEARCH("R47",G323)),0)+IFERROR(--ISNUMBER(SEARCH("R48",G323)),0)+IFERROR(--ISNUMBER(SEARCH("R49",G323)),0)+IFERROR(--ISNUMBER(SEARCH("R50",G323)),0)+IFERROR(--ISNUMBER(SEARCH("R51",G323)),0)+IFERROR(--ISNUMBER(SEARCH("R52",G323)),0)+IFERROR(--ISNUMBER(SEARCH("R53",G323)),0)+IFERROR(--ISNUMBER(SEARCH("R54",G323)),0)+IFERROR(--ISNUMBER(SEARCH("R55",G323)),0)+IFERROR(--ISNUMBER(SEARCH("R56",G323)),0)+IFERROR(--ISNUMBER(SEARCH("R57",G323)),0)+IFERROR(--ISNUMBER(SEARCH("R58",G323)),0)+IFERROR(--ISNUMBER(SEARCH("R59",G323)),0)+IFERROR(--ISNUMBER(SEARCH("R60",G323)),0)+IFERROR(--ISNUMBER(SEARCH("R61",G323)),0)+IFERROR(--ISNUMBER(SEARCH("R62",G323)),0)+IFERROR(--ISNUMBER(SEARCH("R63",G323)),0)+IFERROR(--ISNUMBER(SEARCH("R64",G323)),0)+IFERROR(--ISNUMBER(SEARCH("R65",G323)),0)+IFERROR(--ISNUMBER(SEARCH("R66",G323)),0)+IFERROR(--ISNUMBER(SEARCH("R67",G323)),0)+IFERROR(--ISNUMBER(SEARCH("R68",G323)),0)+IFERROR(--ISNUMBER(SEARCH("R69",G323)),0)+IFERROR(--ISNUMBER(SEARCH("R70",G323)),0)+IFERROR(--ISNUMBER(SEARCH("R71",G323)),0)+IFERROR(--ISNUMBER(SEARCH("R72",G323)),0)+IFERROR(--ISNUMBER(SEARCH("R73",G323)),0)+IFERROR(--ISNUMBER(SEARCH("R74",G323)),0)+IFERROR(--ISNUMBER(SEARCH("R75",G323)),0)+IFERROR(--ISNUMBER(SEARCH("R76",G323)),0)+IFERROR(--ISNUMBER(SEARCH("R77",G323)),0)+IFERROR(--ISNUMBER(SEARCH("R78",G323)),0)+IFERROR(--ISNUMBER(SEARCH("R79",G323)),0)+IFERROR(--ISNUMBER(SEARCH("R80",G323)),0)+IFERROR(--ISNUMBER(SEARCH("R81",G323)),0)+IFERROR(--ISNUMBER(SEARCH("R82",G323)),0)+IFERROR(--ISNUMBER(SEARCH("R83",G323)),0)+IFERROR(--ISNUMBER(SEARCH("R84",G323)),0)+IFERROR(--ISNUMBER(SEARCH("R85",G323)),0)+IFERROR(--ISNUMBER(SEARCH("R86",G323)),0)+IFERROR(--ISNUMBER(SEARCH("R87",G323)),0)+IFERROR(--ISNUMBER(SEARCH("R88",G323)),0)+IFERROR(--ISNUMBER(SEARCH("R89",G323)),0)+IFERROR(--ISNUMBER(SEARCH("R90",G323)),0)+IFERROR(--ISNUMBER(SEARCH("R91",G323)),0)+IFERROR(--ISNUMBER(SEARCH("R92",G323)),0)+IFERROR(--ISNUMBER(SEARCH("R93",G323)),0)+IFERROR(--ISNUMBER(SEARCH("R94",G323)),0)+IFERROR(--ISNUMBER(SEARCH("R95",G323)),0)+IFERROR(--ISNUMBER(SEARCH("R96",G323)),0)+IFERROR(--ISNUMBER(SEARCH("R97",G323)),0)+IFERROR(--ISNUMBER(SEARCH("R98",G323)),0)+IFERROR(--ISNUMBER(SEARCH("R99",G323)),0)+IFERROR(--ISNUMBER(SEARCH("R100",G323)),0)+IFERROR(--ISNUMBER(SEARCH("R101",G323)),0)+IFERROR(--ISNUMBER(SEARCH("R102",G323)),0)+IFERROR(--ISNUMBER(SEARCH("R103",G323)),0)+IFERROR(--ISNUMBER(SEARCH("R104",G323)),0)+IFERROR(--ISNUMBER(SEARCH("R105",G323)),0)+IFERROR(--ISNUMBER(SEARCH("R106",G323)),0)+IFERROR(--ISNUMBER(SEARCH("R107",G323)),0)+IFERROR(--ISNUMBER(SEARCH("R108",G323)),0)+IFERROR(--ISNUMBER(SEARCH("R109",G323)),0)+IFERROR(--ISNUMBER(SEARCH("R110",G323)),0)+IFERROR(--ISNUMBER(SEARCH("R111",G323)),0)+IFERROR(--ISNUMBER(SEARCH("R112",G323)),0)+IFERROR(--ISNUMBER(SEARCH("R113",G323)),0)+IFERROR(--ISNUMBER(SEARCH("R114",G323)),0)+IFERROR(--ISNUMBER(SEARCH("R115",G323)),0)+IFERROR(--ISNUMBER(SEARCH("R116",G323)),0)+IFERROR(--ISNUMBER(SEARCH("R117",G323)),0)+IFERROR(--ISNUMBER(SEARCH("R118",G323)),0)+IFERROR(--ISNUMBER(SEARCH("R119",G323)),0)+IFERROR(--ISNUMBER(SEARCH("R120",G323)),0)+IFERROR(--ISNUMBER(SEARCH("R121",G323)),0)+IFERROR(--ISNUMBER(SEARCH("R122",G323)),0)+IFERROR(--ISNUMBER(SEARCH("R123",G323)),0)+IFERROR(--ISNUMBER(SEARCH("R124",G323)),0)+IFERROR(--ISNUMBER(SEARCH("R125",G323)),0)+IFERROR(--ISNUMBER(SEARCH("R126",G323)),0)+IFERROR(--ISNUMBER(SEARCH("R127",G323)),0)+IFERROR(--ISNUMBER(SEARCH("R128",G323)),0)+IFERROR(--ISNUMBER(SEARCH("R129",G323)),0)+IFERROR(--ISNUMBER(SEARCH("R130",G323)),0)+IFERROR(--ISNUMBER(SEARCH("R131",G323)),0)+IFERROR(--ISNUMBER(SEARCH("R132",G323)),0)+IFERROR(--ISNUMBER(SEARCH("R133",G323)),0)+IFERROR(--ISNUMBER(SEARCH("R134",G323)),0)+IFERROR(--ISNUMBER(SEARCH("R135",G323)),0)+IFERROR(--ISNUMBER(SEARCH("R136",G323)),0)+IFERROR(--ISNUMBER(SEARCH("R137",G323)),0)+IFERROR(--ISNUMBER(SEARCH("R138",G323)),0)+IFERROR(--ISNUMBER(SEARCH("R139",G323)),0)+IFERROR(--ISNUMBER(SEARCH("R140",G323)),0)+IFERROR(--ISNUMBER(SEARCH("R141",G323)),0))</f>
        <v/>
      </c>
      <c r="T323" s="58">
        <f>IF(A323="","",IFERROR(--ISNUMBER(SEARCH("R28",G323)),0)+IFERROR(--ISNUMBER(SEARCH("R29",G323)),0)+IFERROR(--ISNUMBER(SEARCH("R30",G323)),0)+IFERROR(--ISNUMBER(SEARCH("R32",G323)),0)+IFERROR(--ISNUMBER(SEARCH("R33",G323)),0)+IFERROR(--ISNUMBER(SEARCH("R35",G323)),0)+IFERROR(--ISNUMBER(SEARCH("R36",G323)),0)+IFERROR(--ISNUMBER(SEARCH("R38",G323)),0)+IFERROR(--ISNUMBER(SEARCH("R39",G323)),0)+IFERROR(--ISNUMBER(SEARCH("R43",G323)),0)+IFERROR(--ISNUMBER(SEARCH("R44",G323)),0)+IFERROR(--ISNUMBER(SEARCH("R45",G323)),0)+IFERROR(--ISNUMBER(SEARCH("R47",G323)),0)+IFERROR(--ISNUMBER(SEARCH("R48",G323)),0)+IFERROR(--ISNUMBER(SEARCH("R50",G323)),0)+IFERROR(--ISNUMBER(SEARCH("R51",G323)),0)+IFERROR(--ISNUMBER(SEARCH("R56",G323)),0)+IFERROR(--ISNUMBER(SEARCH("R58",G323)),0)+IFERROR(--ISNUMBER(SEARCH("R59",G323)),0)+IFERROR(--ISNUMBER(SEARCH("R60",G323)),0)+IFERROR(--ISNUMBER(SEARCH("R62",G323)),0)+IFERROR(--ISNUMBER(SEARCH("R63",G323)),0)+IFERROR(--ISNUMBER(SEARCH("R64",G323)),0)+IFERROR(--ISNUMBER(SEARCH("R66",G323)),0)+IFERROR(--ISNUMBER(SEARCH("R67",G323)),0)+IFERROR(--ISNUMBER(SEARCH("R72",G323)),0)+IFERROR(--ISNUMBER(SEARCH("R74",G323)),0)+IFERROR(--ISNUMBER(SEARCH("R75",G323)),0)+IFERROR(--ISNUMBER(SEARCH("R76",G323)),0)+IFERROR(--ISNUMBER(SEARCH("R77",G323)),0)+IFERROR(--ISNUMBER(SEARCH("R79",G323)),0)+IFERROR(--ISNUMBER(SEARCH("R80",G323)),0)+IFERROR(--ISNUMBER(SEARCH("R81",G323)),0)+IFERROR(--ISNUMBER(SEARCH("R83",G323)),0)+IFERROR(--ISNUMBER(SEARCH("R84",G323)),0)+IFERROR(--ISNUMBER(SEARCH("R89",G323)),0)+IFERROR(--ISNUMBER(SEARCH("R94",G323)),0)+IFERROR(--ISNUMBER(SEARCH("R95",G323)),0)+IFERROR(--ISNUMBER(SEARCH("R96",G323)),0)+IFERROR(--ISNUMBER(SEARCH("R98",G323)),0)+IFERROR(--ISNUMBER(SEARCH("R99",G323)),0)+IFERROR(--ISNUMBER(SEARCH("R100",G323)),0)+IFERROR(--ISNUMBER(SEARCH("R104",G323)),0)+IFERROR(--ISNUMBER(SEARCH("R105",G323)),0)+IFERROR(--ISNUMBER(SEARCH("R107",G323)),0)+IFERROR(--ISNUMBER(SEARCH("R108",G323)),0)+IFERROR(--ISNUMBER(SEARCH("R109",G323)),0)+IFERROR(--ISNUMBER(SEARCH("R110",G323)),0)+IFERROR(--ISNUMBER(SEARCH("R112",G323)),0)+IFERROR(--ISNUMBER(SEARCH("R113",G323)),0)+IFERROR(--ISNUMBER(SEARCH("R114",G323)),0)+IFERROR(--ISNUMBER(SEARCH("R118",G323)),0)+IFERROR(--ISNUMBER(SEARCH("R119",G323)),0)+IFERROR(--ISNUMBER(SEARCH("R120",G323)),0)+IFERROR(--ISNUMBER(SEARCH("R122",G323)),0)+IFERROR(--ISNUMBER(SEARCH("R123",G323)),0)+IFERROR(--ISNUMBER(SEARCH("R124",G323)),0)+IFERROR(--ISNUMBER(SEARCH("R128",G323)),0)+IFERROR(--ISNUMBER(SEARCH("R130",G323)),0)+IFERROR(--ISNUMBER(SEARCH("R131",G323)),0)+IFERROR(--ISNUMBER(SEARCH("R132",G323)),0)+IFERROR(--ISNUMBER(SEARCH("R135",G323)),0)+IFERROR(--ISNUMBER(SEARCH("R138",G323)),0)+IFERROR(--ISNUMBER(SEARCH("R141",G323)),0))</f>
        <v/>
      </c>
      <c r="U323" s="58">
        <f>IF(A323="","",IFERROR(--ISNUMBER(SEARCH("R28",G323))*28,0)+IFERROR(--ISNUMBER(SEARCH("R29",G323))*29,0)+IFERROR(--ISNUMBER(SEARCH("R30",G323))*30,0)+IFERROR(--ISNUMBER(SEARCH("R31",G323))*31,0)+IFERROR(--ISNUMBER(SEARCH("R32",G323))*32,0)+IFERROR(--ISNUMBER(SEARCH("R33",G323))*33,0)+IFERROR(--ISNUMBER(SEARCH("R34",G323))*34,0)+IFERROR(--ISNUMBER(SEARCH("R35",G323))*35,0)+IFERROR(--ISNUMBER(SEARCH("R36",G323))*36,0)+IFERROR(--ISNUMBER(SEARCH("R37",G323))*37,0)+IFERROR(--ISNUMBER(SEARCH("R38",G323))*38,0)+IFERROR(--ISNUMBER(SEARCH("R39",G323))*39,0)+IFERROR(--ISNUMBER(SEARCH("R40",G323))*40,0)+IFERROR(--ISNUMBER(SEARCH("R41",G323))*41,0)+IFERROR(--ISNUMBER(SEARCH("R42",G323))*42,0)+IFERROR(--ISNUMBER(SEARCH("R43",G323))*43,0)+IFERROR(--ISNUMBER(SEARCH("R44",G323))*44,0)+IFERROR(--ISNUMBER(SEARCH("R45",G323))*45,0)+IFERROR(--ISNUMBER(SEARCH("R46",G323))*46,0)+IFERROR(--ISNUMBER(SEARCH("R47",G323))*47,0)+IFERROR(--ISNUMBER(SEARCH("R48",G323))*48,0)+IFERROR(--ISNUMBER(SEARCH("R49",G323))*49,0)+IFERROR(--ISNUMBER(SEARCH("R50",G323))*50,0)+IFERROR(--ISNUMBER(SEARCH("R51",G323))*51,0)+IFERROR(--ISNUMBER(SEARCH("R52",G323))*52,0)+IFERROR(--ISNUMBER(SEARCH("R53",G323))*53,0)+IFERROR(--ISNUMBER(SEARCH("R54",G323))*54,0)+IFERROR(--ISNUMBER(SEARCH("R55",G323))*55,0)+IFERROR(--ISNUMBER(SEARCH("R56",G323))*56,0)+IFERROR(--ISNUMBER(SEARCH("R57",G323))*57,0)+IFERROR(--ISNUMBER(SEARCH("R58",G323))*58,0)+IFERROR(--ISNUMBER(SEARCH("R59",G323))*59,0)+IFERROR(--ISNUMBER(SEARCH("R60",G323))*60,0)+IFERROR(--ISNUMBER(SEARCH("R61",G323))*61,0)+IFERROR(--ISNUMBER(SEARCH("R62",G323))*62,0)+IFERROR(--ISNUMBER(SEARCH("R63",G323))*63,0)+IFERROR(--ISNUMBER(SEARCH("R64",G323))*64,0)+IFERROR(--ISNUMBER(SEARCH("R65",G323))*65,0)+IFERROR(--ISNUMBER(SEARCH("R66",G323))*66,0)+IFERROR(--ISNUMBER(SEARCH("R67",G323))*67,0)+IFERROR(--ISNUMBER(SEARCH("R68",G323))*68,0)+IFERROR(--ISNUMBER(SEARCH("R69",G323))*69,0)+IFERROR(--ISNUMBER(SEARCH("R70",G323))*70,0)+IFERROR(--ISNUMBER(SEARCH("R71",G323))*71,0)+IFERROR(--ISNUMBER(SEARCH("R72",G323))*72,0)+IFERROR(--ISNUMBER(SEARCH("R73",G323))*73,0)+IFERROR(--ISNUMBER(SEARCH("R74",G323))*74,0)+IFERROR(--ISNUMBER(SEARCH("R75",G323))*75,0)+IFERROR(--ISNUMBER(SEARCH("R76",G323))*76,0)+IFERROR(--ISNUMBER(SEARCH("R77",G323))*77,0)+IFERROR(--ISNUMBER(SEARCH("R78",G323))*78,0)+IFERROR(--ISNUMBER(SEARCH("R79",G323))*79,0)+IFERROR(--ISNUMBER(SEARCH("R80",G323))*80,0)+IFERROR(--ISNUMBER(SEARCH("R81",G323))*81,0)+IFERROR(--ISNUMBER(SEARCH("R82",G323))*82,0)+IFERROR(--ISNUMBER(SEARCH("R83",G323))*83,0)+IFERROR(--ISNUMBER(SEARCH("R84",G323))*84,0)+IFERROR(--ISNUMBER(SEARCH("R85",G323))*85,0)+IFERROR(--ISNUMBER(SEARCH("R86",G323))*86,0)+IFERROR(--ISNUMBER(SEARCH("R87",G323))*87,0)+IFERROR(--ISNUMBER(SEARCH("R88",G323))*88,0)+IFERROR(--ISNUMBER(SEARCH("R89",G323))*89,0)+IFERROR(--ISNUMBER(SEARCH("R90",G323))*90,0)+IFERROR(--ISNUMBER(SEARCH("R91",G323))*91,0)+IFERROR(--ISNUMBER(SEARCH("R92",G323))*92,0)+IFERROR(--ISNUMBER(SEARCH("R93",G323))*93,0)+IFERROR(--ISNUMBER(SEARCH("R94",G323))*94,0)+IFERROR(--ISNUMBER(SEARCH("R95",G323))*95,0)+IFERROR(--ISNUMBER(SEARCH("R96",G323))*96,0)+IFERROR(--ISNUMBER(SEARCH("R97",G323))*97,0)+IFERROR(--ISNUMBER(SEARCH("R98",G323))*98,0)+IFERROR(--ISNUMBER(SEARCH("R99",G323))*99,0)+IFERROR(--ISNUMBER(SEARCH("R100",G323))*100,0)+IFERROR(--ISNUMBER(SEARCH("R101",G323))*101,0)+IFERROR(--ISNUMBER(SEARCH("R102",G323))*102,0)+IFERROR(--ISNUMBER(SEARCH("R103",G323))*103,0)+IFERROR(--ISNUMBER(SEARCH("R104",G323))*104,0)+IFERROR(--ISNUMBER(SEARCH("R105",G323))*105,0)+IFERROR(--ISNUMBER(SEARCH("R106",G323))*106,0)+IFERROR(--ISNUMBER(SEARCH("R107",G323))*107,0)+IFERROR(--ISNUMBER(SEARCH("R108",G323))*108,0)+IFERROR(--ISNUMBER(SEARCH("R109",G323))*109,0)+IFERROR(--ISNUMBER(SEARCH("R110",G323))*110,0)+IFERROR(--ISNUMBER(SEARCH("R111",G323))*111,0)+IFERROR(--ISNUMBER(SEARCH("R112",G323))*112,0)+IFERROR(--ISNUMBER(SEARCH("R113",G323))*113,0)+IFERROR(--ISNUMBER(SEARCH("R114",G323))*114,0)+IFERROR(--ISNUMBER(SEARCH("R115",G323))*115,0)+IFERROR(--ISNUMBER(SEARCH("R116",G323))*116,0)+IFERROR(--ISNUMBER(SEARCH("R117",G323))*117,0)+IFERROR(--ISNUMBER(SEARCH("R118",G323))*118,0)+IFERROR(--ISNUMBER(SEARCH("R119",G323))*119,0)+IFERROR(--ISNUMBER(SEARCH("R120",G323))*120,0)+IFERROR(--ISNUMBER(SEARCH("R121",G323))*121,0)+IFERROR(--ISNUMBER(SEARCH("R122",G323))*122,0)+IFERROR(--ISNUMBER(SEARCH("R123",G323))*123,0)+IFERROR(--ISNUMBER(SEARCH("R124",G323))*124,0)+IFERROR(--ISNUMBER(SEARCH("R125",G323))*125,0)+IFERROR(--ISNUMBER(SEARCH("R126",G323))*126,0)+IFERROR(--ISNUMBER(SEARCH("R127",G323))*127,0)+IFERROR(--ISNUMBER(SEARCH("R128",G323))*128,0)+IFERROR(--ISNUMBER(SEARCH("R129",G323))*129,0)+IFERROR(--ISNUMBER(SEARCH("R130",G323))*130,0)+IFERROR(--ISNUMBER(SEARCH("R131",G323))*131,0)+IFERROR(--ISNUMBER(SEARCH("R132",G323))*132,0)+IFERROR(--ISNUMBER(SEARCH("R133",G323))*133,0)+IFERROR(--ISNUMBER(SEARCH("R134",G323))*134,0)+IFERROR(--ISNUMBER(SEARCH("R135",G323))*135,0)+IFERROR(--ISNUMBER(SEARCH("R136",G323))*136,0)+IFERROR(--ISNUMBER(SEARCH("R137",G323))*137,0)+IFERROR(--ISNUMBER(SEARCH("R138",G323))*138,0)+IFERROR(--ISNUMBER(SEARCH("R139",G323))*139,0)+IFERROR(--ISNUMBER(SEARCH("R140",G323))*140,0)+IFERROR(--ISNUMBER(SEARCH("R141",G323))*141,0))</f>
        <v/>
      </c>
      <c r="V323" s="59">
        <f>IF(A323="","",IF(K323&lt;&gt;"",K323,J323))</f>
        <v/>
      </c>
      <c r="W323" s="59">
        <f>IF(A323="","",IF(AND(V323=29,O323&lt;&gt;"",COUNTIFS($V$6:$V$505,29,$F$6:$F$505,F323,$C$6:$C$505,C323,$O$6:$O$505,"&lt;&gt;")&gt;1),IF(COUNTIFS($V$6:V323,29,$F$6:F323,F323,$C$6:C323,C323,$O$6:O323,"&lt;&gt;")=1,"Esta es la fila que se debe CONSERVAR (aparición 1 de "&amp;COUNTIFS($V$6:$V$505,29,$F$6:$F$505,F323,$C$6:$C$505,C323,$O$6:$O$505,"&lt;&gt;")&amp;" con el mismo tercero y valor, casilla 29). Si hay más filas iguales, bórreles el valor a ELLAS, no a esta.","DUPLICADO — ya existe otra fila con el mismo tercero y valor para casilla 29 (aparición "&amp;COUNTIFS($V$6:V323,29,$F$6:F323,F323,$C$6:C323,C323,$O$6:O323,"&lt;&gt;")&amp;" de "&amp;COUNTIFS($V$6:$V$505,29,$F$6:$F$505,F323,$C$6:$C$505,C323,$O$6:$O$505,"&lt;&gt;")&amp;"). Para resolverlo: seleccione la celda O"&amp;ROW()&amp;" (columna Valor a declarar de ESTA fila) y presione Supr."),""))</f>
        <v/>
      </c>
      <c r="X323" s="463">
        <f>IF(A323="","",F323)</f>
        <v/>
      </c>
      <c r="Y323" s="463">
        <f>IF(A323="","",SUMIF(Entrada_Manual!$I$88:$I$187,A323,Entrada_Manual!$F$88:$F$187))</f>
        <v/>
      </c>
      <c r="Z323" s="463">
        <f>IF(A323="","",X323-Y323)</f>
        <v/>
      </c>
      <c r="AA323">
        <f>IF(A323="","",SUMPRODUCT((Entrada_Manual!$I$88:$I$187=A323)*1))</f>
        <v/>
      </c>
      <c r="AB323">
        <f>IF(A323="","",IF(S323&lt;=1,"",IF(AA323=0,"PENDIENTE — SIN ASIGNAR",IF(Z323=0,"RESUELTO","PARCIAL — DIFERENCIA "&amp;TEXT(Z323,"#,##0")))))</f>
        <v/>
      </c>
    </row>
    <row r="324" ht="14.25" customHeight="1" s="235">
      <c r="A324" s="47">
        <f>IF(Exogena_RAW!E333&lt;&gt;"",ROW()-5,"")</f>
        <v/>
      </c>
      <c r="B324" s="48">
        <f>IF(A324="","",333)</f>
        <v/>
      </c>
      <c r="C324" s="48">
        <f>IF(A324="","",IFERROR(Exogena_RAW!A333,""))</f>
        <v/>
      </c>
      <c r="D324" s="48">
        <f>IF(A324="","",IFERROR(Exogena_RAW!B333,""))</f>
        <v/>
      </c>
      <c r="E324" s="48">
        <f>IF(A324="","",Exogena_RAW!E333)</f>
        <v/>
      </c>
      <c r="F324" s="461">
        <f>IF(A324="","",Exogena_RAW!F333)</f>
        <v/>
      </c>
      <c r="G324" s="48">
        <f>IF(A324="","",IFERROR(Exogena_RAW!G333,""))</f>
        <v/>
      </c>
      <c r="H324" s="48">
        <f>IF(A324="","",IFERROR(Exogena_RAW!H333,""))</f>
        <v/>
      </c>
      <c r="I324" s="48">
        <f>IF(A324="","",IFERROR(IF(S324&gt;1,"VARIAS CASILLAS",IF(S324=1,IF(T324=1,"PROPUESTA DE CASILLA","REVISIÓN: CASILLA NO DIRECTA"),IF(OR(ISNUMBER(SEARCH("TOPE",UPPER(E324))),ISNUMBER(SEARCH("TOPE",UPPER(G324)))),"SOLO CONTROL",IF(ISNUMBER(SEARCH("RETEN",UPPER(E324))),"RETENCIÓN","REVISAR")))),"REVISAR"))</f>
        <v/>
      </c>
      <c r="J324" s="48">
        <f>IF(A324="","",IF(ISNUMBER(SEARCH("ingreso laboral promedio de los últimos seis meses",E324)),"",IFERROR(IF(AND(S324=1,T324=1),U324,""),"")))</f>
        <v/>
      </c>
      <c r="K324" s="216" t="n"/>
      <c r="L324" s="48">
        <f>IF(A324="","",IFERROR(IF(K324&lt;&gt;"","Casilla elegida por usuario",IF(S324&gt;1,"Varias casillas — elegir en K",IF(J324&lt;&gt;"","Sugerencia directa",IF(S324=1,"No trasladar directo — revisar",IF(OR(ISNUMBER(SEARCH("TOPE",UPPER(E324))),ISNUMBER(SEARCH("TOPE",UPPER(G324)))),"Solo control","Revisar manualmente"))))),"Revisar manualmente"))</f>
        <v/>
      </c>
      <c r="M324" s="461">
        <f>IF(A324="","",IF(IF(K324&lt;&gt;"",K324,J324)="",0,IF(COUNTIFS(Reglas!$I$5:$I$118,IF(K324&lt;&gt;"",K324,J324),Reglas!$J$5:$J$118,"Sí")=1,F324,0)))</f>
        <v/>
      </c>
      <c r="N324" s="56" t="n"/>
      <c r="O324" s="462">
        <f>IF(A324="","",IF(M324=0,"",M324))</f>
        <v/>
      </c>
      <c r="P324" s="461">
        <f>IF(A324="","",IF(O324="",0,IF(ISNUMBER(O324),O324,0)))</f>
        <v/>
      </c>
      <c r="Q324" s="48">
        <f>IF(A324="","",IF(Exogena_RAW!$C$4="","BLOQUEADO: FALTA AÑO",IF(Exogena_RAW!$K$10&lt;&gt;Reglas!$B$5,"BLOQUEADO: AÑO",IF(IF(K324&lt;&gt;"",K324,J324)="",IF(S324&gt;1,"REQUIERE ASIGNACIÓN MANUAL (VARIAS CASILLAS)","INFORMATIVO (sin casilla — no se declara)"),IF(COUNTIFS(Reglas!$I$5:$I$118,IF(K324&lt;&gt;"",K324,J324),Reglas!$J$5:$J$118,"Sí")=0,"BLOQUEADO: CASILLA NO DIRECTA",IF(O324="","EXCLUIDO (valor borrado por el usuario)",IF(_xlfn.ISFORMULA(O324),IF(W324&lt;&gt;"","BORRADOR — VALOR SUGERIDO DIAN ⚠ VER ALERTA","BORRADOR — VALOR SUGERIDO DIAN"),IF(W324&lt;&gt;"","ACEPTADO ⚠ VER ALERTA","ACEPTADO"))))))))</f>
        <v/>
      </c>
      <c r="R324" s="218" t="n"/>
      <c r="S324" s="58">
        <f>IF(A324="","",IFERROR(--ISNUMBER(SEARCH("R28",G324)),0)+IFERROR(--ISNUMBER(SEARCH("R29",G324)),0)+IFERROR(--ISNUMBER(SEARCH("R30",G324)),0)+IFERROR(--ISNUMBER(SEARCH("R31",G324)),0)+IFERROR(--ISNUMBER(SEARCH("R32",G324)),0)+IFERROR(--ISNUMBER(SEARCH("R33",G324)),0)+IFERROR(--ISNUMBER(SEARCH("R34",G324)),0)+IFERROR(--ISNUMBER(SEARCH("R35",G324)),0)+IFERROR(--ISNUMBER(SEARCH("R36",G324)),0)+IFERROR(--ISNUMBER(SEARCH("R37",G324)),0)+IFERROR(--ISNUMBER(SEARCH("R38",G324)),0)+IFERROR(--ISNUMBER(SEARCH("R39",G324)),0)+IFERROR(--ISNUMBER(SEARCH("R40",G324)),0)+IFERROR(--ISNUMBER(SEARCH("R41",G324)),0)+IFERROR(--ISNUMBER(SEARCH("R42",G324)),0)+IFERROR(--ISNUMBER(SEARCH("R43",G324)),0)+IFERROR(--ISNUMBER(SEARCH("R44",G324)),0)+IFERROR(--ISNUMBER(SEARCH("R45",G324)),0)+IFERROR(--ISNUMBER(SEARCH("R46",G324)),0)+IFERROR(--ISNUMBER(SEARCH("R47",G324)),0)+IFERROR(--ISNUMBER(SEARCH("R48",G324)),0)+IFERROR(--ISNUMBER(SEARCH("R49",G324)),0)+IFERROR(--ISNUMBER(SEARCH("R50",G324)),0)+IFERROR(--ISNUMBER(SEARCH("R51",G324)),0)+IFERROR(--ISNUMBER(SEARCH("R52",G324)),0)+IFERROR(--ISNUMBER(SEARCH("R53",G324)),0)+IFERROR(--ISNUMBER(SEARCH("R54",G324)),0)+IFERROR(--ISNUMBER(SEARCH("R55",G324)),0)+IFERROR(--ISNUMBER(SEARCH("R56",G324)),0)+IFERROR(--ISNUMBER(SEARCH("R57",G324)),0)+IFERROR(--ISNUMBER(SEARCH("R58",G324)),0)+IFERROR(--ISNUMBER(SEARCH("R59",G324)),0)+IFERROR(--ISNUMBER(SEARCH("R60",G324)),0)+IFERROR(--ISNUMBER(SEARCH("R61",G324)),0)+IFERROR(--ISNUMBER(SEARCH("R62",G324)),0)+IFERROR(--ISNUMBER(SEARCH("R63",G324)),0)+IFERROR(--ISNUMBER(SEARCH("R64",G324)),0)+IFERROR(--ISNUMBER(SEARCH("R65",G324)),0)+IFERROR(--ISNUMBER(SEARCH("R66",G324)),0)+IFERROR(--ISNUMBER(SEARCH("R67",G324)),0)+IFERROR(--ISNUMBER(SEARCH("R68",G324)),0)+IFERROR(--ISNUMBER(SEARCH("R69",G324)),0)+IFERROR(--ISNUMBER(SEARCH("R70",G324)),0)+IFERROR(--ISNUMBER(SEARCH("R71",G324)),0)+IFERROR(--ISNUMBER(SEARCH("R72",G324)),0)+IFERROR(--ISNUMBER(SEARCH("R73",G324)),0)+IFERROR(--ISNUMBER(SEARCH("R74",G324)),0)+IFERROR(--ISNUMBER(SEARCH("R75",G324)),0)+IFERROR(--ISNUMBER(SEARCH("R76",G324)),0)+IFERROR(--ISNUMBER(SEARCH("R77",G324)),0)+IFERROR(--ISNUMBER(SEARCH("R78",G324)),0)+IFERROR(--ISNUMBER(SEARCH("R79",G324)),0)+IFERROR(--ISNUMBER(SEARCH("R80",G324)),0)+IFERROR(--ISNUMBER(SEARCH("R81",G324)),0)+IFERROR(--ISNUMBER(SEARCH("R82",G324)),0)+IFERROR(--ISNUMBER(SEARCH("R83",G324)),0)+IFERROR(--ISNUMBER(SEARCH("R84",G324)),0)+IFERROR(--ISNUMBER(SEARCH("R85",G324)),0)+IFERROR(--ISNUMBER(SEARCH("R86",G324)),0)+IFERROR(--ISNUMBER(SEARCH("R87",G324)),0)+IFERROR(--ISNUMBER(SEARCH("R88",G324)),0)+IFERROR(--ISNUMBER(SEARCH("R89",G324)),0)+IFERROR(--ISNUMBER(SEARCH("R90",G324)),0)+IFERROR(--ISNUMBER(SEARCH("R91",G324)),0)+IFERROR(--ISNUMBER(SEARCH("R92",G324)),0)+IFERROR(--ISNUMBER(SEARCH("R93",G324)),0)+IFERROR(--ISNUMBER(SEARCH("R94",G324)),0)+IFERROR(--ISNUMBER(SEARCH("R95",G324)),0)+IFERROR(--ISNUMBER(SEARCH("R96",G324)),0)+IFERROR(--ISNUMBER(SEARCH("R97",G324)),0)+IFERROR(--ISNUMBER(SEARCH("R98",G324)),0)+IFERROR(--ISNUMBER(SEARCH("R99",G324)),0)+IFERROR(--ISNUMBER(SEARCH("R100",G324)),0)+IFERROR(--ISNUMBER(SEARCH("R101",G324)),0)+IFERROR(--ISNUMBER(SEARCH("R102",G324)),0)+IFERROR(--ISNUMBER(SEARCH("R103",G324)),0)+IFERROR(--ISNUMBER(SEARCH("R104",G324)),0)+IFERROR(--ISNUMBER(SEARCH("R105",G324)),0)+IFERROR(--ISNUMBER(SEARCH("R106",G324)),0)+IFERROR(--ISNUMBER(SEARCH("R107",G324)),0)+IFERROR(--ISNUMBER(SEARCH("R108",G324)),0)+IFERROR(--ISNUMBER(SEARCH("R109",G324)),0)+IFERROR(--ISNUMBER(SEARCH("R110",G324)),0)+IFERROR(--ISNUMBER(SEARCH("R111",G324)),0)+IFERROR(--ISNUMBER(SEARCH("R112",G324)),0)+IFERROR(--ISNUMBER(SEARCH("R113",G324)),0)+IFERROR(--ISNUMBER(SEARCH("R114",G324)),0)+IFERROR(--ISNUMBER(SEARCH("R115",G324)),0)+IFERROR(--ISNUMBER(SEARCH("R116",G324)),0)+IFERROR(--ISNUMBER(SEARCH("R117",G324)),0)+IFERROR(--ISNUMBER(SEARCH("R118",G324)),0)+IFERROR(--ISNUMBER(SEARCH("R119",G324)),0)+IFERROR(--ISNUMBER(SEARCH("R120",G324)),0)+IFERROR(--ISNUMBER(SEARCH("R121",G324)),0)+IFERROR(--ISNUMBER(SEARCH("R122",G324)),0)+IFERROR(--ISNUMBER(SEARCH("R123",G324)),0)+IFERROR(--ISNUMBER(SEARCH("R124",G324)),0)+IFERROR(--ISNUMBER(SEARCH("R125",G324)),0)+IFERROR(--ISNUMBER(SEARCH("R126",G324)),0)+IFERROR(--ISNUMBER(SEARCH("R127",G324)),0)+IFERROR(--ISNUMBER(SEARCH("R128",G324)),0)+IFERROR(--ISNUMBER(SEARCH("R129",G324)),0)+IFERROR(--ISNUMBER(SEARCH("R130",G324)),0)+IFERROR(--ISNUMBER(SEARCH("R131",G324)),0)+IFERROR(--ISNUMBER(SEARCH("R132",G324)),0)+IFERROR(--ISNUMBER(SEARCH("R133",G324)),0)+IFERROR(--ISNUMBER(SEARCH("R134",G324)),0)+IFERROR(--ISNUMBER(SEARCH("R135",G324)),0)+IFERROR(--ISNUMBER(SEARCH("R136",G324)),0)+IFERROR(--ISNUMBER(SEARCH("R137",G324)),0)+IFERROR(--ISNUMBER(SEARCH("R138",G324)),0)+IFERROR(--ISNUMBER(SEARCH("R139",G324)),0)+IFERROR(--ISNUMBER(SEARCH("R140",G324)),0)+IFERROR(--ISNUMBER(SEARCH("R141",G324)),0))</f>
        <v/>
      </c>
      <c r="T324" s="58">
        <f>IF(A324="","",IFERROR(--ISNUMBER(SEARCH("R28",G324)),0)+IFERROR(--ISNUMBER(SEARCH("R29",G324)),0)+IFERROR(--ISNUMBER(SEARCH("R30",G324)),0)+IFERROR(--ISNUMBER(SEARCH("R32",G324)),0)+IFERROR(--ISNUMBER(SEARCH("R33",G324)),0)+IFERROR(--ISNUMBER(SEARCH("R35",G324)),0)+IFERROR(--ISNUMBER(SEARCH("R36",G324)),0)+IFERROR(--ISNUMBER(SEARCH("R38",G324)),0)+IFERROR(--ISNUMBER(SEARCH("R39",G324)),0)+IFERROR(--ISNUMBER(SEARCH("R43",G324)),0)+IFERROR(--ISNUMBER(SEARCH("R44",G324)),0)+IFERROR(--ISNUMBER(SEARCH("R45",G324)),0)+IFERROR(--ISNUMBER(SEARCH("R47",G324)),0)+IFERROR(--ISNUMBER(SEARCH("R48",G324)),0)+IFERROR(--ISNUMBER(SEARCH("R50",G324)),0)+IFERROR(--ISNUMBER(SEARCH("R51",G324)),0)+IFERROR(--ISNUMBER(SEARCH("R56",G324)),0)+IFERROR(--ISNUMBER(SEARCH("R58",G324)),0)+IFERROR(--ISNUMBER(SEARCH("R59",G324)),0)+IFERROR(--ISNUMBER(SEARCH("R60",G324)),0)+IFERROR(--ISNUMBER(SEARCH("R62",G324)),0)+IFERROR(--ISNUMBER(SEARCH("R63",G324)),0)+IFERROR(--ISNUMBER(SEARCH("R64",G324)),0)+IFERROR(--ISNUMBER(SEARCH("R66",G324)),0)+IFERROR(--ISNUMBER(SEARCH("R67",G324)),0)+IFERROR(--ISNUMBER(SEARCH("R72",G324)),0)+IFERROR(--ISNUMBER(SEARCH("R74",G324)),0)+IFERROR(--ISNUMBER(SEARCH("R75",G324)),0)+IFERROR(--ISNUMBER(SEARCH("R76",G324)),0)+IFERROR(--ISNUMBER(SEARCH("R77",G324)),0)+IFERROR(--ISNUMBER(SEARCH("R79",G324)),0)+IFERROR(--ISNUMBER(SEARCH("R80",G324)),0)+IFERROR(--ISNUMBER(SEARCH("R81",G324)),0)+IFERROR(--ISNUMBER(SEARCH("R83",G324)),0)+IFERROR(--ISNUMBER(SEARCH("R84",G324)),0)+IFERROR(--ISNUMBER(SEARCH("R89",G324)),0)+IFERROR(--ISNUMBER(SEARCH("R94",G324)),0)+IFERROR(--ISNUMBER(SEARCH("R95",G324)),0)+IFERROR(--ISNUMBER(SEARCH("R96",G324)),0)+IFERROR(--ISNUMBER(SEARCH("R98",G324)),0)+IFERROR(--ISNUMBER(SEARCH("R99",G324)),0)+IFERROR(--ISNUMBER(SEARCH("R100",G324)),0)+IFERROR(--ISNUMBER(SEARCH("R104",G324)),0)+IFERROR(--ISNUMBER(SEARCH("R105",G324)),0)+IFERROR(--ISNUMBER(SEARCH("R107",G324)),0)+IFERROR(--ISNUMBER(SEARCH("R108",G324)),0)+IFERROR(--ISNUMBER(SEARCH("R109",G324)),0)+IFERROR(--ISNUMBER(SEARCH("R110",G324)),0)+IFERROR(--ISNUMBER(SEARCH("R112",G324)),0)+IFERROR(--ISNUMBER(SEARCH("R113",G324)),0)+IFERROR(--ISNUMBER(SEARCH("R114",G324)),0)+IFERROR(--ISNUMBER(SEARCH("R118",G324)),0)+IFERROR(--ISNUMBER(SEARCH("R119",G324)),0)+IFERROR(--ISNUMBER(SEARCH("R120",G324)),0)+IFERROR(--ISNUMBER(SEARCH("R122",G324)),0)+IFERROR(--ISNUMBER(SEARCH("R123",G324)),0)+IFERROR(--ISNUMBER(SEARCH("R124",G324)),0)+IFERROR(--ISNUMBER(SEARCH("R128",G324)),0)+IFERROR(--ISNUMBER(SEARCH("R130",G324)),0)+IFERROR(--ISNUMBER(SEARCH("R131",G324)),0)+IFERROR(--ISNUMBER(SEARCH("R132",G324)),0)+IFERROR(--ISNUMBER(SEARCH("R135",G324)),0)+IFERROR(--ISNUMBER(SEARCH("R138",G324)),0)+IFERROR(--ISNUMBER(SEARCH("R141",G324)),0))</f>
        <v/>
      </c>
      <c r="U324" s="58">
        <f>IF(A324="","",IFERROR(--ISNUMBER(SEARCH("R28",G324))*28,0)+IFERROR(--ISNUMBER(SEARCH("R29",G324))*29,0)+IFERROR(--ISNUMBER(SEARCH("R30",G324))*30,0)+IFERROR(--ISNUMBER(SEARCH("R31",G324))*31,0)+IFERROR(--ISNUMBER(SEARCH("R32",G324))*32,0)+IFERROR(--ISNUMBER(SEARCH("R33",G324))*33,0)+IFERROR(--ISNUMBER(SEARCH("R34",G324))*34,0)+IFERROR(--ISNUMBER(SEARCH("R35",G324))*35,0)+IFERROR(--ISNUMBER(SEARCH("R36",G324))*36,0)+IFERROR(--ISNUMBER(SEARCH("R37",G324))*37,0)+IFERROR(--ISNUMBER(SEARCH("R38",G324))*38,0)+IFERROR(--ISNUMBER(SEARCH("R39",G324))*39,0)+IFERROR(--ISNUMBER(SEARCH("R40",G324))*40,0)+IFERROR(--ISNUMBER(SEARCH("R41",G324))*41,0)+IFERROR(--ISNUMBER(SEARCH("R42",G324))*42,0)+IFERROR(--ISNUMBER(SEARCH("R43",G324))*43,0)+IFERROR(--ISNUMBER(SEARCH("R44",G324))*44,0)+IFERROR(--ISNUMBER(SEARCH("R45",G324))*45,0)+IFERROR(--ISNUMBER(SEARCH("R46",G324))*46,0)+IFERROR(--ISNUMBER(SEARCH("R47",G324))*47,0)+IFERROR(--ISNUMBER(SEARCH("R48",G324))*48,0)+IFERROR(--ISNUMBER(SEARCH("R49",G324))*49,0)+IFERROR(--ISNUMBER(SEARCH("R50",G324))*50,0)+IFERROR(--ISNUMBER(SEARCH("R51",G324))*51,0)+IFERROR(--ISNUMBER(SEARCH("R52",G324))*52,0)+IFERROR(--ISNUMBER(SEARCH("R53",G324))*53,0)+IFERROR(--ISNUMBER(SEARCH("R54",G324))*54,0)+IFERROR(--ISNUMBER(SEARCH("R55",G324))*55,0)+IFERROR(--ISNUMBER(SEARCH("R56",G324))*56,0)+IFERROR(--ISNUMBER(SEARCH("R57",G324))*57,0)+IFERROR(--ISNUMBER(SEARCH("R58",G324))*58,0)+IFERROR(--ISNUMBER(SEARCH("R59",G324))*59,0)+IFERROR(--ISNUMBER(SEARCH("R60",G324))*60,0)+IFERROR(--ISNUMBER(SEARCH("R61",G324))*61,0)+IFERROR(--ISNUMBER(SEARCH("R62",G324))*62,0)+IFERROR(--ISNUMBER(SEARCH("R63",G324))*63,0)+IFERROR(--ISNUMBER(SEARCH("R64",G324))*64,0)+IFERROR(--ISNUMBER(SEARCH("R65",G324))*65,0)+IFERROR(--ISNUMBER(SEARCH("R66",G324))*66,0)+IFERROR(--ISNUMBER(SEARCH("R67",G324))*67,0)+IFERROR(--ISNUMBER(SEARCH("R68",G324))*68,0)+IFERROR(--ISNUMBER(SEARCH("R69",G324))*69,0)+IFERROR(--ISNUMBER(SEARCH("R70",G324))*70,0)+IFERROR(--ISNUMBER(SEARCH("R71",G324))*71,0)+IFERROR(--ISNUMBER(SEARCH("R72",G324))*72,0)+IFERROR(--ISNUMBER(SEARCH("R73",G324))*73,0)+IFERROR(--ISNUMBER(SEARCH("R74",G324))*74,0)+IFERROR(--ISNUMBER(SEARCH("R75",G324))*75,0)+IFERROR(--ISNUMBER(SEARCH("R76",G324))*76,0)+IFERROR(--ISNUMBER(SEARCH("R77",G324))*77,0)+IFERROR(--ISNUMBER(SEARCH("R78",G324))*78,0)+IFERROR(--ISNUMBER(SEARCH("R79",G324))*79,0)+IFERROR(--ISNUMBER(SEARCH("R80",G324))*80,0)+IFERROR(--ISNUMBER(SEARCH("R81",G324))*81,0)+IFERROR(--ISNUMBER(SEARCH("R82",G324))*82,0)+IFERROR(--ISNUMBER(SEARCH("R83",G324))*83,0)+IFERROR(--ISNUMBER(SEARCH("R84",G324))*84,0)+IFERROR(--ISNUMBER(SEARCH("R85",G324))*85,0)+IFERROR(--ISNUMBER(SEARCH("R86",G324))*86,0)+IFERROR(--ISNUMBER(SEARCH("R87",G324))*87,0)+IFERROR(--ISNUMBER(SEARCH("R88",G324))*88,0)+IFERROR(--ISNUMBER(SEARCH("R89",G324))*89,0)+IFERROR(--ISNUMBER(SEARCH("R90",G324))*90,0)+IFERROR(--ISNUMBER(SEARCH("R91",G324))*91,0)+IFERROR(--ISNUMBER(SEARCH("R92",G324))*92,0)+IFERROR(--ISNUMBER(SEARCH("R93",G324))*93,0)+IFERROR(--ISNUMBER(SEARCH("R94",G324))*94,0)+IFERROR(--ISNUMBER(SEARCH("R95",G324))*95,0)+IFERROR(--ISNUMBER(SEARCH("R96",G324))*96,0)+IFERROR(--ISNUMBER(SEARCH("R97",G324))*97,0)+IFERROR(--ISNUMBER(SEARCH("R98",G324))*98,0)+IFERROR(--ISNUMBER(SEARCH("R99",G324))*99,0)+IFERROR(--ISNUMBER(SEARCH("R100",G324))*100,0)+IFERROR(--ISNUMBER(SEARCH("R101",G324))*101,0)+IFERROR(--ISNUMBER(SEARCH("R102",G324))*102,0)+IFERROR(--ISNUMBER(SEARCH("R103",G324))*103,0)+IFERROR(--ISNUMBER(SEARCH("R104",G324))*104,0)+IFERROR(--ISNUMBER(SEARCH("R105",G324))*105,0)+IFERROR(--ISNUMBER(SEARCH("R106",G324))*106,0)+IFERROR(--ISNUMBER(SEARCH("R107",G324))*107,0)+IFERROR(--ISNUMBER(SEARCH("R108",G324))*108,0)+IFERROR(--ISNUMBER(SEARCH("R109",G324))*109,0)+IFERROR(--ISNUMBER(SEARCH("R110",G324))*110,0)+IFERROR(--ISNUMBER(SEARCH("R111",G324))*111,0)+IFERROR(--ISNUMBER(SEARCH("R112",G324))*112,0)+IFERROR(--ISNUMBER(SEARCH("R113",G324))*113,0)+IFERROR(--ISNUMBER(SEARCH("R114",G324))*114,0)+IFERROR(--ISNUMBER(SEARCH("R115",G324))*115,0)+IFERROR(--ISNUMBER(SEARCH("R116",G324))*116,0)+IFERROR(--ISNUMBER(SEARCH("R117",G324))*117,0)+IFERROR(--ISNUMBER(SEARCH("R118",G324))*118,0)+IFERROR(--ISNUMBER(SEARCH("R119",G324))*119,0)+IFERROR(--ISNUMBER(SEARCH("R120",G324))*120,0)+IFERROR(--ISNUMBER(SEARCH("R121",G324))*121,0)+IFERROR(--ISNUMBER(SEARCH("R122",G324))*122,0)+IFERROR(--ISNUMBER(SEARCH("R123",G324))*123,0)+IFERROR(--ISNUMBER(SEARCH("R124",G324))*124,0)+IFERROR(--ISNUMBER(SEARCH("R125",G324))*125,0)+IFERROR(--ISNUMBER(SEARCH("R126",G324))*126,0)+IFERROR(--ISNUMBER(SEARCH("R127",G324))*127,0)+IFERROR(--ISNUMBER(SEARCH("R128",G324))*128,0)+IFERROR(--ISNUMBER(SEARCH("R129",G324))*129,0)+IFERROR(--ISNUMBER(SEARCH("R130",G324))*130,0)+IFERROR(--ISNUMBER(SEARCH("R131",G324))*131,0)+IFERROR(--ISNUMBER(SEARCH("R132",G324))*132,0)+IFERROR(--ISNUMBER(SEARCH("R133",G324))*133,0)+IFERROR(--ISNUMBER(SEARCH("R134",G324))*134,0)+IFERROR(--ISNUMBER(SEARCH("R135",G324))*135,0)+IFERROR(--ISNUMBER(SEARCH("R136",G324))*136,0)+IFERROR(--ISNUMBER(SEARCH("R137",G324))*137,0)+IFERROR(--ISNUMBER(SEARCH("R138",G324))*138,0)+IFERROR(--ISNUMBER(SEARCH("R139",G324))*139,0)+IFERROR(--ISNUMBER(SEARCH("R140",G324))*140,0)+IFERROR(--ISNUMBER(SEARCH("R141",G324))*141,0))</f>
        <v/>
      </c>
      <c r="V324" s="59">
        <f>IF(A324="","",IF(K324&lt;&gt;"",K324,J324))</f>
        <v/>
      </c>
      <c r="W324" s="59">
        <f>IF(A324="","",IF(AND(V324=29,O324&lt;&gt;"",COUNTIFS($V$6:$V$505,29,$F$6:$F$505,F324,$C$6:$C$505,C324,$O$6:$O$505,"&lt;&gt;")&gt;1),IF(COUNTIFS($V$6:V324,29,$F$6:F324,F324,$C$6:C324,C324,$O$6:O324,"&lt;&gt;")=1,"Esta es la fila que se debe CONSERVAR (aparición 1 de "&amp;COUNTIFS($V$6:$V$505,29,$F$6:$F$505,F324,$C$6:$C$505,C324,$O$6:$O$505,"&lt;&gt;")&amp;" con el mismo tercero y valor, casilla 29). Si hay más filas iguales, bórreles el valor a ELLAS, no a esta.","DUPLICADO — ya existe otra fila con el mismo tercero y valor para casilla 29 (aparición "&amp;COUNTIFS($V$6:V324,29,$F$6:F324,F324,$C$6:C324,C324,$O$6:O324,"&lt;&gt;")&amp;" de "&amp;COUNTIFS($V$6:$V$505,29,$F$6:$F$505,F324,$C$6:$C$505,C324,$O$6:$O$505,"&lt;&gt;")&amp;"). Para resolverlo: seleccione la celda O"&amp;ROW()&amp;" (columna Valor a declarar de ESTA fila) y presione Supr."),""))</f>
        <v/>
      </c>
      <c r="X324" s="463">
        <f>IF(A324="","",F324)</f>
        <v/>
      </c>
      <c r="Y324" s="463">
        <f>IF(A324="","",SUMIF(Entrada_Manual!$I$88:$I$187,A324,Entrada_Manual!$F$88:$F$187))</f>
        <v/>
      </c>
      <c r="Z324" s="463">
        <f>IF(A324="","",X324-Y324)</f>
        <v/>
      </c>
      <c r="AA324">
        <f>IF(A324="","",SUMPRODUCT((Entrada_Manual!$I$88:$I$187=A324)*1))</f>
        <v/>
      </c>
      <c r="AB324">
        <f>IF(A324="","",IF(S324&lt;=1,"",IF(AA324=0,"PENDIENTE — SIN ASIGNAR",IF(Z324=0,"RESUELTO","PARCIAL — DIFERENCIA "&amp;TEXT(Z324,"#,##0")))))</f>
        <v/>
      </c>
    </row>
    <row r="325" ht="14.25" customHeight="1" s="235">
      <c r="A325" s="47">
        <f>IF(Exogena_RAW!E334&lt;&gt;"",ROW()-5,"")</f>
        <v/>
      </c>
      <c r="B325" s="48">
        <f>IF(A325="","",334)</f>
        <v/>
      </c>
      <c r="C325" s="48">
        <f>IF(A325="","",IFERROR(Exogena_RAW!A334,""))</f>
        <v/>
      </c>
      <c r="D325" s="48">
        <f>IF(A325="","",IFERROR(Exogena_RAW!B334,""))</f>
        <v/>
      </c>
      <c r="E325" s="48">
        <f>IF(A325="","",Exogena_RAW!E334)</f>
        <v/>
      </c>
      <c r="F325" s="461">
        <f>IF(A325="","",Exogena_RAW!F334)</f>
        <v/>
      </c>
      <c r="G325" s="48">
        <f>IF(A325="","",IFERROR(Exogena_RAW!G334,""))</f>
        <v/>
      </c>
      <c r="H325" s="48">
        <f>IF(A325="","",IFERROR(Exogena_RAW!H334,""))</f>
        <v/>
      </c>
      <c r="I325" s="48">
        <f>IF(A325="","",IFERROR(IF(S325&gt;1,"VARIAS CASILLAS",IF(S325=1,IF(T325=1,"PROPUESTA DE CASILLA","REVISIÓN: CASILLA NO DIRECTA"),IF(OR(ISNUMBER(SEARCH("TOPE",UPPER(E325))),ISNUMBER(SEARCH("TOPE",UPPER(G325)))),"SOLO CONTROL",IF(ISNUMBER(SEARCH("RETEN",UPPER(E325))),"RETENCIÓN","REVISAR")))),"REVISAR"))</f>
        <v/>
      </c>
      <c r="J325" s="48">
        <f>IF(A325="","",IF(ISNUMBER(SEARCH("ingreso laboral promedio de los últimos seis meses",E325)),"",IFERROR(IF(AND(S325=1,T325=1),U325,""),"")))</f>
        <v/>
      </c>
      <c r="K325" s="216" t="n"/>
      <c r="L325" s="48">
        <f>IF(A325="","",IFERROR(IF(K325&lt;&gt;"","Casilla elegida por usuario",IF(S325&gt;1,"Varias casillas — elegir en K",IF(J325&lt;&gt;"","Sugerencia directa",IF(S325=1,"No trasladar directo — revisar",IF(OR(ISNUMBER(SEARCH("TOPE",UPPER(E325))),ISNUMBER(SEARCH("TOPE",UPPER(G325)))),"Solo control","Revisar manualmente"))))),"Revisar manualmente"))</f>
        <v/>
      </c>
      <c r="M325" s="461">
        <f>IF(A325="","",IF(IF(K325&lt;&gt;"",K325,J325)="",0,IF(COUNTIFS(Reglas!$I$5:$I$118,IF(K325&lt;&gt;"",K325,J325),Reglas!$J$5:$J$118,"Sí")=1,F325,0)))</f>
        <v/>
      </c>
      <c r="N325" s="56" t="n"/>
      <c r="O325" s="462">
        <f>IF(A325="","",IF(M325=0,"",M325))</f>
        <v/>
      </c>
      <c r="P325" s="461">
        <f>IF(A325="","",IF(O325="",0,IF(ISNUMBER(O325),O325,0)))</f>
        <v/>
      </c>
      <c r="Q325" s="48">
        <f>IF(A325="","",IF(Exogena_RAW!$C$4="","BLOQUEADO: FALTA AÑO",IF(Exogena_RAW!$K$10&lt;&gt;Reglas!$B$5,"BLOQUEADO: AÑO",IF(IF(K325&lt;&gt;"",K325,J325)="",IF(S325&gt;1,"REQUIERE ASIGNACIÓN MANUAL (VARIAS CASILLAS)","INFORMATIVO (sin casilla — no se declara)"),IF(COUNTIFS(Reglas!$I$5:$I$118,IF(K325&lt;&gt;"",K325,J325),Reglas!$J$5:$J$118,"Sí")=0,"BLOQUEADO: CASILLA NO DIRECTA",IF(O325="","EXCLUIDO (valor borrado por el usuario)",IF(_xlfn.ISFORMULA(O325),IF(W325&lt;&gt;"","BORRADOR — VALOR SUGERIDO DIAN ⚠ VER ALERTA","BORRADOR — VALOR SUGERIDO DIAN"),IF(W325&lt;&gt;"","ACEPTADO ⚠ VER ALERTA","ACEPTADO"))))))))</f>
        <v/>
      </c>
      <c r="R325" s="218" t="n"/>
      <c r="S325" s="58">
        <f>IF(A325="","",IFERROR(--ISNUMBER(SEARCH("R28",G325)),0)+IFERROR(--ISNUMBER(SEARCH("R29",G325)),0)+IFERROR(--ISNUMBER(SEARCH("R30",G325)),0)+IFERROR(--ISNUMBER(SEARCH("R31",G325)),0)+IFERROR(--ISNUMBER(SEARCH("R32",G325)),0)+IFERROR(--ISNUMBER(SEARCH("R33",G325)),0)+IFERROR(--ISNUMBER(SEARCH("R34",G325)),0)+IFERROR(--ISNUMBER(SEARCH("R35",G325)),0)+IFERROR(--ISNUMBER(SEARCH("R36",G325)),0)+IFERROR(--ISNUMBER(SEARCH("R37",G325)),0)+IFERROR(--ISNUMBER(SEARCH("R38",G325)),0)+IFERROR(--ISNUMBER(SEARCH("R39",G325)),0)+IFERROR(--ISNUMBER(SEARCH("R40",G325)),0)+IFERROR(--ISNUMBER(SEARCH("R41",G325)),0)+IFERROR(--ISNUMBER(SEARCH("R42",G325)),0)+IFERROR(--ISNUMBER(SEARCH("R43",G325)),0)+IFERROR(--ISNUMBER(SEARCH("R44",G325)),0)+IFERROR(--ISNUMBER(SEARCH("R45",G325)),0)+IFERROR(--ISNUMBER(SEARCH("R46",G325)),0)+IFERROR(--ISNUMBER(SEARCH("R47",G325)),0)+IFERROR(--ISNUMBER(SEARCH("R48",G325)),0)+IFERROR(--ISNUMBER(SEARCH("R49",G325)),0)+IFERROR(--ISNUMBER(SEARCH("R50",G325)),0)+IFERROR(--ISNUMBER(SEARCH("R51",G325)),0)+IFERROR(--ISNUMBER(SEARCH("R52",G325)),0)+IFERROR(--ISNUMBER(SEARCH("R53",G325)),0)+IFERROR(--ISNUMBER(SEARCH("R54",G325)),0)+IFERROR(--ISNUMBER(SEARCH("R55",G325)),0)+IFERROR(--ISNUMBER(SEARCH("R56",G325)),0)+IFERROR(--ISNUMBER(SEARCH("R57",G325)),0)+IFERROR(--ISNUMBER(SEARCH("R58",G325)),0)+IFERROR(--ISNUMBER(SEARCH("R59",G325)),0)+IFERROR(--ISNUMBER(SEARCH("R60",G325)),0)+IFERROR(--ISNUMBER(SEARCH("R61",G325)),0)+IFERROR(--ISNUMBER(SEARCH("R62",G325)),0)+IFERROR(--ISNUMBER(SEARCH("R63",G325)),0)+IFERROR(--ISNUMBER(SEARCH("R64",G325)),0)+IFERROR(--ISNUMBER(SEARCH("R65",G325)),0)+IFERROR(--ISNUMBER(SEARCH("R66",G325)),0)+IFERROR(--ISNUMBER(SEARCH("R67",G325)),0)+IFERROR(--ISNUMBER(SEARCH("R68",G325)),0)+IFERROR(--ISNUMBER(SEARCH("R69",G325)),0)+IFERROR(--ISNUMBER(SEARCH("R70",G325)),0)+IFERROR(--ISNUMBER(SEARCH("R71",G325)),0)+IFERROR(--ISNUMBER(SEARCH("R72",G325)),0)+IFERROR(--ISNUMBER(SEARCH("R73",G325)),0)+IFERROR(--ISNUMBER(SEARCH("R74",G325)),0)+IFERROR(--ISNUMBER(SEARCH("R75",G325)),0)+IFERROR(--ISNUMBER(SEARCH("R76",G325)),0)+IFERROR(--ISNUMBER(SEARCH("R77",G325)),0)+IFERROR(--ISNUMBER(SEARCH("R78",G325)),0)+IFERROR(--ISNUMBER(SEARCH("R79",G325)),0)+IFERROR(--ISNUMBER(SEARCH("R80",G325)),0)+IFERROR(--ISNUMBER(SEARCH("R81",G325)),0)+IFERROR(--ISNUMBER(SEARCH("R82",G325)),0)+IFERROR(--ISNUMBER(SEARCH("R83",G325)),0)+IFERROR(--ISNUMBER(SEARCH("R84",G325)),0)+IFERROR(--ISNUMBER(SEARCH("R85",G325)),0)+IFERROR(--ISNUMBER(SEARCH("R86",G325)),0)+IFERROR(--ISNUMBER(SEARCH("R87",G325)),0)+IFERROR(--ISNUMBER(SEARCH("R88",G325)),0)+IFERROR(--ISNUMBER(SEARCH("R89",G325)),0)+IFERROR(--ISNUMBER(SEARCH("R90",G325)),0)+IFERROR(--ISNUMBER(SEARCH("R91",G325)),0)+IFERROR(--ISNUMBER(SEARCH("R92",G325)),0)+IFERROR(--ISNUMBER(SEARCH("R93",G325)),0)+IFERROR(--ISNUMBER(SEARCH("R94",G325)),0)+IFERROR(--ISNUMBER(SEARCH("R95",G325)),0)+IFERROR(--ISNUMBER(SEARCH("R96",G325)),0)+IFERROR(--ISNUMBER(SEARCH("R97",G325)),0)+IFERROR(--ISNUMBER(SEARCH("R98",G325)),0)+IFERROR(--ISNUMBER(SEARCH("R99",G325)),0)+IFERROR(--ISNUMBER(SEARCH("R100",G325)),0)+IFERROR(--ISNUMBER(SEARCH("R101",G325)),0)+IFERROR(--ISNUMBER(SEARCH("R102",G325)),0)+IFERROR(--ISNUMBER(SEARCH("R103",G325)),0)+IFERROR(--ISNUMBER(SEARCH("R104",G325)),0)+IFERROR(--ISNUMBER(SEARCH("R105",G325)),0)+IFERROR(--ISNUMBER(SEARCH("R106",G325)),0)+IFERROR(--ISNUMBER(SEARCH("R107",G325)),0)+IFERROR(--ISNUMBER(SEARCH("R108",G325)),0)+IFERROR(--ISNUMBER(SEARCH("R109",G325)),0)+IFERROR(--ISNUMBER(SEARCH("R110",G325)),0)+IFERROR(--ISNUMBER(SEARCH("R111",G325)),0)+IFERROR(--ISNUMBER(SEARCH("R112",G325)),0)+IFERROR(--ISNUMBER(SEARCH("R113",G325)),0)+IFERROR(--ISNUMBER(SEARCH("R114",G325)),0)+IFERROR(--ISNUMBER(SEARCH("R115",G325)),0)+IFERROR(--ISNUMBER(SEARCH("R116",G325)),0)+IFERROR(--ISNUMBER(SEARCH("R117",G325)),0)+IFERROR(--ISNUMBER(SEARCH("R118",G325)),0)+IFERROR(--ISNUMBER(SEARCH("R119",G325)),0)+IFERROR(--ISNUMBER(SEARCH("R120",G325)),0)+IFERROR(--ISNUMBER(SEARCH("R121",G325)),0)+IFERROR(--ISNUMBER(SEARCH("R122",G325)),0)+IFERROR(--ISNUMBER(SEARCH("R123",G325)),0)+IFERROR(--ISNUMBER(SEARCH("R124",G325)),0)+IFERROR(--ISNUMBER(SEARCH("R125",G325)),0)+IFERROR(--ISNUMBER(SEARCH("R126",G325)),0)+IFERROR(--ISNUMBER(SEARCH("R127",G325)),0)+IFERROR(--ISNUMBER(SEARCH("R128",G325)),0)+IFERROR(--ISNUMBER(SEARCH("R129",G325)),0)+IFERROR(--ISNUMBER(SEARCH("R130",G325)),0)+IFERROR(--ISNUMBER(SEARCH("R131",G325)),0)+IFERROR(--ISNUMBER(SEARCH("R132",G325)),0)+IFERROR(--ISNUMBER(SEARCH("R133",G325)),0)+IFERROR(--ISNUMBER(SEARCH("R134",G325)),0)+IFERROR(--ISNUMBER(SEARCH("R135",G325)),0)+IFERROR(--ISNUMBER(SEARCH("R136",G325)),0)+IFERROR(--ISNUMBER(SEARCH("R137",G325)),0)+IFERROR(--ISNUMBER(SEARCH("R138",G325)),0)+IFERROR(--ISNUMBER(SEARCH("R139",G325)),0)+IFERROR(--ISNUMBER(SEARCH("R140",G325)),0)+IFERROR(--ISNUMBER(SEARCH("R141",G325)),0))</f>
        <v/>
      </c>
      <c r="T325" s="58">
        <f>IF(A325="","",IFERROR(--ISNUMBER(SEARCH("R28",G325)),0)+IFERROR(--ISNUMBER(SEARCH("R29",G325)),0)+IFERROR(--ISNUMBER(SEARCH("R30",G325)),0)+IFERROR(--ISNUMBER(SEARCH("R32",G325)),0)+IFERROR(--ISNUMBER(SEARCH("R33",G325)),0)+IFERROR(--ISNUMBER(SEARCH("R35",G325)),0)+IFERROR(--ISNUMBER(SEARCH("R36",G325)),0)+IFERROR(--ISNUMBER(SEARCH("R38",G325)),0)+IFERROR(--ISNUMBER(SEARCH("R39",G325)),0)+IFERROR(--ISNUMBER(SEARCH("R43",G325)),0)+IFERROR(--ISNUMBER(SEARCH("R44",G325)),0)+IFERROR(--ISNUMBER(SEARCH("R45",G325)),0)+IFERROR(--ISNUMBER(SEARCH("R47",G325)),0)+IFERROR(--ISNUMBER(SEARCH("R48",G325)),0)+IFERROR(--ISNUMBER(SEARCH("R50",G325)),0)+IFERROR(--ISNUMBER(SEARCH("R51",G325)),0)+IFERROR(--ISNUMBER(SEARCH("R56",G325)),0)+IFERROR(--ISNUMBER(SEARCH("R58",G325)),0)+IFERROR(--ISNUMBER(SEARCH("R59",G325)),0)+IFERROR(--ISNUMBER(SEARCH("R60",G325)),0)+IFERROR(--ISNUMBER(SEARCH("R62",G325)),0)+IFERROR(--ISNUMBER(SEARCH("R63",G325)),0)+IFERROR(--ISNUMBER(SEARCH("R64",G325)),0)+IFERROR(--ISNUMBER(SEARCH("R66",G325)),0)+IFERROR(--ISNUMBER(SEARCH("R67",G325)),0)+IFERROR(--ISNUMBER(SEARCH("R72",G325)),0)+IFERROR(--ISNUMBER(SEARCH("R74",G325)),0)+IFERROR(--ISNUMBER(SEARCH("R75",G325)),0)+IFERROR(--ISNUMBER(SEARCH("R76",G325)),0)+IFERROR(--ISNUMBER(SEARCH("R77",G325)),0)+IFERROR(--ISNUMBER(SEARCH("R79",G325)),0)+IFERROR(--ISNUMBER(SEARCH("R80",G325)),0)+IFERROR(--ISNUMBER(SEARCH("R81",G325)),0)+IFERROR(--ISNUMBER(SEARCH("R83",G325)),0)+IFERROR(--ISNUMBER(SEARCH("R84",G325)),0)+IFERROR(--ISNUMBER(SEARCH("R89",G325)),0)+IFERROR(--ISNUMBER(SEARCH("R94",G325)),0)+IFERROR(--ISNUMBER(SEARCH("R95",G325)),0)+IFERROR(--ISNUMBER(SEARCH("R96",G325)),0)+IFERROR(--ISNUMBER(SEARCH("R98",G325)),0)+IFERROR(--ISNUMBER(SEARCH("R99",G325)),0)+IFERROR(--ISNUMBER(SEARCH("R100",G325)),0)+IFERROR(--ISNUMBER(SEARCH("R104",G325)),0)+IFERROR(--ISNUMBER(SEARCH("R105",G325)),0)+IFERROR(--ISNUMBER(SEARCH("R107",G325)),0)+IFERROR(--ISNUMBER(SEARCH("R108",G325)),0)+IFERROR(--ISNUMBER(SEARCH("R109",G325)),0)+IFERROR(--ISNUMBER(SEARCH("R110",G325)),0)+IFERROR(--ISNUMBER(SEARCH("R112",G325)),0)+IFERROR(--ISNUMBER(SEARCH("R113",G325)),0)+IFERROR(--ISNUMBER(SEARCH("R114",G325)),0)+IFERROR(--ISNUMBER(SEARCH("R118",G325)),0)+IFERROR(--ISNUMBER(SEARCH("R119",G325)),0)+IFERROR(--ISNUMBER(SEARCH("R120",G325)),0)+IFERROR(--ISNUMBER(SEARCH("R122",G325)),0)+IFERROR(--ISNUMBER(SEARCH("R123",G325)),0)+IFERROR(--ISNUMBER(SEARCH("R124",G325)),0)+IFERROR(--ISNUMBER(SEARCH("R128",G325)),0)+IFERROR(--ISNUMBER(SEARCH("R130",G325)),0)+IFERROR(--ISNUMBER(SEARCH("R131",G325)),0)+IFERROR(--ISNUMBER(SEARCH("R132",G325)),0)+IFERROR(--ISNUMBER(SEARCH("R135",G325)),0)+IFERROR(--ISNUMBER(SEARCH("R138",G325)),0)+IFERROR(--ISNUMBER(SEARCH("R141",G325)),0))</f>
        <v/>
      </c>
      <c r="U325" s="58">
        <f>IF(A325="","",IFERROR(--ISNUMBER(SEARCH("R28",G325))*28,0)+IFERROR(--ISNUMBER(SEARCH("R29",G325))*29,0)+IFERROR(--ISNUMBER(SEARCH("R30",G325))*30,0)+IFERROR(--ISNUMBER(SEARCH("R31",G325))*31,0)+IFERROR(--ISNUMBER(SEARCH("R32",G325))*32,0)+IFERROR(--ISNUMBER(SEARCH("R33",G325))*33,0)+IFERROR(--ISNUMBER(SEARCH("R34",G325))*34,0)+IFERROR(--ISNUMBER(SEARCH("R35",G325))*35,0)+IFERROR(--ISNUMBER(SEARCH("R36",G325))*36,0)+IFERROR(--ISNUMBER(SEARCH("R37",G325))*37,0)+IFERROR(--ISNUMBER(SEARCH("R38",G325))*38,0)+IFERROR(--ISNUMBER(SEARCH("R39",G325))*39,0)+IFERROR(--ISNUMBER(SEARCH("R40",G325))*40,0)+IFERROR(--ISNUMBER(SEARCH("R41",G325))*41,0)+IFERROR(--ISNUMBER(SEARCH("R42",G325))*42,0)+IFERROR(--ISNUMBER(SEARCH("R43",G325))*43,0)+IFERROR(--ISNUMBER(SEARCH("R44",G325))*44,0)+IFERROR(--ISNUMBER(SEARCH("R45",G325))*45,0)+IFERROR(--ISNUMBER(SEARCH("R46",G325))*46,0)+IFERROR(--ISNUMBER(SEARCH("R47",G325))*47,0)+IFERROR(--ISNUMBER(SEARCH("R48",G325))*48,0)+IFERROR(--ISNUMBER(SEARCH("R49",G325))*49,0)+IFERROR(--ISNUMBER(SEARCH("R50",G325))*50,0)+IFERROR(--ISNUMBER(SEARCH("R51",G325))*51,0)+IFERROR(--ISNUMBER(SEARCH("R52",G325))*52,0)+IFERROR(--ISNUMBER(SEARCH("R53",G325))*53,0)+IFERROR(--ISNUMBER(SEARCH("R54",G325))*54,0)+IFERROR(--ISNUMBER(SEARCH("R55",G325))*55,0)+IFERROR(--ISNUMBER(SEARCH("R56",G325))*56,0)+IFERROR(--ISNUMBER(SEARCH("R57",G325))*57,0)+IFERROR(--ISNUMBER(SEARCH("R58",G325))*58,0)+IFERROR(--ISNUMBER(SEARCH("R59",G325))*59,0)+IFERROR(--ISNUMBER(SEARCH("R60",G325))*60,0)+IFERROR(--ISNUMBER(SEARCH("R61",G325))*61,0)+IFERROR(--ISNUMBER(SEARCH("R62",G325))*62,0)+IFERROR(--ISNUMBER(SEARCH("R63",G325))*63,0)+IFERROR(--ISNUMBER(SEARCH("R64",G325))*64,0)+IFERROR(--ISNUMBER(SEARCH("R65",G325))*65,0)+IFERROR(--ISNUMBER(SEARCH("R66",G325))*66,0)+IFERROR(--ISNUMBER(SEARCH("R67",G325))*67,0)+IFERROR(--ISNUMBER(SEARCH("R68",G325))*68,0)+IFERROR(--ISNUMBER(SEARCH("R69",G325))*69,0)+IFERROR(--ISNUMBER(SEARCH("R70",G325))*70,0)+IFERROR(--ISNUMBER(SEARCH("R71",G325))*71,0)+IFERROR(--ISNUMBER(SEARCH("R72",G325))*72,0)+IFERROR(--ISNUMBER(SEARCH("R73",G325))*73,0)+IFERROR(--ISNUMBER(SEARCH("R74",G325))*74,0)+IFERROR(--ISNUMBER(SEARCH("R75",G325))*75,0)+IFERROR(--ISNUMBER(SEARCH("R76",G325))*76,0)+IFERROR(--ISNUMBER(SEARCH("R77",G325))*77,0)+IFERROR(--ISNUMBER(SEARCH("R78",G325))*78,0)+IFERROR(--ISNUMBER(SEARCH("R79",G325))*79,0)+IFERROR(--ISNUMBER(SEARCH("R80",G325))*80,0)+IFERROR(--ISNUMBER(SEARCH("R81",G325))*81,0)+IFERROR(--ISNUMBER(SEARCH("R82",G325))*82,0)+IFERROR(--ISNUMBER(SEARCH("R83",G325))*83,0)+IFERROR(--ISNUMBER(SEARCH("R84",G325))*84,0)+IFERROR(--ISNUMBER(SEARCH("R85",G325))*85,0)+IFERROR(--ISNUMBER(SEARCH("R86",G325))*86,0)+IFERROR(--ISNUMBER(SEARCH("R87",G325))*87,0)+IFERROR(--ISNUMBER(SEARCH("R88",G325))*88,0)+IFERROR(--ISNUMBER(SEARCH("R89",G325))*89,0)+IFERROR(--ISNUMBER(SEARCH("R90",G325))*90,0)+IFERROR(--ISNUMBER(SEARCH("R91",G325))*91,0)+IFERROR(--ISNUMBER(SEARCH("R92",G325))*92,0)+IFERROR(--ISNUMBER(SEARCH("R93",G325))*93,0)+IFERROR(--ISNUMBER(SEARCH("R94",G325))*94,0)+IFERROR(--ISNUMBER(SEARCH("R95",G325))*95,0)+IFERROR(--ISNUMBER(SEARCH("R96",G325))*96,0)+IFERROR(--ISNUMBER(SEARCH("R97",G325))*97,0)+IFERROR(--ISNUMBER(SEARCH("R98",G325))*98,0)+IFERROR(--ISNUMBER(SEARCH("R99",G325))*99,0)+IFERROR(--ISNUMBER(SEARCH("R100",G325))*100,0)+IFERROR(--ISNUMBER(SEARCH("R101",G325))*101,0)+IFERROR(--ISNUMBER(SEARCH("R102",G325))*102,0)+IFERROR(--ISNUMBER(SEARCH("R103",G325))*103,0)+IFERROR(--ISNUMBER(SEARCH("R104",G325))*104,0)+IFERROR(--ISNUMBER(SEARCH("R105",G325))*105,0)+IFERROR(--ISNUMBER(SEARCH("R106",G325))*106,0)+IFERROR(--ISNUMBER(SEARCH("R107",G325))*107,0)+IFERROR(--ISNUMBER(SEARCH("R108",G325))*108,0)+IFERROR(--ISNUMBER(SEARCH("R109",G325))*109,0)+IFERROR(--ISNUMBER(SEARCH("R110",G325))*110,0)+IFERROR(--ISNUMBER(SEARCH("R111",G325))*111,0)+IFERROR(--ISNUMBER(SEARCH("R112",G325))*112,0)+IFERROR(--ISNUMBER(SEARCH("R113",G325))*113,0)+IFERROR(--ISNUMBER(SEARCH("R114",G325))*114,0)+IFERROR(--ISNUMBER(SEARCH("R115",G325))*115,0)+IFERROR(--ISNUMBER(SEARCH("R116",G325))*116,0)+IFERROR(--ISNUMBER(SEARCH("R117",G325))*117,0)+IFERROR(--ISNUMBER(SEARCH("R118",G325))*118,0)+IFERROR(--ISNUMBER(SEARCH("R119",G325))*119,0)+IFERROR(--ISNUMBER(SEARCH("R120",G325))*120,0)+IFERROR(--ISNUMBER(SEARCH("R121",G325))*121,0)+IFERROR(--ISNUMBER(SEARCH("R122",G325))*122,0)+IFERROR(--ISNUMBER(SEARCH("R123",G325))*123,0)+IFERROR(--ISNUMBER(SEARCH("R124",G325))*124,0)+IFERROR(--ISNUMBER(SEARCH("R125",G325))*125,0)+IFERROR(--ISNUMBER(SEARCH("R126",G325))*126,0)+IFERROR(--ISNUMBER(SEARCH("R127",G325))*127,0)+IFERROR(--ISNUMBER(SEARCH("R128",G325))*128,0)+IFERROR(--ISNUMBER(SEARCH("R129",G325))*129,0)+IFERROR(--ISNUMBER(SEARCH("R130",G325))*130,0)+IFERROR(--ISNUMBER(SEARCH("R131",G325))*131,0)+IFERROR(--ISNUMBER(SEARCH("R132",G325))*132,0)+IFERROR(--ISNUMBER(SEARCH("R133",G325))*133,0)+IFERROR(--ISNUMBER(SEARCH("R134",G325))*134,0)+IFERROR(--ISNUMBER(SEARCH("R135",G325))*135,0)+IFERROR(--ISNUMBER(SEARCH("R136",G325))*136,0)+IFERROR(--ISNUMBER(SEARCH("R137",G325))*137,0)+IFERROR(--ISNUMBER(SEARCH("R138",G325))*138,0)+IFERROR(--ISNUMBER(SEARCH("R139",G325))*139,0)+IFERROR(--ISNUMBER(SEARCH("R140",G325))*140,0)+IFERROR(--ISNUMBER(SEARCH("R141",G325))*141,0))</f>
        <v/>
      </c>
      <c r="V325" s="59">
        <f>IF(A325="","",IF(K325&lt;&gt;"",K325,J325))</f>
        <v/>
      </c>
      <c r="W325" s="59">
        <f>IF(A325="","",IF(AND(V325=29,O325&lt;&gt;"",COUNTIFS($V$6:$V$505,29,$F$6:$F$505,F325,$C$6:$C$505,C325,$O$6:$O$505,"&lt;&gt;")&gt;1),IF(COUNTIFS($V$6:V325,29,$F$6:F325,F325,$C$6:C325,C325,$O$6:O325,"&lt;&gt;")=1,"Esta es la fila que se debe CONSERVAR (aparición 1 de "&amp;COUNTIFS($V$6:$V$505,29,$F$6:$F$505,F325,$C$6:$C$505,C325,$O$6:$O$505,"&lt;&gt;")&amp;" con el mismo tercero y valor, casilla 29). Si hay más filas iguales, bórreles el valor a ELLAS, no a esta.","DUPLICADO — ya existe otra fila con el mismo tercero y valor para casilla 29 (aparición "&amp;COUNTIFS($V$6:V325,29,$F$6:F325,F325,$C$6:C325,C325,$O$6:O325,"&lt;&gt;")&amp;" de "&amp;COUNTIFS($V$6:$V$505,29,$F$6:$F$505,F325,$C$6:$C$505,C325,$O$6:$O$505,"&lt;&gt;")&amp;"). Para resolverlo: seleccione la celda O"&amp;ROW()&amp;" (columna Valor a declarar de ESTA fila) y presione Supr."),""))</f>
        <v/>
      </c>
      <c r="X325" s="463">
        <f>IF(A325="","",F325)</f>
        <v/>
      </c>
      <c r="Y325" s="463">
        <f>IF(A325="","",SUMIF(Entrada_Manual!$I$88:$I$187,A325,Entrada_Manual!$F$88:$F$187))</f>
        <v/>
      </c>
      <c r="Z325" s="463">
        <f>IF(A325="","",X325-Y325)</f>
        <v/>
      </c>
      <c r="AA325">
        <f>IF(A325="","",SUMPRODUCT((Entrada_Manual!$I$88:$I$187=A325)*1))</f>
        <v/>
      </c>
      <c r="AB325">
        <f>IF(A325="","",IF(S325&lt;=1,"",IF(AA325=0,"PENDIENTE — SIN ASIGNAR",IF(Z325=0,"RESUELTO","PARCIAL — DIFERENCIA "&amp;TEXT(Z325,"#,##0")))))</f>
        <v/>
      </c>
    </row>
    <row r="326" ht="14.25" customHeight="1" s="235">
      <c r="A326" s="47">
        <f>IF(Exogena_RAW!E335&lt;&gt;"",ROW()-5,"")</f>
        <v/>
      </c>
      <c r="B326" s="48">
        <f>IF(A326="","",335)</f>
        <v/>
      </c>
      <c r="C326" s="48">
        <f>IF(A326="","",IFERROR(Exogena_RAW!A335,""))</f>
        <v/>
      </c>
      <c r="D326" s="48">
        <f>IF(A326="","",IFERROR(Exogena_RAW!B335,""))</f>
        <v/>
      </c>
      <c r="E326" s="48">
        <f>IF(A326="","",Exogena_RAW!E335)</f>
        <v/>
      </c>
      <c r="F326" s="461">
        <f>IF(A326="","",Exogena_RAW!F335)</f>
        <v/>
      </c>
      <c r="G326" s="48">
        <f>IF(A326="","",IFERROR(Exogena_RAW!G335,""))</f>
        <v/>
      </c>
      <c r="H326" s="48">
        <f>IF(A326="","",IFERROR(Exogena_RAW!H335,""))</f>
        <v/>
      </c>
      <c r="I326" s="48">
        <f>IF(A326="","",IFERROR(IF(S326&gt;1,"VARIAS CASILLAS",IF(S326=1,IF(T326=1,"PROPUESTA DE CASILLA","REVISIÓN: CASILLA NO DIRECTA"),IF(OR(ISNUMBER(SEARCH("TOPE",UPPER(E326))),ISNUMBER(SEARCH("TOPE",UPPER(G326)))),"SOLO CONTROL",IF(ISNUMBER(SEARCH("RETEN",UPPER(E326))),"RETENCIÓN","REVISAR")))),"REVISAR"))</f>
        <v/>
      </c>
      <c r="J326" s="48">
        <f>IF(A326="","",IF(ISNUMBER(SEARCH("ingreso laboral promedio de los últimos seis meses",E326)),"",IFERROR(IF(AND(S326=1,T326=1),U326,""),"")))</f>
        <v/>
      </c>
      <c r="K326" s="216" t="n"/>
      <c r="L326" s="48">
        <f>IF(A326="","",IFERROR(IF(K326&lt;&gt;"","Casilla elegida por usuario",IF(S326&gt;1,"Varias casillas — elegir en K",IF(J326&lt;&gt;"","Sugerencia directa",IF(S326=1,"No trasladar directo — revisar",IF(OR(ISNUMBER(SEARCH("TOPE",UPPER(E326))),ISNUMBER(SEARCH("TOPE",UPPER(G326)))),"Solo control","Revisar manualmente"))))),"Revisar manualmente"))</f>
        <v/>
      </c>
      <c r="M326" s="461">
        <f>IF(A326="","",IF(IF(K326&lt;&gt;"",K326,J326)="",0,IF(COUNTIFS(Reglas!$I$5:$I$118,IF(K326&lt;&gt;"",K326,J326),Reglas!$J$5:$J$118,"Sí")=1,F326,0)))</f>
        <v/>
      </c>
      <c r="N326" s="56" t="n"/>
      <c r="O326" s="462">
        <f>IF(A326="","",IF(M326=0,"",M326))</f>
        <v/>
      </c>
      <c r="P326" s="461">
        <f>IF(A326="","",IF(O326="",0,IF(ISNUMBER(O326),O326,0)))</f>
        <v/>
      </c>
      <c r="Q326" s="48">
        <f>IF(A326="","",IF(Exogena_RAW!$C$4="","BLOQUEADO: FALTA AÑO",IF(Exogena_RAW!$K$10&lt;&gt;Reglas!$B$5,"BLOQUEADO: AÑO",IF(IF(K326&lt;&gt;"",K326,J326)="",IF(S326&gt;1,"REQUIERE ASIGNACIÓN MANUAL (VARIAS CASILLAS)","INFORMATIVO (sin casilla — no se declara)"),IF(COUNTIFS(Reglas!$I$5:$I$118,IF(K326&lt;&gt;"",K326,J326),Reglas!$J$5:$J$118,"Sí")=0,"BLOQUEADO: CASILLA NO DIRECTA",IF(O326="","EXCLUIDO (valor borrado por el usuario)",IF(_xlfn.ISFORMULA(O326),IF(W326&lt;&gt;"","BORRADOR — VALOR SUGERIDO DIAN ⚠ VER ALERTA","BORRADOR — VALOR SUGERIDO DIAN"),IF(W326&lt;&gt;"","ACEPTADO ⚠ VER ALERTA","ACEPTADO"))))))))</f>
        <v/>
      </c>
      <c r="R326" s="218" t="n"/>
      <c r="S326" s="58">
        <f>IF(A326="","",IFERROR(--ISNUMBER(SEARCH("R28",G326)),0)+IFERROR(--ISNUMBER(SEARCH("R29",G326)),0)+IFERROR(--ISNUMBER(SEARCH("R30",G326)),0)+IFERROR(--ISNUMBER(SEARCH("R31",G326)),0)+IFERROR(--ISNUMBER(SEARCH("R32",G326)),0)+IFERROR(--ISNUMBER(SEARCH("R33",G326)),0)+IFERROR(--ISNUMBER(SEARCH("R34",G326)),0)+IFERROR(--ISNUMBER(SEARCH("R35",G326)),0)+IFERROR(--ISNUMBER(SEARCH("R36",G326)),0)+IFERROR(--ISNUMBER(SEARCH("R37",G326)),0)+IFERROR(--ISNUMBER(SEARCH("R38",G326)),0)+IFERROR(--ISNUMBER(SEARCH("R39",G326)),0)+IFERROR(--ISNUMBER(SEARCH("R40",G326)),0)+IFERROR(--ISNUMBER(SEARCH("R41",G326)),0)+IFERROR(--ISNUMBER(SEARCH("R42",G326)),0)+IFERROR(--ISNUMBER(SEARCH("R43",G326)),0)+IFERROR(--ISNUMBER(SEARCH("R44",G326)),0)+IFERROR(--ISNUMBER(SEARCH("R45",G326)),0)+IFERROR(--ISNUMBER(SEARCH("R46",G326)),0)+IFERROR(--ISNUMBER(SEARCH("R47",G326)),0)+IFERROR(--ISNUMBER(SEARCH("R48",G326)),0)+IFERROR(--ISNUMBER(SEARCH("R49",G326)),0)+IFERROR(--ISNUMBER(SEARCH("R50",G326)),0)+IFERROR(--ISNUMBER(SEARCH("R51",G326)),0)+IFERROR(--ISNUMBER(SEARCH("R52",G326)),0)+IFERROR(--ISNUMBER(SEARCH("R53",G326)),0)+IFERROR(--ISNUMBER(SEARCH("R54",G326)),0)+IFERROR(--ISNUMBER(SEARCH("R55",G326)),0)+IFERROR(--ISNUMBER(SEARCH("R56",G326)),0)+IFERROR(--ISNUMBER(SEARCH("R57",G326)),0)+IFERROR(--ISNUMBER(SEARCH("R58",G326)),0)+IFERROR(--ISNUMBER(SEARCH("R59",G326)),0)+IFERROR(--ISNUMBER(SEARCH("R60",G326)),0)+IFERROR(--ISNUMBER(SEARCH("R61",G326)),0)+IFERROR(--ISNUMBER(SEARCH("R62",G326)),0)+IFERROR(--ISNUMBER(SEARCH("R63",G326)),0)+IFERROR(--ISNUMBER(SEARCH("R64",G326)),0)+IFERROR(--ISNUMBER(SEARCH("R65",G326)),0)+IFERROR(--ISNUMBER(SEARCH("R66",G326)),0)+IFERROR(--ISNUMBER(SEARCH("R67",G326)),0)+IFERROR(--ISNUMBER(SEARCH("R68",G326)),0)+IFERROR(--ISNUMBER(SEARCH("R69",G326)),0)+IFERROR(--ISNUMBER(SEARCH("R70",G326)),0)+IFERROR(--ISNUMBER(SEARCH("R71",G326)),0)+IFERROR(--ISNUMBER(SEARCH("R72",G326)),0)+IFERROR(--ISNUMBER(SEARCH("R73",G326)),0)+IFERROR(--ISNUMBER(SEARCH("R74",G326)),0)+IFERROR(--ISNUMBER(SEARCH("R75",G326)),0)+IFERROR(--ISNUMBER(SEARCH("R76",G326)),0)+IFERROR(--ISNUMBER(SEARCH("R77",G326)),0)+IFERROR(--ISNUMBER(SEARCH("R78",G326)),0)+IFERROR(--ISNUMBER(SEARCH("R79",G326)),0)+IFERROR(--ISNUMBER(SEARCH("R80",G326)),0)+IFERROR(--ISNUMBER(SEARCH("R81",G326)),0)+IFERROR(--ISNUMBER(SEARCH("R82",G326)),0)+IFERROR(--ISNUMBER(SEARCH("R83",G326)),0)+IFERROR(--ISNUMBER(SEARCH("R84",G326)),0)+IFERROR(--ISNUMBER(SEARCH("R85",G326)),0)+IFERROR(--ISNUMBER(SEARCH("R86",G326)),0)+IFERROR(--ISNUMBER(SEARCH("R87",G326)),0)+IFERROR(--ISNUMBER(SEARCH("R88",G326)),0)+IFERROR(--ISNUMBER(SEARCH("R89",G326)),0)+IFERROR(--ISNUMBER(SEARCH("R90",G326)),0)+IFERROR(--ISNUMBER(SEARCH("R91",G326)),0)+IFERROR(--ISNUMBER(SEARCH("R92",G326)),0)+IFERROR(--ISNUMBER(SEARCH("R93",G326)),0)+IFERROR(--ISNUMBER(SEARCH("R94",G326)),0)+IFERROR(--ISNUMBER(SEARCH("R95",G326)),0)+IFERROR(--ISNUMBER(SEARCH("R96",G326)),0)+IFERROR(--ISNUMBER(SEARCH("R97",G326)),0)+IFERROR(--ISNUMBER(SEARCH("R98",G326)),0)+IFERROR(--ISNUMBER(SEARCH("R99",G326)),0)+IFERROR(--ISNUMBER(SEARCH("R100",G326)),0)+IFERROR(--ISNUMBER(SEARCH("R101",G326)),0)+IFERROR(--ISNUMBER(SEARCH("R102",G326)),0)+IFERROR(--ISNUMBER(SEARCH("R103",G326)),0)+IFERROR(--ISNUMBER(SEARCH("R104",G326)),0)+IFERROR(--ISNUMBER(SEARCH("R105",G326)),0)+IFERROR(--ISNUMBER(SEARCH("R106",G326)),0)+IFERROR(--ISNUMBER(SEARCH("R107",G326)),0)+IFERROR(--ISNUMBER(SEARCH("R108",G326)),0)+IFERROR(--ISNUMBER(SEARCH("R109",G326)),0)+IFERROR(--ISNUMBER(SEARCH("R110",G326)),0)+IFERROR(--ISNUMBER(SEARCH("R111",G326)),0)+IFERROR(--ISNUMBER(SEARCH("R112",G326)),0)+IFERROR(--ISNUMBER(SEARCH("R113",G326)),0)+IFERROR(--ISNUMBER(SEARCH("R114",G326)),0)+IFERROR(--ISNUMBER(SEARCH("R115",G326)),0)+IFERROR(--ISNUMBER(SEARCH("R116",G326)),0)+IFERROR(--ISNUMBER(SEARCH("R117",G326)),0)+IFERROR(--ISNUMBER(SEARCH("R118",G326)),0)+IFERROR(--ISNUMBER(SEARCH("R119",G326)),0)+IFERROR(--ISNUMBER(SEARCH("R120",G326)),0)+IFERROR(--ISNUMBER(SEARCH("R121",G326)),0)+IFERROR(--ISNUMBER(SEARCH("R122",G326)),0)+IFERROR(--ISNUMBER(SEARCH("R123",G326)),0)+IFERROR(--ISNUMBER(SEARCH("R124",G326)),0)+IFERROR(--ISNUMBER(SEARCH("R125",G326)),0)+IFERROR(--ISNUMBER(SEARCH("R126",G326)),0)+IFERROR(--ISNUMBER(SEARCH("R127",G326)),0)+IFERROR(--ISNUMBER(SEARCH("R128",G326)),0)+IFERROR(--ISNUMBER(SEARCH("R129",G326)),0)+IFERROR(--ISNUMBER(SEARCH("R130",G326)),0)+IFERROR(--ISNUMBER(SEARCH("R131",G326)),0)+IFERROR(--ISNUMBER(SEARCH("R132",G326)),0)+IFERROR(--ISNUMBER(SEARCH("R133",G326)),0)+IFERROR(--ISNUMBER(SEARCH("R134",G326)),0)+IFERROR(--ISNUMBER(SEARCH("R135",G326)),0)+IFERROR(--ISNUMBER(SEARCH("R136",G326)),0)+IFERROR(--ISNUMBER(SEARCH("R137",G326)),0)+IFERROR(--ISNUMBER(SEARCH("R138",G326)),0)+IFERROR(--ISNUMBER(SEARCH("R139",G326)),0)+IFERROR(--ISNUMBER(SEARCH("R140",G326)),0)+IFERROR(--ISNUMBER(SEARCH("R141",G326)),0))</f>
        <v/>
      </c>
      <c r="T326" s="58">
        <f>IF(A326="","",IFERROR(--ISNUMBER(SEARCH("R28",G326)),0)+IFERROR(--ISNUMBER(SEARCH("R29",G326)),0)+IFERROR(--ISNUMBER(SEARCH("R30",G326)),0)+IFERROR(--ISNUMBER(SEARCH("R32",G326)),0)+IFERROR(--ISNUMBER(SEARCH("R33",G326)),0)+IFERROR(--ISNUMBER(SEARCH("R35",G326)),0)+IFERROR(--ISNUMBER(SEARCH("R36",G326)),0)+IFERROR(--ISNUMBER(SEARCH("R38",G326)),0)+IFERROR(--ISNUMBER(SEARCH("R39",G326)),0)+IFERROR(--ISNUMBER(SEARCH("R43",G326)),0)+IFERROR(--ISNUMBER(SEARCH("R44",G326)),0)+IFERROR(--ISNUMBER(SEARCH("R45",G326)),0)+IFERROR(--ISNUMBER(SEARCH("R47",G326)),0)+IFERROR(--ISNUMBER(SEARCH("R48",G326)),0)+IFERROR(--ISNUMBER(SEARCH("R50",G326)),0)+IFERROR(--ISNUMBER(SEARCH("R51",G326)),0)+IFERROR(--ISNUMBER(SEARCH("R56",G326)),0)+IFERROR(--ISNUMBER(SEARCH("R58",G326)),0)+IFERROR(--ISNUMBER(SEARCH("R59",G326)),0)+IFERROR(--ISNUMBER(SEARCH("R60",G326)),0)+IFERROR(--ISNUMBER(SEARCH("R62",G326)),0)+IFERROR(--ISNUMBER(SEARCH("R63",G326)),0)+IFERROR(--ISNUMBER(SEARCH("R64",G326)),0)+IFERROR(--ISNUMBER(SEARCH("R66",G326)),0)+IFERROR(--ISNUMBER(SEARCH("R67",G326)),0)+IFERROR(--ISNUMBER(SEARCH("R72",G326)),0)+IFERROR(--ISNUMBER(SEARCH("R74",G326)),0)+IFERROR(--ISNUMBER(SEARCH("R75",G326)),0)+IFERROR(--ISNUMBER(SEARCH("R76",G326)),0)+IFERROR(--ISNUMBER(SEARCH("R77",G326)),0)+IFERROR(--ISNUMBER(SEARCH("R79",G326)),0)+IFERROR(--ISNUMBER(SEARCH("R80",G326)),0)+IFERROR(--ISNUMBER(SEARCH("R81",G326)),0)+IFERROR(--ISNUMBER(SEARCH("R83",G326)),0)+IFERROR(--ISNUMBER(SEARCH("R84",G326)),0)+IFERROR(--ISNUMBER(SEARCH("R89",G326)),0)+IFERROR(--ISNUMBER(SEARCH("R94",G326)),0)+IFERROR(--ISNUMBER(SEARCH("R95",G326)),0)+IFERROR(--ISNUMBER(SEARCH("R96",G326)),0)+IFERROR(--ISNUMBER(SEARCH("R98",G326)),0)+IFERROR(--ISNUMBER(SEARCH("R99",G326)),0)+IFERROR(--ISNUMBER(SEARCH("R100",G326)),0)+IFERROR(--ISNUMBER(SEARCH("R104",G326)),0)+IFERROR(--ISNUMBER(SEARCH("R105",G326)),0)+IFERROR(--ISNUMBER(SEARCH("R107",G326)),0)+IFERROR(--ISNUMBER(SEARCH("R108",G326)),0)+IFERROR(--ISNUMBER(SEARCH("R109",G326)),0)+IFERROR(--ISNUMBER(SEARCH("R110",G326)),0)+IFERROR(--ISNUMBER(SEARCH("R112",G326)),0)+IFERROR(--ISNUMBER(SEARCH("R113",G326)),0)+IFERROR(--ISNUMBER(SEARCH("R114",G326)),0)+IFERROR(--ISNUMBER(SEARCH("R118",G326)),0)+IFERROR(--ISNUMBER(SEARCH("R119",G326)),0)+IFERROR(--ISNUMBER(SEARCH("R120",G326)),0)+IFERROR(--ISNUMBER(SEARCH("R122",G326)),0)+IFERROR(--ISNUMBER(SEARCH("R123",G326)),0)+IFERROR(--ISNUMBER(SEARCH("R124",G326)),0)+IFERROR(--ISNUMBER(SEARCH("R128",G326)),0)+IFERROR(--ISNUMBER(SEARCH("R130",G326)),0)+IFERROR(--ISNUMBER(SEARCH("R131",G326)),0)+IFERROR(--ISNUMBER(SEARCH("R132",G326)),0)+IFERROR(--ISNUMBER(SEARCH("R135",G326)),0)+IFERROR(--ISNUMBER(SEARCH("R138",G326)),0)+IFERROR(--ISNUMBER(SEARCH("R141",G326)),0))</f>
        <v/>
      </c>
      <c r="U326" s="58">
        <f>IF(A326="","",IFERROR(--ISNUMBER(SEARCH("R28",G326))*28,0)+IFERROR(--ISNUMBER(SEARCH("R29",G326))*29,0)+IFERROR(--ISNUMBER(SEARCH("R30",G326))*30,0)+IFERROR(--ISNUMBER(SEARCH("R31",G326))*31,0)+IFERROR(--ISNUMBER(SEARCH("R32",G326))*32,0)+IFERROR(--ISNUMBER(SEARCH("R33",G326))*33,0)+IFERROR(--ISNUMBER(SEARCH("R34",G326))*34,0)+IFERROR(--ISNUMBER(SEARCH("R35",G326))*35,0)+IFERROR(--ISNUMBER(SEARCH("R36",G326))*36,0)+IFERROR(--ISNUMBER(SEARCH("R37",G326))*37,0)+IFERROR(--ISNUMBER(SEARCH("R38",G326))*38,0)+IFERROR(--ISNUMBER(SEARCH("R39",G326))*39,0)+IFERROR(--ISNUMBER(SEARCH("R40",G326))*40,0)+IFERROR(--ISNUMBER(SEARCH("R41",G326))*41,0)+IFERROR(--ISNUMBER(SEARCH("R42",G326))*42,0)+IFERROR(--ISNUMBER(SEARCH("R43",G326))*43,0)+IFERROR(--ISNUMBER(SEARCH("R44",G326))*44,0)+IFERROR(--ISNUMBER(SEARCH("R45",G326))*45,0)+IFERROR(--ISNUMBER(SEARCH("R46",G326))*46,0)+IFERROR(--ISNUMBER(SEARCH("R47",G326))*47,0)+IFERROR(--ISNUMBER(SEARCH("R48",G326))*48,0)+IFERROR(--ISNUMBER(SEARCH("R49",G326))*49,0)+IFERROR(--ISNUMBER(SEARCH("R50",G326))*50,0)+IFERROR(--ISNUMBER(SEARCH("R51",G326))*51,0)+IFERROR(--ISNUMBER(SEARCH("R52",G326))*52,0)+IFERROR(--ISNUMBER(SEARCH("R53",G326))*53,0)+IFERROR(--ISNUMBER(SEARCH("R54",G326))*54,0)+IFERROR(--ISNUMBER(SEARCH("R55",G326))*55,0)+IFERROR(--ISNUMBER(SEARCH("R56",G326))*56,0)+IFERROR(--ISNUMBER(SEARCH("R57",G326))*57,0)+IFERROR(--ISNUMBER(SEARCH("R58",G326))*58,0)+IFERROR(--ISNUMBER(SEARCH("R59",G326))*59,0)+IFERROR(--ISNUMBER(SEARCH("R60",G326))*60,0)+IFERROR(--ISNUMBER(SEARCH("R61",G326))*61,0)+IFERROR(--ISNUMBER(SEARCH("R62",G326))*62,0)+IFERROR(--ISNUMBER(SEARCH("R63",G326))*63,0)+IFERROR(--ISNUMBER(SEARCH("R64",G326))*64,0)+IFERROR(--ISNUMBER(SEARCH("R65",G326))*65,0)+IFERROR(--ISNUMBER(SEARCH("R66",G326))*66,0)+IFERROR(--ISNUMBER(SEARCH("R67",G326))*67,0)+IFERROR(--ISNUMBER(SEARCH("R68",G326))*68,0)+IFERROR(--ISNUMBER(SEARCH("R69",G326))*69,0)+IFERROR(--ISNUMBER(SEARCH("R70",G326))*70,0)+IFERROR(--ISNUMBER(SEARCH("R71",G326))*71,0)+IFERROR(--ISNUMBER(SEARCH("R72",G326))*72,0)+IFERROR(--ISNUMBER(SEARCH("R73",G326))*73,0)+IFERROR(--ISNUMBER(SEARCH("R74",G326))*74,0)+IFERROR(--ISNUMBER(SEARCH("R75",G326))*75,0)+IFERROR(--ISNUMBER(SEARCH("R76",G326))*76,0)+IFERROR(--ISNUMBER(SEARCH("R77",G326))*77,0)+IFERROR(--ISNUMBER(SEARCH("R78",G326))*78,0)+IFERROR(--ISNUMBER(SEARCH("R79",G326))*79,0)+IFERROR(--ISNUMBER(SEARCH("R80",G326))*80,0)+IFERROR(--ISNUMBER(SEARCH("R81",G326))*81,0)+IFERROR(--ISNUMBER(SEARCH("R82",G326))*82,0)+IFERROR(--ISNUMBER(SEARCH("R83",G326))*83,0)+IFERROR(--ISNUMBER(SEARCH("R84",G326))*84,0)+IFERROR(--ISNUMBER(SEARCH("R85",G326))*85,0)+IFERROR(--ISNUMBER(SEARCH("R86",G326))*86,0)+IFERROR(--ISNUMBER(SEARCH("R87",G326))*87,0)+IFERROR(--ISNUMBER(SEARCH("R88",G326))*88,0)+IFERROR(--ISNUMBER(SEARCH("R89",G326))*89,0)+IFERROR(--ISNUMBER(SEARCH("R90",G326))*90,0)+IFERROR(--ISNUMBER(SEARCH("R91",G326))*91,0)+IFERROR(--ISNUMBER(SEARCH("R92",G326))*92,0)+IFERROR(--ISNUMBER(SEARCH("R93",G326))*93,0)+IFERROR(--ISNUMBER(SEARCH("R94",G326))*94,0)+IFERROR(--ISNUMBER(SEARCH("R95",G326))*95,0)+IFERROR(--ISNUMBER(SEARCH("R96",G326))*96,0)+IFERROR(--ISNUMBER(SEARCH("R97",G326))*97,0)+IFERROR(--ISNUMBER(SEARCH("R98",G326))*98,0)+IFERROR(--ISNUMBER(SEARCH("R99",G326))*99,0)+IFERROR(--ISNUMBER(SEARCH("R100",G326))*100,0)+IFERROR(--ISNUMBER(SEARCH("R101",G326))*101,0)+IFERROR(--ISNUMBER(SEARCH("R102",G326))*102,0)+IFERROR(--ISNUMBER(SEARCH("R103",G326))*103,0)+IFERROR(--ISNUMBER(SEARCH("R104",G326))*104,0)+IFERROR(--ISNUMBER(SEARCH("R105",G326))*105,0)+IFERROR(--ISNUMBER(SEARCH("R106",G326))*106,0)+IFERROR(--ISNUMBER(SEARCH("R107",G326))*107,0)+IFERROR(--ISNUMBER(SEARCH("R108",G326))*108,0)+IFERROR(--ISNUMBER(SEARCH("R109",G326))*109,0)+IFERROR(--ISNUMBER(SEARCH("R110",G326))*110,0)+IFERROR(--ISNUMBER(SEARCH("R111",G326))*111,0)+IFERROR(--ISNUMBER(SEARCH("R112",G326))*112,0)+IFERROR(--ISNUMBER(SEARCH("R113",G326))*113,0)+IFERROR(--ISNUMBER(SEARCH("R114",G326))*114,0)+IFERROR(--ISNUMBER(SEARCH("R115",G326))*115,0)+IFERROR(--ISNUMBER(SEARCH("R116",G326))*116,0)+IFERROR(--ISNUMBER(SEARCH("R117",G326))*117,0)+IFERROR(--ISNUMBER(SEARCH("R118",G326))*118,0)+IFERROR(--ISNUMBER(SEARCH("R119",G326))*119,0)+IFERROR(--ISNUMBER(SEARCH("R120",G326))*120,0)+IFERROR(--ISNUMBER(SEARCH("R121",G326))*121,0)+IFERROR(--ISNUMBER(SEARCH("R122",G326))*122,0)+IFERROR(--ISNUMBER(SEARCH("R123",G326))*123,0)+IFERROR(--ISNUMBER(SEARCH("R124",G326))*124,0)+IFERROR(--ISNUMBER(SEARCH("R125",G326))*125,0)+IFERROR(--ISNUMBER(SEARCH("R126",G326))*126,0)+IFERROR(--ISNUMBER(SEARCH("R127",G326))*127,0)+IFERROR(--ISNUMBER(SEARCH("R128",G326))*128,0)+IFERROR(--ISNUMBER(SEARCH("R129",G326))*129,0)+IFERROR(--ISNUMBER(SEARCH("R130",G326))*130,0)+IFERROR(--ISNUMBER(SEARCH("R131",G326))*131,0)+IFERROR(--ISNUMBER(SEARCH("R132",G326))*132,0)+IFERROR(--ISNUMBER(SEARCH("R133",G326))*133,0)+IFERROR(--ISNUMBER(SEARCH("R134",G326))*134,0)+IFERROR(--ISNUMBER(SEARCH("R135",G326))*135,0)+IFERROR(--ISNUMBER(SEARCH("R136",G326))*136,0)+IFERROR(--ISNUMBER(SEARCH("R137",G326))*137,0)+IFERROR(--ISNUMBER(SEARCH("R138",G326))*138,0)+IFERROR(--ISNUMBER(SEARCH("R139",G326))*139,0)+IFERROR(--ISNUMBER(SEARCH("R140",G326))*140,0)+IFERROR(--ISNUMBER(SEARCH("R141",G326))*141,0))</f>
        <v/>
      </c>
      <c r="V326" s="59">
        <f>IF(A326="","",IF(K326&lt;&gt;"",K326,J326))</f>
        <v/>
      </c>
      <c r="W326" s="59">
        <f>IF(A326="","",IF(AND(V326=29,O326&lt;&gt;"",COUNTIFS($V$6:$V$505,29,$F$6:$F$505,F326,$C$6:$C$505,C326,$O$6:$O$505,"&lt;&gt;")&gt;1),IF(COUNTIFS($V$6:V326,29,$F$6:F326,F326,$C$6:C326,C326,$O$6:O326,"&lt;&gt;")=1,"Esta es la fila que se debe CONSERVAR (aparición 1 de "&amp;COUNTIFS($V$6:$V$505,29,$F$6:$F$505,F326,$C$6:$C$505,C326,$O$6:$O$505,"&lt;&gt;")&amp;" con el mismo tercero y valor, casilla 29). Si hay más filas iguales, bórreles el valor a ELLAS, no a esta.","DUPLICADO — ya existe otra fila con el mismo tercero y valor para casilla 29 (aparición "&amp;COUNTIFS($V$6:V326,29,$F$6:F326,F326,$C$6:C326,C326,$O$6:O326,"&lt;&gt;")&amp;" de "&amp;COUNTIFS($V$6:$V$505,29,$F$6:$F$505,F326,$C$6:$C$505,C326,$O$6:$O$505,"&lt;&gt;")&amp;"). Para resolverlo: seleccione la celda O"&amp;ROW()&amp;" (columna Valor a declarar de ESTA fila) y presione Supr."),""))</f>
        <v/>
      </c>
      <c r="X326" s="463">
        <f>IF(A326="","",F326)</f>
        <v/>
      </c>
      <c r="Y326" s="463">
        <f>IF(A326="","",SUMIF(Entrada_Manual!$I$88:$I$187,A326,Entrada_Manual!$F$88:$F$187))</f>
        <v/>
      </c>
      <c r="Z326" s="463">
        <f>IF(A326="","",X326-Y326)</f>
        <v/>
      </c>
      <c r="AA326">
        <f>IF(A326="","",SUMPRODUCT((Entrada_Manual!$I$88:$I$187=A326)*1))</f>
        <v/>
      </c>
      <c r="AB326">
        <f>IF(A326="","",IF(S326&lt;=1,"",IF(AA326=0,"PENDIENTE — SIN ASIGNAR",IF(Z326=0,"RESUELTO","PARCIAL — DIFERENCIA "&amp;TEXT(Z326,"#,##0")))))</f>
        <v/>
      </c>
    </row>
    <row r="327" ht="14.25" customHeight="1" s="235">
      <c r="A327" s="47">
        <f>IF(Exogena_RAW!E336&lt;&gt;"",ROW()-5,"")</f>
        <v/>
      </c>
      <c r="B327" s="48">
        <f>IF(A327="","",336)</f>
        <v/>
      </c>
      <c r="C327" s="48">
        <f>IF(A327="","",IFERROR(Exogena_RAW!A336,""))</f>
        <v/>
      </c>
      <c r="D327" s="48">
        <f>IF(A327="","",IFERROR(Exogena_RAW!B336,""))</f>
        <v/>
      </c>
      <c r="E327" s="48">
        <f>IF(A327="","",Exogena_RAW!E336)</f>
        <v/>
      </c>
      <c r="F327" s="461">
        <f>IF(A327="","",Exogena_RAW!F336)</f>
        <v/>
      </c>
      <c r="G327" s="48">
        <f>IF(A327="","",IFERROR(Exogena_RAW!G336,""))</f>
        <v/>
      </c>
      <c r="H327" s="48">
        <f>IF(A327="","",IFERROR(Exogena_RAW!H336,""))</f>
        <v/>
      </c>
      <c r="I327" s="48">
        <f>IF(A327="","",IFERROR(IF(S327&gt;1,"VARIAS CASILLAS",IF(S327=1,IF(T327=1,"PROPUESTA DE CASILLA","REVISIÓN: CASILLA NO DIRECTA"),IF(OR(ISNUMBER(SEARCH("TOPE",UPPER(E327))),ISNUMBER(SEARCH("TOPE",UPPER(G327)))),"SOLO CONTROL",IF(ISNUMBER(SEARCH("RETEN",UPPER(E327))),"RETENCIÓN","REVISAR")))),"REVISAR"))</f>
        <v/>
      </c>
      <c r="J327" s="48">
        <f>IF(A327="","",IF(ISNUMBER(SEARCH("ingreso laboral promedio de los últimos seis meses",E327)),"",IFERROR(IF(AND(S327=1,T327=1),U327,""),"")))</f>
        <v/>
      </c>
      <c r="K327" s="216" t="n"/>
      <c r="L327" s="48">
        <f>IF(A327="","",IFERROR(IF(K327&lt;&gt;"","Casilla elegida por usuario",IF(S327&gt;1,"Varias casillas — elegir en K",IF(J327&lt;&gt;"","Sugerencia directa",IF(S327=1,"No trasladar directo — revisar",IF(OR(ISNUMBER(SEARCH("TOPE",UPPER(E327))),ISNUMBER(SEARCH("TOPE",UPPER(G327)))),"Solo control","Revisar manualmente"))))),"Revisar manualmente"))</f>
        <v/>
      </c>
      <c r="M327" s="461">
        <f>IF(A327="","",IF(IF(K327&lt;&gt;"",K327,J327)="",0,IF(COUNTIFS(Reglas!$I$5:$I$118,IF(K327&lt;&gt;"",K327,J327),Reglas!$J$5:$J$118,"Sí")=1,F327,0)))</f>
        <v/>
      </c>
      <c r="N327" s="56" t="n"/>
      <c r="O327" s="462">
        <f>IF(A327="","",IF(M327=0,"",M327))</f>
        <v/>
      </c>
      <c r="P327" s="461">
        <f>IF(A327="","",IF(O327="",0,IF(ISNUMBER(O327),O327,0)))</f>
        <v/>
      </c>
      <c r="Q327" s="48">
        <f>IF(A327="","",IF(Exogena_RAW!$C$4="","BLOQUEADO: FALTA AÑO",IF(Exogena_RAW!$K$10&lt;&gt;Reglas!$B$5,"BLOQUEADO: AÑO",IF(IF(K327&lt;&gt;"",K327,J327)="",IF(S327&gt;1,"REQUIERE ASIGNACIÓN MANUAL (VARIAS CASILLAS)","INFORMATIVO (sin casilla — no se declara)"),IF(COUNTIFS(Reglas!$I$5:$I$118,IF(K327&lt;&gt;"",K327,J327),Reglas!$J$5:$J$118,"Sí")=0,"BLOQUEADO: CASILLA NO DIRECTA",IF(O327="","EXCLUIDO (valor borrado por el usuario)",IF(_xlfn.ISFORMULA(O327),IF(W327&lt;&gt;"","BORRADOR — VALOR SUGERIDO DIAN ⚠ VER ALERTA","BORRADOR — VALOR SUGERIDO DIAN"),IF(W327&lt;&gt;"","ACEPTADO ⚠ VER ALERTA","ACEPTADO"))))))))</f>
        <v/>
      </c>
      <c r="R327" s="218" t="n"/>
      <c r="S327" s="58">
        <f>IF(A327="","",IFERROR(--ISNUMBER(SEARCH("R28",G327)),0)+IFERROR(--ISNUMBER(SEARCH("R29",G327)),0)+IFERROR(--ISNUMBER(SEARCH("R30",G327)),0)+IFERROR(--ISNUMBER(SEARCH("R31",G327)),0)+IFERROR(--ISNUMBER(SEARCH("R32",G327)),0)+IFERROR(--ISNUMBER(SEARCH("R33",G327)),0)+IFERROR(--ISNUMBER(SEARCH("R34",G327)),0)+IFERROR(--ISNUMBER(SEARCH("R35",G327)),0)+IFERROR(--ISNUMBER(SEARCH("R36",G327)),0)+IFERROR(--ISNUMBER(SEARCH("R37",G327)),0)+IFERROR(--ISNUMBER(SEARCH("R38",G327)),0)+IFERROR(--ISNUMBER(SEARCH("R39",G327)),0)+IFERROR(--ISNUMBER(SEARCH("R40",G327)),0)+IFERROR(--ISNUMBER(SEARCH("R41",G327)),0)+IFERROR(--ISNUMBER(SEARCH("R42",G327)),0)+IFERROR(--ISNUMBER(SEARCH("R43",G327)),0)+IFERROR(--ISNUMBER(SEARCH("R44",G327)),0)+IFERROR(--ISNUMBER(SEARCH("R45",G327)),0)+IFERROR(--ISNUMBER(SEARCH("R46",G327)),0)+IFERROR(--ISNUMBER(SEARCH("R47",G327)),0)+IFERROR(--ISNUMBER(SEARCH("R48",G327)),0)+IFERROR(--ISNUMBER(SEARCH("R49",G327)),0)+IFERROR(--ISNUMBER(SEARCH("R50",G327)),0)+IFERROR(--ISNUMBER(SEARCH("R51",G327)),0)+IFERROR(--ISNUMBER(SEARCH("R52",G327)),0)+IFERROR(--ISNUMBER(SEARCH("R53",G327)),0)+IFERROR(--ISNUMBER(SEARCH("R54",G327)),0)+IFERROR(--ISNUMBER(SEARCH("R55",G327)),0)+IFERROR(--ISNUMBER(SEARCH("R56",G327)),0)+IFERROR(--ISNUMBER(SEARCH("R57",G327)),0)+IFERROR(--ISNUMBER(SEARCH("R58",G327)),0)+IFERROR(--ISNUMBER(SEARCH("R59",G327)),0)+IFERROR(--ISNUMBER(SEARCH("R60",G327)),0)+IFERROR(--ISNUMBER(SEARCH("R61",G327)),0)+IFERROR(--ISNUMBER(SEARCH("R62",G327)),0)+IFERROR(--ISNUMBER(SEARCH("R63",G327)),0)+IFERROR(--ISNUMBER(SEARCH("R64",G327)),0)+IFERROR(--ISNUMBER(SEARCH("R65",G327)),0)+IFERROR(--ISNUMBER(SEARCH("R66",G327)),0)+IFERROR(--ISNUMBER(SEARCH("R67",G327)),0)+IFERROR(--ISNUMBER(SEARCH("R68",G327)),0)+IFERROR(--ISNUMBER(SEARCH("R69",G327)),0)+IFERROR(--ISNUMBER(SEARCH("R70",G327)),0)+IFERROR(--ISNUMBER(SEARCH("R71",G327)),0)+IFERROR(--ISNUMBER(SEARCH("R72",G327)),0)+IFERROR(--ISNUMBER(SEARCH("R73",G327)),0)+IFERROR(--ISNUMBER(SEARCH("R74",G327)),0)+IFERROR(--ISNUMBER(SEARCH("R75",G327)),0)+IFERROR(--ISNUMBER(SEARCH("R76",G327)),0)+IFERROR(--ISNUMBER(SEARCH("R77",G327)),0)+IFERROR(--ISNUMBER(SEARCH("R78",G327)),0)+IFERROR(--ISNUMBER(SEARCH("R79",G327)),0)+IFERROR(--ISNUMBER(SEARCH("R80",G327)),0)+IFERROR(--ISNUMBER(SEARCH("R81",G327)),0)+IFERROR(--ISNUMBER(SEARCH("R82",G327)),0)+IFERROR(--ISNUMBER(SEARCH("R83",G327)),0)+IFERROR(--ISNUMBER(SEARCH("R84",G327)),0)+IFERROR(--ISNUMBER(SEARCH("R85",G327)),0)+IFERROR(--ISNUMBER(SEARCH("R86",G327)),0)+IFERROR(--ISNUMBER(SEARCH("R87",G327)),0)+IFERROR(--ISNUMBER(SEARCH("R88",G327)),0)+IFERROR(--ISNUMBER(SEARCH("R89",G327)),0)+IFERROR(--ISNUMBER(SEARCH("R90",G327)),0)+IFERROR(--ISNUMBER(SEARCH("R91",G327)),0)+IFERROR(--ISNUMBER(SEARCH("R92",G327)),0)+IFERROR(--ISNUMBER(SEARCH("R93",G327)),0)+IFERROR(--ISNUMBER(SEARCH("R94",G327)),0)+IFERROR(--ISNUMBER(SEARCH("R95",G327)),0)+IFERROR(--ISNUMBER(SEARCH("R96",G327)),0)+IFERROR(--ISNUMBER(SEARCH("R97",G327)),0)+IFERROR(--ISNUMBER(SEARCH("R98",G327)),0)+IFERROR(--ISNUMBER(SEARCH("R99",G327)),0)+IFERROR(--ISNUMBER(SEARCH("R100",G327)),0)+IFERROR(--ISNUMBER(SEARCH("R101",G327)),0)+IFERROR(--ISNUMBER(SEARCH("R102",G327)),0)+IFERROR(--ISNUMBER(SEARCH("R103",G327)),0)+IFERROR(--ISNUMBER(SEARCH("R104",G327)),0)+IFERROR(--ISNUMBER(SEARCH("R105",G327)),0)+IFERROR(--ISNUMBER(SEARCH("R106",G327)),0)+IFERROR(--ISNUMBER(SEARCH("R107",G327)),0)+IFERROR(--ISNUMBER(SEARCH("R108",G327)),0)+IFERROR(--ISNUMBER(SEARCH("R109",G327)),0)+IFERROR(--ISNUMBER(SEARCH("R110",G327)),0)+IFERROR(--ISNUMBER(SEARCH("R111",G327)),0)+IFERROR(--ISNUMBER(SEARCH("R112",G327)),0)+IFERROR(--ISNUMBER(SEARCH("R113",G327)),0)+IFERROR(--ISNUMBER(SEARCH("R114",G327)),0)+IFERROR(--ISNUMBER(SEARCH("R115",G327)),0)+IFERROR(--ISNUMBER(SEARCH("R116",G327)),0)+IFERROR(--ISNUMBER(SEARCH("R117",G327)),0)+IFERROR(--ISNUMBER(SEARCH("R118",G327)),0)+IFERROR(--ISNUMBER(SEARCH("R119",G327)),0)+IFERROR(--ISNUMBER(SEARCH("R120",G327)),0)+IFERROR(--ISNUMBER(SEARCH("R121",G327)),0)+IFERROR(--ISNUMBER(SEARCH("R122",G327)),0)+IFERROR(--ISNUMBER(SEARCH("R123",G327)),0)+IFERROR(--ISNUMBER(SEARCH("R124",G327)),0)+IFERROR(--ISNUMBER(SEARCH("R125",G327)),0)+IFERROR(--ISNUMBER(SEARCH("R126",G327)),0)+IFERROR(--ISNUMBER(SEARCH("R127",G327)),0)+IFERROR(--ISNUMBER(SEARCH("R128",G327)),0)+IFERROR(--ISNUMBER(SEARCH("R129",G327)),0)+IFERROR(--ISNUMBER(SEARCH("R130",G327)),0)+IFERROR(--ISNUMBER(SEARCH("R131",G327)),0)+IFERROR(--ISNUMBER(SEARCH("R132",G327)),0)+IFERROR(--ISNUMBER(SEARCH("R133",G327)),0)+IFERROR(--ISNUMBER(SEARCH("R134",G327)),0)+IFERROR(--ISNUMBER(SEARCH("R135",G327)),0)+IFERROR(--ISNUMBER(SEARCH("R136",G327)),0)+IFERROR(--ISNUMBER(SEARCH("R137",G327)),0)+IFERROR(--ISNUMBER(SEARCH("R138",G327)),0)+IFERROR(--ISNUMBER(SEARCH("R139",G327)),0)+IFERROR(--ISNUMBER(SEARCH("R140",G327)),0)+IFERROR(--ISNUMBER(SEARCH("R141",G327)),0))</f>
        <v/>
      </c>
      <c r="T327" s="58">
        <f>IF(A327="","",IFERROR(--ISNUMBER(SEARCH("R28",G327)),0)+IFERROR(--ISNUMBER(SEARCH("R29",G327)),0)+IFERROR(--ISNUMBER(SEARCH("R30",G327)),0)+IFERROR(--ISNUMBER(SEARCH("R32",G327)),0)+IFERROR(--ISNUMBER(SEARCH("R33",G327)),0)+IFERROR(--ISNUMBER(SEARCH("R35",G327)),0)+IFERROR(--ISNUMBER(SEARCH("R36",G327)),0)+IFERROR(--ISNUMBER(SEARCH("R38",G327)),0)+IFERROR(--ISNUMBER(SEARCH("R39",G327)),0)+IFERROR(--ISNUMBER(SEARCH("R43",G327)),0)+IFERROR(--ISNUMBER(SEARCH("R44",G327)),0)+IFERROR(--ISNUMBER(SEARCH("R45",G327)),0)+IFERROR(--ISNUMBER(SEARCH("R47",G327)),0)+IFERROR(--ISNUMBER(SEARCH("R48",G327)),0)+IFERROR(--ISNUMBER(SEARCH("R50",G327)),0)+IFERROR(--ISNUMBER(SEARCH("R51",G327)),0)+IFERROR(--ISNUMBER(SEARCH("R56",G327)),0)+IFERROR(--ISNUMBER(SEARCH("R58",G327)),0)+IFERROR(--ISNUMBER(SEARCH("R59",G327)),0)+IFERROR(--ISNUMBER(SEARCH("R60",G327)),0)+IFERROR(--ISNUMBER(SEARCH("R62",G327)),0)+IFERROR(--ISNUMBER(SEARCH("R63",G327)),0)+IFERROR(--ISNUMBER(SEARCH("R64",G327)),0)+IFERROR(--ISNUMBER(SEARCH("R66",G327)),0)+IFERROR(--ISNUMBER(SEARCH("R67",G327)),0)+IFERROR(--ISNUMBER(SEARCH("R72",G327)),0)+IFERROR(--ISNUMBER(SEARCH("R74",G327)),0)+IFERROR(--ISNUMBER(SEARCH("R75",G327)),0)+IFERROR(--ISNUMBER(SEARCH("R76",G327)),0)+IFERROR(--ISNUMBER(SEARCH("R77",G327)),0)+IFERROR(--ISNUMBER(SEARCH("R79",G327)),0)+IFERROR(--ISNUMBER(SEARCH("R80",G327)),0)+IFERROR(--ISNUMBER(SEARCH("R81",G327)),0)+IFERROR(--ISNUMBER(SEARCH("R83",G327)),0)+IFERROR(--ISNUMBER(SEARCH("R84",G327)),0)+IFERROR(--ISNUMBER(SEARCH("R89",G327)),0)+IFERROR(--ISNUMBER(SEARCH("R94",G327)),0)+IFERROR(--ISNUMBER(SEARCH("R95",G327)),0)+IFERROR(--ISNUMBER(SEARCH("R96",G327)),0)+IFERROR(--ISNUMBER(SEARCH("R98",G327)),0)+IFERROR(--ISNUMBER(SEARCH("R99",G327)),0)+IFERROR(--ISNUMBER(SEARCH("R100",G327)),0)+IFERROR(--ISNUMBER(SEARCH("R104",G327)),0)+IFERROR(--ISNUMBER(SEARCH("R105",G327)),0)+IFERROR(--ISNUMBER(SEARCH("R107",G327)),0)+IFERROR(--ISNUMBER(SEARCH("R108",G327)),0)+IFERROR(--ISNUMBER(SEARCH("R109",G327)),0)+IFERROR(--ISNUMBER(SEARCH("R110",G327)),0)+IFERROR(--ISNUMBER(SEARCH("R112",G327)),0)+IFERROR(--ISNUMBER(SEARCH("R113",G327)),0)+IFERROR(--ISNUMBER(SEARCH("R114",G327)),0)+IFERROR(--ISNUMBER(SEARCH("R118",G327)),0)+IFERROR(--ISNUMBER(SEARCH("R119",G327)),0)+IFERROR(--ISNUMBER(SEARCH("R120",G327)),0)+IFERROR(--ISNUMBER(SEARCH("R122",G327)),0)+IFERROR(--ISNUMBER(SEARCH("R123",G327)),0)+IFERROR(--ISNUMBER(SEARCH("R124",G327)),0)+IFERROR(--ISNUMBER(SEARCH("R128",G327)),0)+IFERROR(--ISNUMBER(SEARCH("R130",G327)),0)+IFERROR(--ISNUMBER(SEARCH("R131",G327)),0)+IFERROR(--ISNUMBER(SEARCH("R132",G327)),0)+IFERROR(--ISNUMBER(SEARCH("R135",G327)),0)+IFERROR(--ISNUMBER(SEARCH("R138",G327)),0)+IFERROR(--ISNUMBER(SEARCH("R141",G327)),0))</f>
        <v/>
      </c>
      <c r="U327" s="58">
        <f>IF(A327="","",IFERROR(--ISNUMBER(SEARCH("R28",G327))*28,0)+IFERROR(--ISNUMBER(SEARCH("R29",G327))*29,0)+IFERROR(--ISNUMBER(SEARCH("R30",G327))*30,0)+IFERROR(--ISNUMBER(SEARCH("R31",G327))*31,0)+IFERROR(--ISNUMBER(SEARCH("R32",G327))*32,0)+IFERROR(--ISNUMBER(SEARCH("R33",G327))*33,0)+IFERROR(--ISNUMBER(SEARCH("R34",G327))*34,0)+IFERROR(--ISNUMBER(SEARCH("R35",G327))*35,0)+IFERROR(--ISNUMBER(SEARCH("R36",G327))*36,0)+IFERROR(--ISNUMBER(SEARCH("R37",G327))*37,0)+IFERROR(--ISNUMBER(SEARCH("R38",G327))*38,0)+IFERROR(--ISNUMBER(SEARCH("R39",G327))*39,0)+IFERROR(--ISNUMBER(SEARCH("R40",G327))*40,0)+IFERROR(--ISNUMBER(SEARCH("R41",G327))*41,0)+IFERROR(--ISNUMBER(SEARCH("R42",G327))*42,0)+IFERROR(--ISNUMBER(SEARCH("R43",G327))*43,0)+IFERROR(--ISNUMBER(SEARCH("R44",G327))*44,0)+IFERROR(--ISNUMBER(SEARCH("R45",G327))*45,0)+IFERROR(--ISNUMBER(SEARCH("R46",G327))*46,0)+IFERROR(--ISNUMBER(SEARCH("R47",G327))*47,0)+IFERROR(--ISNUMBER(SEARCH("R48",G327))*48,0)+IFERROR(--ISNUMBER(SEARCH("R49",G327))*49,0)+IFERROR(--ISNUMBER(SEARCH("R50",G327))*50,0)+IFERROR(--ISNUMBER(SEARCH("R51",G327))*51,0)+IFERROR(--ISNUMBER(SEARCH("R52",G327))*52,0)+IFERROR(--ISNUMBER(SEARCH("R53",G327))*53,0)+IFERROR(--ISNUMBER(SEARCH("R54",G327))*54,0)+IFERROR(--ISNUMBER(SEARCH("R55",G327))*55,0)+IFERROR(--ISNUMBER(SEARCH("R56",G327))*56,0)+IFERROR(--ISNUMBER(SEARCH("R57",G327))*57,0)+IFERROR(--ISNUMBER(SEARCH("R58",G327))*58,0)+IFERROR(--ISNUMBER(SEARCH("R59",G327))*59,0)+IFERROR(--ISNUMBER(SEARCH("R60",G327))*60,0)+IFERROR(--ISNUMBER(SEARCH("R61",G327))*61,0)+IFERROR(--ISNUMBER(SEARCH("R62",G327))*62,0)+IFERROR(--ISNUMBER(SEARCH("R63",G327))*63,0)+IFERROR(--ISNUMBER(SEARCH("R64",G327))*64,0)+IFERROR(--ISNUMBER(SEARCH("R65",G327))*65,0)+IFERROR(--ISNUMBER(SEARCH("R66",G327))*66,0)+IFERROR(--ISNUMBER(SEARCH("R67",G327))*67,0)+IFERROR(--ISNUMBER(SEARCH("R68",G327))*68,0)+IFERROR(--ISNUMBER(SEARCH("R69",G327))*69,0)+IFERROR(--ISNUMBER(SEARCH("R70",G327))*70,0)+IFERROR(--ISNUMBER(SEARCH("R71",G327))*71,0)+IFERROR(--ISNUMBER(SEARCH("R72",G327))*72,0)+IFERROR(--ISNUMBER(SEARCH("R73",G327))*73,0)+IFERROR(--ISNUMBER(SEARCH("R74",G327))*74,0)+IFERROR(--ISNUMBER(SEARCH("R75",G327))*75,0)+IFERROR(--ISNUMBER(SEARCH("R76",G327))*76,0)+IFERROR(--ISNUMBER(SEARCH("R77",G327))*77,0)+IFERROR(--ISNUMBER(SEARCH("R78",G327))*78,0)+IFERROR(--ISNUMBER(SEARCH("R79",G327))*79,0)+IFERROR(--ISNUMBER(SEARCH("R80",G327))*80,0)+IFERROR(--ISNUMBER(SEARCH("R81",G327))*81,0)+IFERROR(--ISNUMBER(SEARCH("R82",G327))*82,0)+IFERROR(--ISNUMBER(SEARCH("R83",G327))*83,0)+IFERROR(--ISNUMBER(SEARCH("R84",G327))*84,0)+IFERROR(--ISNUMBER(SEARCH("R85",G327))*85,0)+IFERROR(--ISNUMBER(SEARCH("R86",G327))*86,0)+IFERROR(--ISNUMBER(SEARCH("R87",G327))*87,0)+IFERROR(--ISNUMBER(SEARCH("R88",G327))*88,0)+IFERROR(--ISNUMBER(SEARCH("R89",G327))*89,0)+IFERROR(--ISNUMBER(SEARCH("R90",G327))*90,0)+IFERROR(--ISNUMBER(SEARCH("R91",G327))*91,0)+IFERROR(--ISNUMBER(SEARCH("R92",G327))*92,0)+IFERROR(--ISNUMBER(SEARCH("R93",G327))*93,0)+IFERROR(--ISNUMBER(SEARCH("R94",G327))*94,0)+IFERROR(--ISNUMBER(SEARCH("R95",G327))*95,0)+IFERROR(--ISNUMBER(SEARCH("R96",G327))*96,0)+IFERROR(--ISNUMBER(SEARCH("R97",G327))*97,0)+IFERROR(--ISNUMBER(SEARCH("R98",G327))*98,0)+IFERROR(--ISNUMBER(SEARCH("R99",G327))*99,0)+IFERROR(--ISNUMBER(SEARCH("R100",G327))*100,0)+IFERROR(--ISNUMBER(SEARCH("R101",G327))*101,0)+IFERROR(--ISNUMBER(SEARCH("R102",G327))*102,0)+IFERROR(--ISNUMBER(SEARCH("R103",G327))*103,0)+IFERROR(--ISNUMBER(SEARCH("R104",G327))*104,0)+IFERROR(--ISNUMBER(SEARCH("R105",G327))*105,0)+IFERROR(--ISNUMBER(SEARCH("R106",G327))*106,0)+IFERROR(--ISNUMBER(SEARCH("R107",G327))*107,0)+IFERROR(--ISNUMBER(SEARCH("R108",G327))*108,0)+IFERROR(--ISNUMBER(SEARCH("R109",G327))*109,0)+IFERROR(--ISNUMBER(SEARCH("R110",G327))*110,0)+IFERROR(--ISNUMBER(SEARCH("R111",G327))*111,0)+IFERROR(--ISNUMBER(SEARCH("R112",G327))*112,0)+IFERROR(--ISNUMBER(SEARCH("R113",G327))*113,0)+IFERROR(--ISNUMBER(SEARCH("R114",G327))*114,0)+IFERROR(--ISNUMBER(SEARCH("R115",G327))*115,0)+IFERROR(--ISNUMBER(SEARCH("R116",G327))*116,0)+IFERROR(--ISNUMBER(SEARCH("R117",G327))*117,0)+IFERROR(--ISNUMBER(SEARCH("R118",G327))*118,0)+IFERROR(--ISNUMBER(SEARCH("R119",G327))*119,0)+IFERROR(--ISNUMBER(SEARCH("R120",G327))*120,0)+IFERROR(--ISNUMBER(SEARCH("R121",G327))*121,0)+IFERROR(--ISNUMBER(SEARCH("R122",G327))*122,0)+IFERROR(--ISNUMBER(SEARCH("R123",G327))*123,0)+IFERROR(--ISNUMBER(SEARCH("R124",G327))*124,0)+IFERROR(--ISNUMBER(SEARCH("R125",G327))*125,0)+IFERROR(--ISNUMBER(SEARCH("R126",G327))*126,0)+IFERROR(--ISNUMBER(SEARCH("R127",G327))*127,0)+IFERROR(--ISNUMBER(SEARCH("R128",G327))*128,0)+IFERROR(--ISNUMBER(SEARCH("R129",G327))*129,0)+IFERROR(--ISNUMBER(SEARCH("R130",G327))*130,0)+IFERROR(--ISNUMBER(SEARCH("R131",G327))*131,0)+IFERROR(--ISNUMBER(SEARCH("R132",G327))*132,0)+IFERROR(--ISNUMBER(SEARCH("R133",G327))*133,0)+IFERROR(--ISNUMBER(SEARCH("R134",G327))*134,0)+IFERROR(--ISNUMBER(SEARCH("R135",G327))*135,0)+IFERROR(--ISNUMBER(SEARCH("R136",G327))*136,0)+IFERROR(--ISNUMBER(SEARCH("R137",G327))*137,0)+IFERROR(--ISNUMBER(SEARCH("R138",G327))*138,0)+IFERROR(--ISNUMBER(SEARCH("R139",G327))*139,0)+IFERROR(--ISNUMBER(SEARCH("R140",G327))*140,0)+IFERROR(--ISNUMBER(SEARCH("R141",G327))*141,0))</f>
        <v/>
      </c>
      <c r="V327" s="59">
        <f>IF(A327="","",IF(K327&lt;&gt;"",K327,J327))</f>
        <v/>
      </c>
      <c r="W327" s="59">
        <f>IF(A327="","",IF(AND(V327=29,O327&lt;&gt;"",COUNTIFS($V$6:$V$505,29,$F$6:$F$505,F327,$C$6:$C$505,C327,$O$6:$O$505,"&lt;&gt;")&gt;1),IF(COUNTIFS($V$6:V327,29,$F$6:F327,F327,$C$6:C327,C327,$O$6:O327,"&lt;&gt;")=1,"Esta es la fila que se debe CONSERVAR (aparición 1 de "&amp;COUNTIFS($V$6:$V$505,29,$F$6:$F$505,F327,$C$6:$C$505,C327,$O$6:$O$505,"&lt;&gt;")&amp;" con el mismo tercero y valor, casilla 29). Si hay más filas iguales, bórreles el valor a ELLAS, no a esta.","DUPLICADO — ya existe otra fila con el mismo tercero y valor para casilla 29 (aparición "&amp;COUNTIFS($V$6:V327,29,$F$6:F327,F327,$C$6:C327,C327,$O$6:O327,"&lt;&gt;")&amp;" de "&amp;COUNTIFS($V$6:$V$505,29,$F$6:$F$505,F327,$C$6:$C$505,C327,$O$6:$O$505,"&lt;&gt;")&amp;"). Para resolverlo: seleccione la celda O"&amp;ROW()&amp;" (columna Valor a declarar de ESTA fila) y presione Supr."),""))</f>
        <v/>
      </c>
      <c r="X327" s="463">
        <f>IF(A327="","",F327)</f>
        <v/>
      </c>
      <c r="Y327" s="463">
        <f>IF(A327="","",SUMIF(Entrada_Manual!$I$88:$I$187,A327,Entrada_Manual!$F$88:$F$187))</f>
        <v/>
      </c>
      <c r="Z327" s="463">
        <f>IF(A327="","",X327-Y327)</f>
        <v/>
      </c>
      <c r="AA327">
        <f>IF(A327="","",SUMPRODUCT((Entrada_Manual!$I$88:$I$187=A327)*1))</f>
        <v/>
      </c>
      <c r="AB327">
        <f>IF(A327="","",IF(S327&lt;=1,"",IF(AA327=0,"PENDIENTE — SIN ASIGNAR",IF(Z327=0,"RESUELTO","PARCIAL — DIFERENCIA "&amp;TEXT(Z327,"#,##0")))))</f>
        <v/>
      </c>
    </row>
    <row r="328" ht="14.25" customHeight="1" s="235">
      <c r="A328" s="47">
        <f>IF(Exogena_RAW!E337&lt;&gt;"",ROW()-5,"")</f>
        <v/>
      </c>
      <c r="B328" s="48">
        <f>IF(A328="","",337)</f>
        <v/>
      </c>
      <c r="C328" s="48">
        <f>IF(A328="","",IFERROR(Exogena_RAW!A337,""))</f>
        <v/>
      </c>
      <c r="D328" s="48">
        <f>IF(A328="","",IFERROR(Exogena_RAW!B337,""))</f>
        <v/>
      </c>
      <c r="E328" s="48">
        <f>IF(A328="","",Exogena_RAW!E337)</f>
        <v/>
      </c>
      <c r="F328" s="461">
        <f>IF(A328="","",Exogena_RAW!F337)</f>
        <v/>
      </c>
      <c r="G328" s="48">
        <f>IF(A328="","",IFERROR(Exogena_RAW!G337,""))</f>
        <v/>
      </c>
      <c r="H328" s="48">
        <f>IF(A328="","",IFERROR(Exogena_RAW!H337,""))</f>
        <v/>
      </c>
      <c r="I328" s="48">
        <f>IF(A328="","",IFERROR(IF(S328&gt;1,"VARIAS CASILLAS",IF(S328=1,IF(T328=1,"PROPUESTA DE CASILLA","REVISIÓN: CASILLA NO DIRECTA"),IF(OR(ISNUMBER(SEARCH("TOPE",UPPER(E328))),ISNUMBER(SEARCH("TOPE",UPPER(G328)))),"SOLO CONTROL",IF(ISNUMBER(SEARCH("RETEN",UPPER(E328))),"RETENCIÓN","REVISAR")))),"REVISAR"))</f>
        <v/>
      </c>
      <c r="J328" s="48">
        <f>IF(A328="","",IF(ISNUMBER(SEARCH("ingreso laboral promedio de los últimos seis meses",E328)),"",IFERROR(IF(AND(S328=1,T328=1),U328,""),"")))</f>
        <v/>
      </c>
      <c r="K328" s="216" t="n"/>
      <c r="L328" s="48">
        <f>IF(A328="","",IFERROR(IF(K328&lt;&gt;"","Casilla elegida por usuario",IF(S328&gt;1,"Varias casillas — elegir en K",IF(J328&lt;&gt;"","Sugerencia directa",IF(S328=1,"No trasladar directo — revisar",IF(OR(ISNUMBER(SEARCH("TOPE",UPPER(E328))),ISNUMBER(SEARCH("TOPE",UPPER(G328)))),"Solo control","Revisar manualmente"))))),"Revisar manualmente"))</f>
        <v/>
      </c>
      <c r="M328" s="461">
        <f>IF(A328="","",IF(IF(K328&lt;&gt;"",K328,J328)="",0,IF(COUNTIFS(Reglas!$I$5:$I$118,IF(K328&lt;&gt;"",K328,J328),Reglas!$J$5:$J$118,"Sí")=1,F328,0)))</f>
        <v/>
      </c>
      <c r="N328" s="56" t="n"/>
      <c r="O328" s="462">
        <f>IF(A328="","",IF(M328=0,"",M328))</f>
        <v/>
      </c>
      <c r="P328" s="461">
        <f>IF(A328="","",IF(O328="",0,IF(ISNUMBER(O328),O328,0)))</f>
        <v/>
      </c>
      <c r="Q328" s="48">
        <f>IF(A328="","",IF(Exogena_RAW!$C$4="","BLOQUEADO: FALTA AÑO",IF(Exogena_RAW!$K$10&lt;&gt;Reglas!$B$5,"BLOQUEADO: AÑO",IF(IF(K328&lt;&gt;"",K328,J328)="",IF(S328&gt;1,"REQUIERE ASIGNACIÓN MANUAL (VARIAS CASILLAS)","INFORMATIVO (sin casilla — no se declara)"),IF(COUNTIFS(Reglas!$I$5:$I$118,IF(K328&lt;&gt;"",K328,J328),Reglas!$J$5:$J$118,"Sí")=0,"BLOQUEADO: CASILLA NO DIRECTA",IF(O328="","EXCLUIDO (valor borrado por el usuario)",IF(_xlfn.ISFORMULA(O328),IF(W328&lt;&gt;"","BORRADOR — VALOR SUGERIDO DIAN ⚠ VER ALERTA","BORRADOR — VALOR SUGERIDO DIAN"),IF(W328&lt;&gt;"","ACEPTADO ⚠ VER ALERTA","ACEPTADO"))))))))</f>
        <v/>
      </c>
      <c r="R328" s="218" t="n"/>
      <c r="S328" s="58">
        <f>IF(A328="","",IFERROR(--ISNUMBER(SEARCH("R28",G328)),0)+IFERROR(--ISNUMBER(SEARCH("R29",G328)),0)+IFERROR(--ISNUMBER(SEARCH("R30",G328)),0)+IFERROR(--ISNUMBER(SEARCH("R31",G328)),0)+IFERROR(--ISNUMBER(SEARCH("R32",G328)),0)+IFERROR(--ISNUMBER(SEARCH("R33",G328)),0)+IFERROR(--ISNUMBER(SEARCH("R34",G328)),0)+IFERROR(--ISNUMBER(SEARCH("R35",G328)),0)+IFERROR(--ISNUMBER(SEARCH("R36",G328)),0)+IFERROR(--ISNUMBER(SEARCH("R37",G328)),0)+IFERROR(--ISNUMBER(SEARCH("R38",G328)),0)+IFERROR(--ISNUMBER(SEARCH("R39",G328)),0)+IFERROR(--ISNUMBER(SEARCH("R40",G328)),0)+IFERROR(--ISNUMBER(SEARCH("R41",G328)),0)+IFERROR(--ISNUMBER(SEARCH("R42",G328)),0)+IFERROR(--ISNUMBER(SEARCH("R43",G328)),0)+IFERROR(--ISNUMBER(SEARCH("R44",G328)),0)+IFERROR(--ISNUMBER(SEARCH("R45",G328)),0)+IFERROR(--ISNUMBER(SEARCH("R46",G328)),0)+IFERROR(--ISNUMBER(SEARCH("R47",G328)),0)+IFERROR(--ISNUMBER(SEARCH("R48",G328)),0)+IFERROR(--ISNUMBER(SEARCH("R49",G328)),0)+IFERROR(--ISNUMBER(SEARCH("R50",G328)),0)+IFERROR(--ISNUMBER(SEARCH("R51",G328)),0)+IFERROR(--ISNUMBER(SEARCH("R52",G328)),0)+IFERROR(--ISNUMBER(SEARCH("R53",G328)),0)+IFERROR(--ISNUMBER(SEARCH("R54",G328)),0)+IFERROR(--ISNUMBER(SEARCH("R55",G328)),0)+IFERROR(--ISNUMBER(SEARCH("R56",G328)),0)+IFERROR(--ISNUMBER(SEARCH("R57",G328)),0)+IFERROR(--ISNUMBER(SEARCH("R58",G328)),0)+IFERROR(--ISNUMBER(SEARCH("R59",G328)),0)+IFERROR(--ISNUMBER(SEARCH("R60",G328)),0)+IFERROR(--ISNUMBER(SEARCH("R61",G328)),0)+IFERROR(--ISNUMBER(SEARCH("R62",G328)),0)+IFERROR(--ISNUMBER(SEARCH("R63",G328)),0)+IFERROR(--ISNUMBER(SEARCH("R64",G328)),0)+IFERROR(--ISNUMBER(SEARCH("R65",G328)),0)+IFERROR(--ISNUMBER(SEARCH("R66",G328)),0)+IFERROR(--ISNUMBER(SEARCH("R67",G328)),0)+IFERROR(--ISNUMBER(SEARCH("R68",G328)),0)+IFERROR(--ISNUMBER(SEARCH("R69",G328)),0)+IFERROR(--ISNUMBER(SEARCH("R70",G328)),0)+IFERROR(--ISNUMBER(SEARCH("R71",G328)),0)+IFERROR(--ISNUMBER(SEARCH("R72",G328)),0)+IFERROR(--ISNUMBER(SEARCH("R73",G328)),0)+IFERROR(--ISNUMBER(SEARCH("R74",G328)),0)+IFERROR(--ISNUMBER(SEARCH("R75",G328)),0)+IFERROR(--ISNUMBER(SEARCH("R76",G328)),0)+IFERROR(--ISNUMBER(SEARCH("R77",G328)),0)+IFERROR(--ISNUMBER(SEARCH("R78",G328)),0)+IFERROR(--ISNUMBER(SEARCH("R79",G328)),0)+IFERROR(--ISNUMBER(SEARCH("R80",G328)),0)+IFERROR(--ISNUMBER(SEARCH("R81",G328)),0)+IFERROR(--ISNUMBER(SEARCH("R82",G328)),0)+IFERROR(--ISNUMBER(SEARCH("R83",G328)),0)+IFERROR(--ISNUMBER(SEARCH("R84",G328)),0)+IFERROR(--ISNUMBER(SEARCH("R85",G328)),0)+IFERROR(--ISNUMBER(SEARCH("R86",G328)),0)+IFERROR(--ISNUMBER(SEARCH("R87",G328)),0)+IFERROR(--ISNUMBER(SEARCH("R88",G328)),0)+IFERROR(--ISNUMBER(SEARCH("R89",G328)),0)+IFERROR(--ISNUMBER(SEARCH("R90",G328)),0)+IFERROR(--ISNUMBER(SEARCH("R91",G328)),0)+IFERROR(--ISNUMBER(SEARCH("R92",G328)),0)+IFERROR(--ISNUMBER(SEARCH("R93",G328)),0)+IFERROR(--ISNUMBER(SEARCH("R94",G328)),0)+IFERROR(--ISNUMBER(SEARCH("R95",G328)),0)+IFERROR(--ISNUMBER(SEARCH("R96",G328)),0)+IFERROR(--ISNUMBER(SEARCH("R97",G328)),0)+IFERROR(--ISNUMBER(SEARCH("R98",G328)),0)+IFERROR(--ISNUMBER(SEARCH("R99",G328)),0)+IFERROR(--ISNUMBER(SEARCH("R100",G328)),0)+IFERROR(--ISNUMBER(SEARCH("R101",G328)),0)+IFERROR(--ISNUMBER(SEARCH("R102",G328)),0)+IFERROR(--ISNUMBER(SEARCH("R103",G328)),0)+IFERROR(--ISNUMBER(SEARCH("R104",G328)),0)+IFERROR(--ISNUMBER(SEARCH("R105",G328)),0)+IFERROR(--ISNUMBER(SEARCH("R106",G328)),0)+IFERROR(--ISNUMBER(SEARCH("R107",G328)),0)+IFERROR(--ISNUMBER(SEARCH("R108",G328)),0)+IFERROR(--ISNUMBER(SEARCH("R109",G328)),0)+IFERROR(--ISNUMBER(SEARCH("R110",G328)),0)+IFERROR(--ISNUMBER(SEARCH("R111",G328)),0)+IFERROR(--ISNUMBER(SEARCH("R112",G328)),0)+IFERROR(--ISNUMBER(SEARCH("R113",G328)),0)+IFERROR(--ISNUMBER(SEARCH("R114",G328)),0)+IFERROR(--ISNUMBER(SEARCH("R115",G328)),0)+IFERROR(--ISNUMBER(SEARCH("R116",G328)),0)+IFERROR(--ISNUMBER(SEARCH("R117",G328)),0)+IFERROR(--ISNUMBER(SEARCH("R118",G328)),0)+IFERROR(--ISNUMBER(SEARCH("R119",G328)),0)+IFERROR(--ISNUMBER(SEARCH("R120",G328)),0)+IFERROR(--ISNUMBER(SEARCH("R121",G328)),0)+IFERROR(--ISNUMBER(SEARCH("R122",G328)),0)+IFERROR(--ISNUMBER(SEARCH("R123",G328)),0)+IFERROR(--ISNUMBER(SEARCH("R124",G328)),0)+IFERROR(--ISNUMBER(SEARCH("R125",G328)),0)+IFERROR(--ISNUMBER(SEARCH("R126",G328)),0)+IFERROR(--ISNUMBER(SEARCH("R127",G328)),0)+IFERROR(--ISNUMBER(SEARCH("R128",G328)),0)+IFERROR(--ISNUMBER(SEARCH("R129",G328)),0)+IFERROR(--ISNUMBER(SEARCH("R130",G328)),0)+IFERROR(--ISNUMBER(SEARCH("R131",G328)),0)+IFERROR(--ISNUMBER(SEARCH("R132",G328)),0)+IFERROR(--ISNUMBER(SEARCH("R133",G328)),0)+IFERROR(--ISNUMBER(SEARCH("R134",G328)),0)+IFERROR(--ISNUMBER(SEARCH("R135",G328)),0)+IFERROR(--ISNUMBER(SEARCH("R136",G328)),0)+IFERROR(--ISNUMBER(SEARCH("R137",G328)),0)+IFERROR(--ISNUMBER(SEARCH("R138",G328)),0)+IFERROR(--ISNUMBER(SEARCH("R139",G328)),0)+IFERROR(--ISNUMBER(SEARCH("R140",G328)),0)+IFERROR(--ISNUMBER(SEARCH("R141",G328)),0))</f>
        <v/>
      </c>
      <c r="T328" s="58">
        <f>IF(A328="","",IFERROR(--ISNUMBER(SEARCH("R28",G328)),0)+IFERROR(--ISNUMBER(SEARCH("R29",G328)),0)+IFERROR(--ISNUMBER(SEARCH("R30",G328)),0)+IFERROR(--ISNUMBER(SEARCH("R32",G328)),0)+IFERROR(--ISNUMBER(SEARCH("R33",G328)),0)+IFERROR(--ISNUMBER(SEARCH("R35",G328)),0)+IFERROR(--ISNUMBER(SEARCH("R36",G328)),0)+IFERROR(--ISNUMBER(SEARCH("R38",G328)),0)+IFERROR(--ISNUMBER(SEARCH("R39",G328)),0)+IFERROR(--ISNUMBER(SEARCH("R43",G328)),0)+IFERROR(--ISNUMBER(SEARCH("R44",G328)),0)+IFERROR(--ISNUMBER(SEARCH("R45",G328)),0)+IFERROR(--ISNUMBER(SEARCH("R47",G328)),0)+IFERROR(--ISNUMBER(SEARCH("R48",G328)),0)+IFERROR(--ISNUMBER(SEARCH("R50",G328)),0)+IFERROR(--ISNUMBER(SEARCH("R51",G328)),0)+IFERROR(--ISNUMBER(SEARCH("R56",G328)),0)+IFERROR(--ISNUMBER(SEARCH("R58",G328)),0)+IFERROR(--ISNUMBER(SEARCH("R59",G328)),0)+IFERROR(--ISNUMBER(SEARCH("R60",G328)),0)+IFERROR(--ISNUMBER(SEARCH("R62",G328)),0)+IFERROR(--ISNUMBER(SEARCH("R63",G328)),0)+IFERROR(--ISNUMBER(SEARCH("R64",G328)),0)+IFERROR(--ISNUMBER(SEARCH("R66",G328)),0)+IFERROR(--ISNUMBER(SEARCH("R67",G328)),0)+IFERROR(--ISNUMBER(SEARCH("R72",G328)),0)+IFERROR(--ISNUMBER(SEARCH("R74",G328)),0)+IFERROR(--ISNUMBER(SEARCH("R75",G328)),0)+IFERROR(--ISNUMBER(SEARCH("R76",G328)),0)+IFERROR(--ISNUMBER(SEARCH("R77",G328)),0)+IFERROR(--ISNUMBER(SEARCH("R79",G328)),0)+IFERROR(--ISNUMBER(SEARCH("R80",G328)),0)+IFERROR(--ISNUMBER(SEARCH("R81",G328)),0)+IFERROR(--ISNUMBER(SEARCH("R83",G328)),0)+IFERROR(--ISNUMBER(SEARCH("R84",G328)),0)+IFERROR(--ISNUMBER(SEARCH("R89",G328)),0)+IFERROR(--ISNUMBER(SEARCH("R94",G328)),0)+IFERROR(--ISNUMBER(SEARCH("R95",G328)),0)+IFERROR(--ISNUMBER(SEARCH("R96",G328)),0)+IFERROR(--ISNUMBER(SEARCH("R98",G328)),0)+IFERROR(--ISNUMBER(SEARCH("R99",G328)),0)+IFERROR(--ISNUMBER(SEARCH("R100",G328)),0)+IFERROR(--ISNUMBER(SEARCH("R104",G328)),0)+IFERROR(--ISNUMBER(SEARCH("R105",G328)),0)+IFERROR(--ISNUMBER(SEARCH("R107",G328)),0)+IFERROR(--ISNUMBER(SEARCH("R108",G328)),0)+IFERROR(--ISNUMBER(SEARCH("R109",G328)),0)+IFERROR(--ISNUMBER(SEARCH("R110",G328)),0)+IFERROR(--ISNUMBER(SEARCH("R112",G328)),0)+IFERROR(--ISNUMBER(SEARCH("R113",G328)),0)+IFERROR(--ISNUMBER(SEARCH("R114",G328)),0)+IFERROR(--ISNUMBER(SEARCH("R118",G328)),0)+IFERROR(--ISNUMBER(SEARCH("R119",G328)),0)+IFERROR(--ISNUMBER(SEARCH("R120",G328)),0)+IFERROR(--ISNUMBER(SEARCH("R122",G328)),0)+IFERROR(--ISNUMBER(SEARCH("R123",G328)),0)+IFERROR(--ISNUMBER(SEARCH("R124",G328)),0)+IFERROR(--ISNUMBER(SEARCH("R128",G328)),0)+IFERROR(--ISNUMBER(SEARCH("R130",G328)),0)+IFERROR(--ISNUMBER(SEARCH("R131",G328)),0)+IFERROR(--ISNUMBER(SEARCH("R132",G328)),0)+IFERROR(--ISNUMBER(SEARCH("R135",G328)),0)+IFERROR(--ISNUMBER(SEARCH("R138",G328)),0)+IFERROR(--ISNUMBER(SEARCH("R141",G328)),0))</f>
        <v/>
      </c>
      <c r="U328" s="58">
        <f>IF(A328="","",IFERROR(--ISNUMBER(SEARCH("R28",G328))*28,0)+IFERROR(--ISNUMBER(SEARCH("R29",G328))*29,0)+IFERROR(--ISNUMBER(SEARCH("R30",G328))*30,0)+IFERROR(--ISNUMBER(SEARCH("R31",G328))*31,0)+IFERROR(--ISNUMBER(SEARCH("R32",G328))*32,0)+IFERROR(--ISNUMBER(SEARCH("R33",G328))*33,0)+IFERROR(--ISNUMBER(SEARCH("R34",G328))*34,0)+IFERROR(--ISNUMBER(SEARCH("R35",G328))*35,0)+IFERROR(--ISNUMBER(SEARCH("R36",G328))*36,0)+IFERROR(--ISNUMBER(SEARCH("R37",G328))*37,0)+IFERROR(--ISNUMBER(SEARCH("R38",G328))*38,0)+IFERROR(--ISNUMBER(SEARCH("R39",G328))*39,0)+IFERROR(--ISNUMBER(SEARCH("R40",G328))*40,0)+IFERROR(--ISNUMBER(SEARCH("R41",G328))*41,0)+IFERROR(--ISNUMBER(SEARCH("R42",G328))*42,0)+IFERROR(--ISNUMBER(SEARCH("R43",G328))*43,0)+IFERROR(--ISNUMBER(SEARCH("R44",G328))*44,0)+IFERROR(--ISNUMBER(SEARCH("R45",G328))*45,0)+IFERROR(--ISNUMBER(SEARCH("R46",G328))*46,0)+IFERROR(--ISNUMBER(SEARCH("R47",G328))*47,0)+IFERROR(--ISNUMBER(SEARCH("R48",G328))*48,0)+IFERROR(--ISNUMBER(SEARCH("R49",G328))*49,0)+IFERROR(--ISNUMBER(SEARCH("R50",G328))*50,0)+IFERROR(--ISNUMBER(SEARCH("R51",G328))*51,0)+IFERROR(--ISNUMBER(SEARCH("R52",G328))*52,0)+IFERROR(--ISNUMBER(SEARCH("R53",G328))*53,0)+IFERROR(--ISNUMBER(SEARCH("R54",G328))*54,0)+IFERROR(--ISNUMBER(SEARCH("R55",G328))*55,0)+IFERROR(--ISNUMBER(SEARCH("R56",G328))*56,0)+IFERROR(--ISNUMBER(SEARCH("R57",G328))*57,0)+IFERROR(--ISNUMBER(SEARCH("R58",G328))*58,0)+IFERROR(--ISNUMBER(SEARCH("R59",G328))*59,0)+IFERROR(--ISNUMBER(SEARCH("R60",G328))*60,0)+IFERROR(--ISNUMBER(SEARCH("R61",G328))*61,0)+IFERROR(--ISNUMBER(SEARCH("R62",G328))*62,0)+IFERROR(--ISNUMBER(SEARCH("R63",G328))*63,0)+IFERROR(--ISNUMBER(SEARCH("R64",G328))*64,0)+IFERROR(--ISNUMBER(SEARCH("R65",G328))*65,0)+IFERROR(--ISNUMBER(SEARCH("R66",G328))*66,0)+IFERROR(--ISNUMBER(SEARCH("R67",G328))*67,0)+IFERROR(--ISNUMBER(SEARCH("R68",G328))*68,0)+IFERROR(--ISNUMBER(SEARCH("R69",G328))*69,0)+IFERROR(--ISNUMBER(SEARCH("R70",G328))*70,0)+IFERROR(--ISNUMBER(SEARCH("R71",G328))*71,0)+IFERROR(--ISNUMBER(SEARCH("R72",G328))*72,0)+IFERROR(--ISNUMBER(SEARCH("R73",G328))*73,0)+IFERROR(--ISNUMBER(SEARCH("R74",G328))*74,0)+IFERROR(--ISNUMBER(SEARCH("R75",G328))*75,0)+IFERROR(--ISNUMBER(SEARCH("R76",G328))*76,0)+IFERROR(--ISNUMBER(SEARCH("R77",G328))*77,0)+IFERROR(--ISNUMBER(SEARCH("R78",G328))*78,0)+IFERROR(--ISNUMBER(SEARCH("R79",G328))*79,0)+IFERROR(--ISNUMBER(SEARCH("R80",G328))*80,0)+IFERROR(--ISNUMBER(SEARCH("R81",G328))*81,0)+IFERROR(--ISNUMBER(SEARCH("R82",G328))*82,0)+IFERROR(--ISNUMBER(SEARCH("R83",G328))*83,0)+IFERROR(--ISNUMBER(SEARCH("R84",G328))*84,0)+IFERROR(--ISNUMBER(SEARCH("R85",G328))*85,0)+IFERROR(--ISNUMBER(SEARCH("R86",G328))*86,0)+IFERROR(--ISNUMBER(SEARCH("R87",G328))*87,0)+IFERROR(--ISNUMBER(SEARCH("R88",G328))*88,0)+IFERROR(--ISNUMBER(SEARCH("R89",G328))*89,0)+IFERROR(--ISNUMBER(SEARCH("R90",G328))*90,0)+IFERROR(--ISNUMBER(SEARCH("R91",G328))*91,0)+IFERROR(--ISNUMBER(SEARCH("R92",G328))*92,0)+IFERROR(--ISNUMBER(SEARCH("R93",G328))*93,0)+IFERROR(--ISNUMBER(SEARCH("R94",G328))*94,0)+IFERROR(--ISNUMBER(SEARCH("R95",G328))*95,0)+IFERROR(--ISNUMBER(SEARCH("R96",G328))*96,0)+IFERROR(--ISNUMBER(SEARCH("R97",G328))*97,0)+IFERROR(--ISNUMBER(SEARCH("R98",G328))*98,0)+IFERROR(--ISNUMBER(SEARCH("R99",G328))*99,0)+IFERROR(--ISNUMBER(SEARCH("R100",G328))*100,0)+IFERROR(--ISNUMBER(SEARCH("R101",G328))*101,0)+IFERROR(--ISNUMBER(SEARCH("R102",G328))*102,0)+IFERROR(--ISNUMBER(SEARCH("R103",G328))*103,0)+IFERROR(--ISNUMBER(SEARCH("R104",G328))*104,0)+IFERROR(--ISNUMBER(SEARCH("R105",G328))*105,0)+IFERROR(--ISNUMBER(SEARCH("R106",G328))*106,0)+IFERROR(--ISNUMBER(SEARCH("R107",G328))*107,0)+IFERROR(--ISNUMBER(SEARCH("R108",G328))*108,0)+IFERROR(--ISNUMBER(SEARCH("R109",G328))*109,0)+IFERROR(--ISNUMBER(SEARCH("R110",G328))*110,0)+IFERROR(--ISNUMBER(SEARCH("R111",G328))*111,0)+IFERROR(--ISNUMBER(SEARCH("R112",G328))*112,0)+IFERROR(--ISNUMBER(SEARCH("R113",G328))*113,0)+IFERROR(--ISNUMBER(SEARCH("R114",G328))*114,0)+IFERROR(--ISNUMBER(SEARCH("R115",G328))*115,0)+IFERROR(--ISNUMBER(SEARCH("R116",G328))*116,0)+IFERROR(--ISNUMBER(SEARCH("R117",G328))*117,0)+IFERROR(--ISNUMBER(SEARCH("R118",G328))*118,0)+IFERROR(--ISNUMBER(SEARCH("R119",G328))*119,0)+IFERROR(--ISNUMBER(SEARCH("R120",G328))*120,0)+IFERROR(--ISNUMBER(SEARCH("R121",G328))*121,0)+IFERROR(--ISNUMBER(SEARCH("R122",G328))*122,0)+IFERROR(--ISNUMBER(SEARCH("R123",G328))*123,0)+IFERROR(--ISNUMBER(SEARCH("R124",G328))*124,0)+IFERROR(--ISNUMBER(SEARCH("R125",G328))*125,0)+IFERROR(--ISNUMBER(SEARCH("R126",G328))*126,0)+IFERROR(--ISNUMBER(SEARCH("R127",G328))*127,0)+IFERROR(--ISNUMBER(SEARCH("R128",G328))*128,0)+IFERROR(--ISNUMBER(SEARCH("R129",G328))*129,0)+IFERROR(--ISNUMBER(SEARCH("R130",G328))*130,0)+IFERROR(--ISNUMBER(SEARCH("R131",G328))*131,0)+IFERROR(--ISNUMBER(SEARCH("R132",G328))*132,0)+IFERROR(--ISNUMBER(SEARCH("R133",G328))*133,0)+IFERROR(--ISNUMBER(SEARCH("R134",G328))*134,0)+IFERROR(--ISNUMBER(SEARCH("R135",G328))*135,0)+IFERROR(--ISNUMBER(SEARCH("R136",G328))*136,0)+IFERROR(--ISNUMBER(SEARCH("R137",G328))*137,0)+IFERROR(--ISNUMBER(SEARCH("R138",G328))*138,0)+IFERROR(--ISNUMBER(SEARCH("R139",G328))*139,0)+IFERROR(--ISNUMBER(SEARCH("R140",G328))*140,0)+IFERROR(--ISNUMBER(SEARCH("R141",G328))*141,0))</f>
        <v/>
      </c>
      <c r="V328" s="59">
        <f>IF(A328="","",IF(K328&lt;&gt;"",K328,J328))</f>
        <v/>
      </c>
      <c r="W328" s="59">
        <f>IF(A328="","",IF(AND(V328=29,O328&lt;&gt;"",COUNTIFS($V$6:$V$505,29,$F$6:$F$505,F328,$C$6:$C$505,C328,$O$6:$O$505,"&lt;&gt;")&gt;1),IF(COUNTIFS($V$6:V328,29,$F$6:F328,F328,$C$6:C328,C328,$O$6:O328,"&lt;&gt;")=1,"Esta es la fila que se debe CONSERVAR (aparición 1 de "&amp;COUNTIFS($V$6:$V$505,29,$F$6:$F$505,F328,$C$6:$C$505,C328,$O$6:$O$505,"&lt;&gt;")&amp;" con el mismo tercero y valor, casilla 29). Si hay más filas iguales, bórreles el valor a ELLAS, no a esta.","DUPLICADO — ya existe otra fila con el mismo tercero y valor para casilla 29 (aparición "&amp;COUNTIFS($V$6:V328,29,$F$6:F328,F328,$C$6:C328,C328,$O$6:O328,"&lt;&gt;")&amp;" de "&amp;COUNTIFS($V$6:$V$505,29,$F$6:$F$505,F328,$C$6:$C$505,C328,$O$6:$O$505,"&lt;&gt;")&amp;"). Para resolverlo: seleccione la celda O"&amp;ROW()&amp;" (columna Valor a declarar de ESTA fila) y presione Supr."),""))</f>
        <v/>
      </c>
      <c r="X328" s="463">
        <f>IF(A328="","",F328)</f>
        <v/>
      </c>
      <c r="Y328" s="463">
        <f>IF(A328="","",SUMIF(Entrada_Manual!$I$88:$I$187,A328,Entrada_Manual!$F$88:$F$187))</f>
        <v/>
      </c>
      <c r="Z328" s="463">
        <f>IF(A328="","",X328-Y328)</f>
        <v/>
      </c>
      <c r="AA328">
        <f>IF(A328="","",SUMPRODUCT((Entrada_Manual!$I$88:$I$187=A328)*1))</f>
        <v/>
      </c>
      <c r="AB328">
        <f>IF(A328="","",IF(S328&lt;=1,"",IF(AA328=0,"PENDIENTE — SIN ASIGNAR",IF(Z328=0,"RESUELTO","PARCIAL — DIFERENCIA "&amp;TEXT(Z328,"#,##0")))))</f>
        <v/>
      </c>
    </row>
    <row r="329" ht="14.25" customHeight="1" s="235">
      <c r="A329" s="47">
        <f>IF(Exogena_RAW!E338&lt;&gt;"",ROW()-5,"")</f>
        <v/>
      </c>
      <c r="B329" s="48">
        <f>IF(A329="","",338)</f>
        <v/>
      </c>
      <c r="C329" s="48">
        <f>IF(A329="","",IFERROR(Exogena_RAW!A338,""))</f>
        <v/>
      </c>
      <c r="D329" s="48">
        <f>IF(A329="","",IFERROR(Exogena_RAW!B338,""))</f>
        <v/>
      </c>
      <c r="E329" s="48">
        <f>IF(A329="","",Exogena_RAW!E338)</f>
        <v/>
      </c>
      <c r="F329" s="461">
        <f>IF(A329="","",Exogena_RAW!F338)</f>
        <v/>
      </c>
      <c r="G329" s="48">
        <f>IF(A329="","",IFERROR(Exogena_RAW!G338,""))</f>
        <v/>
      </c>
      <c r="H329" s="48">
        <f>IF(A329="","",IFERROR(Exogena_RAW!H338,""))</f>
        <v/>
      </c>
      <c r="I329" s="48">
        <f>IF(A329="","",IFERROR(IF(S329&gt;1,"VARIAS CASILLAS",IF(S329=1,IF(T329=1,"PROPUESTA DE CASILLA","REVISIÓN: CASILLA NO DIRECTA"),IF(OR(ISNUMBER(SEARCH("TOPE",UPPER(E329))),ISNUMBER(SEARCH("TOPE",UPPER(G329)))),"SOLO CONTROL",IF(ISNUMBER(SEARCH("RETEN",UPPER(E329))),"RETENCIÓN","REVISAR")))),"REVISAR"))</f>
        <v/>
      </c>
      <c r="J329" s="48">
        <f>IF(A329="","",IF(ISNUMBER(SEARCH("ingreso laboral promedio de los últimos seis meses",E329)),"",IFERROR(IF(AND(S329=1,T329=1),U329,""),"")))</f>
        <v/>
      </c>
      <c r="K329" s="216" t="n"/>
      <c r="L329" s="48">
        <f>IF(A329="","",IFERROR(IF(K329&lt;&gt;"","Casilla elegida por usuario",IF(S329&gt;1,"Varias casillas — elegir en K",IF(J329&lt;&gt;"","Sugerencia directa",IF(S329=1,"No trasladar directo — revisar",IF(OR(ISNUMBER(SEARCH("TOPE",UPPER(E329))),ISNUMBER(SEARCH("TOPE",UPPER(G329)))),"Solo control","Revisar manualmente"))))),"Revisar manualmente"))</f>
        <v/>
      </c>
      <c r="M329" s="461">
        <f>IF(A329="","",IF(IF(K329&lt;&gt;"",K329,J329)="",0,IF(COUNTIFS(Reglas!$I$5:$I$118,IF(K329&lt;&gt;"",K329,J329),Reglas!$J$5:$J$118,"Sí")=1,F329,0)))</f>
        <v/>
      </c>
      <c r="N329" s="56" t="n"/>
      <c r="O329" s="462">
        <f>IF(A329="","",IF(M329=0,"",M329))</f>
        <v/>
      </c>
      <c r="P329" s="461">
        <f>IF(A329="","",IF(O329="",0,IF(ISNUMBER(O329),O329,0)))</f>
        <v/>
      </c>
      <c r="Q329" s="48">
        <f>IF(A329="","",IF(Exogena_RAW!$C$4="","BLOQUEADO: FALTA AÑO",IF(Exogena_RAW!$K$10&lt;&gt;Reglas!$B$5,"BLOQUEADO: AÑO",IF(IF(K329&lt;&gt;"",K329,J329)="",IF(S329&gt;1,"REQUIERE ASIGNACIÓN MANUAL (VARIAS CASILLAS)","INFORMATIVO (sin casilla — no se declara)"),IF(COUNTIFS(Reglas!$I$5:$I$118,IF(K329&lt;&gt;"",K329,J329),Reglas!$J$5:$J$118,"Sí")=0,"BLOQUEADO: CASILLA NO DIRECTA",IF(O329="","EXCLUIDO (valor borrado por el usuario)",IF(_xlfn.ISFORMULA(O329),IF(W329&lt;&gt;"","BORRADOR — VALOR SUGERIDO DIAN ⚠ VER ALERTA","BORRADOR — VALOR SUGERIDO DIAN"),IF(W329&lt;&gt;"","ACEPTADO ⚠ VER ALERTA","ACEPTADO"))))))))</f>
        <v/>
      </c>
      <c r="R329" s="218" t="n"/>
      <c r="S329" s="58">
        <f>IF(A329="","",IFERROR(--ISNUMBER(SEARCH("R28",G329)),0)+IFERROR(--ISNUMBER(SEARCH("R29",G329)),0)+IFERROR(--ISNUMBER(SEARCH("R30",G329)),0)+IFERROR(--ISNUMBER(SEARCH("R31",G329)),0)+IFERROR(--ISNUMBER(SEARCH("R32",G329)),0)+IFERROR(--ISNUMBER(SEARCH("R33",G329)),0)+IFERROR(--ISNUMBER(SEARCH("R34",G329)),0)+IFERROR(--ISNUMBER(SEARCH("R35",G329)),0)+IFERROR(--ISNUMBER(SEARCH("R36",G329)),0)+IFERROR(--ISNUMBER(SEARCH("R37",G329)),0)+IFERROR(--ISNUMBER(SEARCH("R38",G329)),0)+IFERROR(--ISNUMBER(SEARCH("R39",G329)),0)+IFERROR(--ISNUMBER(SEARCH("R40",G329)),0)+IFERROR(--ISNUMBER(SEARCH("R41",G329)),0)+IFERROR(--ISNUMBER(SEARCH("R42",G329)),0)+IFERROR(--ISNUMBER(SEARCH("R43",G329)),0)+IFERROR(--ISNUMBER(SEARCH("R44",G329)),0)+IFERROR(--ISNUMBER(SEARCH("R45",G329)),0)+IFERROR(--ISNUMBER(SEARCH("R46",G329)),0)+IFERROR(--ISNUMBER(SEARCH("R47",G329)),0)+IFERROR(--ISNUMBER(SEARCH("R48",G329)),0)+IFERROR(--ISNUMBER(SEARCH("R49",G329)),0)+IFERROR(--ISNUMBER(SEARCH("R50",G329)),0)+IFERROR(--ISNUMBER(SEARCH("R51",G329)),0)+IFERROR(--ISNUMBER(SEARCH("R52",G329)),0)+IFERROR(--ISNUMBER(SEARCH("R53",G329)),0)+IFERROR(--ISNUMBER(SEARCH("R54",G329)),0)+IFERROR(--ISNUMBER(SEARCH("R55",G329)),0)+IFERROR(--ISNUMBER(SEARCH("R56",G329)),0)+IFERROR(--ISNUMBER(SEARCH("R57",G329)),0)+IFERROR(--ISNUMBER(SEARCH("R58",G329)),0)+IFERROR(--ISNUMBER(SEARCH("R59",G329)),0)+IFERROR(--ISNUMBER(SEARCH("R60",G329)),0)+IFERROR(--ISNUMBER(SEARCH("R61",G329)),0)+IFERROR(--ISNUMBER(SEARCH("R62",G329)),0)+IFERROR(--ISNUMBER(SEARCH("R63",G329)),0)+IFERROR(--ISNUMBER(SEARCH("R64",G329)),0)+IFERROR(--ISNUMBER(SEARCH("R65",G329)),0)+IFERROR(--ISNUMBER(SEARCH("R66",G329)),0)+IFERROR(--ISNUMBER(SEARCH("R67",G329)),0)+IFERROR(--ISNUMBER(SEARCH("R68",G329)),0)+IFERROR(--ISNUMBER(SEARCH("R69",G329)),0)+IFERROR(--ISNUMBER(SEARCH("R70",G329)),0)+IFERROR(--ISNUMBER(SEARCH("R71",G329)),0)+IFERROR(--ISNUMBER(SEARCH("R72",G329)),0)+IFERROR(--ISNUMBER(SEARCH("R73",G329)),0)+IFERROR(--ISNUMBER(SEARCH("R74",G329)),0)+IFERROR(--ISNUMBER(SEARCH("R75",G329)),0)+IFERROR(--ISNUMBER(SEARCH("R76",G329)),0)+IFERROR(--ISNUMBER(SEARCH("R77",G329)),0)+IFERROR(--ISNUMBER(SEARCH("R78",G329)),0)+IFERROR(--ISNUMBER(SEARCH("R79",G329)),0)+IFERROR(--ISNUMBER(SEARCH("R80",G329)),0)+IFERROR(--ISNUMBER(SEARCH("R81",G329)),0)+IFERROR(--ISNUMBER(SEARCH("R82",G329)),0)+IFERROR(--ISNUMBER(SEARCH("R83",G329)),0)+IFERROR(--ISNUMBER(SEARCH("R84",G329)),0)+IFERROR(--ISNUMBER(SEARCH("R85",G329)),0)+IFERROR(--ISNUMBER(SEARCH("R86",G329)),0)+IFERROR(--ISNUMBER(SEARCH("R87",G329)),0)+IFERROR(--ISNUMBER(SEARCH("R88",G329)),0)+IFERROR(--ISNUMBER(SEARCH("R89",G329)),0)+IFERROR(--ISNUMBER(SEARCH("R90",G329)),0)+IFERROR(--ISNUMBER(SEARCH("R91",G329)),0)+IFERROR(--ISNUMBER(SEARCH("R92",G329)),0)+IFERROR(--ISNUMBER(SEARCH("R93",G329)),0)+IFERROR(--ISNUMBER(SEARCH("R94",G329)),0)+IFERROR(--ISNUMBER(SEARCH("R95",G329)),0)+IFERROR(--ISNUMBER(SEARCH("R96",G329)),0)+IFERROR(--ISNUMBER(SEARCH("R97",G329)),0)+IFERROR(--ISNUMBER(SEARCH("R98",G329)),0)+IFERROR(--ISNUMBER(SEARCH("R99",G329)),0)+IFERROR(--ISNUMBER(SEARCH("R100",G329)),0)+IFERROR(--ISNUMBER(SEARCH("R101",G329)),0)+IFERROR(--ISNUMBER(SEARCH("R102",G329)),0)+IFERROR(--ISNUMBER(SEARCH("R103",G329)),0)+IFERROR(--ISNUMBER(SEARCH("R104",G329)),0)+IFERROR(--ISNUMBER(SEARCH("R105",G329)),0)+IFERROR(--ISNUMBER(SEARCH("R106",G329)),0)+IFERROR(--ISNUMBER(SEARCH("R107",G329)),0)+IFERROR(--ISNUMBER(SEARCH("R108",G329)),0)+IFERROR(--ISNUMBER(SEARCH("R109",G329)),0)+IFERROR(--ISNUMBER(SEARCH("R110",G329)),0)+IFERROR(--ISNUMBER(SEARCH("R111",G329)),0)+IFERROR(--ISNUMBER(SEARCH("R112",G329)),0)+IFERROR(--ISNUMBER(SEARCH("R113",G329)),0)+IFERROR(--ISNUMBER(SEARCH("R114",G329)),0)+IFERROR(--ISNUMBER(SEARCH("R115",G329)),0)+IFERROR(--ISNUMBER(SEARCH("R116",G329)),0)+IFERROR(--ISNUMBER(SEARCH("R117",G329)),0)+IFERROR(--ISNUMBER(SEARCH("R118",G329)),0)+IFERROR(--ISNUMBER(SEARCH("R119",G329)),0)+IFERROR(--ISNUMBER(SEARCH("R120",G329)),0)+IFERROR(--ISNUMBER(SEARCH("R121",G329)),0)+IFERROR(--ISNUMBER(SEARCH("R122",G329)),0)+IFERROR(--ISNUMBER(SEARCH("R123",G329)),0)+IFERROR(--ISNUMBER(SEARCH("R124",G329)),0)+IFERROR(--ISNUMBER(SEARCH("R125",G329)),0)+IFERROR(--ISNUMBER(SEARCH("R126",G329)),0)+IFERROR(--ISNUMBER(SEARCH("R127",G329)),0)+IFERROR(--ISNUMBER(SEARCH("R128",G329)),0)+IFERROR(--ISNUMBER(SEARCH("R129",G329)),0)+IFERROR(--ISNUMBER(SEARCH("R130",G329)),0)+IFERROR(--ISNUMBER(SEARCH("R131",G329)),0)+IFERROR(--ISNUMBER(SEARCH("R132",G329)),0)+IFERROR(--ISNUMBER(SEARCH("R133",G329)),0)+IFERROR(--ISNUMBER(SEARCH("R134",G329)),0)+IFERROR(--ISNUMBER(SEARCH("R135",G329)),0)+IFERROR(--ISNUMBER(SEARCH("R136",G329)),0)+IFERROR(--ISNUMBER(SEARCH("R137",G329)),0)+IFERROR(--ISNUMBER(SEARCH("R138",G329)),0)+IFERROR(--ISNUMBER(SEARCH("R139",G329)),0)+IFERROR(--ISNUMBER(SEARCH("R140",G329)),0)+IFERROR(--ISNUMBER(SEARCH("R141",G329)),0))</f>
        <v/>
      </c>
      <c r="T329" s="58">
        <f>IF(A329="","",IFERROR(--ISNUMBER(SEARCH("R28",G329)),0)+IFERROR(--ISNUMBER(SEARCH("R29",G329)),0)+IFERROR(--ISNUMBER(SEARCH("R30",G329)),0)+IFERROR(--ISNUMBER(SEARCH("R32",G329)),0)+IFERROR(--ISNUMBER(SEARCH("R33",G329)),0)+IFERROR(--ISNUMBER(SEARCH("R35",G329)),0)+IFERROR(--ISNUMBER(SEARCH("R36",G329)),0)+IFERROR(--ISNUMBER(SEARCH("R38",G329)),0)+IFERROR(--ISNUMBER(SEARCH("R39",G329)),0)+IFERROR(--ISNUMBER(SEARCH("R43",G329)),0)+IFERROR(--ISNUMBER(SEARCH("R44",G329)),0)+IFERROR(--ISNUMBER(SEARCH("R45",G329)),0)+IFERROR(--ISNUMBER(SEARCH("R47",G329)),0)+IFERROR(--ISNUMBER(SEARCH("R48",G329)),0)+IFERROR(--ISNUMBER(SEARCH("R50",G329)),0)+IFERROR(--ISNUMBER(SEARCH("R51",G329)),0)+IFERROR(--ISNUMBER(SEARCH("R56",G329)),0)+IFERROR(--ISNUMBER(SEARCH("R58",G329)),0)+IFERROR(--ISNUMBER(SEARCH("R59",G329)),0)+IFERROR(--ISNUMBER(SEARCH("R60",G329)),0)+IFERROR(--ISNUMBER(SEARCH("R62",G329)),0)+IFERROR(--ISNUMBER(SEARCH("R63",G329)),0)+IFERROR(--ISNUMBER(SEARCH("R64",G329)),0)+IFERROR(--ISNUMBER(SEARCH("R66",G329)),0)+IFERROR(--ISNUMBER(SEARCH("R67",G329)),0)+IFERROR(--ISNUMBER(SEARCH("R72",G329)),0)+IFERROR(--ISNUMBER(SEARCH("R74",G329)),0)+IFERROR(--ISNUMBER(SEARCH("R75",G329)),0)+IFERROR(--ISNUMBER(SEARCH("R76",G329)),0)+IFERROR(--ISNUMBER(SEARCH("R77",G329)),0)+IFERROR(--ISNUMBER(SEARCH("R79",G329)),0)+IFERROR(--ISNUMBER(SEARCH("R80",G329)),0)+IFERROR(--ISNUMBER(SEARCH("R81",G329)),0)+IFERROR(--ISNUMBER(SEARCH("R83",G329)),0)+IFERROR(--ISNUMBER(SEARCH("R84",G329)),0)+IFERROR(--ISNUMBER(SEARCH("R89",G329)),0)+IFERROR(--ISNUMBER(SEARCH("R94",G329)),0)+IFERROR(--ISNUMBER(SEARCH("R95",G329)),0)+IFERROR(--ISNUMBER(SEARCH("R96",G329)),0)+IFERROR(--ISNUMBER(SEARCH("R98",G329)),0)+IFERROR(--ISNUMBER(SEARCH("R99",G329)),0)+IFERROR(--ISNUMBER(SEARCH("R100",G329)),0)+IFERROR(--ISNUMBER(SEARCH("R104",G329)),0)+IFERROR(--ISNUMBER(SEARCH("R105",G329)),0)+IFERROR(--ISNUMBER(SEARCH("R107",G329)),0)+IFERROR(--ISNUMBER(SEARCH("R108",G329)),0)+IFERROR(--ISNUMBER(SEARCH("R109",G329)),0)+IFERROR(--ISNUMBER(SEARCH("R110",G329)),0)+IFERROR(--ISNUMBER(SEARCH("R112",G329)),0)+IFERROR(--ISNUMBER(SEARCH("R113",G329)),0)+IFERROR(--ISNUMBER(SEARCH("R114",G329)),0)+IFERROR(--ISNUMBER(SEARCH("R118",G329)),0)+IFERROR(--ISNUMBER(SEARCH("R119",G329)),0)+IFERROR(--ISNUMBER(SEARCH("R120",G329)),0)+IFERROR(--ISNUMBER(SEARCH("R122",G329)),0)+IFERROR(--ISNUMBER(SEARCH("R123",G329)),0)+IFERROR(--ISNUMBER(SEARCH("R124",G329)),0)+IFERROR(--ISNUMBER(SEARCH("R128",G329)),0)+IFERROR(--ISNUMBER(SEARCH("R130",G329)),0)+IFERROR(--ISNUMBER(SEARCH("R131",G329)),0)+IFERROR(--ISNUMBER(SEARCH("R132",G329)),0)+IFERROR(--ISNUMBER(SEARCH("R135",G329)),0)+IFERROR(--ISNUMBER(SEARCH("R138",G329)),0)+IFERROR(--ISNUMBER(SEARCH("R141",G329)),0))</f>
        <v/>
      </c>
      <c r="U329" s="58">
        <f>IF(A329="","",IFERROR(--ISNUMBER(SEARCH("R28",G329))*28,0)+IFERROR(--ISNUMBER(SEARCH("R29",G329))*29,0)+IFERROR(--ISNUMBER(SEARCH("R30",G329))*30,0)+IFERROR(--ISNUMBER(SEARCH("R31",G329))*31,0)+IFERROR(--ISNUMBER(SEARCH("R32",G329))*32,0)+IFERROR(--ISNUMBER(SEARCH("R33",G329))*33,0)+IFERROR(--ISNUMBER(SEARCH("R34",G329))*34,0)+IFERROR(--ISNUMBER(SEARCH("R35",G329))*35,0)+IFERROR(--ISNUMBER(SEARCH("R36",G329))*36,0)+IFERROR(--ISNUMBER(SEARCH("R37",G329))*37,0)+IFERROR(--ISNUMBER(SEARCH("R38",G329))*38,0)+IFERROR(--ISNUMBER(SEARCH("R39",G329))*39,0)+IFERROR(--ISNUMBER(SEARCH("R40",G329))*40,0)+IFERROR(--ISNUMBER(SEARCH("R41",G329))*41,0)+IFERROR(--ISNUMBER(SEARCH("R42",G329))*42,0)+IFERROR(--ISNUMBER(SEARCH("R43",G329))*43,0)+IFERROR(--ISNUMBER(SEARCH("R44",G329))*44,0)+IFERROR(--ISNUMBER(SEARCH("R45",G329))*45,0)+IFERROR(--ISNUMBER(SEARCH("R46",G329))*46,0)+IFERROR(--ISNUMBER(SEARCH("R47",G329))*47,0)+IFERROR(--ISNUMBER(SEARCH("R48",G329))*48,0)+IFERROR(--ISNUMBER(SEARCH("R49",G329))*49,0)+IFERROR(--ISNUMBER(SEARCH("R50",G329))*50,0)+IFERROR(--ISNUMBER(SEARCH("R51",G329))*51,0)+IFERROR(--ISNUMBER(SEARCH("R52",G329))*52,0)+IFERROR(--ISNUMBER(SEARCH("R53",G329))*53,0)+IFERROR(--ISNUMBER(SEARCH("R54",G329))*54,0)+IFERROR(--ISNUMBER(SEARCH("R55",G329))*55,0)+IFERROR(--ISNUMBER(SEARCH("R56",G329))*56,0)+IFERROR(--ISNUMBER(SEARCH("R57",G329))*57,0)+IFERROR(--ISNUMBER(SEARCH("R58",G329))*58,0)+IFERROR(--ISNUMBER(SEARCH("R59",G329))*59,0)+IFERROR(--ISNUMBER(SEARCH("R60",G329))*60,0)+IFERROR(--ISNUMBER(SEARCH("R61",G329))*61,0)+IFERROR(--ISNUMBER(SEARCH("R62",G329))*62,0)+IFERROR(--ISNUMBER(SEARCH("R63",G329))*63,0)+IFERROR(--ISNUMBER(SEARCH("R64",G329))*64,0)+IFERROR(--ISNUMBER(SEARCH("R65",G329))*65,0)+IFERROR(--ISNUMBER(SEARCH("R66",G329))*66,0)+IFERROR(--ISNUMBER(SEARCH("R67",G329))*67,0)+IFERROR(--ISNUMBER(SEARCH("R68",G329))*68,0)+IFERROR(--ISNUMBER(SEARCH("R69",G329))*69,0)+IFERROR(--ISNUMBER(SEARCH("R70",G329))*70,0)+IFERROR(--ISNUMBER(SEARCH("R71",G329))*71,0)+IFERROR(--ISNUMBER(SEARCH("R72",G329))*72,0)+IFERROR(--ISNUMBER(SEARCH("R73",G329))*73,0)+IFERROR(--ISNUMBER(SEARCH("R74",G329))*74,0)+IFERROR(--ISNUMBER(SEARCH("R75",G329))*75,0)+IFERROR(--ISNUMBER(SEARCH("R76",G329))*76,0)+IFERROR(--ISNUMBER(SEARCH("R77",G329))*77,0)+IFERROR(--ISNUMBER(SEARCH("R78",G329))*78,0)+IFERROR(--ISNUMBER(SEARCH("R79",G329))*79,0)+IFERROR(--ISNUMBER(SEARCH("R80",G329))*80,0)+IFERROR(--ISNUMBER(SEARCH("R81",G329))*81,0)+IFERROR(--ISNUMBER(SEARCH("R82",G329))*82,0)+IFERROR(--ISNUMBER(SEARCH("R83",G329))*83,0)+IFERROR(--ISNUMBER(SEARCH("R84",G329))*84,0)+IFERROR(--ISNUMBER(SEARCH("R85",G329))*85,0)+IFERROR(--ISNUMBER(SEARCH("R86",G329))*86,0)+IFERROR(--ISNUMBER(SEARCH("R87",G329))*87,0)+IFERROR(--ISNUMBER(SEARCH("R88",G329))*88,0)+IFERROR(--ISNUMBER(SEARCH("R89",G329))*89,0)+IFERROR(--ISNUMBER(SEARCH("R90",G329))*90,0)+IFERROR(--ISNUMBER(SEARCH("R91",G329))*91,0)+IFERROR(--ISNUMBER(SEARCH("R92",G329))*92,0)+IFERROR(--ISNUMBER(SEARCH("R93",G329))*93,0)+IFERROR(--ISNUMBER(SEARCH("R94",G329))*94,0)+IFERROR(--ISNUMBER(SEARCH("R95",G329))*95,0)+IFERROR(--ISNUMBER(SEARCH("R96",G329))*96,0)+IFERROR(--ISNUMBER(SEARCH("R97",G329))*97,0)+IFERROR(--ISNUMBER(SEARCH("R98",G329))*98,0)+IFERROR(--ISNUMBER(SEARCH("R99",G329))*99,0)+IFERROR(--ISNUMBER(SEARCH("R100",G329))*100,0)+IFERROR(--ISNUMBER(SEARCH("R101",G329))*101,0)+IFERROR(--ISNUMBER(SEARCH("R102",G329))*102,0)+IFERROR(--ISNUMBER(SEARCH("R103",G329))*103,0)+IFERROR(--ISNUMBER(SEARCH("R104",G329))*104,0)+IFERROR(--ISNUMBER(SEARCH("R105",G329))*105,0)+IFERROR(--ISNUMBER(SEARCH("R106",G329))*106,0)+IFERROR(--ISNUMBER(SEARCH("R107",G329))*107,0)+IFERROR(--ISNUMBER(SEARCH("R108",G329))*108,0)+IFERROR(--ISNUMBER(SEARCH("R109",G329))*109,0)+IFERROR(--ISNUMBER(SEARCH("R110",G329))*110,0)+IFERROR(--ISNUMBER(SEARCH("R111",G329))*111,0)+IFERROR(--ISNUMBER(SEARCH("R112",G329))*112,0)+IFERROR(--ISNUMBER(SEARCH("R113",G329))*113,0)+IFERROR(--ISNUMBER(SEARCH("R114",G329))*114,0)+IFERROR(--ISNUMBER(SEARCH("R115",G329))*115,0)+IFERROR(--ISNUMBER(SEARCH("R116",G329))*116,0)+IFERROR(--ISNUMBER(SEARCH("R117",G329))*117,0)+IFERROR(--ISNUMBER(SEARCH("R118",G329))*118,0)+IFERROR(--ISNUMBER(SEARCH("R119",G329))*119,0)+IFERROR(--ISNUMBER(SEARCH("R120",G329))*120,0)+IFERROR(--ISNUMBER(SEARCH("R121",G329))*121,0)+IFERROR(--ISNUMBER(SEARCH("R122",G329))*122,0)+IFERROR(--ISNUMBER(SEARCH("R123",G329))*123,0)+IFERROR(--ISNUMBER(SEARCH("R124",G329))*124,0)+IFERROR(--ISNUMBER(SEARCH("R125",G329))*125,0)+IFERROR(--ISNUMBER(SEARCH("R126",G329))*126,0)+IFERROR(--ISNUMBER(SEARCH("R127",G329))*127,0)+IFERROR(--ISNUMBER(SEARCH("R128",G329))*128,0)+IFERROR(--ISNUMBER(SEARCH("R129",G329))*129,0)+IFERROR(--ISNUMBER(SEARCH("R130",G329))*130,0)+IFERROR(--ISNUMBER(SEARCH("R131",G329))*131,0)+IFERROR(--ISNUMBER(SEARCH("R132",G329))*132,0)+IFERROR(--ISNUMBER(SEARCH("R133",G329))*133,0)+IFERROR(--ISNUMBER(SEARCH("R134",G329))*134,0)+IFERROR(--ISNUMBER(SEARCH("R135",G329))*135,0)+IFERROR(--ISNUMBER(SEARCH("R136",G329))*136,0)+IFERROR(--ISNUMBER(SEARCH("R137",G329))*137,0)+IFERROR(--ISNUMBER(SEARCH("R138",G329))*138,0)+IFERROR(--ISNUMBER(SEARCH("R139",G329))*139,0)+IFERROR(--ISNUMBER(SEARCH("R140",G329))*140,0)+IFERROR(--ISNUMBER(SEARCH("R141",G329))*141,0))</f>
        <v/>
      </c>
      <c r="V329" s="59">
        <f>IF(A329="","",IF(K329&lt;&gt;"",K329,J329))</f>
        <v/>
      </c>
      <c r="W329" s="59">
        <f>IF(A329="","",IF(AND(V329=29,O329&lt;&gt;"",COUNTIFS($V$6:$V$505,29,$F$6:$F$505,F329,$C$6:$C$505,C329,$O$6:$O$505,"&lt;&gt;")&gt;1),IF(COUNTIFS($V$6:V329,29,$F$6:F329,F329,$C$6:C329,C329,$O$6:O329,"&lt;&gt;")=1,"Esta es la fila que se debe CONSERVAR (aparición 1 de "&amp;COUNTIFS($V$6:$V$505,29,$F$6:$F$505,F329,$C$6:$C$505,C329,$O$6:$O$505,"&lt;&gt;")&amp;" con el mismo tercero y valor, casilla 29). Si hay más filas iguales, bórreles el valor a ELLAS, no a esta.","DUPLICADO — ya existe otra fila con el mismo tercero y valor para casilla 29 (aparición "&amp;COUNTIFS($V$6:V329,29,$F$6:F329,F329,$C$6:C329,C329,$O$6:O329,"&lt;&gt;")&amp;" de "&amp;COUNTIFS($V$6:$V$505,29,$F$6:$F$505,F329,$C$6:$C$505,C329,$O$6:$O$505,"&lt;&gt;")&amp;"). Para resolverlo: seleccione la celda O"&amp;ROW()&amp;" (columna Valor a declarar de ESTA fila) y presione Supr."),""))</f>
        <v/>
      </c>
      <c r="X329" s="463">
        <f>IF(A329="","",F329)</f>
        <v/>
      </c>
      <c r="Y329" s="463">
        <f>IF(A329="","",SUMIF(Entrada_Manual!$I$88:$I$187,A329,Entrada_Manual!$F$88:$F$187))</f>
        <v/>
      </c>
      <c r="Z329" s="463">
        <f>IF(A329="","",X329-Y329)</f>
        <v/>
      </c>
      <c r="AA329">
        <f>IF(A329="","",SUMPRODUCT((Entrada_Manual!$I$88:$I$187=A329)*1))</f>
        <v/>
      </c>
      <c r="AB329">
        <f>IF(A329="","",IF(S329&lt;=1,"",IF(AA329=0,"PENDIENTE — SIN ASIGNAR",IF(Z329=0,"RESUELTO","PARCIAL — DIFERENCIA "&amp;TEXT(Z329,"#,##0")))))</f>
        <v/>
      </c>
    </row>
    <row r="330" ht="14.25" customHeight="1" s="235">
      <c r="A330" s="47">
        <f>IF(Exogena_RAW!E339&lt;&gt;"",ROW()-5,"")</f>
        <v/>
      </c>
      <c r="B330" s="48">
        <f>IF(A330="","",339)</f>
        <v/>
      </c>
      <c r="C330" s="48">
        <f>IF(A330="","",IFERROR(Exogena_RAW!A339,""))</f>
        <v/>
      </c>
      <c r="D330" s="48">
        <f>IF(A330="","",IFERROR(Exogena_RAW!B339,""))</f>
        <v/>
      </c>
      <c r="E330" s="48">
        <f>IF(A330="","",Exogena_RAW!E339)</f>
        <v/>
      </c>
      <c r="F330" s="461">
        <f>IF(A330="","",Exogena_RAW!F339)</f>
        <v/>
      </c>
      <c r="G330" s="48">
        <f>IF(A330="","",IFERROR(Exogena_RAW!G339,""))</f>
        <v/>
      </c>
      <c r="H330" s="48">
        <f>IF(A330="","",IFERROR(Exogena_RAW!H339,""))</f>
        <v/>
      </c>
      <c r="I330" s="48">
        <f>IF(A330="","",IFERROR(IF(S330&gt;1,"VARIAS CASILLAS",IF(S330=1,IF(T330=1,"PROPUESTA DE CASILLA","REVISIÓN: CASILLA NO DIRECTA"),IF(OR(ISNUMBER(SEARCH("TOPE",UPPER(E330))),ISNUMBER(SEARCH("TOPE",UPPER(G330)))),"SOLO CONTROL",IF(ISNUMBER(SEARCH("RETEN",UPPER(E330))),"RETENCIÓN","REVISAR")))),"REVISAR"))</f>
        <v/>
      </c>
      <c r="J330" s="48">
        <f>IF(A330="","",IF(ISNUMBER(SEARCH("ingreso laboral promedio de los últimos seis meses",E330)),"",IFERROR(IF(AND(S330=1,T330=1),U330,""),"")))</f>
        <v/>
      </c>
      <c r="K330" s="216" t="n"/>
      <c r="L330" s="48">
        <f>IF(A330="","",IFERROR(IF(K330&lt;&gt;"","Casilla elegida por usuario",IF(S330&gt;1,"Varias casillas — elegir en K",IF(J330&lt;&gt;"","Sugerencia directa",IF(S330=1,"No trasladar directo — revisar",IF(OR(ISNUMBER(SEARCH("TOPE",UPPER(E330))),ISNUMBER(SEARCH("TOPE",UPPER(G330)))),"Solo control","Revisar manualmente"))))),"Revisar manualmente"))</f>
        <v/>
      </c>
      <c r="M330" s="461">
        <f>IF(A330="","",IF(IF(K330&lt;&gt;"",K330,J330)="",0,IF(COUNTIFS(Reglas!$I$5:$I$118,IF(K330&lt;&gt;"",K330,J330),Reglas!$J$5:$J$118,"Sí")=1,F330,0)))</f>
        <v/>
      </c>
      <c r="N330" s="56" t="n"/>
      <c r="O330" s="462">
        <f>IF(A330="","",IF(M330=0,"",M330))</f>
        <v/>
      </c>
      <c r="P330" s="461">
        <f>IF(A330="","",IF(O330="",0,IF(ISNUMBER(O330),O330,0)))</f>
        <v/>
      </c>
      <c r="Q330" s="48">
        <f>IF(A330="","",IF(Exogena_RAW!$C$4="","BLOQUEADO: FALTA AÑO",IF(Exogena_RAW!$K$10&lt;&gt;Reglas!$B$5,"BLOQUEADO: AÑO",IF(IF(K330&lt;&gt;"",K330,J330)="",IF(S330&gt;1,"REQUIERE ASIGNACIÓN MANUAL (VARIAS CASILLAS)","INFORMATIVO (sin casilla — no se declara)"),IF(COUNTIFS(Reglas!$I$5:$I$118,IF(K330&lt;&gt;"",K330,J330),Reglas!$J$5:$J$118,"Sí")=0,"BLOQUEADO: CASILLA NO DIRECTA",IF(O330="","EXCLUIDO (valor borrado por el usuario)",IF(_xlfn.ISFORMULA(O330),IF(W330&lt;&gt;"","BORRADOR — VALOR SUGERIDO DIAN ⚠ VER ALERTA","BORRADOR — VALOR SUGERIDO DIAN"),IF(W330&lt;&gt;"","ACEPTADO ⚠ VER ALERTA","ACEPTADO"))))))))</f>
        <v/>
      </c>
      <c r="R330" s="218" t="n"/>
      <c r="S330" s="58">
        <f>IF(A330="","",IFERROR(--ISNUMBER(SEARCH("R28",G330)),0)+IFERROR(--ISNUMBER(SEARCH("R29",G330)),0)+IFERROR(--ISNUMBER(SEARCH("R30",G330)),0)+IFERROR(--ISNUMBER(SEARCH("R31",G330)),0)+IFERROR(--ISNUMBER(SEARCH("R32",G330)),0)+IFERROR(--ISNUMBER(SEARCH("R33",G330)),0)+IFERROR(--ISNUMBER(SEARCH("R34",G330)),0)+IFERROR(--ISNUMBER(SEARCH("R35",G330)),0)+IFERROR(--ISNUMBER(SEARCH("R36",G330)),0)+IFERROR(--ISNUMBER(SEARCH("R37",G330)),0)+IFERROR(--ISNUMBER(SEARCH("R38",G330)),0)+IFERROR(--ISNUMBER(SEARCH("R39",G330)),0)+IFERROR(--ISNUMBER(SEARCH("R40",G330)),0)+IFERROR(--ISNUMBER(SEARCH("R41",G330)),0)+IFERROR(--ISNUMBER(SEARCH("R42",G330)),0)+IFERROR(--ISNUMBER(SEARCH("R43",G330)),0)+IFERROR(--ISNUMBER(SEARCH("R44",G330)),0)+IFERROR(--ISNUMBER(SEARCH("R45",G330)),0)+IFERROR(--ISNUMBER(SEARCH("R46",G330)),0)+IFERROR(--ISNUMBER(SEARCH("R47",G330)),0)+IFERROR(--ISNUMBER(SEARCH("R48",G330)),0)+IFERROR(--ISNUMBER(SEARCH("R49",G330)),0)+IFERROR(--ISNUMBER(SEARCH("R50",G330)),0)+IFERROR(--ISNUMBER(SEARCH("R51",G330)),0)+IFERROR(--ISNUMBER(SEARCH("R52",G330)),0)+IFERROR(--ISNUMBER(SEARCH("R53",G330)),0)+IFERROR(--ISNUMBER(SEARCH("R54",G330)),0)+IFERROR(--ISNUMBER(SEARCH("R55",G330)),0)+IFERROR(--ISNUMBER(SEARCH("R56",G330)),0)+IFERROR(--ISNUMBER(SEARCH("R57",G330)),0)+IFERROR(--ISNUMBER(SEARCH("R58",G330)),0)+IFERROR(--ISNUMBER(SEARCH("R59",G330)),0)+IFERROR(--ISNUMBER(SEARCH("R60",G330)),0)+IFERROR(--ISNUMBER(SEARCH("R61",G330)),0)+IFERROR(--ISNUMBER(SEARCH("R62",G330)),0)+IFERROR(--ISNUMBER(SEARCH("R63",G330)),0)+IFERROR(--ISNUMBER(SEARCH("R64",G330)),0)+IFERROR(--ISNUMBER(SEARCH("R65",G330)),0)+IFERROR(--ISNUMBER(SEARCH("R66",G330)),0)+IFERROR(--ISNUMBER(SEARCH("R67",G330)),0)+IFERROR(--ISNUMBER(SEARCH("R68",G330)),0)+IFERROR(--ISNUMBER(SEARCH("R69",G330)),0)+IFERROR(--ISNUMBER(SEARCH("R70",G330)),0)+IFERROR(--ISNUMBER(SEARCH("R71",G330)),0)+IFERROR(--ISNUMBER(SEARCH("R72",G330)),0)+IFERROR(--ISNUMBER(SEARCH("R73",G330)),0)+IFERROR(--ISNUMBER(SEARCH("R74",G330)),0)+IFERROR(--ISNUMBER(SEARCH("R75",G330)),0)+IFERROR(--ISNUMBER(SEARCH("R76",G330)),0)+IFERROR(--ISNUMBER(SEARCH("R77",G330)),0)+IFERROR(--ISNUMBER(SEARCH("R78",G330)),0)+IFERROR(--ISNUMBER(SEARCH("R79",G330)),0)+IFERROR(--ISNUMBER(SEARCH("R80",G330)),0)+IFERROR(--ISNUMBER(SEARCH("R81",G330)),0)+IFERROR(--ISNUMBER(SEARCH("R82",G330)),0)+IFERROR(--ISNUMBER(SEARCH("R83",G330)),0)+IFERROR(--ISNUMBER(SEARCH("R84",G330)),0)+IFERROR(--ISNUMBER(SEARCH("R85",G330)),0)+IFERROR(--ISNUMBER(SEARCH("R86",G330)),0)+IFERROR(--ISNUMBER(SEARCH("R87",G330)),0)+IFERROR(--ISNUMBER(SEARCH("R88",G330)),0)+IFERROR(--ISNUMBER(SEARCH("R89",G330)),0)+IFERROR(--ISNUMBER(SEARCH("R90",G330)),0)+IFERROR(--ISNUMBER(SEARCH("R91",G330)),0)+IFERROR(--ISNUMBER(SEARCH("R92",G330)),0)+IFERROR(--ISNUMBER(SEARCH("R93",G330)),0)+IFERROR(--ISNUMBER(SEARCH("R94",G330)),0)+IFERROR(--ISNUMBER(SEARCH("R95",G330)),0)+IFERROR(--ISNUMBER(SEARCH("R96",G330)),0)+IFERROR(--ISNUMBER(SEARCH("R97",G330)),0)+IFERROR(--ISNUMBER(SEARCH("R98",G330)),0)+IFERROR(--ISNUMBER(SEARCH("R99",G330)),0)+IFERROR(--ISNUMBER(SEARCH("R100",G330)),0)+IFERROR(--ISNUMBER(SEARCH("R101",G330)),0)+IFERROR(--ISNUMBER(SEARCH("R102",G330)),0)+IFERROR(--ISNUMBER(SEARCH("R103",G330)),0)+IFERROR(--ISNUMBER(SEARCH("R104",G330)),0)+IFERROR(--ISNUMBER(SEARCH("R105",G330)),0)+IFERROR(--ISNUMBER(SEARCH("R106",G330)),0)+IFERROR(--ISNUMBER(SEARCH("R107",G330)),0)+IFERROR(--ISNUMBER(SEARCH("R108",G330)),0)+IFERROR(--ISNUMBER(SEARCH("R109",G330)),0)+IFERROR(--ISNUMBER(SEARCH("R110",G330)),0)+IFERROR(--ISNUMBER(SEARCH("R111",G330)),0)+IFERROR(--ISNUMBER(SEARCH("R112",G330)),0)+IFERROR(--ISNUMBER(SEARCH("R113",G330)),0)+IFERROR(--ISNUMBER(SEARCH("R114",G330)),0)+IFERROR(--ISNUMBER(SEARCH("R115",G330)),0)+IFERROR(--ISNUMBER(SEARCH("R116",G330)),0)+IFERROR(--ISNUMBER(SEARCH("R117",G330)),0)+IFERROR(--ISNUMBER(SEARCH("R118",G330)),0)+IFERROR(--ISNUMBER(SEARCH("R119",G330)),0)+IFERROR(--ISNUMBER(SEARCH("R120",G330)),0)+IFERROR(--ISNUMBER(SEARCH("R121",G330)),0)+IFERROR(--ISNUMBER(SEARCH("R122",G330)),0)+IFERROR(--ISNUMBER(SEARCH("R123",G330)),0)+IFERROR(--ISNUMBER(SEARCH("R124",G330)),0)+IFERROR(--ISNUMBER(SEARCH("R125",G330)),0)+IFERROR(--ISNUMBER(SEARCH("R126",G330)),0)+IFERROR(--ISNUMBER(SEARCH("R127",G330)),0)+IFERROR(--ISNUMBER(SEARCH("R128",G330)),0)+IFERROR(--ISNUMBER(SEARCH("R129",G330)),0)+IFERROR(--ISNUMBER(SEARCH("R130",G330)),0)+IFERROR(--ISNUMBER(SEARCH("R131",G330)),0)+IFERROR(--ISNUMBER(SEARCH("R132",G330)),0)+IFERROR(--ISNUMBER(SEARCH("R133",G330)),0)+IFERROR(--ISNUMBER(SEARCH("R134",G330)),0)+IFERROR(--ISNUMBER(SEARCH("R135",G330)),0)+IFERROR(--ISNUMBER(SEARCH("R136",G330)),0)+IFERROR(--ISNUMBER(SEARCH("R137",G330)),0)+IFERROR(--ISNUMBER(SEARCH("R138",G330)),0)+IFERROR(--ISNUMBER(SEARCH("R139",G330)),0)+IFERROR(--ISNUMBER(SEARCH("R140",G330)),0)+IFERROR(--ISNUMBER(SEARCH("R141",G330)),0))</f>
        <v/>
      </c>
      <c r="T330" s="58">
        <f>IF(A330="","",IFERROR(--ISNUMBER(SEARCH("R28",G330)),0)+IFERROR(--ISNUMBER(SEARCH("R29",G330)),0)+IFERROR(--ISNUMBER(SEARCH("R30",G330)),0)+IFERROR(--ISNUMBER(SEARCH("R32",G330)),0)+IFERROR(--ISNUMBER(SEARCH("R33",G330)),0)+IFERROR(--ISNUMBER(SEARCH("R35",G330)),0)+IFERROR(--ISNUMBER(SEARCH("R36",G330)),0)+IFERROR(--ISNUMBER(SEARCH("R38",G330)),0)+IFERROR(--ISNUMBER(SEARCH("R39",G330)),0)+IFERROR(--ISNUMBER(SEARCH("R43",G330)),0)+IFERROR(--ISNUMBER(SEARCH("R44",G330)),0)+IFERROR(--ISNUMBER(SEARCH("R45",G330)),0)+IFERROR(--ISNUMBER(SEARCH("R47",G330)),0)+IFERROR(--ISNUMBER(SEARCH("R48",G330)),0)+IFERROR(--ISNUMBER(SEARCH("R50",G330)),0)+IFERROR(--ISNUMBER(SEARCH("R51",G330)),0)+IFERROR(--ISNUMBER(SEARCH("R56",G330)),0)+IFERROR(--ISNUMBER(SEARCH("R58",G330)),0)+IFERROR(--ISNUMBER(SEARCH("R59",G330)),0)+IFERROR(--ISNUMBER(SEARCH("R60",G330)),0)+IFERROR(--ISNUMBER(SEARCH("R62",G330)),0)+IFERROR(--ISNUMBER(SEARCH("R63",G330)),0)+IFERROR(--ISNUMBER(SEARCH("R64",G330)),0)+IFERROR(--ISNUMBER(SEARCH("R66",G330)),0)+IFERROR(--ISNUMBER(SEARCH("R67",G330)),0)+IFERROR(--ISNUMBER(SEARCH("R72",G330)),0)+IFERROR(--ISNUMBER(SEARCH("R74",G330)),0)+IFERROR(--ISNUMBER(SEARCH("R75",G330)),0)+IFERROR(--ISNUMBER(SEARCH("R76",G330)),0)+IFERROR(--ISNUMBER(SEARCH("R77",G330)),0)+IFERROR(--ISNUMBER(SEARCH("R79",G330)),0)+IFERROR(--ISNUMBER(SEARCH("R80",G330)),0)+IFERROR(--ISNUMBER(SEARCH("R81",G330)),0)+IFERROR(--ISNUMBER(SEARCH("R83",G330)),0)+IFERROR(--ISNUMBER(SEARCH("R84",G330)),0)+IFERROR(--ISNUMBER(SEARCH("R89",G330)),0)+IFERROR(--ISNUMBER(SEARCH("R94",G330)),0)+IFERROR(--ISNUMBER(SEARCH("R95",G330)),0)+IFERROR(--ISNUMBER(SEARCH("R96",G330)),0)+IFERROR(--ISNUMBER(SEARCH("R98",G330)),0)+IFERROR(--ISNUMBER(SEARCH("R99",G330)),0)+IFERROR(--ISNUMBER(SEARCH("R100",G330)),0)+IFERROR(--ISNUMBER(SEARCH("R104",G330)),0)+IFERROR(--ISNUMBER(SEARCH("R105",G330)),0)+IFERROR(--ISNUMBER(SEARCH("R107",G330)),0)+IFERROR(--ISNUMBER(SEARCH("R108",G330)),0)+IFERROR(--ISNUMBER(SEARCH("R109",G330)),0)+IFERROR(--ISNUMBER(SEARCH("R110",G330)),0)+IFERROR(--ISNUMBER(SEARCH("R112",G330)),0)+IFERROR(--ISNUMBER(SEARCH("R113",G330)),0)+IFERROR(--ISNUMBER(SEARCH("R114",G330)),0)+IFERROR(--ISNUMBER(SEARCH("R118",G330)),0)+IFERROR(--ISNUMBER(SEARCH("R119",G330)),0)+IFERROR(--ISNUMBER(SEARCH("R120",G330)),0)+IFERROR(--ISNUMBER(SEARCH("R122",G330)),0)+IFERROR(--ISNUMBER(SEARCH("R123",G330)),0)+IFERROR(--ISNUMBER(SEARCH("R124",G330)),0)+IFERROR(--ISNUMBER(SEARCH("R128",G330)),0)+IFERROR(--ISNUMBER(SEARCH("R130",G330)),0)+IFERROR(--ISNUMBER(SEARCH("R131",G330)),0)+IFERROR(--ISNUMBER(SEARCH("R132",G330)),0)+IFERROR(--ISNUMBER(SEARCH("R135",G330)),0)+IFERROR(--ISNUMBER(SEARCH("R138",G330)),0)+IFERROR(--ISNUMBER(SEARCH("R141",G330)),0))</f>
        <v/>
      </c>
      <c r="U330" s="58">
        <f>IF(A330="","",IFERROR(--ISNUMBER(SEARCH("R28",G330))*28,0)+IFERROR(--ISNUMBER(SEARCH("R29",G330))*29,0)+IFERROR(--ISNUMBER(SEARCH("R30",G330))*30,0)+IFERROR(--ISNUMBER(SEARCH("R31",G330))*31,0)+IFERROR(--ISNUMBER(SEARCH("R32",G330))*32,0)+IFERROR(--ISNUMBER(SEARCH("R33",G330))*33,0)+IFERROR(--ISNUMBER(SEARCH("R34",G330))*34,0)+IFERROR(--ISNUMBER(SEARCH("R35",G330))*35,0)+IFERROR(--ISNUMBER(SEARCH("R36",G330))*36,0)+IFERROR(--ISNUMBER(SEARCH("R37",G330))*37,0)+IFERROR(--ISNUMBER(SEARCH("R38",G330))*38,0)+IFERROR(--ISNUMBER(SEARCH("R39",G330))*39,0)+IFERROR(--ISNUMBER(SEARCH("R40",G330))*40,0)+IFERROR(--ISNUMBER(SEARCH("R41",G330))*41,0)+IFERROR(--ISNUMBER(SEARCH("R42",G330))*42,0)+IFERROR(--ISNUMBER(SEARCH("R43",G330))*43,0)+IFERROR(--ISNUMBER(SEARCH("R44",G330))*44,0)+IFERROR(--ISNUMBER(SEARCH("R45",G330))*45,0)+IFERROR(--ISNUMBER(SEARCH("R46",G330))*46,0)+IFERROR(--ISNUMBER(SEARCH("R47",G330))*47,0)+IFERROR(--ISNUMBER(SEARCH("R48",G330))*48,0)+IFERROR(--ISNUMBER(SEARCH("R49",G330))*49,0)+IFERROR(--ISNUMBER(SEARCH("R50",G330))*50,0)+IFERROR(--ISNUMBER(SEARCH("R51",G330))*51,0)+IFERROR(--ISNUMBER(SEARCH("R52",G330))*52,0)+IFERROR(--ISNUMBER(SEARCH("R53",G330))*53,0)+IFERROR(--ISNUMBER(SEARCH("R54",G330))*54,0)+IFERROR(--ISNUMBER(SEARCH("R55",G330))*55,0)+IFERROR(--ISNUMBER(SEARCH("R56",G330))*56,0)+IFERROR(--ISNUMBER(SEARCH("R57",G330))*57,0)+IFERROR(--ISNUMBER(SEARCH("R58",G330))*58,0)+IFERROR(--ISNUMBER(SEARCH("R59",G330))*59,0)+IFERROR(--ISNUMBER(SEARCH("R60",G330))*60,0)+IFERROR(--ISNUMBER(SEARCH("R61",G330))*61,0)+IFERROR(--ISNUMBER(SEARCH("R62",G330))*62,0)+IFERROR(--ISNUMBER(SEARCH("R63",G330))*63,0)+IFERROR(--ISNUMBER(SEARCH("R64",G330))*64,0)+IFERROR(--ISNUMBER(SEARCH("R65",G330))*65,0)+IFERROR(--ISNUMBER(SEARCH("R66",G330))*66,0)+IFERROR(--ISNUMBER(SEARCH("R67",G330))*67,0)+IFERROR(--ISNUMBER(SEARCH("R68",G330))*68,0)+IFERROR(--ISNUMBER(SEARCH("R69",G330))*69,0)+IFERROR(--ISNUMBER(SEARCH("R70",G330))*70,0)+IFERROR(--ISNUMBER(SEARCH("R71",G330))*71,0)+IFERROR(--ISNUMBER(SEARCH("R72",G330))*72,0)+IFERROR(--ISNUMBER(SEARCH("R73",G330))*73,0)+IFERROR(--ISNUMBER(SEARCH("R74",G330))*74,0)+IFERROR(--ISNUMBER(SEARCH("R75",G330))*75,0)+IFERROR(--ISNUMBER(SEARCH("R76",G330))*76,0)+IFERROR(--ISNUMBER(SEARCH("R77",G330))*77,0)+IFERROR(--ISNUMBER(SEARCH("R78",G330))*78,0)+IFERROR(--ISNUMBER(SEARCH("R79",G330))*79,0)+IFERROR(--ISNUMBER(SEARCH("R80",G330))*80,0)+IFERROR(--ISNUMBER(SEARCH("R81",G330))*81,0)+IFERROR(--ISNUMBER(SEARCH("R82",G330))*82,0)+IFERROR(--ISNUMBER(SEARCH("R83",G330))*83,0)+IFERROR(--ISNUMBER(SEARCH("R84",G330))*84,0)+IFERROR(--ISNUMBER(SEARCH("R85",G330))*85,0)+IFERROR(--ISNUMBER(SEARCH("R86",G330))*86,0)+IFERROR(--ISNUMBER(SEARCH("R87",G330))*87,0)+IFERROR(--ISNUMBER(SEARCH("R88",G330))*88,0)+IFERROR(--ISNUMBER(SEARCH("R89",G330))*89,0)+IFERROR(--ISNUMBER(SEARCH("R90",G330))*90,0)+IFERROR(--ISNUMBER(SEARCH("R91",G330))*91,0)+IFERROR(--ISNUMBER(SEARCH("R92",G330))*92,0)+IFERROR(--ISNUMBER(SEARCH("R93",G330))*93,0)+IFERROR(--ISNUMBER(SEARCH("R94",G330))*94,0)+IFERROR(--ISNUMBER(SEARCH("R95",G330))*95,0)+IFERROR(--ISNUMBER(SEARCH("R96",G330))*96,0)+IFERROR(--ISNUMBER(SEARCH("R97",G330))*97,0)+IFERROR(--ISNUMBER(SEARCH("R98",G330))*98,0)+IFERROR(--ISNUMBER(SEARCH("R99",G330))*99,0)+IFERROR(--ISNUMBER(SEARCH("R100",G330))*100,0)+IFERROR(--ISNUMBER(SEARCH("R101",G330))*101,0)+IFERROR(--ISNUMBER(SEARCH("R102",G330))*102,0)+IFERROR(--ISNUMBER(SEARCH("R103",G330))*103,0)+IFERROR(--ISNUMBER(SEARCH("R104",G330))*104,0)+IFERROR(--ISNUMBER(SEARCH("R105",G330))*105,0)+IFERROR(--ISNUMBER(SEARCH("R106",G330))*106,0)+IFERROR(--ISNUMBER(SEARCH("R107",G330))*107,0)+IFERROR(--ISNUMBER(SEARCH("R108",G330))*108,0)+IFERROR(--ISNUMBER(SEARCH("R109",G330))*109,0)+IFERROR(--ISNUMBER(SEARCH("R110",G330))*110,0)+IFERROR(--ISNUMBER(SEARCH("R111",G330))*111,0)+IFERROR(--ISNUMBER(SEARCH("R112",G330))*112,0)+IFERROR(--ISNUMBER(SEARCH("R113",G330))*113,0)+IFERROR(--ISNUMBER(SEARCH("R114",G330))*114,0)+IFERROR(--ISNUMBER(SEARCH("R115",G330))*115,0)+IFERROR(--ISNUMBER(SEARCH("R116",G330))*116,0)+IFERROR(--ISNUMBER(SEARCH("R117",G330))*117,0)+IFERROR(--ISNUMBER(SEARCH("R118",G330))*118,0)+IFERROR(--ISNUMBER(SEARCH("R119",G330))*119,0)+IFERROR(--ISNUMBER(SEARCH("R120",G330))*120,0)+IFERROR(--ISNUMBER(SEARCH("R121",G330))*121,0)+IFERROR(--ISNUMBER(SEARCH("R122",G330))*122,0)+IFERROR(--ISNUMBER(SEARCH("R123",G330))*123,0)+IFERROR(--ISNUMBER(SEARCH("R124",G330))*124,0)+IFERROR(--ISNUMBER(SEARCH("R125",G330))*125,0)+IFERROR(--ISNUMBER(SEARCH("R126",G330))*126,0)+IFERROR(--ISNUMBER(SEARCH("R127",G330))*127,0)+IFERROR(--ISNUMBER(SEARCH("R128",G330))*128,0)+IFERROR(--ISNUMBER(SEARCH("R129",G330))*129,0)+IFERROR(--ISNUMBER(SEARCH("R130",G330))*130,0)+IFERROR(--ISNUMBER(SEARCH("R131",G330))*131,0)+IFERROR(--ISNUMBER(SEARCH("R132",G330))*132,0)+IFERROR(--ISNUMBER(SEARCH("R133",G330))*133,0)+IFERROR(--ISNUMBER(SEARCH("R134",G330))*134,0)+IFERROR(--ISNUMBER(SEARCH("R135",G330))*135,0)+IFERROR(--ISNUMBER(SEARCH("R136",G330))*136,0)+IFERROR(--ISNUMBER(SEARCH("R137",G330))*137,0)+IFERROR(--ISNUMBER(SEARCH("R138",G330))*138,0)+IFERROR(--ISNUMBER(SEARCH("R139",G330))*139,0)+IFERROR(--ISNUMBER(SEARCH("R140",G330))*140,0)+IFERROR(--ISNUMBER(SEARCH("R141",G330))*141,0))</f>
        <v/>
      </c>
      <c r="V330" s="59">
        <f>IF(A330="","",IF(K330&lt;&gt;"",K330,J330))</f>
        <v/>
      </c>
      <c r="W330" s="59">
        <f>IF(A330="","",IF(AND(V330=29,O330&lt;&gt;"",COUNTIFS($V$6:$V$505,29,$F$6:$F$505,F330,$C$6:$C$505,C330,$O$6:$O$505,"&lt;&gt;")&gt;1),IF(COUNTIFS($V$6:V330,29,$F$6:F330,F330,$C$6:C330,C330,$O$6:O330,"&lt;&gt;")=1,"Esta es la fila que se debe CONSERVAR (aparición 1 de "&amp;COUNTIFS($V$6:$V$505,29,$F$6:$F$505,F330,$C$6:$C$505,C330,$O$6:$O$505,"&lt;&gt;")&amp;" con el mismo tercero y valor, casilla 29). Si hay más filas iguales, bórreles el valor a ELLAS, no a esta.","DUPLICADO — ya existe otra fila con el mismo tercero y valor para casilla 29 (aparición "&amp;COUNTIFS($V$6:V330,29,$F$6:F330,F330,$C$6:C330,C330,$O$6:O330,"&lt;&gt;")&amp;" de "&amp;COUNTIFS($V$6:$V$505,29,$F$6:$F$505,F330,$C$6:$C$505,C330,$O$6:$O$505,"&lt;&gt;")&amp;"). Para resolverlo: seleccione la celda O"&amp;ROW()&amp;" (columna Valor a declarar de ESTA fila) y presione Supr."),""))</f>
        <v/>
      </c>
      <c r="X330" s="463">
        <f>IF(A330="","",F330)</f>
        <v/>
      </c>
      <c r="Y330" s="463">
        <f>IF(A330="","",SUMIF(Entrada_Manual!$I$88:$I$187,A330,Entrada_Manual!$F$88:$F$187))</f>
        <v/>
      </c>
      <c r="Z330" s="463">
        <f>IF(A330="","",X330-Y330)</f>
        <v/>
      </c>
      <c r="AA330">
        <f>IF(A330="","",SUMPRODUCT((Entrada_Manual!$I$88:$I$187=A330)*1))</f>
        <v/>
      </c>
      <c r="AB330">
        <f>IF(A330="","",IF(S330&lt;=1,"",IF(AA330=0,"PENDIENTE — SIN ASIGNAR",IF(Z330=0,"RESUELTO","PARCIAL — DIFERENCIA "&amp;TEXT(Z330,"#,##0")))))</f>
        <v/>
      </c>
    </row>
    <row r="331" ht="14.25" customHeight="1" s="235">
      <c r="A331" s="47">
        <f>IF(Exogena_RAW!E340&lt;&gt;"",ROW()-5,"")</f>
        <v/>
      </c>
      <c r="B331" s="48">
        <f>IF(A331="","",340)</f>
        <v/>
      </c>
      <c r="C331" s="48">
        <f>IF(A331="","",IFERROR(Exogena_RAW!A340,""))</f>
        <v/>
      </c>
      <c r="D331" s="48">
        <f>IF(A331="","",IFERROR(Exogena_RAW!B340,""))</f>
        <v/>
      </c>
      <c r="E331" s="48">
        <f>IF(A331="","",Exogena_RAW!E340)</f>
        <v/>
      </c>
      <c r="F331" s="461">
        <f>IF(A331="","",Exogena_RAW!F340)</f>
        <v/>
      </c>
      <c r="G331" s="48">
        <f>IF(A331="","",IFERROR(Exogena_RAW!G340,""))</f>
        <v/>
      </c>
      <c r="H331" s="48">
        <f>IF(A331="","",IFERROR(Exogena_RAW!H340,""))</f>
        <v/>
      </c>
      <c r="I331" s="48">
        <f>IF(A331="","",IFERROR(IF(S331&gt;1,"VARIAS CASILLAS",IF(S331=1,IF(T331=1,"PROPUESTA DE CASILLA","REVISIÓN: CASILLA NO DIRECTA"),IF(OR(ISNUMBER(SEARCH("TOPE",UPPER(E331))),ISNUMBER(SEARCH("TOPE",UPPER(G331)))),"SOLO CONTROL",IF(ISNUMBER(SEARCH("RETEN",UPPER(E331))),"RETENCIÓN","REVISAR")))),"REVISAR"))</f>
        <v/>
      </c>
      <c r="J331" s="48">
        <f>IF(A331="","",IF(ISNUMBER(SEARCH("ingreso laboral promedio de los últimos seis meses",E331)),"",IFERROR(IF(AND(S331=1,T331=1),U331,""),"")))</f>
        <v/>
      </c>
      <c r="K331" s="216" t="n"/>
      <c r="L331" s="48">
        <f>IF(A331="","",IFERROR(IF(K331&lt;&gt;"","Casilla elegida por usuario",IF(S331&gt;1,"Varias casillas — elegir en K",IF(J331&lt;&gt;"","Sugerencia directa",IF(S331=1,"No trasladar directo — revisar",IF(OR(ISNUMBER(SEARCH("TOPE",UPPER(E331))),ISNUMBER(SEARCH("TOPE",UPPER(G331)))),"Solo control","Revisar manualmente"))))),"Revisar manualmente"))</f>
        <v/>
      </c>
      <c r="M331" s="461">
        <f>IF(A331="","",IF(IF(K331&lt;&gt;"",K331,J331)="",0,IF(COUNTIFS(Reglas!$I$5:$I$118,IF(K331&lt;&gt;"",K331,J331),Reglas!$J$5:$J$118,"Sí")=1,F331,0)))</f>
        <v/>
      </c>
      <c r="N331" s="56" t="n"/>
      <c r="O331" s="462">
        <f>IF(A331="","",IF(M331=0,"",M331))</f>
        <v/>
      </c>
      <c r="P331" s="461">
        <f>IF(A331="","",IF(O331="",0,IF(ISNUMBER(O331),O331,0)))</f>
        <v/>
      </c>
      <c r="Q331" s="48">
        <f>IF(A331="","",IF(Exogena_RAW!$C$4="","BLOQUEADO: FALTA AÑO",IF(Exogena_RAW!$K$10&lt;&gt;Reglas!$B$5,"BLOQUEADO: AÑO",IF(IF(K331&lt;&gt;"",K331,J331)="",IF(S331&gt;1,"REQUIERE ASIGNACIÓN MANUAL (VARIAS CASILLAS)","INFORMATIVO (sin casilla — no se declara)"),IF(COUNTIFS(Reglas!$I$5:$I$118,IF(K331&lt;&gt;"",K331,J331),Reglas!$J$5:$J$118,"Sí")=0,"BLOQUEADO: CASILLA NO DIRECTA",IF(O331="","EXCLUIDO (valor borrado por el usuario)",IF(_xlfn.ISFORMULA(O331),IF(W331&lt;&gt;"","BORRADOR — VALOR SUGERIDO DIAN ⚠ VER ALERTA","BORRADOR — VALOR SUGERIDO DIAN"),IF(W331&lt;&gt;"","ACEPTADO ⚠ VER ALERTA","ACEPTADO"))))))))</f>
        <v/>
      </c>
      <c r="R331" s="218" t="n"/>
      <c r="S331" s="58">
        <f>IF(A331="","",IFERROR(--ISNUMBER(SEARCH("R28",G331)),0)+IFERROR(--ISNUMBER(SEARCH("R29",G331)),0)+IFERROR(--ISNUMBER(SEARCH("R30",G331)),0)+IFERROR(--ISNUMBER(SEARCH("R31",G331)),0)+IFERROR(--ISNUMBER(SEARCH("R32",G331)),0)+IFERROR(--ISNUMBER(SEARCH("R33",G331)),0)+IFERROR(--ISNUMBER(SEARCH("R34",G331)),0)+IFERROR(--ISNUMBER(SEARCH("R35",G331)),0)+IFERROR(--ISNUMBER(SEARCH("R36",G331)),0)+IFERROR(--ISNUMBER(SEARCH("R37",G331)),0)+IFERROR(--ISNUMBER(SEARCH("R38",G331)),0)+IFERROR(--ISNUMBER(SEARCH("R39",G331)),0)+IFERROR(--ISNUMBER(SEARCH("R40",G331)),0)+IFERROR(--ISNUMBER(SEARCH("R41",G331)),0)+IFERROR(--ISNUMBER(SEARCH("R42",G331)),0)+IFERROR(--ISNUMBER(SEARCH("R43",G331)),0)+IFERROR(--ISNUMBER(SEARCH("R44",G331)),0)+IFERROR(--ISNUMBER(SEARCH("R45",G331)),0)+IFERROR(--ISNUMBER(SEARCH("R46",G331)),0)+IFERROR(--ISNUMBER(SEARCH("R47",G331)),0)+IFERROR(--ISNUMBER(SEARCH("R48",G331)),0)+IFERROR(--ISNUMBER(SEARCH("R49",G331)),0)+IFERROR(--ISNUMBER(SEARCH("R50",G331)),0)+IFERROR(--ISNUMBER(SEARCH("R51",G331)),0)+IFERROR(--ISNUMBER(SEARCH("R52",G331)),0)+IFERROR(--ISNUMBER(SEARCH("R53",G331)),0)+IFERROR(--ISNUMBER(SEARCH("R54",G331)),0)+IFERROR(--ISNUMBER(SEARCH("R55",G331)),0)+IFERROR(--ISNUMBER(SEARCH("R56",G331)),0)+IFERROR(--ISNUMBER(SEARCH("R57",G331)),0)+IFERROR(--ISNUMBER(SEARCH("R58",G331)),0)+IFERROR(--ISNUMBER(SEARCH("R59",G331)),0)+IFERROR(--ISNUMBER(SEARCH("R60",G331)),0)+IFERROR(--ISNUMBER(SEARCH("R61",G331)),0)+IFERROR(--ISNUMBER(SEARCH("R62",G331)),0)+IFERROR(--ISNUMBER(SEARCH("R63",G331)),0)+IFERROR(--ISNUMBER(SEARCH("R64",G331)),0)+IFERROR(--ISNUMBER(SEARCH("R65",G331)),0)+IFERROR(--ISNUMBER(SEARCH("R66",G331)),0)+IFERROR(--ISNUMBER(SEARCH("R67",G331)),0)+IFERROR(--ISNUMBER(SEARCH("R68",G331)),0)+IFERROR(--ISNUMBER(SEARCH("R69",G331)),0)+IFERROR(--ISNUMBER(SEARCH("R70",G331)),0)+IFERROR(--ISNUMBER(SEARCH("R71",G331)),0)+IFERROR(--ISNUMBER(SEARCH("R72",G331)),0)+IFERROR(--ISNUMBER(SEARCH("R73",G331)),0)+IFERROR(--ISNUMBER(SEARCH("R74",G331)),0)+IFERROR(--ISNUMBER(SEARCH("R75",G331)),0)+IFERROR(--ISNUMBER(SEARCH("R76",G331)),0)+IFERROR(--ISNUMBER(SEARCH("R77",G331)),0)+IFERROR(--ISNUMBER(SEARCH("R78",G331)),0)+IFERROR(--ISNUMBER(SEARCH("R79",G331)),0)+IFERROR(--ISNUMBER(SEARCH("R80",G331)),0)+IFERROR(--ISNUMBER(SEARCH("R81",G331)),0)+IFERROR(--ISNUMBER(SEARCH("R82",G331)),0)+IFERROR(--ISNUMBER(SEARCH("R83",G331)),0)+IFERROR(--ISNUMBER(SEARCH("R84",G331)),0)+IFERROR(--ISNUMBER(SEARCH("R85",G331)),0)+IFERROR(--ISNUMBER(SEARCH("R86",G331)),0)+IFERROR(--ISNUMBER(SEARCH("R87",G331)),0)+IFERROR(--ISNUMBER(SEARCH("R88",G331)),0)+IFERROR(--ISNUMBER(SEARCH("R89",G331)),0)+IFERROR(--ISNUMBER(SEARCH("R90",G331)),0)+IFERROR(--ISNUMBER(SEARCH("R91",G331)),0)+IFERROR(--ISNUMBER(SEARCH("R92",G331)),0)+IFERROR(--ISNUMBER(SEARCH("R93",G331)),0)+IFERROR(--ISNUMBER(SEARCH("R94",G331)),0)+IFERROR(--ISNUMBER(SEARCH("R95",G331)),0)+IFERROR(--ISNUMBER(SEARCH("R96",G331)),0)+IFERROR(--ISNUMBER(SEARCH("R97",G331)),0)+IFERROR(--ISNUMBER(SEARCH("R98",G331)),0)+IFERROR(--ISNUMBER(SEARCH("R99",G331)),0)+IFERROR(--ISNUMBER(SEARCH("R100",G331)),0)+IFERROR(--ISNUMBER(SEARCH("R101",G331)),0)+IFERROR(--ISNUMBER(SEARCH("R102",G331)),0)+IFERROR(--ISNUMBER(SEARCH("R103",G331)),0)+IFERROR(--ISNUMBER(SEARCH("R104",G331)),0)+IFERROR(--ISNUMBER(SEARCH("R105",G331)),0)+IFERROR(--ISNUMBER(SEARCH("R106",G331)),0)+IFERROR(--ISNUMBER(SEARCH("R107",G331)),0)+IFERROR(--ISNUMBER(SEARCH("R108",G331)),0)+IFERROR(--ISNUMBER(SEARCH("R109",G331)),0)+IFERROR(--ISNUMBER(SEARCH("R110",G331)),0)+IFERROR(--ISNUMBER(SEARCH("R111",G331)),0)+IFERROR(--ISNUMBER(SEARCH("R112",G331)),0)+IFERROR(--ISNUMBER(SEARCH("R113",G331)),0)+IFERROR(--ISNUMBER(SEARCH("R114",G331)),0)+IFERROR(--ISNUMBER(SEARCH("R115",G331)),0)+IFERROR(--ISNUMBER(SEARCH("R116",G331)),0)+IFERROR(--ISNUMBER(SEARCH("R117",G331)),0)+IFERROR(--ISNUMBER(SEARCH("R118",G331)),0)+IFERROR(--ISNUMBER(SEARCH("R119",G331)),0)+IFERROR(--ISNUMBER(SEARCH("R120",G331)),0)+IFERROR(--ISNUMBER(SEARCH("R121",G331)),0)+IFERROR(--ISNUMBER(SEARCH("R122",G331)),0)+IFERROR(--ISNUMBER(SEARCH("R123",G331)),0)+IFERROR(--ISNUMBER(SEARCH("R124",G331)),0)+IFERROR(--ISNUMBER(SEARCH("R125",G331)),0)+IFERROR(--ISNUMBER(SEARCH("R126",G331)),0)+IFERROR(--ISNUMBER(SEARCH("R127",G331)),0)+IFERROR(--ISNUMBER(SEARCH("R128",G331)),0)+IFERROR(--ISNUMBER(SEARCH("R129",G331)),0)+IFERROR(--ISNUMBER(SEARCH("R130",G331)),0)+IFERROR(--ISNUMBER(SEARCH("R131",G331)),0)+IFERROR(--ISNUMBER(SEARCH("R132",G331)),0)+IFERROR(--ISNUMBER(SEARCH("R133",G331)),0)+IFERROR(--ISNUMBER(SEARCH("R134",G331)),0)+IFERROR(--ISNUMBER(SEARCH("R135",G331)),0)+IFERROR(--ISNUMBER(SEARCH("R136",G331)),0)+IFERROR(--ISNUMBER(SEARCH("R137",G331)),0)+IFERROR(--ISNUMBER(SEARCH("R138",G331)),0)+IFERROR(--ISNUMBER(SEARCH("R139",G331)),0)+IFERROR(--ISNUMBER(SEARCH("R140",G331)),0)+IFERROR(--ISNUMBER(SEARCH("R141",G331)),0))</f>
        <v/>
      </c>
      <c r="T331" s="58">
        <f>IF(A331="","",IFERROR(--ISNUMBER(SEARCH("R28",G331)),0)+IFERROR(--ISNUMBER(SEARCH("R29",G331)),0)+IFERROR(--ISNUMBER(SEARCH("R30",G331)),0)+IFERROR(--ISNUMBER(SEARCH("R32",G331)),0)+IFERROR(--ISNUMBER(SEARCH("R33",G331)),0)+IFERROR(--ISNUMBER(SEARCH("R35",G331)),0)+IFERROR(--ISNUMBER(SEARCH("R36",G331)),0)+IFERROR(--ISNUMBER(SEARCH("R38",G331)),0)+IFERROR(--ISNUMBER(SEARCH("R39",G331)),0)+IFERROR(--ISNUMBER(SEARCH("R43",G331)),0)+IFERROR(--ISNUMBER(SEARCH("R44",G331)),0)+IFERROR(--ISNUMBER(SEARCH("R45",G331)),0)+IFERROR(--ISNUMBER(SEARCH("R47",G331)),0)+IFERROR(--ISNUMBER(SEARCH("R48",G331)),0)+IFERROR(--ISNUMBER(SEARCH("R50",G331)),0)+IFERROR(--ISNUMBER(SEARCH("R51",G331)),0)+IFERROR(--ISNUMBER(SEARCH("R56",G331)),0)+IFERROR(--ISNUMBER(SEARCH("R58",G331)),0)+IFERROR(--ISNUMBER(SEARCH("R59",G331)),0)+IFERROR(--ISNUMBER(SEARCH("R60",G331)),0)+IFERROR(--ISNUMBER(SEARCH("R62",G331)),0)+IFERROR(--ISNUMBER(SEARCH("R63",G331)),0)+IFERROR(--ISNUMBER(SEARCH("R64",G331)),0)+IFERROR(--ISNUMBER(SEARCH("R66",G331)),0)+IFERROR(--ISNUMBER(SEARCH("R67",G331)),0)+IFERROR(--ISNUMBER(SEARCH("R72",G331)),0)+IFERROR(--ISNUMBER(SEARCH("R74",G331)),0)+IFERROR(--ISNUMBER(SEARCH("R75",G331)),0)+IFERROR(--ISNUMBER(SEARCH("R76",G331)),0)+IFERROR(--ISNUMBER(SEARCH("R77",G331)),0)+IFERROR(--ISNUMBER(SEARCH("R79",G331)),0)+IFERROR(--ISNUMBER(SEARCH("R80",G331)),0)+IFERROR(--ISNUMBER(SEARCH("R81",G331)),0)+IFERROR(--ISNUMBER(SEARCH("R83",G331)),0)+IFERROR(--ISNUMBER(SEARCH("R84",G331)),0)+IFERROR(--ISNUMBER(SEARCH("R89",G331)),0)+IFERROR(--ISNUMBER(SEARCH("R94",G331)),0)+IFERROR(--ISNUMBER(SEARCH("R95",G331)),0)+IFERROR(--ISNUMBER(SEARCH("R96",G331)),0)+IFERROR(--ISNUMBER(SEARCH("R98",G331)),0)+IFERROR(--ISNUMBER(SEARCH("R99",G331)),0)+IFERROR(--ISNUMBER(SEARCH("R100",G331)),0)+IFERROR(--ISNUMBER(SEARCH("R104",G331)),0)+IFERROR(--ISNUMBER(SEARCH("R105",G331)),0)+IFERROR(--ISNUMBER(SEARCH("R107",G331)),0)+IFERROR(--ISNUMBER(SEARCH("R108",G331)),0)+IFERROR(--ISNUMBER(SEARCH("R109",G331)),0)+IFERROR(--ISNUMBER(SEARCH("R110",G331)),0)+IFERROR(--ISNUMBER(SEARCH("R112",G331)),0)+IFERROR(--ISNUMBER(SEARCH("R113",G331)),0)+IFERROR(--ISNUMBER(SEARCH("R114",G331)),0)+IFERROR(--ISNUMBER(SEARCH("R118",G331)),0)+IFERROR(--ISNUMBER(SEARCH("R119",G331)),0)+IFERROR(--ISNUMBER(SEARCH("R120",G331)),0)+IFERROR(--ISNUMBER(SEARCH("R122",G331)),0)+IFERROR(--ISNUMBER(SEARCH("R123",G331)),0)+IFERROR(--ISNUMBER(SEARCH("R124",G331)),0)+IFERROR(--ISNUMBER(SEARCH("R128",G331)),0)+IFERROR(--ISNUMBER(SEARCH("R130",G331)),0)+IFERROR(--ISNUMBER(SEARCH("R131",G331)),0)+IFERROR(--ISNUMBER(SEARCH("R132",G331)),0)+IFERROR(--ISNUMBER(SEARCH("R135",G331)),0)+IFERROR(--ISNUMBER(SEARCH("R138",G331)),0)+IFERROR(--ISNUMBER(SEARCH("R141",G331)),0))</f>
        <v/>
      </c>
      <c r="U331" s="58">
        <f>IF(A331="","",IFERROR(--ISNUMBER(SEARCH("R28",G331))*28,0)+IFERROR(--ISNUMBER(SEARCH("R29",G331))*29,0)+IFERROR(--ISNUMBER(SEARCH("R30",G331))*30,0)+IFERROR(--ISNUMBER(SEARCH("R31",G331))*31,0)+IFERROR(--ISNUMBER(SEARCH("R32",G331))*32,0)+IFERROR(--ISNUMBER(SEARCH("R33",G331))*33,0)+IFERROR(--ISNUMBER(SEARCH("R34",G331))*34,0)+IFERROR(--ISNUMBER(SEARCH("R35",G331))*35,0)+IFERROR(--ISNUMBER(SEARCH("R36",G331))*36,0)+IFERROR(--ISNUMBER(SEARCH("R37",G331))*37,0)+IFERROR(--ISNUMBER(SEARCH("R38",G331))*38,0)+IFERROR(--ISNUMBER(SEARCH("R39",G331))*39,0)+IFERROR(--ISNUMBER(SEARCH("R40",G331))*40,0)+IFERROR(--ISNUMBER(SEARCH("R41",G331))*41,0)+IFERROR(--ISNUMBER(SEARCH("R42",G331))*42,0)+IFERROR(--ISNUMBER(SEARCH("R43",G331))*43,0)+IFERROR(--ISNUMBER(SEARCH("R44",G331))*44,0)+IFERROR(--ISNUMBER(SEARCH("R45",G331))*45,0)+IFERROR(--ISNUMBER(SEARCH("R46",G331))*46,0)+IFERROR(--ISNUMBER(SEARCH("R47",G331))*47,0)+IFERROR(--ISNUMBER(SEARCH("R48",G331))*48,0)+IFERROR(--ISNUMBER(SEARCH("R49",G331))*49,0)+IFERROR(--ISNUMBER(SEARCH("R50",G331))*50,0)+IFERROR(--ISNUMBER(SEARCH("R51",G331))*51,0)+IFERROR(--ISNUMBER(SEARCH("R52",G331))*52,0)+IFERROR(--ISNUMBER(SEARCH("R53",G331))*53,0)+IFERROR(--ISNUMBER(SEARCH("R54",G331))*54,0)+IFERROR(--ISNUMBER(SEARCH("R55",G331))*55,0)+IFERROR(--ISNUMBER(SEARCH("R56",G331))*56,0)+IFERROR(--ISNUMBER(SEARCH("R57",G331))*57,0)+IFERROR(--ISNUMBER(SEARCH("R58",G331))*58,0)+IFERROR(--ISNUMBER(SEARCH("R59",G331))*59,0)+IFERROR(--ISNUMBER(SEARCH("R60",G331))*60,0)+IFERROR(--ISNUMBER(SEARCH("R61",G331))*61,0)+IFERROR(--ISNUMBER(SEARCH("R62",G331))*62,0)+IFERROR(--ISNUMBER(SEARCH("R63",G331))*63,0)+IFERROR(--ISNUMBER(SEARCH("R64",G331))*64,0)+IFERROR(--ISNUMBER(SEARCH("R65",G331))*65,0)+IFERROR(--ISNUMBER(SEARCH("R66",G331))*66,0)+IFERROR(--ISNUMBER(SEARCH("R67",G331))*67,0)+IFERROR(--ISNUMBER(SEARCH("R68",G331))*68,0)+IFERROR(--ISNUMBER(SEARCH("R69",G331))*69,0)+IFERROR(--ISNUMBER(SEARCH("R70",G331))*70,0)+IFERROR(--ISNUMBER(SEARCH("R71",G331))*71,0)+IFERROR(--ISNUMBER(SEARCH("R72",G331))*72,0)+IFERROR(--ISNUMBER(SEARCH("R73",G331))*73,0)+IFERROR(--ISNUMBER(SEARCH("R74",G331))*74,0)+IFERROR(--ISNUMBER(SEARCH("R75",G331))*75,0)+IFERROR(--ISNUMBER(SEARCH("R76",G331))*76,0)+IFERROR(--ISNUMBER(SEARCH("R77",G331))*77,0)+IFERROR(--ISNUMBER(SEARCH("R78",G331))*78,0)+IFERROR(--ISNUMBER(SEARCH("R79",G331))*79,0)+IFERROR(--ISNUMBER(SEARCH("R80",G331))*80,0)+IFERROR(--ISNUMBER(SEARCH("R81",G331))*81,0)+IFERROR(--ISNUMBER(SEARCH("R82",G331))*82,0)+IFERROR(--ISNUMBER(SEARCH("R83",G331))*83,0)+IFERROR(--ISNUMBER(SEARCH("R84",G331))*84,0)+IFERROR(--ISNUMBER(SEARCH("R85",G331))*85,0)+IFERROR(--ISNUMBER(SEARCH("R86",G331))*86,0)+IFERROR(--ISNUMBER(SEARCH("R87",G331))*87,0)+IFERROR(--ISNUMBER(SEARCH("R88",G331))*88,0)+IFERROR(--ISNUMBER(SEARCH("R89",G331))*89,0)+IFERROR(--ISNUMBER(SEARCH("R90",G331))*90,0)+IFERROR(--ISNUMBER(SEARCH("R91",G331))*91,0)+IFERROR(--ISNUMBER(SEARCH("R92",G331))*92,0)+IFERROR(--ISNUMBER(SEARCH("R93",G331))*93,0)+IFERROR(--ISNUMBER(SEARCH("R94",G331))*94,0)+IFERROR(--ISNUMBER(SEARCH("R95",G331))*95,0)+IFERROR(--ISNUMBER(SEARCH("R96",G331))*96,0)+IFERROR(--ISNUMBER(SEARCH("R97",G331))*97,0)+IFERROR(--ISNUMBER(SEARCH("R98",G331))*98,0)+IFERROR(--ISNUMBER(SEARCH("R99",G331))*99,0)+IFERROR(--ISNUMBER(SEARCH("R100",G331))*100,0)+IFERROR(--ISNUMBER(SEARCH("R101",G331))*101,0)+IFERROR(--ISNUMBER(SEARCH("R102",G331))*102,0)+IFERROR(--ISNUMBER(SEARCH("R103",G331))*103,0)+IFERROR(--ISNUMBER(SEARCH("R104",G331))*104,0)+IFERROR(--ISNUMBER(SEARCH("R105",G331))*105,0)+IFERROR(--ISNUMBER(SEARCH("R106",G331))*106,0)+IFERROR(--ISNUMBER(SEARCH("R107",G331))*107,0)+IFERROR(--ISNUMBER(SEARCH("R108",G331))*108,0)+IFERROR(--ISNUMBER(SEARCH("R109",G331))*109,0)+IFERROR(--ISNUMBER(SEARCH("R110",G331))*110,0)+IFERROR(--ISNUMBER(SEARCH("R111",G331))*111,0)+IFERROR(--ISNUMBER(SEARCH("R112",G331))*112,0)+IFERROR(--ISNUMBER(SEARCH("R113",G331))*113,0)+IFERROR(--ISNUMBER(SEARCH("R114",G331))*114,0)+IFERROR(--ISNUMBER(SEARCH("R115",G331))*115,0)+IFERROR(--ISNUMBER(SEARCH("R116",G331))*116,0)+IFERROR(--ISNUMBER(SEARCH("R117",G331))*117,0)+IFERROR(--ISNUMBER(SEARCH("R118",G331))*118,0)+IFERROR(--ISNUMBER(SEARCH("R119",G331))*119,0)+IFERROR(--ISNUMBER(SEARCH("R120",G331))*120,0)+IFERROR(--ISNUMBER(SEARCH("R121",G331))*121,0)+IFERROR(--ISNUMBER(SEARCH("R122",G331))*122,0)+IFERROR(--ISNUMBER(SEARCH("R123",G331))*123,0)+IFERROR(--ISNUMBER(SEARCH("R124",G331))*124,0)+IFERROR(--ISNUMBER(SEARCH("R125",G331))*125,0)+IFERROR(--ISNUMBER(SEARCH("R126",G331))*126,0)+IFERROR(--ISNUMBER(SEARCH("R127",G331))*127,0)+IFERROR(--ISNUMBER(SEARCH("R128",G331))*128,0)+IFERROR(--ISNUMBER(SEARCH("R129",G331))*129,0)+IFERROR(--ISNUMBER(SEARCH("R130",G331))*130,0)+IFERROR(--ISNUMBER(SEARCH("R131",G331))*131,0)+IFERROR(--ISNUMBER(SEARCH("R132",G331))*132,0)+IFERROR(--ISNUMBER(SEARCH("R133",G331))*133,0)+IFERROR(--ISNUMBER(SEARCH("R134",G331))*134,0)+IFERROR(--ISNUMBER(SEARCH("R135",G331))*135,0)+IFERROR(--ISNUMBER(SEARCH("R136",G331))*136,0)+IFERROR(--ISNUMBER(SEARCH("R137",G331))*137,0)+IFERROR(--ISNUMBER(SEARCH("R138",G331))*138,0)+IFERROR(--ISNUMBER(SEARCH("R139",G331))*139,0)+IFERROR(--ISNUMBER(SEARCH("R140",G331))*140,0)+IFERROR(--ISNUMBER(SEARCH("R141",G331))*141,0))</f>
        <v/>
      </c>
      <c r="V331" s="59">
        <f>IF(A331="","",IF(K331&lt;&gt;"",K331,J331))</f>
        <v/>
      </c>
      <c r="W331" s="59">
        <f>IF(A331="","",IF(AND(V331=29,O331&lt;&gt;"",COUNTIFS($V$6:$V$505,29,$F$6:$F$505,F331,$C$6:$C$505,C331,$O$6:$O$505,"&lt;&gt;")&gt;1),IF(COUNTIFS($V$6:V331,29,$F$6:F331,F331,$C$6:C331,C331,$O$6:O331,"&lt;&gt;")=1,"Esta es la fila que se debe CONSERVAR (aparición 1 de "&amp;COUNTIFS($V$6:$V$505,29,$F$6:$F$505,F331,$C$6:$C$505,C331,$O$6:$O$505,"&lt;&gt;")&amp;" con el mismo tercero y valor, casilla 29). Si hay más filas iguales, bórreles el valor a ELLAS, no a esta.","DUPLICADO — ya existe otra fila con el mismo tercero y valor para casilla 29 (aparición "&amp;COUNTIFS($V$6:V331,29,$F$6:F331,F331,$C$6:C331,C331,$O$6:O331,"&lt;&gt;")&amp;" de "&amp;COUNTIFS($V$6:$V$505,29,$F$6:$F$505,F331,$C$6:$C$505,C331,$O$6:$O$505,"&lt;&gt;")&amp;"). Para resolverlo: seleccione la celda O"&amp;ROW()&amp;" (columna Valor a declarar de ESTA fila) y presione Supr."),""))</f>
        <v/>
      </c>
      <c r="X331" s="463">
        <f>IF(A331="","",F331)</f>
        <v/>
      </c>
      <c r="Y331" s="463">
        <f>IF(A331="","",SUMIF(Entrada_Manual!$I$88:$I$187,A331,Entrada_Manual!$F$88:$F$187))</f>
        <v/>
      </c>
      <c r="Z331" s="463">
        <f>IF(A331="","",X331-Y331)</f>
        <v/>
      </c>
      <c r="AA331">
        <f>IF(A331="","",SUMPRODUCT((Entrada_Manual!$I$88:$I$187=A331)*1))</f>
        <v/>
      </c>
      <c r="AB331">
        <f>IF(A331="","",IF(S331&lt;=1,"",IF(AA331=0,"PENDIENTE — SIN ASIGNAR",IF(Z331=0,"RESUELTO","PARCIAL — DIFERENCIA "&amp;TEXT(Z331,"#,##0")))))</f>
        <v/>
      </c>
    </row>
    <row r="332" ht="14.25" customHeight="1" s="235">
      <c r="A332" s="47">
        <f>IF(Exogena_RAW!E341&lt;&gt;"",ROW()-5,"")</f>
        <v/>
      </c>
      <c r="B332" s="48">
        <f>IF(A332="","",341)</f>
        <v/>
      </c>
      <c r="C332" s="48">
        <f>IF(A332="","",IFERROR(Exogena_RAW!A341,""))</f>
        <v/>
      </c>
      <c r="D332" s="48">
        <f>IF(A332="","",IFERROR(Exogena_RAW!B341,""))</f>
        <v/>
      </c>
      <c r="E332" s="48">
        <f>IF(A332="","",Exogena_RAW!E341)</f>
        <v/>
      </c>
      <c r="F332" s="461">
        <f>IF(A332="","",Exogena_RAW!F341)</f>
        <v/>
      </c>
      <c r="G332" s="48">
        <f>IF(A332="","",IFERROR(Exogena_RAW!G341,""))</f>
        <v/>
      </c>
      <c r="H332" s="48">
        <f>IF(A332="","",IFERROR(Exogena_RAW!H341,""))</f>
        <v/>
      </c>
      <c r="I332" s="48">
        <f>IF(A332="","",IFERROR(IF(S332&gt;1,"VARIAS CASILLAS",IF(S332=1,IF(T332=1,"PROPUESTA DE CASILLA","REVISIÓN: CASILLA NO DIRECTA"),IF(OR(ISNUMBER(SEARCH("TOPE",UPPER(E332))),ISNUMBER(SEARCH("TOPE",UPPER(G332)))),"SOLO CONTROL",IF(ISNUMBER(SEARCH("RETEN",UPPER(E332))),"RETENCIÓN","REVISAR")))),"REVISAR"))</f>
        <v/>
      </c>
      <c r="J332" s="48">
        <f>IF(A332="","",IF(ISNUMBER(SEARCH("ingreso laboral promedio de los últimos seis meses",E332)),"",IFERROR(IF(AND(S332=1,T332=1),U332,""),"")))</f>
        <v/>
      </c>
      <c r="K332" s="216" t="n"/>
      <c r="L332" s="48">
        <f>IF(A332="","",IFERROR(IF(K332&lt;&gt;"","Casilla elegida por usuario",IF(S332&gt;1,"Varias casillas — elegir en K",IF(J332&lt;&gt;"","Sugerencia directa",IF(S332=1,"No trasladar directo — revisar",IF(OR(ISNUMBER(SEARCH("TOPE",UPPER(E332))),ISNUMBER(SEARCH("TOPE",UPPER(G332)))),"Solo control","Revisar manualmente"))))),"Revisar manualmente"))</f>
        <v/>
      </c>
      <c r="M332" s="461">
        <f>IF(A332="","",IF(IF(K332&lt;&gt;"",K332,J332)="",0,IF(COUNTIFS(Reglas!$I$5:$I$118,IF(K332&lt;&gt;"",K332,J332),Reglas!$J$5:$J$118,"Sí")=1,F332,0)))</f>
        <v/>
      </c>
      <c r="N332" s="56" t="n"/>
      <c r="O332" s="462">
        <f>IF(A332="","",IF(M332=0,"",M332))</f>
        <v/>
      </c>
      <c r="P332" s="461">
        <f>IF(A332="","",IF(O332="",0,IF(ISNUMBER(O332),O332,0)))</f>
        <v/>
      </c>
      <c r="Q332" s="48">
        <f>IF(A332="","",IF(Exogena_RAW!$C$4="","BLOQUEADO: FALTA AÑO",IF(Exogena_RAW!$K$10&lt;&gt;Reglas!$B$5,"BLOQUEADO: AÑO",IF(IF(K332&lt;&gt;"",K332,J332)="",IF(S332&gt;1,"REQUIERE ASIGNACIÓN MANUAL (VARIAS CASILLAS)","INFORMATIVO (sin casilla — no se declara)"),IF(COUNTIFS(Reglas!$I$5:$I$118,IF(K332&lt;&gt;"",K332,J332),Reglas!$J$5:$J$118,"Sí")=0,"BLOQUEADO: CASILLA NO DIRECTA",IF(O332="","EXCLUIDO (valor borrado por el usuario)",IF(_xlfn.ISFORMULA(O332),IF(W332&lt;&gt;"","BORRADOR — VALOR SUGERIDO DIAN ⚠ VER ALERTA","BORRADOR — VALOR SUGERIDO DIAN"),IF(W332&lt;&gt;"","ACEPTADO ⚠ VER ALERTA","ACEPTADO"))))))))</f>
        <v/>
      </c>
      <c r="R332" s="218" t="n"/>
      <c r="S332" s="58">
        <f>IF(A332="","",IFERROR(--ISNUMBER(SEARCH("R28",G332)),0)+IFERROR(--ISNUMBER(SEARCH("R29",G332)),0)+IFERROR(--ISNUMBER(SEARCH("R30",G332)),0)+IFERROR(--ISNUMBER(SEARCH("R31",G332)),0)+IFERROR(--ISNUMBER(SEARCH("R32",G332)),0)+IFERROR(--ISNUMBER(SEARCH("R33",G332)),0)+IFERROR(--ISNUMBER(SEARCH("R34",G332)),0)+IFERROR(--ISNUMBER(SEARCH("R35",G332)),0)+IFERROR(--ISNUMBER(SEARCH("R36",G332)),0)+IFERROR(--ISNUMBER(SEARCH("R37",G332)),0)+IFERROR(--ISNUMBER(SEARCH("R38",G332)),0)+IFERROR(--ISNUMBER(SEARCH("R39",G332)),0)+IFERROR(--ISNUMBER(SEARCH("R40",G332)),0)+IFERROR(--ISNUMBER(SEARCH("R41",G332)),0)+IFERROR(--ISNUMBER(SEARCH("R42",G332)),0)+IFERROR(--ISNUMBER(SEARCH("R43",G332)),0)+IFERROR(--ISNUMBER(SEARCH("R44",G332)),0)+IFERROR(--ISNUMBER(SEARCH("R45",G332)),0)+IFERROR(--ISNUMBER(SEARCH("R46",G332)),0)+IFERROR(--ISNUMBER(SEARCH("R47",G332)),0)+IFERROR(--ISNUMBER(SEARCH("R48",G332)),0)+IFERROR(--ISNUMBER(SEARCH("R49",G332)),0)+IFERROR(--ISNUMBER(SEARCH("R50",G332)),0)+IFERROR(--ISNUMBER(SEARCH("R51",G332)),0)+IFERROR(--ISNUMBER(SEARCH("R52",G332)),0)+IFERROR(--ISNUMBER(SEARCH("R53",G332)),0)+IFERROR(--ISNUMBER(SEARCH("R54",G332)),0)+IFERROR(--ISNUMBER(SEARCH("R55",G332)),0)+IFERROR(--ISNUMBER(SEARCH("R56",G332)),0)+IFERROR(--ISNUMBER(SEARCH("R57",G332)),0)+IFERROR(--ISNUMBER(SEARCH("R58",G332)),0)+IFERROR(--ISNUMBER(SEARCH("R59",G332)),0)+IFERROR(--ISNUMBER(SEARCH("R60",G332)),0)+IFERROR(--ISNUMBER(SEARCH("R61",G332)),0)+IFERROR(--ISNUMBER(SEARCH("R62",G332)),0)+IFERROR(--ISNUMBER(SEARCH("R63",G332)),0)+IFERROR(--ISNUMBER(SEARCH("R64",G332)),0)+IFERROR(--ISNUMBER(SEARCH("R65",G332)),0)+IFERROR(--ISNUMBER(SEARCH("R66",G332)),0)+IFERROR(--ISNUMBER(SEARCH("R67",G332)),0)+IFERROR(--ISNUMBER(SEARCH("R68",G332)),0)+IFERROR(--ISNUMBER(SEARCH("R69",G332)),0)+IFERROR(--ISNUMBER(SEARCH("R70",G332)),0)+IFERROR(--ISNUMBER(SEARCH("R71",G332)),0)+IFERROR(--ISNUMBER(SEARCH("R72",G332)),0)+IFERROR(--ISNUMBER(SEARCH("R73",G332)),0)+IFERROR(--ISNUMBER(SEARCH("R74",G332)),0)+IFERROR(--ISNUMBER(SEARCH("R75",G332)),0)+IFERROR(--ISNUMBER(SEARCH("R76",G332)),0)+IFERROR(--ISNUMBER(SEARCH("R77",G332)),0)+IFERROR(--ISNUMBER(SEARCH("R78",G332)),0)+IFERROR(--ISNUMBER(SEARCH("R79",G332)),0)+IFERROR(--ISNUMBER(SEARCH("R80",G332)),0)+IFERROR(--ISNUMBER(SEARCH("R81",G332)),0)+IFERROR(--ISNUMBER(SEARCH("R82",G332)),0)+IFERROR(--ISNUMBER(SEARCH("R83",G332)),0)+IFERROR(--ISNUMBER(SEARCH("R84",G332)),0)+IFERROR(--ISNUMBER(SEARCH("R85",G332)),0)+IFERROR(--ISNUMBER(SEARCH("R86",G332)),0)+IFERROR(--ISNUMBER(SEARCH("R87",G332)),0)+IFERROR(--ISNUMBER(SEARCH("R88",G332)),0)+IFERROR(--ISNUMBER(SEARCH("R89",G332)),0)+IFERROR(--ISNUMBER(SEARCH("R90",G332)),0)+IFERROR(--ISNUMBER(SEARCH("R91",G332)),0)+IFERROR(--ISNUMBER(SEARCH("R92",G332)),0)+IFERROR(--ISNUMBER(SEARCH("R93",G332)),0)+IFERROR(--ISNUMBER(SEARCH("R94",G332)),0)+IFERROR(--ISNUMBER(SEARCH("R95",G332)),0)+IFERROR(--ISNUMBER(SEARCH("R96",G332)),0)+IFERROR(--ISNUMBER(SEARCH("R97",G332)),0)+IFERROR(--ISNUMBER(SEARCH("R98",G332)),0)+IFERROR(--ISNUMBER(SEARCH("R99",G332)),0)+IFERROR(--ISNUMBER(SEARCH("R100",G332)),0)+IFERROR(--ISNUMBER(SEARCH("R101",G332)),0)+IFERROR(--ISNUMBER(SEARCH("R102",G332)),0)+IFERROR(--ISNUMBER(SEARCH("R103",G332)),0)+IFERROR(--ISNUMBER(SEARCH("R104",G332)),0)+IFERROR(--ISNUMBER(SEARCH("R105",G332)),0)+IFERROR(--ISNUMBER(SEARCH("R106",G332)),0)+IFERROR(--ISNUMBER(SEARCH("R107",G332)),0)+IFERROR(--ISNUMBER(SEARCH("R108",G332)),0)+IFERROR(--ISNUMBER(SEARCH("R109",G332)),0)+IFERROR(--ISNUMBER(SEARCH("R110",G332)),0)+IFERROR(--ISNUMBER(SEARCH("R111",G332)),0)+IFERROR(--ISNUMBER(SEARCH("R112",G332)),0)+IFERROR(--ISNUMBER(SEARCH("R113",G332)),0)+IFERROR(--ISNUMBER(SEARCH("R114",G332)),0)+IFERROR(--ISNUMBER(SEARCH("R115",G332)),0)+IFERROR(--ISNUMBER(SEARCH("R116",G332)),0)+IFERROR(--ISNUMBER(SEARCH("R117",G332)),0)+IFERROR(--ISNUMBER(SEARCH("R118",G332)),0)+IFERROR(--ISNUMBER(SEARCH("R119",G332)),0)+IFERROR(--ISNUMBER(SEARCH("R120",G332)),0)+IFERROR(--ISNUMBER(SEARCH("R121",G332)),0)+IFERROR(--ISNUMBER(SEARCH("R122",G332)),0)+IFERROR(--ISNUMBER(SEARCH("R123",G332)),0)+IFERROR(--ISNUMBER(SEARCH("R124",G332)),0)+IFERROR(--ISNUMBER(SEARCH("R125",G332)),0)+IFERROR(--ISNUMBER(SEARCH("R126",G332)),0)+IFERROR(--ISNUMBER(SEARCH("R127",G332)),0)+IFERROR(--ISNUMBER(SEARCH("R128",G332)),0)+IFERROR(--ISNUMBER(SEARCH("R129",G332)),0)+IFERROR(--ISNUMBER(SEARCH("R130",G332)),0)+IFERROR(--ISNUMBER(SEARCH("R131",G332)),0)+IFERROR(--ISNUMBER(SEARCH("R132",G332)),0)+IFERROR(--ISNUMBER(SEARCH("R133",G332)),0)+IFERROR(--ISNUMBER(SEARCH("R134",G332)),0)+IFERROR(--ISNUMBER(SEARCH("R135",G332)),0)+IFERROR(--ISNUMBER(SEARCH("R136",G332)),0)+IFERROR(--ISNUMBER(SEARCH("R137",G332)),0)+IFERROR(--ISNUMBER(SEARCH("R138",G332)),0)+IFERROR(--ISNUMBER(SEARCH("R139",G332)),0)+IFERROR(--ISNUMBER(SEARCH("R140",G332)),0)+IFERROR(--ISNUMBER(SEARCH("R141",G332)),0))</f>
        <v/>
      </c>
      <c r="T332" s="58">
        <f>IF(A332="","",IFERROR(--ISNUMBER(SEARCH("R28",G332)),0)+IFERROR(--ISNUMBER(SEARCH("R29",G332)),0)+IFERROR(--ISNUMBER(SEARCH("R30",G332)),0)+IFERROR(--ISNUMBER(SEARCH("R32",G332)),0)+IFERROR(--ISNUMBER(SEARCH("R33",G332)),0)+IFERROR(--ISNUMBER(SEARCH("R35",G332)),0)+IFERROR(--ISNUMBER(SEARCH("R36",G332)),0)+IFERROR(--ISNUMBER(SEARCH("R38",G332)),0)+IFERROR(--ISNUMBER(SEARCH("R39",G332)),0)+IFERROR(--ISNUMBER(SEARCH("R43",G332)),0)+IFERROR(--ISNUMBER(SEARCH("R44",G332)),0)+IFERROR(--ISNUMBER(SEARCH("R45",G332)),0)+IFERROR(--ISNUMBER(SEARCH("R47",G332)),0)+IFERROR(--ISNUMBER(SEARCH("R48",G332)),0)+IFERROR(--ISNUMBER(SEARCH("R50",G332)),0)+IFERROR(--ISNUMBER(SEARCH("R51",G332)),0)+IFERROR(--ISNUMBER(SEARCH("R56",G332)),0)+IFERROR(--ISNUMBER(SEARCH("R58",G332)),0)+IFERROR(--ISNUMBER(SEARCH("R59",G332)),0)+IFERROR(--ISNUMBER(SEARCH("R60",G332)),0)+IFERROR(--ISNUMBER(SEARCH("R62",G332)),0)+IFERROR(--ISNUMBER(SEARCH("R63",G332)),0)+IFERROR(--ISNUMBER(SEARCH("R64",G332)),0)+IFERROR(--ISNUMBER(SEARCH("R66",G332)),0)+IFERROR(--ISNUMBER(SEARCH("R67",G332)),0)+IFERROR(--ISNUMBER(SEARCH("R72",G332)),0)+IFERROR(--ISNUMBER(SEARCH("R74",G332)),0)+IFERROR(--ISNUMBER(SEARCH("R75",G332)),0)+IFERROR(--ISNUMBER(SEARCH("R76",G332)),0)+IFERROR(--ISNUMBER(SEARCH("R77",G332)),0)+IFERROR(--ISNUMBER(SEARCH("R79",G332)),0)+IFERROR(--ISNUMBER(SEARCH("R80",G332)),0)+IFERROR(--ISNUMBER(SEARCH("R81",G332)),0)+IFERROR(--ISNUMBER(SEARCH("R83",G332)),0)+IFERROR(--ISNUMBER(SEARCH("R84",G332)),0)+IFERROR(--ISNUMBER(SEARCH("R89",G332)),0)+IFERROR(--ISNUMBER(SEARCH("R94",G332)),0)+IFERROR(--ISNUMBER(SEARCH("R95",G332)),0)+IFERROR(--ISNUMBER(SEARCH("R96",G332)),0)+IFERROR(--ISNUMBER(SEARCH("R98",G332)),0)+IFERROR(--ISNUMBER(SEARCH("R99",G332)),0)+IFERROR(--ISNUMBER(SEARCH("R100",G332)),0)+IFERROR(--ISNUMBER(SEARCH("R104",G332)),0)+IFERROR(--ISNUMBER(SEARCH("R105",G332)),0)+IFERROR(--ISNUMBER(SEARCH("R107",G332)),0)+IFERROR(--ISNUMBER(SEARCH("R108",G332)),0)+IFERROR(--ISNUMBER(SEARCH("R109",G332)),0)+IFERROR(--ISNUMBER(SEARCH("R110",G332)),0)+IFERROR(--ISNUMBER(SEARCH("R112",G332)),0)+IFERROR(--ISNUMBER(SEARCH("R113",G332)),0)+IFERROR(--ISNUMBER(SEARCH("R114",G332)),0)+IFERROR(--ISNUMBER(SEARCH("R118",G332)),0)+IFERROR(--ISNUMBER(SEARCH("R119",G332)),0)+IFERROR(--ISNUMBER(SEARCH("R120",G332)),0)+IFERROR(--ISNUMBER(SEARCH("R122",G332)),0)+IFERROR(--ISNUMBER(SEARCH("R123",G332)),0)+IFERROR(--ISNUMBER(SEARCH("R124",G332)),0)+IFERROR(--ISNUMBER(SEARCH("R128",G332)),0)+IFERROR(--ISNUMBER(SEARCH("R130",G332)),0)+IFERROR(--ISNUMBER(SEARCH("R131",G332)),0)+IFERROR(--ISNUMBER(SEARCH("R132",G332)),0)+IFERROR(--ISNUMBER(SEARCH("R135",G332)),0)+IFERROR(--ISNUMBER(SEARCH("R138",G332)),0)+IFERROR(--ISNUMBER(SEARCH("R141",G332)),0))</f>
        <v/>
      </c>
      <c r="U332" s="58">
        <f>IF(A332="","",IFERROR(--ISNUMBER(SEARCH("R28",G332))*28,0)+IFERROR(--ISNUMBER(SEARCH("R29",G332))*29,0)+IFERROR(--ISNUMBER(SEARCH("R30",G332))*30,0)+IFERROR(--ISNUMBER(SEARCH("R31",G332))*31,0)+IFERROR(--ISNUMBER(SEARCH("R32",G332))*32,0)+IFERROR(--ISNUMBER(SEARCH("R33",G332))*33,0)+IFERROR(--ISNUMBER(SEARCH("R34",G332))*34,0)+IFERROR(--ISNUMBER(SEARCH("R35",G332))*35,0)+IFERROR(--ISNUMBER(SEARCH("R36",G332))*36,0)+IFERROR(--ISNUMBER(SEARCH("R37",G332))*37,0)+IFERROR(--ISNUMBER(SEARCH("R38",G332))*38,0)+IFERROR(--ISNUMBER(SEARCH("R39",G332))*39,0)+IFERROR(--ISNUMBER(SEARCH("R40",G332))*40,0)+IFERROR(--ISNUMBER(SEARCH("R41",G332))*41,0)+IFERROR(--ISNUMBER(SEARCH("R42",G332))*42,0)+IFERROR(--ISNUMBER(SEARCH("R43",G332))*43,0)+IFERROR(--ISNUMBER(SEARCH("R44",G332))*44,0)+IFERROR(--ISNUMBER(SEARCH("R45",G332))*45,0)+IFERROR(--ISNUMBER(SEARCH("R46",G332))*46,0)+IFERROR(--ISNUMBER(SEARCH("R47",G332))*47,0)+IFERROR(--ISNUMBER(SEARCH("R48",G332))*48,0)+IFERROR(--ISNUMBER(SEARCH("R49",G332))*49,0)+IFERROR(--ISNUMBER(SEARCH("R50",G332))*50,0)+IFERROR(--ISNUMBER(SEARCH("R51",G332))*51,0)+IFERROR(--ISNUMBER(SEARCH("R52",G332))*52,0)+IFERROR(--ISNUMBER(SEARCH("R53",G332))*53,0)+IFERROR(--ISNUMBER(SEARCH("R54",G332))*54,0)+IFERROR(--ISNUMBER(SEARCH("R55",G332))*55,0)+IFERROR(--ISNUMBER(SEARCH("R56",G332))*56,0)+IFERROR(--ISNUMBER(SEARCH("R57",G332))*57,0)+IFERROR(--ISNUMBER(SEARCH("R58",G332))*58,0)+IFERROR(--ISNUMBER(SEARCH("R59",G332))*59,0)+IFERROR(--ISNUMBER(SEARCH("R60",G332))*60,0)+IFERROR(--ISNUMBER(SEARCH("R61",G332))*61,0)+IFERROR(--ISNUMBER(SEARCH("R62",G332))*62,0)+IFERROR(--ISNUMBER(SEARCH("R63",G332))*63,0)+IFERROR(--ISNUMBER(SEARCH("R64",G332))*64,0)+IFERROR(--ISNUMBER(SEARCH("R65",G332))*65,0)+IFERROR(--ISNUMBER(SEARCH("R66",G332))*66,0)+IFERROR(--ISNUMBER(SEARCH("R67",G332))*67,0)+IFERROR(--ISNUMBER(SEARCH("R68",G332))*68,0)+IFERROR(--ISNUMBER(SEARCH("R69",G332))*69,0)+IFERROR(--ISNUMBER(SEARCH("R70",G332))*70,0)+IFERROR(--ISNUMBER(SEARCH("R71",G332))*71,0)+IFERROR(--ISNUMBER(SEARCH("R72",G332))*72,0)+IFERROR(--ISNUMBER(SEARCH("R73",G332))*73,0)+IFERROR(--ISNUMBER(SEARCH("R74",G332))*74,0)+IFERROR(--ISNUMBER(SEARCH("R75",G332))*75,0)+IFERROR(--ISNUMBER(SEARCH("R76",G332))*76,0)+IFERROR(--ISNUMBER(SEARCH("R77",G332))*77,0)+IFERROR(--ISNUMBER(SEARCH("R78",G332))*78,0)+IFERROR(--ISNUMBER(SEARCH("R79",G332))*79,0)+IFERROR(--ISNUMBER(SEARCH("R80",G332))*80,0)+IFERROR(--ISNUMBER(SEARCH("R81",G332))*81,0)+IFERROR(--ISNUMBER(SEARCH("R82",G332))*82,0)+IFERROR(--ISNUMBER(SEARCH("R83",G332))*83,0)+IFERROR(--ISNUMBER(SEARCH("R84",G332))*84,0)+IFERROR(--ISNUMBER(SEARCH("R85",G332))*85,0)+IFERROR(--ISNUMBER(SEARCH("R86",G332))*86,0)+IFERROR(--ISNUMBER(SEARCH("R87",G332))*87,0)+IFERROR(--ISNUMBER(SEARCH("R88",G332))*88,0)+IFERROR(--ISNUMBER(SEARCH("R89",G332))*89,0)+IFERROR(--ISNUMBER(SEARCH("R90",G332))*90,0)+IFERROR(--ISNUMBER(SEARCH("R91",G332))*91,0)+IFERROR(--ISNUMBER(SEARCH("R92",G332))*92,0)+IFERROR(--ISNUMBER(SEARCH("R93",G332))*93,0)+IFERROR(--ISNUMBER(SEARCH("R94",G332))*94,0)+IFERROR(--ISNUMBER(SEARCH("R95",G332))*95,0)+IFERROR(--ISNUMBER(SEARCH("R96",G332))*96,0)+IFERROR(--ISNUMBER(SEARCH("R97",G332))*97,0)+IFERROR(--ISNUMBER(SEARCH("R98",G332))*98,0)+IFERROR(--ISNUMBER(SEARCH("R99",G332))*99,0)+IFERROR(--ISNUMBER(SEARCH("R100",G332))*100,0)+IFERROR(--ISNUMBER(SEARCH("R101",G332))*101,0)+IFERROR(--ISNUMBER(SEARCH("R102",G332))*102,0)+IFERROR(--ISNUMBER(SEARCH("R103",G332))*103,0)+IFERROR(--ISNUMBER(SEARCH("R104",G332))*104,0)+IFERROR(--ISNUMBER(SEARCH("R105",G332))*105,0)+IFERROR(--ISNUMBER(SEARCH("R106",G332))*106,0)+IFERROR(--ISNUMBER(SEARCH("R107",G332))*107,0)+IFERROR(--ISNUMBER(SEARCH("R108",G332))*108,0)+IFERROR(--ISNUMBER(SEARCH("R109",G332))*109,0)+IFERROR(--ISNUMBER(SEARCH("R110",G332))*110,0)+IFERROR(--ISNUMBER(SEARCH("R111",G332))*111,0)+IFERROR(--ISNUMBER(SEARCH("R112",G332))*112,0)+IFERROR(--ISNUMBER(SEARCH("R113",G332))*113,0)+IFERROR(--ISNUMBER(SEARCH("R114",G332))*114,0)+IFERROR(--ISNUMBER(SEARCH("R115",G332))*115,0)+IFERROR(--ISNUMBER(SEARCH("R116",G332))*116,0)+IFERROR(--ISNUMBER(SEARCH("R117",G332))*117,0)+IFERROR(--ISNUMBER(SEARCH("R118",G332))*118,0)+IFERROR(--ISNUMBER(SEARCH("R119",G332))*119,0)+IFERROR(--ISNUMBER(SEARCH("R120",G332))*120,0)+IFERROR(--ISNUMBER(SEARCH("R121",G332))*121,0)+IFERROR(--ISNUMBER(SEARCH("R122",G332))*122,0)+IFERROR(--ISNUMBER(SEARCH("R123",G332))*123,0)+IFERROR(--ISNUMBER(SEARCH("R124",G332))*124,0)+IFERROR(--ISNUMBER(SEARCH("R125",G332))*125,0)+IFERROR(--ISNUMBER(SEARCH("R126",G332))*126,0)+IFERROR(--ISNUMBER(SEARCH("R127",G332))*127,0)+IFERROR(--ISNUMBER(SEARCH("R128",G332))*128,0)+IFERROR(--ISNUMBER(SEARCH("R129",G332))*129,0)+IFERROR(--ISNUMBER(SEARCH("R130",G332))*130,0)+IFERROR(--ISNUMBER(SEARCH("R131",G332))*131,0)+IFERROR(--ISNUMBER(SEARCH("R132",G332))*132,0)+IFERROR(--ISNUMBER(SEARCH("R133",G332))*133,0)+IFERROR(--ISNUMBER(SEARCH("R134",G332))*134,0)+IFERROR(--ISNUMBER(SEARCH("R135",G332))*135,0)+IFERROR(--ISNUMBER(SEARCH("R136",G332))*136,0)+IFERROR(--ISNUMBER(SEARCH("R137",G332))*137,0)+IFERROR(--ISNUMBER(SEARCH("R138",G332))*138,0)+IFERROR(--ISNUMBER(SEARCH("R139",G332))*139,0)+IFERROR(--ISNUMBER(SEARCH("R140",G332))*140,0)+IFERROR(--ISNUMBER(SEARCH("R141",G332))*141,0))</f>
        <v/>
      </c>
      <c r="V332" s="59">
        <f>IF(A332="","",IF(K332&lt;&gt;"",K332,J332))</f>
        <v/>
      </c>
      <c r="W332" s="59">
        <f>IF(A332="","",IF(AND(V332=29,O332&lt;&gt;"",COUNTIFS($V$6:$V$505,29,$F$6:$F$505,F332,$C$6:$C$505,C332,$O$6:$O$505,"&lt;&gt;")&gt;1),IF(COUNTIFS($V$6:V332,29,$F$6:F332,F332,$C$6:C332,C332,$O$6:O332,"&lt;&gt;")=1,"Esta es la fila que se debe CONSERVAR (aparición 1 de "&amp;COUNTIFS($V$6:$V$505,29,$F$6:$F$505,F332,$C$6:$C$505,C332,$O$6:$O$505,"&lt;&gt;")&amp;" con el mismo tercero y valor, casilla 29). Si hay más filas iguales, bórreles el valor a ELLAS, no a esta.","DUPLICADO — ya existe otra fila con el mismo tercero y valor para casilla 29 (aparición "&amp;COUNTIFS($V$6:V332,29,$F$6:F332,F332,$C$6:C332,C332,$O$6:O332,"&lt;&gt;")&amp;" de "&amp;COUNTIFS($V$6:$V$505,29,$F$6:$F$505,F332,$C$6:$C$505,C332,$O$6:$O$505,"&lt;&gt;")&amp;"). Para resolverlo: seleccione la celda O"&amp;ROW()&amp;" (columna Valor a declarar de ESTA fila) y presione Supr."),""))</f>
        <v/>
      </c>
      <c r="X332" s="463">
        <f>IF(A332="","",F332)</f>
        <v/>
      </c>
      <c r="Y332" s="463">
        <f>IF(A332="","",SUMIF(Entrada_Manual!$I$88:$I$187,A332,Entrada_Manual!$F$88:$F$187))</f>
        <v/>
      </c>
      <c r="Z332" s="463">
        <f>IF(A332="","",X332-Y332)</f>
        <v/>
      </c>
      <c r="AA332">
        <f>IF(A332="","",SUMPRODUCT((Entrada_Manual!$I$88:$I$187=A332)*1))</f>
        <v/>
      </c>
      <c r="AB332">
        <f>IF(A332="","",IF(S332&lt;=1,"",IF(AA332=0,"PENDIENTE — SIN ASIGNAR",IF(Z332=0,"RESUELTO","PARCIAL — DIFERENCIA "&amp;TEXT(Z332,"#,##0")))))</f>
        <v/>
      </c>
    </row>
    <row r="333" ht="14.25" customHeight="1" s="235">
      <c r="A333" s="47">
        <f>IF(Exogena_RAW!E342&lt;&gt;"",ROW()-5,"")</f>
        <v/>
      </c>
      <c r="B333" s="48">
        <f>IF(A333="","",342)</f>
        <v/>
      </c>
      <c r="C333" s="48">
        <f>IF(A333="","",IFERROR(Exogena_RAW!A342,""))</f>
        <v/>
      </c>
      <c r="D333" s="48">
        <f>IF(A333="","",IFERROR(Exogena_RAW!B342,""))</f>
        <v/>
      </c>
      <c r="E333" s="48">
        <f>IF(A333="","",Exogena_RAW!E342)</f>
        <v/>
      </c>
      <c r="F333" s="461">
        <f>IF(A333="","",Exogena_RAW!F342)</f>
        <v/>
      </c>
      <c r="G333" s="48">
        <f>IF(A333="","",IFERROR(Exogena_RAW!G342,""))</f>
        <v/>
      </c>
      <c r="H333" s="48">
        <f>IF(A333="","",IFERROR(Exogena_RAW!H342,""))</f>
        <v/>
      </c>
      <c r="I333" s="48">
        <f>IF(A333="","",IFERROR(IF(S333&gt;1,"VARIAS CASILLAS",IF(S333=1,IF(T333=1,"PROPUESTA DE CASILLA","REVISIÓN: CASILLA NO DIRECTA"),IF(OR(ISNUMBER(SEARCH("TOPE",UPPER(E333))),ISNUMBER(SEARCH("TOPE",UPPER(G333)))),"SOLO CONTROL",IF(ISNUMBER(SEARCH("RETEN",UPPER(E333))),"RETENCIÓN","REVISAR")))),"REVISAR"))</f>
        <v/>
      </c>
      <c r="J333" s="48">
        <f>IF(A333="","",IF(ISNUMBER(SEARCH("ingreso laboral promedio de los últimos seis meses",E333)),"",IFERROR(IF(AND(S333=1,T333=1),U333,""),"")))</f>
        <v/>
      </c>
      <c r="K333" s="216" t="n"/>
      <c r="L333" s="48">
        <f>IF(A333="","",IFERROR(IF(K333&lt;&gt;"","Casilla elegida por usuario",IF(S333&gt;1,"Varias casillas — elegir en K",IF(J333&lt;&gt;"","Sugerencia directa",IF(S333=1,"No trasladar directo — revisar",IF(OR(ISNUMBER(SEARCH("TOPE",UPPER(E333))),ISNUMBER(SEARCH("TOPE",UPPER(G333)))),"Solo control","Revisar manualmente"))))),"Revisar manualmente"))</f>
        <v/>
      </c>
      <c r="M333" s="461">
        <f>IF(A333="","",IF(IF(K333&lt;&gt;"",K333,J333)="",0,IF(COUNTIFS(Reglas!$I$5:$I$118,IF(K333&lt;&gt;"",K333,J333),Reglas!$J$5:$J$118,"Sí")=1,F333,0)))</f>
        <v/>
      </c>
      <c r="N333" s="56" t="n"/>
      <c r="O333" s="462">
        <f>IF(A333="","",IF(M333=0,"",M333))</f>
        <v/>
      </c>
      <c r="P333" s="461">
        <f>IF(A333="","",IF(O333="",0,IF(ISNUMBER(O333),O333,0)))</f>
        <v/>
      </c>
      <c r="Q333" s="48">
        <f>IF(A333="","",IF(Exogena_RAW!$C$4="","BLOQUEADO: FALTA AÑO",IF(Exogena_RAW!$K$10&lt;&gt;Reglas!$B$5,"BLOQUEADO: AÑO",IF(IF(K333&lt;&gt;"",K333,J333)="",IF(S333&gt;1,"REQUIERE ASIGNACIÓN MANUAL (VARIAS CASILLAS)","INFORMATIVO (sin casilla — no se declara)"),IF(COUNTIFS(Reglas!$I$5:$I$118,IF(K333&lt;&gt;"",K333,J333),Reglas!$J$5:$J$118,"Sí")=0,"BLOQUEADO: CASILLA NO DIRECTA",IF(O333="","EXCLUIDO (valor borrado por el usuario)",IF(_xlfn.ISFORMULA(O333),IF(W333&lt;&gt;"","BORRADOR — VALOR SUGERIDO DIAN ⚠ VER ALERTA","BORRADOR — VALOR SUGERIDO DIAN"),IF(W333&lt;&gt;"","ACEPTADO ⚠ VER ALERTA","ACEPTADO"))))))))</f>
        <v/>
      </c>
      <c r="R333" s="218" t="n"/>
      <c r="S333" s="58">
        <f>IF(A333="","",IFERROR(--ISNUMBER(SEARCH("R28",G333)),0)+IFERROR(--ISNUMBER(SEARCH("R29",G333)),0)+IFERROR(--ISNUMBER(SEARCH("R30",G333)),0)+IFERROR(--ISNUMBER(SEARCH("R31",G333)),0)+IFERROR(--ISNUMBER(SEARCH("R32",G333)),0)+IFERROR(--ISNUMBER(SEARCH("R33",G333)),0)+IFERROR(--ISNUMBER(SEARCH("R34",G333)),0)+IFERROR(--ISNUMBER(SEARCH("R35",G333)),0)+IFERROR(--ISNUMBER(SEARCH("R36",G333)),0)+IFERROR(--ISNUMBER(SEARCH("R37",G333)),0)+IFERROR(--ISNUMBER(SEARCH("R38",G333)),0)+IFERROR(--ISNUMBER(SEARCH("R39",G333)),0)+IFERROR(--ISNUMBER(SEARCH("R40",G333)),0)+IFERROR(--ISNUMBER(SEARCH("R41",G333)),0)+IFERROR(--ISNUMBER(SEARCH("R42",G333)),0)+IFERROR(--ISNUMBER(SEARCH("R43",G333)),0)+IFERROR(--ISNUMBER(SEARCH("R44",G333)),0)+IFERROR(--ISNUMBER(SEARCH("R45",G333)),0)+IFERROR(--ISNUMBER(SEARCH("R46",G333)),0)+IFERROR(--ISNUMBER(SEARCH("R47",G333)),0)+IFERROR(--ISNUMBER(SEARCH("R48",G333)),0)+IFERROR(--ISNUMBER(SEARCH("R49",G333)),0)+IFERROR(--ISNUMBER(SEARCH("R50",G333)),0)+IFERROR(--ISNUMBER(SEARCH("R51",G333)),0)+IFERROR(--ISNUMBER(SEARCH("R52",G333)),0)+IFERROR(--ISNUMBER(SEARCH("R53",G333)),0)+IFERROR(--ISNUMBER(SEARCH("R54",G333)),0)+IFERROR(--ISNUMBER(SEARCH("R55",G333)),0)+IFERROR(--ISNUMBER(SEARCH("R56",G333)),0)+IFERROR(--ISNUMBER(SEARCH("R57",G333)),0)+IFERROR(--ISNUMBER(SEARCH("R58",G333)),0)+IFERROR(--ISNUMBER(SEARCH("R59",G333)),0)+IFERROR(--ISNUMBER(SEARCH("R60",G333)),0)+IFERROR(--ISNUMBER(SEARCH("R61",G333)),0)+IFERROR(--ISNUMBER(SEARCH("R62",G333)),0)+IFERROR(--ISNUMBER(SEARCH("R63",G333)),0)+IFERROR(--ISNUMBER(SEARCH("R64",G333)),0)+IFERROR(--ISNUMBER(SEARCH("R65",G333)),0)+IFERROR(--ISNUMBER(SEARCH("R66",G333)),0)+IFERROR(--ISNUMBER(SEARCH("R67",G333)),0)+IFERROR(--ISNUMBER(SEARCH("R68",G333)),0)+IFERROR(--ISNUMBER(SEARCH("R69",G333)),0)+IFERROR(--ISNUMBER(SEARCH("R70",G333)),0)+IFERROR(--ISNUMBER(SEARCH("R71",G333)),0)+IFERROR(--ISNUMBER(SEARCH("R72",G333)),0)+IFERROR(--ISNUMBER(SEARCH("R73",G333)),0)+IFERROR(--ISNUMBER(SEARCH("R74",G333)),0)+IFERROR(--ISNUMBER(SEARCH("R75",G333)),0)+IFERROR(--ISNUMBER(SEARCH("R76",G333)),0)+IFERROR(--ISNUMBER(SEARCH("R77",G333)),0)+IFERROR(--ISNUMBER(SEARCH("R78",G333)),0)+IFERROR(--ISNUMBER(SEARCH("R79",G333)),0)+IFERROR(--ISNUMBER(SEARCH("R80",G333)),0)+IFERROR(--ISNUMBER(SEARCH("R81",G333)),0)+IFERROR(--ISNUMBER(SEARCH("R82",G333)),0)+IFERROR(--ISNUMBER(SEARCH("R83",G333)),0)+IFERROR(--ISNUMBER(SEARCH("R84",G333)),0)+IFERROR(--ISNUMBER(SEARCH("R85",G333)),0)+IFERROR(--ISNUMBER(SEARCH("R86",G333)),0)+IFERROR(--ISNUMBER(SEARCH("R87",G333)),0)+IFERROR(--ISNUMBER(SEARCH("R88",G333)),0)+IFERROR(--ISNUMBER(SEARCH("R89",G333)),0)+IFERROR(--ISNUMBER(SEARCH("R90",G333)),0)+IFERROR(--ISNUMBER(SEARCH("R91",G333)),0)+IFERROR(--ISNUMBER(SEARCH("R92",G333)),0)+IFERROR(--ISNUMBER(SEARCH("R93",G333)),0)+IFERROR(--ISNUMBER(SEARCH("R94",G333)),0)+IFERROR(--ISNUMBER(SEARCH("R95",G333)),0)+IFERROR(--ISNUMBER(SEARCH("R96",G333)),0)+IFERROR(--ISNUMBER(SEARCH("R97",G333)),0)+IFERROR(--ISNUMBER(SEARCH("R98",G333)),0)+IFERROR(--ISNUMBER(SEARCH("R99",G333)),0)+IFERROR(--ISNUMBER(SEARCH("R100",G333)),0)+IFERROR(--ISNUMBER(SEARCH("R101",G333)),0)+IFERROR(--ISNUMBER(SEARCH("R102",G333)),0)+IFERROR(--ISNUMBER(SEARCH("R103",G333)),0)+IFERROR(--ISNUMBER(SEARCH("R104",G333)),0)+IFERROR(--ISNUMBER(SEARCH("R105",G333)),0)+IFERROR(--ISNUMBER(SEARCH("R106",G333)),0)+IFERROR(--ISNUMBER(SEARCH("R107",G333)),0)+IFERROR(--ISNUMBER(SEARCH("R108",G333)),0)+IFERROR(--ISNUMBER(SEARCH("R109",G333)),0)+IFERROR(--ISNUMBER(SEARCH("R110",G333)),0)+IFERROR(--ISNUMBER(SEARCH("R111",G333)),0)+IFERROR(--ISNUMBER(SEARCH("R112",G333)),0)+IFERROR(--ISNUMBER(SEARCH("R113",G333)),0)+IFERROR(--ISNUMBER(SEARCH("R114",G333)),0)+IFERROR(--ISNUMBER(SEARCH("R115",G333)),0)+IFERROR(--ISNUMBER(SEARCH("R116",G333)),0)+IFERROR(--ISNUMBER(SEARCH("R117",G333)),0)+IFERROR(--ISNUMBER(SEARCH("R118",G333)),0)+IFERROR(--ISNUMBER(SEARCH("R119",G333)),0)+IFERROR(--ISNUMBER(SEARCH("R120",G333)),0)+IFERROR(--ISNUMBER(SEARCH("R121",G333)),0)+IFERROR(--ISNUMBER(SEARCH("R122",G333)),0)+IFERROR(--ISNUMBER(SEARCH("R123",G333)),0)+IFERROR(--ISNUMBER(SEARCH("R124",G333)),0)+IFERROR(--ISNUMBER(SEARCH("R125",G333)),0)+IFERROR(--ISNUMBER(SEARCH("R126",G333)),0)+IFERROR(--ISNUMBER(SEARCH("R127",G333)),0)+IFERROR(--ISNUMBER(SEARCH("R128",G333)),0)+IFERROR(--ISNUMBER(SEARCH("R129",G333)),0)+IFERROR(--ISNUMBER(SEARCH("R130",G333)),0)+IFERROR(--ISNUMBER(SEARCH("R131",G333)),0)+IFERROR(--ISNUMBER(SEARCH("R132",G333)),0)+IFERROR(--ISNUMBER(SEARCH("R133",G333)),0)+IFERROR(--ISNUMBER(SEARCH("R134",G333)),0)+IFERROR(--ISNUMBER(SEARCH("R135",G333)),0)+IFERROR(--ISNUMBER(SEARCH("R136",G333)),0)+IFERROR(--ISNUMBER(SEARCH("R137",G333)),0)+IFERROR(--ISNUMBER(SEARCH("R138",G333)),0)+IFERROR(--ISNUMBER(SEARCH("R139",G333)),0)+IFERROR(--ISNUMBER(SEARCH("R140",G333)),0)+IFERROR(--ISNUMBER(SEARCH("R141",G333)),0))</f>
        <v/>
      </c>
      <c r="T333" s="58">
        <f>IF(A333="","",IFERROR(--ISNUMBER(SEARCH("R28",G333)),0)+IFERROR(--ISNUMBER(SEARCH("R29",G333)),0)+IFERROR(--ISNUMBER(SEARCH("R30",G333)),0)+IFERROR(--ISNUMBER(SEARCH("R32",G333)),0)+IFERROR(--ISNUMBER(SEARCH("R33",G333)),0)+IFERROR(--ISNUMBER(SEARCH("R35",G333)),0)+IFERROR(--ISNUMBER(SEARCH("R36",G333)),0)+IFERROR(--ISNUMBER(SEARCH("R38",G333)),0)+IFERROR(--ISNUMBER(SEARCH("R39",G333)),0)+IFERROR(--ISNUMBER(SEARCH("R43",G333)),0)+IFERROR(--ISNUMBER(SEARCH("R44",G333)),0)+IFERROR(--ISNUMBER(SEARCH("R45",G333)),0)+IFERROR(--ISNUMBER(SEARCH("R47",G333)),0)+IFERROR(--ISNUMBER(SEARCH("R48",G333)),0)+IFERROR(--ISNUMBER(SEARCH("R50",G333)),0)+IFERROR(--ISNUMBER(SEARCH("R51",G333)),0)+IFERROR(--ISNUMBER(SEARCH("R56",G333)),0)+IFERROR(--ISNUMBER(SEARCH("R58",G333)),0)+IFERROR(--ISNUMBER(SEARCH("R59",G333)),0)+IFERROR(--ISNUMBER(SEARCH("R60",G333)),0)+IFERROR(--ISNUMBER(SEARCH("R62",G333)),0)+IFERROR(--ISNUMBER(SEARCH("R63",G333)),0)+IFERROR(--ISNUMBER(SEARCH("R64",G333)),0)+IFERROR(--ISNUMBER(SEARCH("R66",G333)),0)+IFERROR(--ISNUMBER(SEARCH("R67",G333)),0)+IFERROR(--ISNUMBER(SEARCH("R72",G333)),0)+IFERROR(--ISNUMBER(SEARCH("R74",G333)),0)+IFERROR(--ISNUMBER(SEARCH("R75",G333)),0)+IFERROR(--ISNUMBER(SEARCH("R76",G333)),0)+IFERROR(--ISNUMBER(SEARCH("R77",G333)),0)+IFERROR(--ISNUMBER(SEARCH("R79",G333)),0)+IFERROR(--ISNUMBER(SEARCH("R80",G333)),0)+IFERROR(--ISNUMBER(SEARCH("R81",G333)),0)+IFERROR(--ISNUMBER(SEARCH("R83",G333)),0)+IFERROR(--ISNUMBER(SEARCH("R84",G333)),0)+IFERROR(--ISNUMBER(SEARCH("R89",G333)),0)+IFERROR(--ISNUMBER(SEARCH("R94",G333)),0)+IFERROR(--ISNUMBER(SEARCH("R95",G333)),0)+IFERROR(--ISNUMBER(SEARCH("R96",G333)),0)+IFERROR(--ISNUMBER(SEARCH("R98",G333)),0)+IFERROR(--ISNUMBER(SEARCH("R99",G333)),0)+IFERROR(--ISNUMBER(SEARCH("R100",G333)),0)+IFERROR(--ISNUMBER(SEARCH("R104",G333)),0)+IFERROR(--ISNUMBER(SEARCH("R105",G333)),0)+IFERROR(--ISNUMBER(SEARCH("R107",G333)),0)+IFERROR(--ISNUMBER(SEARCH("R108",G333)),0)+IFERROR(--ISNUMBER(SEARCH("R109",G333)),0)+IFERROR(--ISNUMBER(SEARCH("R110",G333)),0)+IFERROR(--ISNUMBER(SEARCH("R112",G333)),0)+IFERROR(--ISNUMBER(SEARCH("R113",G333)),0)+IFERROR(--ISNUMBER(SEARCH("R114",G333)),0)+IFERROR(--ISNUMBER(SEARCH("R118",G333)),0)+IFERROR(--ISNUMBER(SEARCH("R119",G333)),0)+IFERROR(--ISNUMBER(SEARCH("R120",G333)),0)+IFERROR(--ISNUMBER(SEARCH("R122",G333)),0)+IFERROR(--ISNUMBER(SEARCH("R123",G333)),0)+IFERROR(--ISNUMBER(SEARCH("R124",G333)),0)+IFERROR(--ISNUMBER(SEARCH("R128",G333)),0)+IFERROR(--ISNUMBER(SEARCH("R130",G333)),0)+IFERROR(--ISNUMBER(SEARCH("R131",G333)),0)+IFERROR(--ISNUMBER(SEARCH("R132",G333)),0)+IFERROR(--ISNUMBER(SEARCH("R135",G333)),0)+IFERROR(--ISNUMBER(SEARCH("R138",G333)),0)+IFERROR(--ISNUMBER(SEARCH("R141",G333)),0))</f>
        <v/>
      </c>
      <c r="U333" s="58">
        <f>IF(A333="","",IFERROR(--ISNUMBER(SEARCH("R28",G333))*28,0)+IFERROR(--ISNUMBER(SEARCH("R29",G333))*29,0)+IFERROR(--ISNUMBER(SEARCH("R30",G333))*30,0)+IFERROR(--ISNUMBER(SEARCH("R31",G333))*31,0)+IFERROR(--ISNUMBER(SEARCH("R32",G333))*32,0)+IFERROR(--ISNUMBER(SEARCH("R33",G333))*33,0)+IFERROR(--ISNUMBER(SEARCH("R34",G333))*34,0)+IFERROR(--ISNUMBER(SEARCH("R35",G333))*35,0)+IFERROR(--ISNUMBER(SEARCH("R36",G333))*36,0)+IFERROR(--ISNUMBER(SEARCH("R37",G333))*37,0)+IFERROR(--ISNUMBER(SEARCH("R38",G333))*38,0)+IFERROR(--ISNUMBER(SEARCH("R39",G333))*39,0)+IFERROR(--ISNUMBER(SEARCH("R40",G333))*40,0)+IFERROR(--ISNUMBER(SEARCH("R41",G333))*41,0)+IFERROR(--ISNUMBER(SEARCH("R42",G333))*42,0)+IFERROR(--ISNUMBER(SEARCH("R43",G333))*43,0)+IFERROR(--ISNUMBER(SEARCH("R44",G333))*44,0)+IFERROR(--ISNUMBER(SEARCH("R45",G333))*45,0)+IFERROR(--ISNUMBER(SEARCH("R46",G333))*46,0)+IFERROR(--ISNUMBER(SEARCH("R47",G333))*47,0)+IFERROR(--ISNUMBER(SEARCH("R48",G333))*48,0)+IFERROR(--ISNUMBER(SEARCH("R49",G333))*49,0)+IFERROR(--ISNUMBER(SEARCH("R50",G333))*50,0)+IFERROR(--ISNUMBER(SEARCH("R51",G333))*51,0)+IFERROR(--ISNUMBER(SEARCH("R52",G333))*52,0)+IFERROR(--ISNUMBER(SEARCH("R53",G333))*53,0)+IFERROR(--ISNUMBER(SEARCH("R54",G333))*54,0)+IFERROR(--ISNUMBER(SEARCH("R55",G333))*55,0)+IFERROR(--ISNUMBER(SEARCH("R56",G333))*56,0)+IFERROR(--ISNUMBER(SEARCH("R57",G333))*57,0)+IFERROR(--ISNUMBER(SEARCH("R58",G333))*58,0)+IFERROR(--ISNUMBER(SEARCH("R59",G333))*59,0)+IFERROR(--ISNUMBER(SEARCH("R60",G333))*60,0)+IFERROR(--ISNUMBER(SEARCH("R61",G333))*61,0)+IFERROR(--ISNUMBER(SEARCH("R62",G333))*62,0)+IFERROR(--ISNUMBER(SEARCH("R63",G333))*63,0)+IFERROR(--ISNUMBER(SEARCH("R64",G333))*64,0)+IFERROR(--ISNUMBER(SEARCH("R65",G333))*65,0)+IFERROR(--ISNUMBER(SEARCH("R66",G333))*66,0)+IFERROR(--ISNUMBER(SEARCH("R67",G333))*67,0)+IFERROR(--ISNUMBER(SEARCH("R68",G333))*68,0)+IFERROR(--ISNUMBER(SEARCH("R69",G333))*69,0)+IFERROR(--ISNUMBER(SEARCH("R70",G333))*70,0)+IFERROR(--ISNUMBER(SEARCH("R71",G333))*71,0)+IFERROR(--ISNUMBER(SEARCH("R72",G333))*72,0)+IFERROR(--ISNUMBER(SEARCH("R73",G333))*73,0)+IFERROR(--ISNUMBER(SEARCH("R74",G333))*74,0)+IFERROR(--ISNUMBER(SEARCH("R75",G333))*75,0)+IFERROR(--ISNUMBER(SEARCH("R76",G333))*76,0)+IFERROR(--ISNUMBER(SEARCH("R77",G333))*77,0)+IFERROR(--ISNUMBER(SEARCH("R78",G333))*78,0)+IFERROR(--ISNUMBER(SEARCH("R79",G333))*79,0)+IFERROR(--ISNUMBER(SEARCH("R80",G333))*80,0)+IFERROR(--ISNUMBER(SEARCH("R81",G333))*81,0)+IFERROR(--ISNUMBER(SEARCH("R82",G333))*82,0)+IFERROR(--ISNUMBER(SEARCH("R83",G333))*83,0)+IFERROR(--ISNUMBER(SEARCH("R84",G333))*84,0)+IFERROR(--ISNUMBER(SEARCH("R85",G333))*85,0)+IFERROR(--ISNUMBER(SEARCH("R86",G333))*86,0)+IFERROR(--ISNUMBER(SEARCH("R87",G333))*87,0)+IFERROR(--ISNUMBER(SEARCH("R88",G333))*88,0)+IFERROR(--ISNUMBER(SEARCH("R89",G333))*89,0)+IFERROR(--ISNUMBER(SEARCH("R90",G333))*90,0)+IFERROR(--ISNUMBER(SEARCH("R91",G333))*91,0)+IFERROR(--ISNUMBER(SEARCH("R92",G333))*92,0)+IFERROR(--ISNUMBER(SEARCH("R93",G333))*93,0)+IFERROR(--ISNUMBER(SEARCH("R94",G333))*94,0)+IFERROR(--ISNUMBER(SEARCH("R95",G333))*95,0)+IFERROR(--ISNUMBER(SEARCH("R96",G333))*96,0)+IFERROR(--ISNUMBER(SEARCH("R97",G333))*97,0)+IFERROR(--ISNUMBER(SEARCH("R98",G333))*98,0)+IFERROR(--ISNUMBER(SEARCH("R99",G333))*99,0)+IFERROR(--ISNUMBER(SEARCH("R100",G333))*100,0)+IFERROR(--ISNUMBER(SEARCH("R101",G333))*101,0)+IFERROR(--ISNUMBER(SEARCH("R102",G333))*102,0)+IFERROR(--ISNUMBER(SEARCH("R103",G333))*103,0)+IFERROR(--ISNUMBER(SEARCH("R104",G333))*104,0)+IFERROR(--ISNUMBER(SEARCH("R105",G333))*105,0)+IFERROR(--ISNUMBER(SEARCH("R106",G333))*106,0)+IFERROR(--ISNUMBER(SEARCH("R107",G333))*107,0)+IFERROR(--ISNUMBER(SEARCH("R108",G333))*108,0)+IFERROR(--ISNUMBER(SEARCH("R109",G333))*109,0)+IFERROR(--ISNUMBER(SEARCH("R110",G333))*110,0)+IFERROR(--ISNUMBER(SEARCH("R111",G333))*111,0)+IFERROR(--ISNUMBER(SEARCH("R112",G333))*112,0)+IFERROR(--ISNUMBER(SEARCH("R113",G333))*113,0)+IFERROR(--ISNUMBER(SEARCH("R114",G333))*114,0)+IFERROR(--ISNUMBER(SEARCH("R115",G333))*115,0)+IFERROR(--ISNUMBER(SEARCH("R116",G333))*116,0)+IFERROR(--ISNUMBER(SEARCH("R117",G333))*117,0)+IFERROR(--ISNUMBER(SEARCH("R118",G333))*118,0)+IFERROR(--ISNUMBER(SEARCH("R119",G333))*119,0)+IFERROR(--ISNUMBER(SEARCH("R120",G333))*120,0)+IFERROR(--ISNUMBER(SEARCH("R121",G333))*121,0)+IFERROR(--ISNUMBER(SEARCH("R122",G333))*122,0)+IFERROR(--ISNUMBER(SEARCH("R123",G333))*123,0)+IFERROR(--ISNUMBER(SEARCH("R124",G333))*124,0)+IFERROR(--ISNUMBER(SEARCH("R125",G333))*125,0)+IFERROR(--ISNUMBER(SEARCH("R126",G333))*126,0)+IFERROR(--ISNUMBER(SEARCH("R127",G333))*127,0)+IFERROR(--ISNUMBER(SEARCH("R128",G333))*128,0)+IFERROR(--ISNUMBER(SEARCH("R129",G333))*129,0)+IFERROR(--ISNUMBER(SEARCH("R130",G333))*130,0)+IFERROR(--ISNUMBER(SEARCH("R131",G333))*131,0)+IFERROR(--ISNUMBER(SEARCH("R132",G333))*132,0)+IFERROR(--ISNUMBER(SEARCH("R133",G333))*133,0)+IFERROR(--ISNUMBER(SEARCH("R134",G333))*134,0)+IFERROR(--ISNUMBER(SEARCH("R135",G333))*135,0)+IFERROR(--ISNUMBER(SEARCH("R136",G333))*136,0)+IFERROR(--ISNUMBER(SEARCH("R137",G333))*137,0)+IFERROR(--ISNUMBER(SEARCH("R138",G333))*138,0)+IFERROR(--ISNUMBER(SEARCH("R139",G333))*139,0)+IFERROR(--ISNUMBER(SEARCH("R140",G333))*140,0)+IFERROR(--ISNUMBER(SEARCH("R141",G333))*141,0))</f>
        <v/>
      </c>
      <c r="V333" s="59">
        <f>IF(A333="","",IF(K333&lt;&gt;"",K333,J333))</f>
        <v/>
      </c>
      <c r="W333" s="59">
        <f>IF(A333="","",IF(AND(V333=29,O333&lt;&gt;"",COUNTIFS($V$6:$V$505,29,$F$6:$F$505,F333,$C$6:$C$505,C333,$O$6:$O$505,"&lt;&gt;")&gt;1),IF(COUNTIFS($V$6:V333,29,$F$6:F333,F333,$C$6:C333,C333,$O$6:O333,"&lt;&gt;")=1,"Esta es la fila que se debe CONSERVAR (aparición 1 de "&amp;COUNTIFS($V$6:$V$505,29,$F$6:$F$505,F333,$C$6:$C$505,C333,$O$6:$O$505,"&lt;&gt;")&amp;" con el mismo tercero y valor, casilla 29). Si hay más filas iguales, bórreles el valor a ELLAS, no a esta.","DUPLICADO — ya existe otra fila con el mismo tercero y valor para casilla 29 (aparición "&amp;COUNTIFS($V$6:V333,29,$F$6:F333,F333,$C$6:C333,C333,$O$6:O333,"&lt;&gt;")&amp;" de "&amp;COUNTIFS($V$6:$V$505,29,$F$6:$F$505,F333,$C$6:$C$505,C333,$O$6:$O$505,"&lt;&gt;")&amp;"). Para resolverlo: seleccione la celda O"&amp;ROW()&amp;" (columna Valor a declarar de ESTA fila) y presione Supr."),""))</f>
        <v/>
      </c>
      <c r="X333" s="463">
        <f>IF(A333="","",F333)</f>
        <v/>
      </c>
      <c r="Y333" s="463">
        <f>IF(A333="","",SUMIF(Entrada_Manual!$I$88:$I$187,A333,Entrada_Manual!$F$88:$F$187))</f>
        <v/>
      </c>
      <c r="Z333" s="463">
        <f>IF(A333="","",X333-Y333)</f>
        <v/>
      </c>
      <c r="AA333">
        <f>IF(A333="","",SUMPRODUCT((Entrada_Manual!$I$88:$I$187=A333)*1))</f>
        <v/>
      </c>
      <c r="AB333">
        <f>IF(A333="","",IF(S333&lt;=1,"",IF(AA333=0,"PENDIENTE — SIN ASIGNAR",IF(Z333=0,"RESUELTO","PARCIAL — DIFERENCIA "&amp;TEXT(Z333,"#,##0")))))</f>
        <v/>
      </c>
    </row>
    <row r="334" ht="14.25" customHeight="1" s="235">
      <c r="A334" s="47">
        <f>IF(Exogena_RAW!E343&lt;&gt;"",ROW()-5,"")</f>
        <v/>
      </c>
      <c r="B334" s="48">
        <f>IF(A334="","",343)</f>
        <v/>
      </c>
      <c r="C334" s="48">
        <f>IF(A334="","",IFERROR(Exogena_RAW!A343,""))</f>
        <v/>
      </c>
      <c r="D334" s="48">
        <f>IF(A334="","",IFERROR(Exogena_RAW!B343,""))</f>
        <v/>
      </c>
      <c r="E334" s="48">
        <f>IF(A334="","",Exogena_RAW!E343)</f>
        <v/>
      </c>
      <c r="F334" s="461">
        <f>IF(A334="","",Exogena_RAW!F343)</f>
        <v/>
      </c>
      <c r="G334" s="48">
        <f>IF(A334="","",IFERROR(Exogena_RAW!G343,""))</f>
        <v/>
      </c>
      <c r="H334" s="48">
        <f>IF(A334="","",IFERROR(Exogena_RAW!H343,""))</f>
        <v/>
      </c>
      <c r="I334" s="48">
        <f>IF(A334="","",IFERROR(IF(S334&gt;1,"VARIAS CASILLAS",IF(S334=1,IF(T334=1,"PROPUESTA DE CASILLA","REVISIÓN: CASILLA NO DIRECTA"),IF(OR(ISNUMBER(SEARCH("TOPE",UPPER(E334))),ISNUMBER(SEARCH("TOPE",UPPER(G334)))),"SOLO CONTROL",IF(ISNUMBER(SEARCH("RETEN",UPPER(E334))),"RETENCIÓN","REVISAR")))),"REVISAR"))</f>
        <v/>
      </c>
      <c r="J334" s="48">
        <f>IF(A334="","",IF(ISNUMBER(SEARCH("ingreso laboral promedio de los últimos seis meses",E334)),"",IFERROR(IF(AND(S334=1,T334=1),U334,""),"")))</f>
        <v/>
      </c>
      <c r="K334" s="216" t="n"/>
      <c r="L334" s="48">
        <f>IF(A334="","",IFERROR(IF(K334&lt;&gt;"","Casilla elegida por usuario",IF(S334&gt;1,"Varias casillas — elegir en K",IF(J334&lt;&gt;"","Sugerencia directa",IF(S334=1,"No trasladar directo — revisar",IF(OR(ISNUMBER(SEARCH("TOPE",UPPER(E334))),ISNUMBER(SEARCH("TOPE",UPPER(G334)))),"Solo control","Revisar manualmente"))))),"Revisar manualmente"))</f>
        <v/>
      </c>
      <c r="M334" s="461">
        <f>IF(A334="","",IF(IF(K334&lt;&gt;"",K334,J334)="",0,IF(COUNTIFS(Reglas!$I$5:$I$118,IF(K334&lt;&gt;"",K334,J334),Reglas!$J$5:$J$118,"Sí")=1,F334,0)))</f>
        <v/>
      </c>
      <c r="N334" s="56" t="n"/>
      <c r="O334" s="462">
        <f>IF(A334="","",IF(M334=0,"",M334))</f>
        <v/>
      </c>
      <c r="P334" s="461">
        <f>IF(A334="","",IF(O334="",0,IF(ISNUMBER(O334),O334,0)))</f>
        <v/>
      </c>
      <c r="Q334" s="48">
        <f>IF(A334="","",IF(Exogena_RAW!$C$4="","BLOQUEADO: FALTA AÑO",IF(Exogena_RAW!$K$10&lt;&gt;Reglas!$B$5,"BLOQUEADO: AÑO",IF(IF(K334&lt;&gt;"",K334,J334)="",IF(S334&gt;1,"REQUIERE ASIGNACIÓN MANUAL (VARIAS CASILLAS)","INFORMATIVO (sin casilla — no se declara)"),IF(COUNTIFS(Reglas!$I$5:$I$118,IF(K334&lt;&gt;"",K334,J334),Reglas!$J$5:$J$118,"Sí")=0,"BLOQUEADO: CASILLA NO DIRECTA",IF(O334="","EXCLUIDO (valor borrado por el usuario)",IF(_xlfn.ISFORMULA(O334),IF(W334&lt;&gt;"","BORRADOR — VALOR SUGERIDO DIAN ⚠ VER ALERTA","BORRADOR — VALOR SUGERIDO DIAN"),IF(W334&lt;&gt;"","ACEPTADO ⚠ VER ALERTA","ACEPTADO"))))))))</f>
        <v/>
      </c>
      <c r="R334" s="218" t="n"/>
      <c r="S334" s="58">
        <f>IF(A334="","",IFERROR(--ISNUMBER(SEARCH("R28",G334)),0)+IFERROR(--ISNUMBER(SEARCH("R29",G334)),0)+IFERROR(--ISNUMBER(SEARCH("R30",G334)),0)+IFERROR(--ISNUMBER(SEARCH("R31",G334)),0)+IFERROR(--ISNUMBER(SEARCH("R32",G334)),0)+IFERROR(--ISNUMBER(SEARCH("R33",G334)),0)+IFERROR(--ISNUMBER(SEARCH("R34",G334)),0)+IFERROR(--ISNUMBER(SEARCH("R35",G334)),0)+IFERROR(--ISNUMBER(SEARCH("R36",G334)),0)+IFERROR(--ISNUMBER(SEARCH("R37",G334)),0)+IFERROR(--ISNUMBER(SEARCH("R38",G334)),0)+IFERROR(--ISNUMBER(SEARCH("R39",G334)),0)+IFERROR(--ISNUMBER(SEARCH("R40",G334)),0)+IFERROR(--ISNUMBER(SEARCH("R41",G334)),0)+IFERROR(--ISNUMBER(SEARCH("R42",G334)),0)+IFERROR(--ISNUMBER(SEARCH("R43",G334)),0)+IFERROR(--ISNUMBER(SEARCH("R44",G334)),0)+IFERROR(--ISNUMBER(SEARCH("R45",G334)),0)+IFERROR(--ISNUMBER(SEARCH("R46",G334)),0)+IFERROR(--ISNUMBER(SEARCH("R47",G334)),0)+IFERROR(--ISNUMBER(SEARCH("R48",G334)),0)+IFERROR(--ISNUMBER(SEARCH("R49",G334)),0)+IFERROR(--ISNUMBER(SEARCH("R50",G334)),0)+IFERROR(--ISNUMBER(SEARCH("R51",G334)),0)+IFERROR(--ISNUMBER(SEARCH("R52",G334)),0)+IFERROR(--ISNUMBER(SEARCH("R53",G334)),0)+IFERROR(--ISNUMBER(SEARCH("R54",G334)),0)+IFERROR(--ISNUMBER(SEARCH("R55",G334)),0)+IFERROR(--ISNUMBER(SEARCH("R56",G334)),0)+IFERROR(--ISNUMBER(SEARCH("R57",G334)),0)+IFERROR(--ISNUMBER(SEARCH("R58",G334)),0)+IFERROR(--ISNUMBER(SEARCH("R59",G334)),0)+IFERROR(--ISNUMBER(SEARCH("R60",G334)),0)+IFERROR(--ISNUMBER(SEARCH("R61",G334)),0)+IFERROR(--ISNUMBER(SEARCH("R62",G334)),0)+IFERROR(--ISNUMBER(SEARCH("R63",G334)),0)+IFERROR(--ISNUMBER(SEARCH("R64",G334)),0)+IFERROR(--ISNUMBER(SEARCH("R65",G334)),0)+IFERROR(--ISNUMBER(SEARCH("R66",G334)),0)+IFERROR(--ISNUMBER(SEARCH("R67",G334)),0)+IFERROR(--ISNUMBER(SEARCH("R68",G334)),0)+IFERROR(--ISNUMBER(SEARCH("R69",G334)),0)+IFERROR(--ISNUMBER(SEARCH("R70",G334)),0)+IFERROR(--ISNUMBER(SEARCH("R71",G334)),0)+IFERROR(--ISNUMBER(SEARCH("R72",G334)),0)+IFERROR(--ISNUMBER(SEARCH("R73",G334)),0)+IFERROR(--ISNUMBER(SEARCH("R74",G334)),0)+IFERROR(--ISNUMBER(SEARCH("R75",G334)),0)+IFERROR(--ISNUMBER(SEARCH("R76",G334)),0)+IFERROR(--ISNUMBER(SEARCH("R77",G334)),0)+IFERROR(--ISNUMBER(SEARCH("R78",G334)),0)+IFERROR(--ISNUMBER(SEARCH("R79",G334)),0)+IFERROR(--ISNUMBER(SEARCH("R80",G334)),0)+IFERROR(--ISNUMBER(SEARCH("R81",G334)),0)+IFERROR(--ISNUMBER(SEARCH("R82",G334)),0)+IFERROR(--ISNUMBER(SEARCH("R83",G334)),0)+IFERROR(--ISNUMBER(SEARCH("R84",G334)),0)+IFERROR(--ISNUMBER(SEARCH("R85",G334)),0)+IFERROR(--ISNUMBER(SEARCH("R86",G334)),0)+IFERROR(--ISNUMBER(SEARCH("R87",G334)),0)+IFERROR(--ISNUMBER(SEARCH("R88",G334)),0)+IFERROR(--ISNUMBER(SEARCH("R89",G334)),0)+IFERROR(--ISNUMBER(SEARCH("R90",G334)),0)+IFERROR(--ISNUMBER(SEARCH("R91",G334)),0)+IFERROR(--ISNUMBER(SEARCH("R92",G334)),0)+IFERROR(--ISNUMBER(SEARCH("R93",G334)),0)+IFERROR(--ISNUMBER(SEARCH("R94",G334)),0)+IFERROR(--ISNUMBER(SEARCH("R95",G334)),0)+IFERROR(--ISNUMBER(SEARCH("R96",G334)),0)+IFERROR(--ISNUMBER(SEARCH("R97",G334)),0)+IFERROR(--ISNUMBER(SEARCH("R98",G334)),0)+IFERROR(--ISNUMBER(SEARCH("R99",G334)),0)+IFERROR(--ISNUMBER(SEARCH("R100",G334)),0)+IFERROR(--ISNUMBER(SEARCH("R101",G334)),0)+IFERROR(--ISNUMBER(SEARCH("R102",G334)),0)+IFERROR(--ISNUMBER(SEARCH("R103",G334)),0)+IFERROR(--ISNUMBER(SEARCH("R104",G334)),0)+IFERROR(--ISNUMBER(SEARCH("R105",G334)),0)+IFERROR(--ISNUMBER(SEARCH("R106",G334)),0)+IFERROR(--ISNUMBER(SEARCH("R107",G334)),0)+IFERROR(--ISNUMBER(SEARCH("R108",G334)),0)+IFERROR(--ISNUMBER(SEARCH("R109",G334)),0)+IFERROR(--ISNUMBER(SEARCH("R110",G334)),0)+IFERROR(--ISNUMBER(SEARCH("R111",G334)),0)+IFERROR(--ISNUMBER(SEARCH("R112",G334)),0)+IFERROR(--ISNUMBER(SEARCH("R113",G334)),0)+IFERROR(--ISNUMBER(SEARCH("R114",G334)),0)+IFERROR(--ISNUMBER(SEARCH("R115",G334)),0)+IFERROR(--ISNUMBER(SEARCH("R116",G334)),0)+IFERROR(--ISNUMBER(SEARCH("R117",G334)),0)+IFERROR(--ISNUMBER(SEARCH("R118",G334)),0)+IFERROR(--ISNUMBER(SEARCH("R119",G334)),0)+IFERROR(--ISNUMBER(SEARCH("R120",G334)),0)+IFERROR(--ISNUMBER(SEARCH("R121",G334)),0)+IFERROR(--ISNUMBER(SEARCH("R122",G334)),0)+IFERROR(--ISNUMBER(SEARCH("R123",G334)),0)+IFERROR(--ISNUMBER(SEARCH("R124",G334)),0)+IFERROR(--ISNUMBER(SEARCH("R125",G334)),0)+IFERROR(--ISNUMBER(SEARCH("R126",G334)),0)+IFERROR(--ISNUMBER(SEARCH("R127",G334)),0)+IFERROR(--ISNUMBER(SEARCH("R128",G334)),0)+IFERROR(--ISNUMBER(SEARCH("R129",G334)),0)+IFERROR(--ISNUMBER(SEARCH("R130",G334)),0)+IFERROR(--ISNUMBER(SEARCH("R131",G334)),0)+IFERROR(--ISNUMBER(SEARCH("R132",G334)),0)+IFERROR(--ISNUMBER(SEARCH("R133",G334)),0)+IFERROR(--ISNUMBER(SEARCH("R134",G334)),0)+IFERROR(--ISNUMBER(SEARCH("R135",G334)),0)+IFERROR(--ISNUMBER(SEARCH("R136",G334)),0)+IFERROR(--ISNUMBER(SEARCH("R137",G334)),0)+IFERROR(--ISNUMBER(SEARCH("R138",G334)),0)+IFERROR(--ISNUMBER(SEARCH("R139",G334)),0)+IFERROR(--ISNUMBER(SEARCH("R140",G334)),0)+IFERROR(--ISNUMBER(SEARCH("R141",G334)),0))</f>
        <v/>
      </c>
      <c r="T334" s="58">
        <f>IF(A334="","",IFERROR(--ISNUMBER(SEARCH("R28",G334)),0)+IFERROR(--ISNUMBER(SEARCH("R29",G334)),0)+IFERROR(--ISNUMBER(SEARCH("R30",G334)),0)+IFERROR(--ISNUMBER(SEARCH("R32",G334)),0)+IFERROR(--ISNUMBER(SEARCH("R33",G334)),0)+IFERROR(--ISNUMBER(SEARCH("R35",G334)),0)+IFERROR(--ISNUMBER(SEARCH("R36",G334)),0)+IFERROR(--ISNUMBER(SEARCH("R38",G334)),0)+IFERROR(--ISNUMBER(SEARCH("R39",G334)),0)+IFERROR(--ISNUMBER(SEARCH("R43",G334)),0)+IFERROR(--ISNUMBER(SEARCH("R44",G334)),0)+IFERROR(--ISNUMBER(SEARCH("R45",G334)),0)+IFERROR(--ISNUMBER(SEARCH("R47",G334)),0)+IFERROR(--ISNUMBER(SEARCH("R48",G334)),0)+IFERROR(--ISNUMBER(SEARCH("R50",G334)),0)+IFERROR(--ISNUMBER(SEARCH("R51",G334)),0)+IFERROR(--ISNUMBER(SEARCH("R56",G334)),0)+IFERROR(--ISNUMBER(SEARCH("R58",G334)),0)+IFERROR(--ISNUMBER(SEARCH("R59",G334)),0)+IFERROR(--ISNUMBER(SEARCH("R60",G334)),0)+IFERROR(--ISNUMBER(SEARCH("R62",G334)),0)+IFERROR(--ISNUMBER(SEARCH("R63",G334)),0)+IFERROR(--ISNUMBER(SEARCH("R64",G334)),0)+IFERROR(--ISNUMBER(SEARCH("R66",G334)),0)+IFERROR(--ISNUMBER(SEARCH("R67",G334)),0)+IFERROR(--ISNUMBER(SEARCH("R72",G334)),0)+IFERROR(--ISNUMBER(SEARCH("R74",G334)),0)+IFERROR(--ISNUMBER(SEARCH("R75",G334)),0)+IFERROR(--ISNUMBER(SEARCH("R76",G334)),0)+IFERROR(--ISNUMBER(SEARCH("R77",G334)),0)+IFERROR(--ISNUMBER(SEARCH("R79",G334)),0)+IFERROR(--ISNUMBER(SEARCH("R80",G334)),0)+IFERROR(--ISNUMBER(SEARCH("R81",G334)),0)+IFERROR(--ISNUMBER(SEARCH("R83",G334)),0)+IFERROR(--ISNUMBER(SEARCH("R84",G334)),0)+IFERROR(--ISNUMBER(SEARCH("R89",G334)),0)+IFERROR(--ISNUMBER(SEARCH("R94",G334)),0)+IFERROR(--ISNUMBER(SEARCH("R95",G334)),0)+IFERROR(--ISNUMBER(SEARCH("R96",G334)),0)+IFERROR(--ISNUMBER(SEARCH("R98",G334)),0)+IFERROR(--ISNUMBER(SEARCH("R99",G334)),0)+IFERROR(--ISNUMBER(SEARCH("R100",G334)),0)+IFERROR(--ISNUMBER(SEARCH("R104",G334)),0)+IFERROR(--ISNUMBER(SEARCH("R105",G334)),0)+IFERROR(--ISNUMBER(SEARCH("R107",G334)),0)+IFERROR(--ISNUMBER(SEARCH("R108",G334)),0)+IFERROR(--ISNUMBER(SEARCH("R109",G334)),0)+IFERROR(--ISNUMBER(SEARCH("R110",G334)),0)+IFERROR(--ISNUMBER(SEARCH("R112",G334)),0)+IFERROR(--ISNUMBER(SEARCH("R113",G334)),0)+IFERROR(--ISNUMBER(SEARCH("R114",G334)),0)+IFERROR(--ISNUMBER(SEARCH("R118",G334)),0)+IFERROR(--ISNUMBER(SEARCH("R119",G334)),0)+IFERROR(--ISNUMBER(SEARCH("R120",G334)),0)+IFERROR(--ISNUMBER(SEARCH("R122",G334)),0)+IFERROR(--ISNUMBER(SEARCH("R123",G334)),0)+IFERROR(--ISNUMBER(SEARCH("R124",G334)),0)+IFERROR(--ISNUMBER(SEARCH("R128",G334)),0)+IFERROR(--ISNUMBER(SEARCH("R130",G334)),0)+IFERROR(--ISNUMBER(SEARCH("R131",G334)),0)+IFERROR(--ISNUMBER(SEARCH("R132",G334)),0)+IFERROR(--ISNUMBER(SEARCH("R135",G334)),0)+IFERROR(--ISNUMBER(SEARCH("R138",G334)),0)+IFERROR(--ISNUMBER(SEARCH("R141",G334)),0))</f>
        <v/>
      </c>
      <c r="U334" s="58">
        <f>IF(A334="","",IFERROR(--ISNUMBER(SEARCH("R28",G334))*28,0)+IFERROR(--ISNUMBER(SEARCH("R29",G334))*29,0)+IFERROR(--ISNUMBER(SEARCH("R30",G334))*30,0)+IFERROR(--ISNUMBER(SEARCH("R31",G334))*31,0)+IFERROR(--ISNUMBER(SEARCH("R32",G334))*32,0)+IFERROR(--ISNUMBER(SEARCH("R33",G334))*33,0)+IFERROR(--ISNUMBER(SEARCH("R34",G334))*34,0)+IFERROR(--ISNUMBER(SEARCH("R35",G334))*35,0)+IFERROR(--ISNUMBER(SEARCH("R36",G334))*36,0)+IFERROR(--ISNUMBER(SEARCH("R37",G334))*37,0)+IFERROR(--ISNUMBER(SEARCH("R38",G334))*38,0)+IFERROR(--ISNUMBER(SEARCH("R39",G334))*39,0)+IFERROR(--ISNUMBER(SEARCH("R40",G334))*40,0)+IFERROR(--ISNUMBER(SEARCH("R41",G334))*41,0)+IFERROR(--ISNUMBER(SEARCH("R42",G334))*42,0)+IFERROR(--ISNUMBER(SEARCH("R43",G334))*43,0)+IFERROR(--ISNUMBER(SEARCH("R44",G334))*44,0)+IFERROR(--ISNUMBER(SEARCH("R45",G334))*45,0)+IFERROR(--ISNUMBER(SEARCH("R46",G334))*46,0)+IFERROR(--ISNUMBER(SEARCH("R47",G334))*47,0)+IFERROR(--ISNUMBER(SEARCH("R48",G334))*48,0)+IFERROR(--ISNUMBER(SEARCH("R49",G334))*49,0)+IFERROR(--ISNUMBER(SEARCH("R50",G334))*50,0)+IFERROR(--ISNUMBER(SEARCH("R51",G334))*51,0)+IFERROR(--ISNUMBER(SEARCH("R52",G334))*52,0)+IFERROR(--ISNUMBER(SEARCH("R53",G334))*53,0)+IFERROR(--ISNUMBER(SEARCH("R54",G334))*54,0)+IFERROR(--ISNUMBER(SEARCH("R55",G334))*55,0)+IFERROR(--ISNUMBER(SEARCH("R56",G334))*56,0)+IFERROR(--ISNUMBER(SEARCH("R57",G334))*57,0)+IFERROR(--ISNUMBER(SEARCH("R58",G334))*58,0)+IFERROR(--ISNUMBER(SEARCH("R59",G334))*59,0)+IFERROR(--ISNUMBER(SEARCH("R60",G334))*60,0)+IFERROR(--ISNUMBER(SEARCH("R61",G334))*61,0)+IFERROR(--ISNUMBER(SEARCH("R62",G334))*62,0)+IFERROR(--ISNUMBER(SEARCH("R63",G334))*63,0)+IFERROR(--ISNUMBER(SEARCH("R64",G334))*64,0)+IFERROR(--ISNUMBER(SEARCH("R65",G334))*65,0)+IFERROR(--ISNUMBER(SEARCH("R66",G334))*66,0)+IFERROR(--ISNUMBER(SEARCH("R67",G334))*67,0)+IFERROR(--ISNUMBER(SEARCH("R68",G334))*68,0)+IFERROR(--ISNUMBER(SEARCH("R69",G334))*69,0)+IFERROR(--ISNUMBER(SEARCH("R70",G334))*70,0)+IFERROR(--ISNUMBER(SEARCH("R71",G334))*71,0)+IFERROR(--ISNUMBER(SEARCH("R72",G334))*72,0)+IFERROR(--ISNUMBER(SEARCH("R73",G334))*73,0)+IFERROR(--ISNUMBER(SEARCH("R74",G334))*74,0)+IFERROR(--ISNUMBER(SEARCH("R75",G334))*75,0)+IFERROR(--ISNUMBER(SEARCH("R76",G334))*76,0)+IFERROR(--ISNUMBER(SEARCH("R77",G334))*77,0)+IFERROR(--ISNUMBER(SEARCH("R78",G334))*78,0)+IFERROR(--ISNUMBER(SEARCH("R79",G334))*79,0)+IFERROR(--ISNUMBER(SEARCH("R80",G334))*80,0)+IFERROR(--ISNUMBER(SEARCH("R81",G334))*81,0)+IFERROR(--ISNUMBER(SEARCH("R82",G334))*82,0)+IFERROR(--ISNUMBER(SEARCH("R83",G334))*83,0)+IFERROR(--ISNUMBER(SEARCH("R84",G334))*84,0)+IFERROR(--ISNUMBER(SEARCH("R85",G334))*85,0)+IFERROR(--ISNUMBER(SEARCH("R86",G334))*86,0)+IFERROR(--ISNUMBER(SEARCH("R87",G334))*87,0)+IFERROR(--ISNUMBER(SEARCH("R88",G334))*88,0)+IFERROR(--ISNUMBER(SEARCH("R89",G334))*89,0)+IFERROR(--ISNUMBER(SEARCH("R90",G334))*90,0)+IFERROR(--ISNUMBER(SEARCH("R91",G334))*91,0)+IFERROR(--ISNUMBER(SEARCH("R92",G334))*92,0)+IFERROR(--ISNUMBER(SEARCH("R93",G334))*93,0)+IFERROR(--ISNUMBER(SEARCH("R94",G334))*94,0)+IFERROR(--ISNUMBER(SEARCH("R95",G334))*95,0)+IFERROR(--ISNUMBER(SEARCH("R96",G334))*96,0)+IFERROR(--ISNUMBER(SEARCH("R97",G334))*97,0)+IFERROR(--ISNUMBER(SEARCH("R98",G334))*98,0)+IFERROR(--ISNUMBER(SEARCH("R99",G334))*99,0)+IFERROR(--ISNUMBER(SEARCH("R100",G334))*100,0)+IFERROR(--ISNUMBER(SEARCH("R101",G334))*101,0)+IFERROR(--ISNUMBER(SEARCH("R102",G334))*102,0)+IFERROR(--ISNUMBER(SEARCH("R103",G334))*103,0)+IFERROR(--ISNUMBER(SEARCH("R104",G334))*104,0)+IFERROR(--ISNUMBER(SEARCH("R105",G334))*105,0)+IFERROR(--ISNUMBER(SEARCH("R106",G334))*106,0)+IFERROR(--ISNUMBER(SEARCH("R107",G334))*107,0)+IFERROR(--ISNUMBER(SEARCH("R108",G334))*108,0)+IFERROR(--ISNUMBER(SEARCH("R109",G334))*109,0)+IFERROR(--ISNUMBER(SEARCH("R110",G334))*110,0)+IFERROR(--ISNUMBER(SEARCH("R111",G334))*111,0)+IFERROR(--ISNUMBER(SEARCH("R112",G334))*112,0)+IFERROR(--ISNUMBER(SEARCH("R113",G334))*113,0)+IFERROR(--ISNUMBER(SEARCH("R114",G334))*114,0)+IFERROR(--ISNUMBER(SEARCH("R115",G334))*115,0)+IFERROR(--ISNUMBER(SEARCH("R116",G334))*116,0)+IFERROR(--ISNUMBER(SEARCH("R117",G334))*117,0)+IFERROR(--ISNUMBER(SEARCH("R118",G334))*118,0)+IFERROR(--ISNUMBER(SEARCH("R119",G334))*119,0)+IFERROR(--ISNUMBER(SEARCH("R120",G334))*120,0)+IFERROR(--ISNUMBER(SEARCH("R121",G334))*121,0)+IFERROR(--ISNUMBER(SEARCH("R122",G334))*122,0)+IFERROR(--ISNUMBER(SEARCH("R123",G334))*123,0)+IFERROR(--ISNUMBER(SEARCH("R124",G334))*124,0)+IFERROR(--ISNUMBER(SEARCH("R125",G334))*125,0)+IFERROR(--ISNUMBER(SEARCH("R126",G334))*126,0)+IFERROR(--ISNUMBER(SEARCH("R127",G334))*127,0)+IFERROR(--ISNUMBER(SEARCH("R128",G334))*128,0)+IFERROR(--ISNUMBER(SEARCH("R129",G334))*129,0)+IFERROR(--ISNUMBER(SEARCH("R130",G334))*130,0)+IFERROR(--ISNUMBER(SEARCH("R131",G334))*131,0)+IFERROR(--ISNUMBER(SEARCH("R132",G334))*132,0)+IFERROR(--ISNUMBER(SEARCH("R133",G334))*133,0)+IFERROR(--ISNUMBER(SEARCH("R134",G334))*134,0)+IFERROR(--ISNUMBER(SEARCH("R135",G334))*135,0)+IFERROR(--ISNUMBER(SEARCH("R136",G334))*136,0)+IFERROR(--ISNUMBER(SEARCH("R137",G334))*137,0)+IFERROR(--ISNUMBER(SEARCH("R138",G334))*138,0)+IFERROR(--ISNUMBER(SEARCH("R139",G334))*139,0)+IFERROR(--ISNUMBER(SEARCH("R140",G334))*140,0)+IFERROR(--ISNUMBER(SEARCH("R141",G334))*141,0))</f>
        <v/>
      </c>
      <c r="V334" s="59">
        <f>IF(A334="","",IF(K334&lt;&gt;"",K334,J334))</f>
        <v/>
      </c>
      <c r="W334" s="59">
        <f>IF(A334="","",IF(AND(V334=29,O334&lt;&gt;"",COUNTIFS($V$6:$V$505,29,$F$6:$F$505,F334,$C$6:$C$505,C334,$O$6:$O$505,"&lt;&gt;")&gt;1),IF(COUNTIFS($V$6:V334,29,$F$6:F334,F334,$C$6:C334,C334,$O$6:O334,"&lt;&gt;")=1,"Esta es la fila que se debe CONSERVAR (aparición 1 de "&amp;COUNTIFS($V$6:$V$505,29,$F$6:$F$505,F334,$C$6:$C$505,C334,$O$6:$O$505,"&lt;&gt;")&amp;" con el mismo tercero y valor, casilla 29). Si hay más filas iguales, bórreles el valor a ELLAS, no a esta.","DUPLICADO — ya existe otra fila con el mismo tercero y valor para casilla 29 (aparición "&amp;COUNTIFS($V$6:V334,29,$F$6:F334,F334,$C$6:C334,C334,$O$6:O334,"&lt;&gt;")&amp;" de "&amp;COUNTIFS($V$6:$V$505,29,$F$6:$F$505,F334,$C$6:$C$505,C334,$O$6:$O$505,"&lt;&gt;")&amp;"). Para resolverlo: seleccione la celda O"&amp;ROW()&amp;" (columna Valor a declarar de ESTA fila) y presione Supr."),""))</f>
        <v/>
      </c>
      <c r="X334" s="463">
        <f>IF(A334="","",F334)</f>
        <v/>
      </c>
      <c r="Y334" s="463">
        <f>IF(A334="","",SUMIF(Entrada_Manual!$I$88:$I$187,A334,Entrada_Manual!$F$88:$F$187))</f>
        <v/>
      </c>
      <c r="Z334" s="463">
        <f>IF(A334="","",X334-Y334)</f>
        <v/>
      </c>
      <c r="AA334">
        <f>IF(A334="","",SUMPRODUCT((Entrada_Manual!$I$88:$I$187=A334)*1))</f>
        <v/>
      </c>
      <c r="AB334">
        <f>IF(A334="","",IF(S334&lt;=1,"",IF(AA334=0,"PENDIENTE — SIN ASIGNAR",IF(Z334=0,"RESUELTO","PARCIAL — DIFERENCIA "&amp;TEXT(Z334,"#,##0")))))</f>
        <v/>
      </c>
    </row>
    <row r="335" ht="14.25" customHeight="1" s="235">
      <c r="A335" s="47">
        <f>IF(Exogena_RAW!E344&lt;&gt;"",ROW()-5,"")</f>
        <v/>
      </c>
      <c r="B335" s="48">
        <f>IF(A335="","",344)</f>
        <v/>
      </c>
      <c r="C335" s="48">
        <f>IF(A335="","",IFERROR(Exogena_RAW!A344,""))</f>
        <v/>
      </c>
      <c r="D335" s="48">
        <f>IF(A335="","",IFERROR(Exogena_RAW!B344,""))</f>
        <v/>
      </c>
      <c r="E335" s="48">
        <f>IF(A335="","",Exogena_RAW!E344)</f>
        <v/>
      </c>
      <c r="F335" s="461">
        <f>IF(A335="","",Exogena_RAW!F344)</f>
        <v/>
      </c>
      <c r="G335" s="48">
        <f>IF(A335="","",IFERROR(Exogena_RAW!G344,""))</f>
        <v/>
      </c>
      <c r="H335" s="48">
        <f>IF(A335="","",IFERROR(Exogena_RAW!H344,""))</f>
        <v/>
      </c>
      <c r="I335" s="48">
        <f>IF(A335="","",IFERROR(IF(S335&gt;1,"VARIAS CASILLAS",IF(S335=1,IF(T335=1,"PROPUESTA DE CASILLA","REVISIÓN: CASILLA NO DIRECTA"),IF(OR(ISNUMBER(SEARCH("TOPE",UPPER(E335))),ISNUMBER(SEARCH("TOPE",UPPER(G335)))),"SOLO CONTROL",IF(ISNUMBER(SEARCH("RETEN",UPPER(E335))),"RETENCIÓN","REVISAR")))),"REVISAR"))</f>
        <v/>
      </c>
      <c r="J335" s="48">
        <f>IF(A335="","",IF(ISNUMBER(SEARCH("ingreso laboral promedio de los últimos seis meses",E335)),"",IFERROR(IF(AND(S335=1,T335=1),U335,""),"")))</f>
        <v/>
      </c>
      <c r="K335" s="216" t="n"/>
      <c r="L335" s="48">
        <f>IF(A335="","",IFERROR(IF(K335&lt;&gt;"","Casilla elegida por usuario",IF(S335&gt;1,"Varias casillas — elegir en K",IF(J335&lt;&gt;"","Sugerencia directa",IF(S335=1,"No trasladar directo — revisar",IF(OR(ISNUMBER(SEARCH("TOPE",UPPER(E335))),ISNUMBER(SEARCH("TOPE",UPPER(G335)))),"Solo control","Revisar manualmente"))))),"Revisar manualmente"))</f>
        <v/>
      </c>
      <c r="M335" s="461">
        <f>IF(A335="","",IF(IF(K335&lt;&gt;"",K335,J335)="",0,IF(COUNTIFS(Reglas!$I$5:$I$118,IF(K335&lt;&gt;"",K335,J335),Reglas!$J$5:$J$118,"Sí")=1,F335,0)))</f>
        <v/>
      </c>
      <c r="N335" s="56" t="n"/>
      <c r="O335" s="462">
        <f>IF(A335="","",IF(M335=0,"",M335))</f>
        <v/>
      </c>
      <c r="P335" s="461">
        <f>IF(A335="","",IF(O335="",0,IF(ISNUMBER(O335),O335,0)))</f>
        <v/>
      </c>
      <c r="Q335" s="48">
        <f>IF(A335="","",IF(Exogena_RAW!$C$4="","BLOQUEADO: FALTA AÑO",IF(Exogena_RAW!$K$10&lt;&gt;Reglas!$B$5,"BLOQUEADO: AÑO",IF(IF(K335&lt;&gt;"",K335,J335)="",IF(S335&gt;1,"REQUIERE ASIGNACIÓN MANUAL (VARIAS CASILLAS)","INFORMATIVO (sin casilla — no se declara)"),IF(COUNTIFS(Reglas!$I$5:$I$118,IF(K335&lt;&gt;"",K335,J335),Reglas!$J$5:$J$118,"Sí")=0,"BLOQUEADO: CASILLA NO DIRECTA",IF(O335="","EXCLUIDO (valor borrado por el usuario)",IF(_xlfn.ISFORMULA(O335),IF(W335&lt;&gt;"","BORRADOR — VALOR SUGERIDO DIAN ⚠ VER ALERTA","BORRADOR — VALOR SUGERIDO DIAN"),IF(W335&lt;&gt;"","ACEPTADO ⚠ VER ALERTA","ACEPTADO"))))))))</f>
        <v/>
      </c>
      <c r="R335" s="218" t="n"/>
      <c r="S335" s="58">
        <f>IF(A335="","",IFERROR(--ISNUMBER(SEARCH("R28",G335)),0)+IFERROR(--ISNUMBER(SEARCH("R29",G335)),0)+IFERROR(--ISNUMBER(SEARCH("R30",G335)),0)+IFERROR(--ISNUMBER(SEARCH("R31",G335)),0)+IFERROR(--ISNUMBER(SEARCH("R32",G335)),0)+IFERROR(--ISNUMBER(SEARCH("R33",G335)),0)+IFERROR(--ISNUMBER(SEARCH("R34",G335)),0)+IFERROR(--ISNUMBER(SEARCH("R35",G335)),0)+IFERROR(--ISNUMBER(SEARCH("R36",G335)),0)+IFERROR(--ISNUMBER(SEARCH("R37",G335)),0)+IFERROR(--ISNUMBER(SEARCH("R38",G335)),0)+IFERROR(--ISNUMBER(SEARCH("R39",G335)),0)+IFERROR(--ISNUMBER(SEARCH("R40",G335)),0)+IFERROR(--ISNUMBER(SEARCH("R41",G335)),0)+IFERROR(--ISNUMBER(SEARCH("R42",G335)),0)+IFERROR(--ISNUMBER(SEARCH("R43",G335)),0)+IFERROR(--ISNUMBER(SEARCH("R44",G335)),0)+IFERROR(--ISNUMBER(SEARCH("R45",G335)),0)+IFERROR(--ISNUMBER(SEARCH("R46",G335)),0)+IFERROR(--ISNUMBER(SEARCH("R47",G335)),0)+IFERROR(--ISNUMBER(SEARCH("R48",G335)),0)+IFERROR(--ISNUMBER(SEARCH("R49",G335)),0)+IFERROR(--ISNUMBER(SEARCH("R50",G335)),0)+IFERROR(--ISNUMBER(SEARCH("R51",G335)),0)+IFERROR(--ISNUMBER(SEARCH("R52",G335)),0)+IFERROR(--ISNUMBER(SEARCH("R53",G335)),0)+IFERROR(--ISNUMBER(SEARCH("R54",G335)),0)+IFERROR(--ISNUMBER(SEARCH("R55",G335)),0)+IFERROR(--ISNUMBER(SEARCH("R56",G335)),0)+IFERROR(--ISNUMBER(SEARCH("R57",G335)),0)+IFERROR(--ISNUMBER(SEARCH("R58",G335)),0)+IFERROR(--ISNUMBER(SEARCH("R59",G335)),0)+IFERROR(--ISNUMBER(SEARCH("R60",G335)),0)+IFERROR(--ISNUMBER(SEARCH("R61",G335)),0)+IFERROR(--ISNUMBER(SEARCH("R62",G335)),0)+IFERROR(--ISNUMBER(SEARCH("R63",G335)),0)+IFERROR(--ISNUMBER(SEARCH("R64",G335)),0)+IFERROR(--ISNUMBER(SEARCH("R65",G335)),0)+IFERROR(--ISNUMBER(SEARCH("R66",G335)),0)+IFERROR(--ISNUMBER(SEARCH("R67",G335)),0)+IFERROR(--ISNUMBER(SEARCH("R68",G335)),0)+IFERROR(--ISNUMBER(SEARCH("R69",G335)),0)+IFERROR(--ISNUMBER(SEARCH("R70",G335)),0)+IFERROR(--ISNUMBER(SEARCH("R71",G335)),0)+IFERROR(--ISNUMBER(SEARCH("R72",G335)),0)+IFERROR(--ISNUMBER(SEARCH("R73",G335)),0)+IFERROR(--ISNUMBER(SEARCH("R74",G335)),0)+IFERROR(--ISNUMBER(SEARCH("R75",G335)),0)+IFERROR(--ISNUMBER(SEARCH("R76",G335)),0)+IFERROR(--ISNUMBER(SEARCH("R77",G335)),0)+IFERROR(--ISNUMBER(SEARCH("R78",G335)),0)+IFERROR(--ISNUMBER(SEARCH("R79",G335)),0)+IFERROR(--ISNUMBER(SEARCH("R80",G335)),0)+IFERROR(--ISNUMBER(SEARCH("R81",G335)),0)+IFERROR(--ISNUMBER(SEARCH("R82",G335)),0)+IFERROR(--ISNUMBER(SEARCH("R83",G335)),0)+IFERROR(--ISNUMBER(SEARCH("R84",G335)),0)+IFERROR(--ISNUMBER(SEARCH("R85",G335)),0)+IFERROR(--ISNUMBER(SEARCH("R86",G335)),0)+IFERROR(--ISNUMBER(SEARCH("R87",G335)),0)+IFERROR(--ISNUMBER(SEARCH("R88",G335)),0)+IFERROR(--ISNUMBER(SEARCH("R89",G335)),0)+IFERROR(--ISNUMBER(SEARCH("R90",G335)),0)+IFERROR(--ISNUMBER(SEARCH("R91",G335)),0)+IFERROR(--ISNUMBER(SEARCH("R92",G335)),0)+IFERROR(--ISNUMBER(SEARCH("R93",G335)),0)+IFERROR(--ISNUMBER(SEARCH("R94",G335)),0)+IFERROR(--ISNUMBER(SEARCH("R95",G335)),0)+IFERROR(--ISNUMBER(SEARCH("R96",G335)),0)+IFERROR(--ISNUMBER(SEARCH("R97",G335)),0)+IFERROR(--ISNUMBER(SEARCH("R98",G335)),0)+IFERROR(--ISNUMBER(SEARCH("R99",G335)),0)+IFERROR(--ISNUMBER(SEARCH("R100",G335)),0)+IFERROR(--ISNUMBER(SEARCH("R101",G335)),0)+IFERROR(--ISNUMBER(SEARCH("R102",G335)),0)+IFERROR(--ISNUMBER(SEARCH("R103",G335)),0)+IFERROR(--ISNUMBER(SEARCH("R104",G335)),0)+IFERROR(--ISNUMBER(SEARCH("R105",G335)),0)+IFERROR(--ISNUMBER(SEARCH("R106",G335)),0)+IFERROR(--ISNUMBER(SEARCH("R107",G335)),0)+IFERROR(--ISNUMBER(SEARCH("R108",G335)),0)+IFERROR(--ISNUMBER(SEARCH("R109",G335)),0)+IFERROR(--ISNUMBER(SEARCH("R110",G335)),0)+IFERROR(--ISNUMBER(SEARCH("R111",G335)),0)+IFERROR(--ISNUMBER(SEARCH("R112",G335)),0)+IFERROR(--ISNUMBER(SEARCH("R113",G335)),0)+IFERROR(--ISNUMBER(SEARCH("R114",G335)),0)+IFERROR(--ISNUMBER(SEARCH("R115",G335)),0)+IFERROR(--ISNUMBER(SEARCH("R116",G335)),0)+IFERROR(--ISNUMBER(SEARCH("R117",G335)),0)+IFERROR(--ISNUMBER(SEARCH("R118",G335)),0)+IFERROR(--ISNUMBER(SEARCH("R119",G335)),0)+IFERROR(--ISNUMBER(SEARCH("R120",G335)),0)+IFERROR(--ISNUMBER(SEARCH("R121",G335)),0)+IFERROR(--ISNUMBER(SEARCH("R122",G335)),0)+IFERROR(--ISNUMBER(SEARCH("R123",G335)),0)+IFERROR(--ISNUMBER(SEARCH("R124",G335)),0)+IFERROR(--ISNUMBER(SEARCH("R125",G335)),0)+IFERROR(--ISNUMBER(SEARCH("R126",G335)),0)+IFERROR(--ISNUMBER(SEARCH("R127",G335)),0)+IFERROR(--ISNUMBER(SEARCH("R128",G335)),0)+IFERROR(--ISNUMBER(SEARCH("R129",G335)),0)+IFERROR(--ISNUMBER(SEARCH("R130",G335)),0)+IFERROR(--ISNUMBER(SEARCH("R131",G335)),0)+IFERROR(--ISNUMBER(SEARCH("R132",G335)),0)+IFERROR(--ISNUMBER(SEARCH("R133",G335)),0)+IFERROR(--ISNUMBER(SEARCH("R134",G335)),0)+IFERROR(--ISNUMBER(SEARCH("R135",G335)),0)+IFERROR(--ISNUMBER(SEARCH("R136",G335)),0)+IFERROR(--ISNUMBER(SEARCH("R137",G335)),0)+IFERROR(--ISNUMBER(SEARCH("R138",G335)),0)+IFERROR(--ISNUMBER(SEARCH("R139",G335)),0)+IFERROR(--ISNUMBER(SEARCH("R140",G335)),0)+IFERROR(--ISNUMBER(SEARCH("R141",G335)),0))</f>
        <v/>
      </c>
      <c r="T335" s="58">
        <f>IF(A335="","",IFERROR(--ISNUMBER(SEARCH("R28",G335)),0)+IFERROR(--ISNUMBER(SEARCH("R29",G335)),0)+IFERROR(--ISNUMBER(SEARCH("R30",G335)),0)+IFERROR(--ISNUMBER(SEARCH("R32",G335)),0)+IFERROR(--ISNUMBER(SEARCH("R33",G335)),0)+IFERROR(--ISNUMBER(SEARCH("R35",G335)),0)+IFERROR(--ISNUMBER(SEARCH("R36",G335)),0)+IFERROR(--ISNUMBER(SEARCH("R38",G335)),0)+IFERROR(--ISNUMBER(SEARCH("R39",G335)),0)+IFERROR(--ISNUMBER(SEARCH("R43",G335)),0)+IFERROR(--ISNUMBER(SEARCH("R44",G335)),0)+IFERROR(--ISNUMBER(SEARCH("R45",G335)),0)+IFERROR(--ISNUMBER(SEARCH("R47",G335)),0)+IFERROR(--ISNUMBER(SEARCH("R48",G335)),0)+IFERROR(--ISNUMBER(SEARCH("R50",G335)),0)+IFERROR(--ISNUMBER(SEARCH("R51",G335)),0)+IFERROR(--ISNUMBER(SEARCH("R56",G335)),0)+IFERROR(--ISNUMBER(SEARCH("R58",G335)),0)+IFERROR(--ISNUMBER(SEARCH("R59",G335)),0)+IFERROR(--ISNUMBER(SEARCH("R60",G335)),0)+IFERROR(--ISNUMBER(SEARCH("R62",G335)),0)+IFERROR(--ISNUMBER(SEARCH("R63",G335)),0)+IFERROR(--ISNUMBER(SEARCH("R64",G335)),0)+IFERROR(--ISNUMBER(SEARCH("R66",G335)),0)+IFERROR(--ISNUMBER(SEARCH("R67",G335)),0)+IFERROR(--ISNUMBER(SEARCH("R72",G335)),0)+IFERROR(--ISNUMBER(SEARCH("R74",G335)),0)+IFERROR(--ISNUMBER(SEARCH("R75",G335)),0)+IFERROR(--ISNUMBER(SEARCH("R76",G335)),0)+IFERROR(--ISNUMBER(SEARCH("R77",G335)),0)+IFERROR(--ISNUMBER(SEARCH("R79",G335)),0)+IFERROR(--ISNUMBER(SEARCH("R80",G335)),0)+IFERROR(--ISNUMBER(SEARCH("R81",G335)),0)+IFERROR(--ISNUMBER(SEARCH("R83",G335)),0)+IFERROR(--ISNUMBER(SEARCH("R84",G335)),0)+IFERROR(--ISNUMBER(SEARCH("R89",G335)),0)+IFERROR(--ISNUMBER(SEARCH("R94",G335)),0)+IFERROR(--ISNUMBER(SEARCH("R95",G335)),0)+IFERROR(--ISNUMBER(SEARCH("R96",G335)),0)+IFERROR(--ISNUMBER(SEARCH("R98",G335)),0)+IFERROR(--ISNUMBER(SEARCH("R99",G335)),0)+IFERROR(--ISNUMBER(SEARCH("R100",G335)),0)+IFERROR(--ISNUMBER(SEARCH("R104",G335)),0)+IFERROR(--ISNUMBER(SEARCH("R105",G335)),0)+IFERROR(--ISNUMBER(SEARCH("R107",G335)),0)+IFERROR(--ISNUMBER(SEARCH("R108",G335)),0)+IFERROR(--ISNUMBER(SEARCH("R109",G335)),0)+IFERROR(--ISNUMBER(SEARCH("R110",G335)),0)+IFERROR(--ISNUMBER(SEARCH("R112",G335)),0)+IFERROR(--ISNUMBER(SEARCH("R113",G335)),0)+IFERROR(--ISNUMBER(SEARCH("R114",G335)),0)+IFERROR(--ISNUMBER(SEARCH("R118",G335)),0)+IFERROR(--ISNUMBER(SEARCH("R119",G335)),0)+IFERROR(--ISNUMBER(SEARCH("R120",G335)),0)+IFERROR(--ISNUMBER(SEARCH("R122",G335)),0)+IFERROR(--ISNUMBER(SEARCH("R123",G335)),0)+IFERROR(--ISNUMBER(SEARCH("R124",G335)),0)+IFERROR(--ISNUMBER(SEARCH("R128",G335)),0)+IFERROR(--ISNUMBER(SEARCH("R130",G335)),0)+IFERROR(--ISNUMBER(SEARCH("R131",G335)),0)+IFERROR(--ISNUMBER(SEARCH("R132",G335)),0)+IFERROR(--ISNUMBER(SEARCH("R135",G335)),0)+IFERROR(--ISNUMBER(SEARCH("R138",G335)),0)+IFERROR(--ISNUMBER(SEARCH("R141",G335)),0))</f>
        <v/>
      </c>
      <c r="U335" s="58">
        <f>IF(A335="","",IFERROR(--ISNUMBER(SEARCH("R28",G335))*28,0)+IFERROR(--ISNUMBER(SEARCH("R29",G335))*29,0)+IFERROR(--ISNUMBER(SEARCH("R30",G335))*30,0)+IFERROR(--ISNUMBER(SEARCH("R31",G335))*31,0)+IFERROR(--ISNUMBER(SEARCH("R32",G335))*32,0)+IFERROR(--ISNUMBER(SEARCH("R33",G335))*33,0)+IFERROR(--ISNUMBER(SEARCH("R34",G335))*34,0)+IFERROR(--ISNUMBER(SEARCH("R35",G335))*35,0)+IFERROR(--ISNUMBER(SEARCH("R36",G335))*36,0)+IFERROR(--ISNUMBER(SEARCH("R37",G335))*37,0)+IFERROR(--ISNUMBER(SEARCH("R38",G335))*38,0)+IFERROR(--ISNUMBER(SEARCH("R39",G335))*39,0)+IFERROR(--ISNUMBER(SEARCH("R40",G335))*40,0)+IFERROR(--ISNUMBER(SEARCH("R41",G335))*41,0)+IFERROR(--ISNUMBER(SEARCH("R42",G335))*42,0)+IFERROR(--ISNUMBER(SEARCH("R43",G335))*43,0)+IFERROR(--ISNUMBER(SEARCH("R44",G335))*44,0)+IFERROR(--ISNUMBER(SEARCH("R45",G335))*45,0)+IFERROR(--ISNUMBER(SEARCH("R46",G335))*46,0)+IFERROR(--ISNUMBER(SEARCH("R47",G335))*47,0)+IFERROR(--ISNUMBER(SEARCH("R48",G335))*48,0)+IFERROR(--ISNUMBER(SEARCH("R49",G335))*49,0)+IFERROR(--ISNUMBER(SEARCH("R50",G335))*50,0)+IFERROR(--ISNUMBER(SEARCH("R51",G335))*51,0)+IFERROR(--ISNUMBER(SEARCH("R52",G335))*52,0)+IFERROR(--ISNUMBER(SEARCH("R53",G335))*53,0)+IFERROR(--ISNUMBER(SEARCH("R54",G335))*54,0)+IFERROR(--ISNUMBER(SEARCH("R55",G335))*55,0)+IFERROR(--ISNUMBER(SEARCH("R56",G335))*56,0)+IFERROR(--ISNUMBER(SEARCH("R57",G335))*57,0)+IFERROR(--ISNUMBER(SEARCH("R58",G335))*58,0)+IFERROR(--ISNUMBER(SEARCH("R59",G335))*59,0)+IFERROR(--ISNUMBER(SEARCH("R60",G335))*60,0)+IFERROR(--ISNUMBER(SEARCH("R61",G335))*61,0)+IFERROR(--ISNUMBER(SEARCH("R62",G335))*62,0)+IFERROR(--ISNUMBER(SEARCH("R63",G335))*63,0)+IFERROR(--ISNUMBER(SEARCH("R64",G335))*64,0)+IFERROR(--ISNUMBER(SEARCH("R65",G335))*65,0)+IFERROR(--ISNUMBER(SEARCH("R66",G335))*66,0)+IFERROR(--ISNUMBER(SEARCH("R67",G335))*67,0)+IFERROR(--ISNUMBER(SEARCH("R68",G335))*68,0)+IFERROR(--ISNUMBER(SEARCH("R69",G335))*69,0)+IFERROR(--ISNUMBER(SEARCH("R70",G335))*70,0)+IFERROR(--ISNUMBER(SEARCH("R71",G335))*71,0)+IFERROR(--ISNUMBER(SEARCH("R72",G335))*72,0)+IFERROR(--ISNUMBER(SEARCH("R73",G335))*73,0)+IFERROR(--ISNUMBER(SEARCH("R74",G335))*74,0)+IFERROR(--ISNUMBER(SEARCH("R75",G335))*75,0)+IFERROR(--ISNUMBER(SEARCH("R76",G335))*76,0)+IFERROR(--ISNUMBER(SEARCH("R77",G335))*77,0)+IFERROR(--ISNUMBER(SEARCH("R78",G335))*78,0)+IFERROR(--ISNUMBER(SEARCH("R79",G335))*79,0)+IFERROR(--ISNUMBER(SEARCH("R80",G335))*80,0)+IFERROR(--ISNUMBER(SEARCH("R81",G335))*81,0)+IFERROR(--ISNUMBER(SEARCH("R82",G335))*82,0)+IFERROR(--ISNUMBER(SEARCH("R83",G335))*83,0)+IFERROR(--ISNUMBER(SEARCH("R84",G335))*84,0)+IFERROR(--ISNUMBER(SEARCH("R85",G335))*85,0)+IFERROR(--ISNUMBER(SEARCH("R86",G335))*86,0)+IFERROR(--ISNUMBER(SEARCH("R87",G335))*87,0)+IFERROR(--ISNUMBER(SEARCH("R88",G335))*88,0)+IFERROR(--ISNUMBER(SEARCH("R89",G335))*89,0)+IFERROR(--ISNUMBER(SEARCH("R90",G335))*90,0)+IFERROR(--ISNUMBER(SEARCH("R91",G335))*91,0)+IFERROR(--ISNUMBER(SEARCH("R92",G335))*92,0)+IFERROR(--ISNUMBER(SEARCH("R93",G335))*93,0)+IFERROR(--ISNUMBER(SEARCH("R94",G335))*94,0)+IFERROR(--ISNUMBER(SEARCH("R95",G335))*95,0)+IFERROR(--ISNUMBER(SEARCH("R96",G335))*96,0)+IFERROR(--ISNUMBER(SEARCH("R97",G335))*97,0)+IFERROR(--ISNUMBER(SEARCH("R98",G335))*98,0)+IFERROR(--ISNUMBER(SEARCH("R99",G335))*99,0)+IFERROR(--ISNUMBER(SEARCH("R100",G335))*100,0)+IFERROR(--ISNUMBER(SEARCH("R101",G335))*101,0)+IFERROR(--ISNUMBER(SEARCH("R102",G335))*102,0)+IFERROR(--ISNUMBER(SEARCH("R103",G335))*103,0)+IFERROR(--ISNUMBER(SEARCH("R104",G335))*104,0)+IFERROR(--ISNUMBER(SEARCH("R105",G335))*105,0)+IFERROR(--ISNUMBER(SEARCH("R106",G335))*106,0)+IFERROR(--ISNUMBER(SEARCH("R107",G335))*107,0)+IFERROR(--ISNUMBER(SEARCH("R108",G335))*108,0)+IFERROR(--ISNUMBER(SEARCH("R109",G335))*109,0)+IFERROR(--ISNUMBER(SEARCH("R110",G335))*110,0)+IFERROR(--ISNUMBER(SEARCH("R111",G335))*111,0)+IFERROR(--ISNUMBER(SEARCH("R112",G335))*112,0)+IFERROR(--ISNUMBER(SEARCH("R113",G335))*113,0)+IFERROR(--ISNUMBER(SEARCH("R114",G335))*114,0)+IFERROR(--ISNUMBER(SEARCH("R115",G335))*115,0)+IFERROR(--ISNUMBER(SEARCH("R116",G335))*116,0)+IFERROR(--ISNUMBER(SEARCH("R117",G335))*117,0)+IFERROR(--ISNUMBER(SEARCH("R118",G335))*118,0)+IFERROR(--ISNUMBER(SEARCH("R119",G335))*119,0)+IFERROR(--ISNUMBER(SEARCH("R120",G335))*120,0)+IFERROR(--ISNUMBER(SEARCH("R121",G335))*121,0)+IFERROR(--ISNUMBER(SEARCH("R122",G335))*122,0)+IFERROR(--ISNUMBER(SEARCH("R123",G335))*123,0)+IFERROR(--ISNUMBER(SEARCH("R124",G335))*124,0)+IFERROR(--ISNUMBER(SEARCH("R125",G335))*125,0)+IFERROR(--ISNUMBER(SEARCH("R126",G335))*126,0)+IFERROR(--ISNUMBER(SEARCH("R127",G335))*127,0)+IFERROR(--ISNUMBER(SEARCH("R128",G335))*128,0)+IFERROR(--ISNUMBER(SEARCH("R129",G335))*129,0)+IFERROR(--ISNUMBER(SEARCH("R130",G335))*130,0)+IFERROR(--ISNUMBER(SEARCH("R131",G335))*131,0)+IFERROR(--ISNUMBER(SEARCH("R132",G335))*132,0)+IFERROR(--ISNUMBER(SEARCH("R133",G335))*133,0)+IFERROR(--ISNUMBER(SEARCH("R134",G335))*134,0)+IFERROR(--ISNUMBER(SEARCH("R135",G335))*135,0)+IFERROR(--ISNUMBER(SEARCH("R136",G335))*136,0)+IFERROR(--ISNUMBER(SEARCH("R137",G335))*137,0)+IFERROR(--ISNUMBER(SEARCH("R138",G335))*138,0)+IFERROR(--ISNUMBER(SEARCH("R139",G335))*139,0)+IFERROR(--ISNUMBER(SEARCH("R140",G335))*140,0)+IFERROR(--ISNUMBER(SEARCH("R141",G335))*141,0))</f>
        <v/>
      </c>
      <c r="V335" s="59">
        <f>IF(A335="","",IF(K335&lt;&gt;"",K335,J335))</f>
        <v/>
      </c>
      <c r="W335" s="59">
        <f>IF(A335="","",IF(AND(V335=29,O335&lt;&gt;"",COUNTIFS($V$6:$V$505,29,$F$6:$F$505,F335,$C$6:$C$505,C335,$O$6:$O$505,"&lt;&gt;")&gt;1),IF(COUNTIFS($V$6:V335,29,$F$6:F335,F335,$C$6:C335,C335,$O$6:O335,"&lt;&gt;")=1,"Esta es la fila que se debe CONSERVAR (aparición 1 de "&amp;COUNTIFS($V$6:$V$505,29,$F$6:$F$505,F335,$C$6:$C$505,C335,$O$6:$O$505,"&lt;&gt;")&amp;" con el mismo tercero y valor, casilla 29). Si hay más filas iguales, bórreles el valor a ELLAS, no a esta.","DUPLICADO — ya existe otra fila con el mismo tercero y valor para casilla 29 (aparición "&amp;COUNTIFS($V$6:V335,29,$F$6:F335,F335,$C$6:C335,C335,$O$6:O335,"&lt;&gt;")&amp;" de "&amp;COUNTIFS($V$6:$V$505,29,$F$6:$F$505,F335,$C$6:$C$505,C335,$O$6:$O$505,"&lt;&gt;")&amp;"). Para resolverlo: seleccione la celda O"&amp;ROW()&amp;" (columna Valor a declarar de ESTA fila) y presione Supr."),""))</f>
        <v/>
      </c>
      <c r="X335" s="463">
        <f>IF(A335="","",F335)</f>
        <v/>
      </c>
      <c r="Y335" s="463">
        <f>IF(A335="","",SUMIF(Entrada_Manual!$I$88:$I$187,A335,Entrada_Manual!$F$88:$F$187))</f>
        <v/>
      </c>
      <c r="Z335" s="463">
        <f>IF(A335="","",X335-Y335)</f>
        <v/>
      </c>
      <c r="AA335">
        <f>IF(A335="","",SUMPRODUCT((Entrada_Manual!$I$88:$I$187=A335)*1))</f>
        <v/>
      </c>
      <c r="AB335">
        <f>IF(A335="","",IF(S335&lt;=1,"",IF(AA335=0,"PENDIENTE — SIN ASIGNAR",IF(Z335=0,"RESUELTO","PARCIAL — DIFERENCIA "&amp;TEXT(Z335,"#,##0")))))</f>
        <v/>
      </c>
    </row>
    <row r="336" ht="14.25" customHeight="1" s="235">
      <c r="A336" s="47">
        <f>IF(Exogena_RAW!E345&lt;&gt;"",ROW()-5,"")</f>
        <v/>
      </c>
      <c r="B336" s="48">
        <f>IF(A336="","",345)</f>
        <v/>
      </c>
      <c r="C336" s="48">
        <f>IF(A336="","",IFERROR(Exogena_RAW!A345,""))</f>
        <v/>
      </c>
      <c r="D336" s="48">
        <f>IF(A336="","",IFERROR(Exogena_RAW!B345,""))</f>
        <v/>
      </c>
      <c r="E336" s="48">
        <f>IF(A336="","",Exogena_RAW!E345)</f>
        <v/>
      </c>
      <c r="F336" s="461">
        <f>IF(A336="","",Exogena_RAW!F345)</f>
        <v/>
      </c>
      <c r="G336" s="48">
        <f>IF(A336="","",IFERROR(Exogena_RAW!G345,""))</f>
        <v/>
      </c>
      <c r="H336" s="48">
        <f>IF(A336="","",IFERROR(Exogena_RAW!H345,""))</f>
        <v/>
      </c>
      <c r="I336" s="48">
        <f>IF(A336="","",IFERROR(IF(S336&gt;1,"VARIAS CASILLAS",IF(S336=1,IF(T336=1,"PROPUESTA DE CASILLA","REVISIÓN: CASILLA NO DIRECTA"),IF(OR(ISNUMBER(SEARCH("TOPE",UPPER(E336))),ISNUMBER(SEARCH("TOPE",UPPER(G336)))),"SOLO CONTROL",IF(ISNUMBER(SEARCH("RETEN",UPPER(E336))),"RETENCIÓN","REVISAR")))),"REVISAR"))</f>
        <v/>
      </c>
      <c r="J336" s="48">
        <f>IF(A336="","",IF(ISNUMBER(SEARCH("ingreso laboral promedio de los últimos seis meses",E336)),"",IFERROR(IF(AND(S336=1,T336=1),U336,""),"")))</f>
        <v/>
      </c>
      <c r="K336" s="216" t="n"/>
      <c r="L336" s="48">
        <f>IF(A336="","",IFERROR(IF(K336&lt;&gt;"","Casilla elegida por usuario",IF(S336&gt;1,"Varias casillas — elegir en K",IF(J336&lt;&gt;"","Sugerencia directa",IF(S336=1,"No trasladar directo — revisar",IF(OR(ISNUMBER(SEARCH("TOPE",UPPER(E336))),ISNUMBER(SEARCH("TOPE",UPPER(G336)))),"Solo control","Revisar manualmente"))))),"Revisar manualmente"))</f>
        <v/>
      </c>
      <c r="M336" s="461">
        <f>IF(A336="","",IF(IF(K336&lt;&gt;"",K336,J336)="",0,IF(COUNTIFS(Reglas!$I$5:$I$118,IF(K336&lt;&gt;"",K336,J336),Reglas!$J$5:$J$118,"Sí")=1,F336,0)))</f>
        <v/>
      </c>
      <c r="N336" s="56" t="n"/>
      <c r="O336" s="462">
        <f>IF(A336="","",IF(M336=0,"",M336))</f>
        <v/>
      </c>
      <c r="P336" s="461">
        <f>IF(A336="","",IF(O336="",0,IF(ISNUMBER(O336),O336,0)))</f>
        <v/>
      </c>
      <c r="Q336" s="48">
        <f>IF(A336="","",IF(Exogena_RAW!$C$4="","BLOQUEADO: FALTA AÑO",IF(Exogena_RAW!$K$10&lt;&gt;Reglas!$B$5,"BLOQUEADO: AÑO",IF(IF(K336&lt;&gt;"",K336,J336)="",IF(S336&gt;1,"REQUIERE ASIGNACIÓN MANUAL (VARIAS CASILLAS)","INFORMATIVO (sin casilla — no se declara)"),IF(COUNTIFS(Reglas!$I$5:$I$118,IF(K336&lt;&gt;"",K336,J336),Reglas!$J$5:$J$118,"Sí")=0,"BLOQUEADO: CASILLA NO DIRECTA",IF(O336="","EXCLUIDO (valor borrado por el usuario)",IF(_xlfn.ISFORMULA(O336),IF(W336&lt;&gt;"","BORRADOR — VALOR SUGERIDO DIAN ⚠ VER ALERTA","BORRADOR — VALOR SUGERIDO DIAN"),IF(W336&lt;&gt;"","ACEPTADO ⚠ VER ALERTA","ACEPTADO"))))))))</f>
        <v/>
      </c>
      <c r="R336" s="218" t="n"/>
      <c r="S336" s="58">
        <f>IF(A336="","",IFERROR(--ISNUMBER(SEARCH("R28",G336)),0)+IFERROR(--ISNUMBER(SEARCH("R29",G336)),0)+IFERROR(--ISNUMBER(SEARCH("R30",G336)),0)+IFERROR(--ISNUMBER(SEARCH("R31",G336)),0)+IFERROR(--ISNUMBER(SEARCH("R32",G336)),0)+IFERROR(--ISNUMBER(SEARCH("R33",G336)),0)+IFERROR(--ISNUMBER(SEARCH("R34",G336)),0)+IFERROR(--ISNUMBER(SEARCH("R35",G336)),0)+IFERROR(--ISNUMBER(SEARCH("R36",G336)),0)+IFERROR(--ISNUMBER(SEARCH("R37",G336)),0)+IFERROR(--ISNUMBER(SEARCH("R38",G336)),0)+IFERROR(--ISNUMBER(SEARCH("R39",G336)),0)+IFERROR(--ISNUMBER(SEARCH("R40",G336)),0)+IFERROR(--ISNUMBER(SEARCH("R41",G336)),0)+IFERROR(--ISNUMBER(SEARCH("R42",G336)),0)+IFERROR(--ISNUMBER(SEARCH("R43",G336)),0)+IFERROR(--ISNUMBER(SEARCH("R44",G336)),0)+IFERROR(--ISNUMBER(SEARCH("R45",G336)),0)+IFERROR(--ISNUMBER(SEARCH("R46",G336)),0)+IFERROR(--ISNUMBER(SEARCH("R47",G336)),0)+IFERROR(--ISNUMBER(SEARCH("R48",G336)),0)+IFERROR(--ISNUMBER(SEARCH("R49",G336)),0)+IFERROR(--ISNUMBER(SEARCH("R50",G336)),0)+IFERROR(--ISNUMBER(SEARCH("R51",G336)),0)+IFERROR(--ISNUMBER(SEARCH("R52",G336)),0)+IFERROR(--ISNUMBER(SEARCH("R53",G336)),0)+IFERROR(--ISNUMBER(SEARCH("R54",G336)),0)+IFERROR(--ISNUMBER(SEARCH("R55",G336)),0)+IFERROR(--ISNUMBER(SEARCH("R56",G336)),0)+IFERROR(--ISNUMBER(SEARCH("R57",G336)),0)+IFERROR(--ISNUMBER(SEARCH("R58",G336)),0)+IFERROR(--ISNUMBER(SEARCH("R59",G336)),0)+IFERROR(--ISNUMBER(SEARCH("R60",G336)),0)+IFERROR(--ISNUMBER(SEARCH("R61",G336)),0)+IFERROR(--ISNUMBER(SEARCH("R62",G336)),0)+IFERROR(--ISNUMBER(SEARCH("R63",G336)),0)+IFERROR(--ISNUMBER(SEARCH("R64",G336)),0)+IFERROR(--ISNUMBER(SEARCH("R65",G336)),0)+IFERROR(--ISNUMBER(SEARCH("R66",G336)),0)+IFERROR(--ISNUMBER(SEARCH("R67",G336)),0)+IFERROR(--ISNUMBER(SEARCH("R68",G336)),0)+IFERROR(--ISNUMBER(SEARCH("R69",G336)),0)+IFERROR(--ISNUMBER(SEARCH("R70",G336)),0)+IFERROR(--ISNUMBER(SEARCH("R71",G336)),0)+IFERROR(--ISNUMBER(SEARCH("R72",G336)),0)+IFERROR(--ISNUMBER(SEARCH("R73",G336)),0)+IFERROR(--ISNUMBER(SEARCH("R74",G336)),0)+IFERROR(--ISNUMBER(SEARCH("R75",G336)),0)+IFERROR(--ISNUMBER(SEARCH("R76",G336)),0)+IFERROR(--ISNUMBER(SEARCH("R77",G336)),0)+IFERROR(--ISNUMBER(SEARCH("R78",G336)),0)+IFERROR(--ISNUMBER(SEARCH("R79",G336)),0)+IFERROR(--ISNUMBER(SEARCH("R80",G336)),0)+IFERROR(--ISNUMBER(SEARCH("R81",G336)),0)+IFERROR(--ISNUMBER(SEARCH("R82",G336)),0)+IFERROR(--ISNUMBER(SEARCH("R83",G336)),0)+IFERROR(--ISNUMBER(SEARCH("R84",G336)),0)+IFERROR(--ISNUMBER(SEARCH("R85",G336)),0)+IFERROR(--ISNUMBER(SEARCH("R86",G336)),0)+IFERROR(--ISNUMBER(SEARCH("R87",G336)),0)+IFERROR(--ISNUMBER(SEARCH("R88",G336)),0)+IFERROR(--ISNUMBER(SEARCH("R89",G336)),0)+IFERROR(--ISNUMBER(SEARCH("R90",G336)),0)+IFERROR(--ISNUMBER(SEARCH("R91",G336)),0)+IFERROR(--ISNUMBER(SEARCH("R92",G336)),0)+IFERROR(--ISNUMBER(SEARCH("R93",G336)),0)+IFERROR(--ISNUMBER(SEARCH("R94",G336)),0)+IFERROR(--ISNUMBER(SEARCH("R95",G336)),0)+IFERROR(--ISNUMBER(SEARCH("R96",G336)),0)+IFERROR(--ISNUMBER(SEARCH("R97",G336)),0)+IFERROR(--ISNUMBER(SEARCH("R98",G336)),0)+IFERROR(--ISNUMBER(SEARCH("R99",G336)),0)+IFERROR(--ISNUMBER(SEARCH("R100",G336)),0)+IFERROR(--ISNUMBER(SEARCH("R101",G336)),0)+IFERROR(--ISNUMBER(SEARCH("R102",G336)),0)+IFERROR(--ISNUMBER(SEARCH("R103",G336)),0)+IFERROR(--ISNUMBER(SEARCH("R104",G336)),0)+IFERROR(--ISNUMBER(SEARCH("R105",G336)),0)+IFERROR(--ISNUMBER(SEARCH("R106",G336)),0)+IFERROR(--ISNUMBER(SEARCH("R107",G336)),0)+IFERROR(--ISNUMBER(SEARCH("R108",G336)),0)+IFERROR(--ISNUMBER(SEARCH("R109",G336)),0)+IFERROR(--ISNUMBER(SEARCH("R110",G336)),0)+IFERROR(--ISNUMBER(SEARCH("R111",G336)),0)+IFERROR(--ISNUMBER(SEARCH("R112",G336)),0)+IFERROR(--ISNUMBER(SEARCH("R113",G336)),0)+IFERROR(--ISNUMBER(SEARCH("R114",G336)),0)+IFERROR(--ISNUMBER(SEARCH("R115",G336)),0)+IFERROR(--ISNUMBER(SEARCH("R116",G336)),0)+IFERROR(--ISNUMBER(SEARCH("R117",G336)),0)+IFERROR(--ISNUMBER(SEARCH("R118",G336)),0)+IFERROR(--ISNUMBER(SEARCH("R119",G336)),0)+IFERROR(--ISNUMBER(SEARCH("R120",G336)),0)+IFERROR(--ISNUMBER(SEARCH("R121",G336)),0)+IFERROR(--ISNUMBER(SEARCH("R122",G336)),0)+IFERROR(--ISNUMBER(SEARCH("R123",G336)),0)+IFERROR(--ISNUMBER(SEARCH("R124",G336)),0)+IFERROR(--ISNUMBER(SEARCH("R125",G336)),0)+IFERROR(--ISNUMBER(SEARCH("R126",G336)),0)+IFERROR(--ISNUMBER(SEARCH("R127",G336)),0)+IFERROR(--ISNUMBER(SEARCH("R128",G336)),0)+IFERROR(--ISNUMBER(SEARCH("R129",G336)),0)+IFERROR(--ISNUMBER(SEARCH("R130",G336)),0)+IFERROR(--ISNUMBER(SEARCH("R131",G336)),0)+IFERROR(--ISNUMBER(SEARCH("R132",G336)),0)+IFERROR(--ISNUMBER(SEARCH("R133",G336)),0)+IFERROR(--ISNUMBER(SEARCH("R134",G336)),0)+IFERROR(--ISNUMBER(SEARCH("R135",G336)),0)+IFERROR(--ISNUMBER(SEARCH("R136",G336)),0)+IFERROR(--ISNUMBER(SEARCH("R137",G336)),0)+IFERROR(--ISNUMBER(SEARCH("R138",G336)),0)+IFERROR(--ISNUMBER(SEARCH("R139",G336)),0)+IFERROR(--ISNUMBER(SEARCH("R140",G336)),0)+IFERROR(--ISNUMBER(SEARCH("R141",G336)),0))</f>
        <v/>
      </c>
      <c r="T336" s="58">
        <f>IF(A336="","",IFERROR(--ISNUMBER(SEARCH("R28",G336)),0)+IFERROR(--ISNUMBER(SEARCH("R29",G336)),0)+IFERROR(--ISNUMBER(SEARCH("R30",G336)),0)+IFERROR(--ISNUMBER(SEARCH("R32",G336)),0)+IFERROR(--ISNUMBER(SEARCH("R33",G336)),0)+IFERROR(--ISNUMBER(SEARCH("R35",G336)),0)+IFERROR(--ISNUMBER(SEARCH("R36",G336)),0)+IFERROR(--ISNUMBER(SEARCH("R38",G336)),0)+IFERROR(--ISNUMBER(SEARCH("R39",G336)),0)+IFERROR(--ISNUMBER(SEARCH("R43",G336)),0)+IFERROR(--ISNUMBER(SEARCH("R44",G336)),0)+IFERROR(--ISNUMBER(SEARCH("R45",G336)),0)+IFERROR(--ISNUMBER(SEARCH("R47",G336)),0)+IFERROR(--ISNUMBER(SEARCH("R48",G336)),0)+IFERROR(--ISNUMBER(SEARCH("R50",G336)),0)+IFERROR(--ISNUMBER(SEARCH("R51",G336)),0)+IFERROR(--ISNUMBER(SEARCH("R56",G336)),0)+IFERROR(--ISNUMBER(SEARCH("R58",G336)),0)+IFERROR(--ISNUMBER(SEARCH("R59",G336)),0)+IFERROR(--ISNUMBER(SEARCH("R60",G336)),0)+IFERROR(--ISNUMBER(SEARCH("R62",G336)),0)+IFERROR(--ISNUMBER(SEARCH("R63",G336)),0)+IFERROR(--ISNUMBER(SEARCH("R64",G336)),0)+IFERROR(--ISNUMBER(SEARCH("R66",G336)),0)+IFERROR(--ISNUMBER(SEARCH("R67",G336)),0)+IFERROR(--ISNUMBER(SEARCH("R72",G336)),0)+IFERROR(--ISNUMBER(SEARCH("R74",G336)),0)+IFERROR(--ISNUMBER(SEARCH("R75",G336)),0)+IFERROR(--ISNUMBER(SEARCH("R76",G336)),0)+IFERROR(--ISNUMBER(SEARCH("R77",G336)),0)+IFERROR(--ISNUMBER(SEARCH("R79",G336)),0)+IFERROR(--ISNUMBER(SEARCH("R80",G336)),0)+IFERROR(--ISNUMBER(SEARCH("R81",G336)),0)+IFERROR(--ISNUMBER(SEARCH("R83",G336)),0)+IFERROR(--ISNUMBER(SEARCH("R84",G336)),0)+IFERROR(--ISNUMBER(SEARCH("R89",G336)),0)+IFERROR(--ISNUMBER(SEARCH("R94",G336)),0)+IFERROR(--ISNUMBER(SEARCH("R95",G336)),0)+IFERROR(--ISNUMBER(SEARCH("R96",G336)),0)+IFERROR(--ISNUMBER(SEARCH("R98",G336)),0)+IFERROR(--ISNUMBER(SEARCH("R99",G336)),0)+IFERROR(--ISNUMBER(SEARCH("R100",G336)),0)+IFERROR(--ISNUMBER(SEARCH("R104",G336)),0)+IFERROR(--ISNUMBER(SEARCH("R105",G336)),0)+IFERROR(--ISNUMBER(SEARCH("R107",G336)),0)+IFERROR(--ISNUMBER(SEARCH("R108",G336)),0)+IFERROR(--ISNUMBER(SEARCH("R109",G336)),0)+IFERROR(--ISNUMBER(SEARCH("R110",G336)),0)+IFERROR(--ISNUMBER(SEARCH("R112",G336)),0)+IFERROR(--ISNUMBER(SEARCH("R113",G336)),0)+IFERROR(--ISNUMBER(SEARCH("R114",G336)),0)+IFERROR(--ISNUMBER(SEARCH("R118",G336)),0)+IFERROR(--ISNUMBER(SEARCH("R119",G336)),0)+IFERROR(--ISNUMBER(SEARCH("R120",G336)),0)+IFERROR(--ISNUMBER(SEARCH("R122",G336)),0)+IFERROR(--ISNUMBER(SEARCH("R123",G336)),0)+IFERROR(--ISNUMBER(SEARCH("R124",G336)),0)+IFERROR(--ISNUMBER(SEARCH("R128",G336)),0)+IFERROR(--ISNUMBER(SEARCH("R130",G336)),0)+IFERROR(--ISNUMBER(SEARCH("R131",G336)),0)+IFERROR(--ISNUMBER(SEARCH("R132",G336)),0)+IFERROR(--ISNUMBER(SEARCH("R135",G336)),0)+IFERROR(--ISNUMBER(SEARCH("R138",G336)),0)+IFERROR(--ISNUMBER(SEARCH("R141",G336)),0))</f>
        <v/>
      </c>
      <c r="U336" s="58">
        <f>IF(A336="","",IFERROR(--ISNUMBER(SEARCH("R28",G336))*28,0)+IFERROR(--ISNUMBER(SEARCH("R29",G336))*29,0)+IFERROR(--ISNUMBER(SEARCH("R30",G336))*30,0)+IFERROR(--ISNUMBER(SEARCH("R31",G336))*31,0)+IFERROR(--ISNUMBER(SEARCH("R32",G336))*32,0)+IFERROR(--ISNUMBER(SEARCH("R33",G336))*33,0)+IFERROR(--ISNUMBER(SEARCH("R34",G336))*34,0)+IFERROR(--ISNUMBER(SEARCH("R35",G336))*35,0)+IFERROR(--ISNUMBER(SEARCH("R36",G336))*36,0)+IFERROR(--ISNUMBER(SEARCH("R37",G336))*37,0)+IFERROR(--ISNUMBER(SEARCH("R38",G336))*38,0)+IFERROR(--ISNUMBER(SEARCH("R39",G336))*39,0)+IFERROR(--ISNUMBER(SEARCH("R40",G336))*40,0)+IFERROR(--ISNUMBER(SEARCH("R41",G336))*41,0)+IFERROR(--ISNUMBER(SEARCH("R42",G336))*42,0)+IFERROR(--ISNUMBER(SEARCH("R43",G336))*43,0)+IFERROR(--ISNUMBER(SEARCH("R44",G336))*44,0)+IFERROR(--ISNUMBER(SEARCH("R45",G336))*45,0)+IFERROR(--ISNUMBER(SEARCH("R46",G336))*46,0)+IFERROR(--ISNUMBER(SEARCH("R47",G336))*47,0)+IFERROR(--ISNUMBER(SEARCH("R48",G336))*48,0)+IFERROR(--ISNUMBER(SEARCH("R49",G336))*49,0)+IFERROR(--ISNUMBER(SEARCH("R50",G336))*50,0)+IFERROR(--ISNUMBER(SEARCH("R51",G336))*51,0)+IFERROR(--ISNUMBER(SEARCH("R52",G336))*52,0)+IFERROR(--ISNUMBER(SEARCH("R53",G336))*53,0)+IFERROR(--ISNUMBER(SEARCH("R54",G336))*54,0)+IFERROR(--ISNUMBER(SEARCH("R55",G336))*55,0)+IFERROR(--ISNUMBER(SEARCH("R56",G336))*56,0)+IFERROR(--ISNUMBER(SEARCH("R57",G336))*57,0)+IFERROR(--ISNUMBER(SEARCH("R58",G336))*58,0)+IFERROR(--ISNUMBER(SEARCH("R59",G336))*59,0)+IFERROR(--ISNUMBER(SEARCH("R60",G336))*60,0)+IFERROR(--ISNUMBER(SEARCH("R61",G336))*61,0)+IFERROR(--ISNUMBER(SEARCH("R62",G336))*62,0)+IFERROR(--ISNUMBER(SEARCH("R63",G336))*63,0)+IFERROR(--ISNUMBER(SEARCH("R64",G336))*64,0)+IFERROR(--ISNUMBER(SEARCH("R65",G336))*65,0)+IFERROR(--ISNUMBER(SEARCH("R66",G336))*66,0)+IFERROR(--ISNUMBER(SEARCH("R67",G336))*67,0)+IFERROR(--ISNUMBER(SEARCH("R68",G336))*68,0)+IFERROR(--ISNUMBER(SEARCH("R69",G336))*69,0)+IFERROR(--ISNUMBER(SEARCH("R70",G336))*70,0)+IFERROR(--ISNUMBER(SEARCH("R71",G336))*71,0)+IFERROR(--ISNUMBER(SEARCH("R72",G336))*72,0)+IFERROR(--ISNUMBER(SEARCH("R73",G336))*73,0)+IFERROR(--ISNUMBER(SEARCH("R74",G336))*74,0)+IFERROR(--ISNUMBER(SEARCH("R75",G336))*75,0)+IFERROR(--ISNUMBER(SEARCH("R76",G336))*76,0)+IFERROR(--ISNUMBER(SEARCH("R77",G336))*77,0)+IFERROR(--ISNUMBER(SEARCH("R78",G336))*78,0)+IFERROR(--ISNUMBER(SEARCH("R79",G336))*79,0)+IFERROR(--ISNUMBER(SEARCH("R80",G336))*80,0)+IFERROR(--ISNUMBER(SEARCH("R81",G336))*81,0)+IFERROR(--ISNUMBER(SEARCH("R82",G336))*82,0)+IFERROR(--ISNUMBER(SEARCH("R83",G336))*83,0)+IFERROR(--ISNUMBER(SEARCH("R84",G336))*84,0)+IFERROR(--ISNUMBER(SEARCH("R85",G336))*85,0)+IFERROR(--ISNUMBER(SEARCH("R86",G336))*86,0)+IFERROR(--ISNUMBER(SEARCH("R87",G336))*87,0)+IFERROR(--ISNUMBER(SEARCH("R88",G336))*88,0)+IFERROR(--ISNUMBER(SEARCH("R89",G336))*89,0)+IFERROR(--ISNUMBER(SEARCH("R90",G336))*90,0)+IFERROR(--ISNUMBER(SEARCH("R91",G336))*91,0)+IFERROR(--ISNUMBER(SEARCH("R92",G336))*92,0)+IFERROR(--ISNUMBER(SEARCH("R93",G336))*93,0)+IFERROR(--ISNUMBER(SEARCH("R94",G336))*94,0)+IFERROR(--ISNUMBER(SEARCH("R95",G336))*95,0)+IFERROR(--ISNUMBER(SEARCH("R96",G336))*96,0)+IFERROR(--ISNUMBER(SEARCH("R97",G336))*97,0)+IFERROR(--ISNUMBER(SEARCH("R98",G336))*98,0)+IFERROR(--ISNUMBER(SEARCH("R99",G336))*99,0)+IFERROR(--ISNUMBER(SEARCH("R100",G336))*100,0)+IFERROR(--ISNUMBER(SEARCH("R101",G336))*101,0)+IFERROR(--ISNUMBER(SEARCH("R102",G336))*102,0)+IFERROR(--ISNUMBER(SEARCH("R103",G336))*103,0)+IFERROR(--ISNUMBER(SEARCH("R104",G336))*104,0)+IFERROR(--ISNUMBER(SEARCH("R105",G336))*105,0)+IFERROR(--ISNUMBER(SEARCH("R106",G336))*106,0)+IFERROR(--ISNUMBER(SEARCH("R107",G336))*107,0)+IFERROR(--ISNUMBER(SEARCH("R108",G336))*108,0)+IFERROR(--ISNUMBER(SEARCH("R109",G336))*109,0)+IFERROR(--ISNUMBER(SEARCH("R110",G336))*110,0)+IFERROR(--ISNUMBER(SEARCH("R111",G336))*111,0)+IFERROR(--ISNUMBER(SEARCH("R112",G336))*112,0)+IFERROR(--ISNUMBER(SEARCH("R113",G336))*113,0)+IFERROR(--ISNUMBER(SEARCH("R114",G336))*114,0)+IFERROR(--ISNUMBER(SEARCH("R115",G336))*115,0)+IFERROR(--ISNUMBER(SEARCH("R116",G336))*116,0)+IFERROR(--ISNUMBER(SEARCH("R117",G336))*117,0)+IFERROR(--ISNUMBER(SEARCH("R118",G336))*118,0)+IFERROR(--ISNUMBER(SEARCH("R119",G336))*119,0)+IFERROR(--ISNUMBER(SEARCH("R120",G336))*120,0)+IFERROR(--ISNUMBER(SEARCH("R121",G336))*121,0)+IFERROR(--ISNUMBER(SEARCH("R122",G336))*122,0)+IFERROR(--ISNUMBER(SEARCH("R123",G336))*123,0)+IFERROR(--ISNUMBER(SEARCH("R124",G336))*124,0)+IFERROR(--ISNUMBER(SEARCH("R125",G336))*125,0)+IFERROR(--ISNUMBER(SEARCH("R126",G336))*126,0)+IFERROR(--ISNUMBER(SEARCH("R127",G336))*127,0)+IFERROR(--ISNUMBER(SEARCH("R128",G336))*128,0)+IFERROR(--ISNUMBER(SEARCH("R129",G336))*129,0)+IFERROR(--ISNUMBER(SEARCH("R130",G336))*130,0)+IFERROR(--ISNUMBER(SEARCH("R131",G336))*131,0)+IFERROR(--ISNUMBER(SEARCH("R132",G336))*132,0)+IFERROR(--ISNUMBER(SEARCH("R133",G336))*133,0)+IFERROR(--ISNUMBER(SEARCH("R134",G336))*134,0)+IFERROR(--ISNUMBER(SEARCH("R135",G336))*135,0)+IFERROR(--ISNUMBER(SEARCH("R136",G336))*136,0)+IFERROR(--ISNUMBER(SEARCH("R137",G336))*137,0)+IFERROR(--ISNUMBER(SEARCH("R138",G336))*138,0)+IFERROR(--ISNUMBER(SEARCH("R139",G336))*139,0)+IFERROR(--ISNUMBER(SEARCH("R140",G336))*140,0)+IFERROR(--ISNUMBER(SEARCH("R141",G336))*141,0))</f>
        <v/>
      </c>
      <c r="V336" s="59">
        <f>IF(A336="","",IF(K336&lt;&gt;"",K336,J336))</f>
        <v/>
      </c>
      <c r="W336" s="59">
        <f>IF(A336="","",IF(AND(V336=29,O336&lt;&gt;"",COUNTIFS($V$6:$V$505,29,$F$6:$F$505,F336,$C$6:$C$505,C336,$O$6:$O$505,"&lt;&gt;")&gt;1),IF(COUNTIFS($V$6:V336,29,$F$6:F336,F336,$C$6:C336,C336,$O$6:O336,"&lt;&gt;")=1,"Esta es la fila que se debe CONSERVAR (aparición 1 de "&amp;COUNTIFS($V$6:$V$505,29,$F$6:$F$505,F336,$C$6:$C$505,C336,$O$6:$O$505,"&lt;&gt;")&amp;" con el mismo tercero y valor, casilla 29). Si hay más filas iguales, bórreles el valor a ELLAS, no a esta.","DUPLICADO — ya existe otra fila con el mismo tercero y valor para casilla 29 (aparición "&amp;COUNTIFS($V$6:V336,29,$F$6:F336,F336,$C$6:C336,C336,$O$6:O336,"&lt;&gt;")&amp;" de "&amp;COUNTIFS($V$6:$V$505,29,$F$6:$F$505,F336,$C$6:$C$505,C336,$O$6:$O$505,"&lt;&gt;")&amp;"). Para resolverlo: seleccione la celda O"&amp;ROW()&amp;" (columna Valor a declarar de ESTA fila) y presione Supr."),""))</f>
        <v/>
      </c>
      <c r="X336" s="463">
        <f>IF(A336="","",F336)</f>
        <v/>
      </c>
      <c r="Y336" s="463">
        <f>IF(A336="","",SUMIF(Entrada_Manual!$I$88:$I$187,A336,Entrada_Manual!$F$88:$F$187))</f>
        <v/>
      </c>
      <c r="Z336" s="463">
        <f>IF(A336="","",X336-Y336)</f>
        <v/>
      </c>
      <c r="AA336">
        <f>IF(A336="","",SUMPRODUCT((Entrada_Manual!$I$88:$I$187=A336)*1))</f>
        <v/>
      </c>
      <c r="AB336">
        <f>IF(A336="","",IF(S336&lt;=1,"",IF(AA336=0,"PENDIENTE — SIN ASIGNAR",IF(Z336=0,"RESUELTO","PARCIAL — DIFERENCIA "&amp;TEXT(Z336,"#,##0")))))</f>
        <v/>
      </c>
    </row>
    <row r="337" ht="14.25" customHeight="1" s="235">
      <c r="A337" s="47">
        <f>IF(Exogena_RAW!E346&lt;&gt;"",ROW()-5,"")</f>
        <v/>
      </c>
      <c r="B337" s="48">
        <f>IF(A337="","",346)</f>
        <v/>
      </c>
      <c r="C337" s="48">
        <f>IF(A337="","",IFERROR(Exogena_RAW!A346,""))</f>
        <v/>
      </c>
      <c r="D337" s="48">
        <f>IF(A337="","",IFERROR(Exogena_RAW!B346,""))</f>
        <v/>
      </c>
      <c r="E337" s="48">
        <f>IF(A337="","",Exogena_RAW!E346)</f>
        <v/>
      </c>
      <c r="F337" s="461">
        <f>IF(A337="","",Exogena_RAW!F346)</f>
        <v/>
      </c>
      <c r="G337" s="48">
        <f>IF(A337="","",IFERROR(Exogena_RAW!G346,""))</f>
        <v/>
      </c>
      <c r="H337" s="48">
        <f>IF(A337="","",IFERROR(Exogena_RAW!H346,""))</f>
        <v/>
      </c>
      <c r="I337" s="48">
        <f>IF(A337="","",IFERROR(IF(S337&gt;1,"VARIAS CASILLAS",IF(S337=1,IF(T337=1,"PROPUESTA DE CASILLA","REVISIÓN: CASILLA NO DIRECTA"),IF(OR(ISNUMBER(SEARCH("TOPE",UPPER(E337))),ISNUMBER(SEARCH("TOPE",UPPER(G337)))),"SOLO CONTROL",IF(ISNUMBER(SEARCH("RETEN",UPPER(E337))),"RETENCIÓN","REVISAR")))),"REVISAR"))</f>
        <v/>
      </c>
      <c r="J337" s="48">
        <f>IF(A337="","",IF(ISNUMBER(SEARCH("ingreso laboral promedio de los últimos seis meses",E337)),"",IFERROR(IF(AND(S337=1,T337=1),U337,""),"")))</f>
        <v/>
      </c>
      <c r="K337" s="216" t="n"/>
      <c r="L337" s="48">
        <f>IF(A337="","",IFERROR(IF(K337&lt;&gt;"","Casilla elegida por usuario",IF(S337&gt;1,"Varias casillas — elegir en K",IF(J337&lt;&gt;"","Sugerencia directa",IF(S337=1,"No trasladar directo — revisar",IF(OR(ISNUMBER(SEARCH("TOPE",UPPER(E337))),ISNUMBER(SEARCH("TOPE",UPPER(G337)))),"Solo control","Revisar manualmente"))))),"Revisar manualmente"))</f>
        <v/>
      </c>
      <c r="M337" s="461">
        <f>IF(A337="","",IF(IF(K337&lt;&gt;"",K337,J337)="",0,IF(COUNTIFS(Reglas!$I$5:$I$118,IF(K337&lt;&gt;"",K337,J337),Reglas!$J$5:$J$118,"Sí")=1,F337,0)))</f>
        <v/>
      </c>
      <c r="N337" s="56" t="n"/>
      <c r="O337" s="462">
        <f>IF(A337="","",IF(M337=0,"",M337))</f>
        <v/>
      </c>
      <c r="P337" s="461">
        <f>IF(A337="","",IF(O337="",0,IF(ISNUMBER(O337),O337,0)))</f>
        <v/>
      </c>
      <c r="Q337" s="48">
        <f>IF(A337="","",IF(Exogena_RAW!$C$4="","BLOQUEADO: FALTA AÑO",IF(Exogena_RAW!$K$10&lt;&gt;Reglas!$B$5,"BLOQUEADO: AÑO",IF(IF(K337&lt;&gt;"",K337,J337)="",IF(S337&gt;1,"REQUIERE ASIGNACIÓN MANUAL (VARIAS CASILLAS)","INFORMATIVO (sin casilla — no se declara)"),IF(COUNTIFS(Reglas!$I$5:$I$118,IF(K337&lt;&gt;"",K337,J337),Reglas!$J$5:$J$118,"Sí")=0,"BLOQUEADO: CASILLA NO DIRECTA",IF(O337="","EXCLUIDO (valor borrado por el usuario)",IF(_xlfn.ISFORMULA(O337),IF(W337&lt;&gt;"","BORRADOR — VALOR SUGERIDO DIAN ⚠ VER ALERTA","BORRADOR — VALOR SUGERIDO DIAN"),IF(W337&lt;&gt;"","ACEPTADO ⚠ VER ALERTA","ACEPTADO"))))))))</f>
        <v/>
      </c>
      <c r="R337" s="218" t="n"/>
      <c r="S337" s="58">
        <f>IF(A337="","",IFERROR(--ISNUMBER(SEARCH("R28",G337)),0)+IFERROR(--ISNUMBER(SEARCH("R29",G337)),0)+IFERROR(--ISNUMBER(SEARCH("R30",G337)),0)+IFERROR(--ISNUMBER(SEARCH("R31",G337)),0)+IFERROR(--ISNUMBER(SEARCH("R32",G337)),0)+IFERROR(--ISNUMBER(SEARCH("R33",G337)),0)+IFERROR(--ISNUMBER(SEARCH("R34",G337)),0)+IFERROR(--ISNUMBER(SEARCH("R35",G337)),0)+IFERROR(--ISNUMBER(SEARCH("R36",G337)),0)+IFERROR(--ISNUMBER(SEARCH("R37",G337)),0)+IFERROR(--ISNUMBER(SEARCH("R38",G337)),0)+IFERROR(--ISNUMBER(SEARCH("R39",G337)),0)+IFERROR(--ISNUMBER(SEARCH("R40",G337)),0)+IFERROR(--ISNUMBER(SEARCH("R41",G337)),0)+IFERROR(--ISNUMBER(SEARCH("R42",G337)),0)+IFERROR(--ISNUMBER(SEARCH("R43",G337)),0)+IFERROR(--ISNUMBER(SEARCH("R44",G337)),0)+IFERROR(--ISNUMBER(SEARCH("R45",G337)),0)+IFERROR(--ISNUMBER(SEARCH("R46",G337)),0)+IFERROR(--ISNUMBER(SEARCH("R47",G337)),0)+IFERROR(--ISNUMBER(SEARCH("R48",G337)),0)+IFERROR(--ISNUMBER(SEARCH("R49",G337)),0)+IFERROR(--ISNUMBER(SEARCH("R50",G337)),0)+IFERROR(--ISNUMBER(SEARCH("R51",G337)),0)+IFERROR(--ISNUMBER(SEARCH("R52",G337)),0)+IFERROR(--ISNUMBER(SEARCH("R53",G337)),0)+IFERROR(--ISNUMBER(SEARCH("R54",G337)),0)+IFERROR(--ISNUMBER(SEARCH("R55",G337)),0)+IFERROR(--ISNUMBER(SEARCH("R56",G337)),0)+IFERROR(--ISNUMBER(SEARCH("R57",G337)),0)+IFERROR(--ISNUMBER(SEARCH("R58",G337)),0)+IFERROR(--ISNUMBER(SEARCH("R59",G337)),0)+IFERROR(--ISNUMBER(SEARCH("R60",G337)),0)+IFERROR(--ISNUMBER(SEARCH("R61",G337)),0)+IFERROR(--ISNUMBER(SEARCH("R62",G337)),0)+IFERROR(--ISNUMBER(SEARCH("R63",G337)),0)+IFERROR(--ISNUMBER(SEARCH("R64",G337)),0)+IFERROR(--ISNUMBER(SEARCH("R65",G337)),0)+IFERROR(--ISNUMBER(SEARCH("R66",G337)),0)+IFERROR(--ISNUMBER(SEARCH("R67",G337)),0)+IFERROR(--ISNUMBER(SEARCH("R68",G337)),0)+IFERROR(--ISNUMBER(SEARCH("R69",G337)),0)+IFERROR(--ISNUMBER(SEARCH("R70",G337)),0)+IFERROR(--ISNUMBER(SEARCH("R71",G337)),0)+IFERROR(--ISNUMBER(SEARCH("R72",G337)),0)+IFERROR(--ISNUMBER(SEARCH("R73",G337)),0)+IFERROR(--ISNUMBER(SEARCH("R74",G337)),0)+IFERROR(--ISNUMBER(SEARCH("R75",G337)),0)+IFERROR(--ISNUMBER(SEARCH("R76",G337)),0)+IFERROR(--ISNUMBER(SEARCH("R77",G337)),0)+IFERROR(--ISNUMBER(SEARCH("R78",G337)),0)+IFERROR(--ISNUMBER(SEARCH("R79",G337)),0)+IFERROR(--ISNUMBER(SEARCH("R80",G337)),0)+IFERROR(--ISNUMBER(SEARCH("R81",G337)),0)+IFERROR(--ISNUMBER(SEARCH("R82",G337)),0)+IFERROR(--ISNUMBER(SEARCH("R83",G337)),0)+IFERROR(--ISNUMBER(SEARCH("R84",G337)),0)+IFERROR(--ISNUMBER(SEARCH("R85",G337)),0)+IFERROR(--ISNUMBER(SEARCH("R86",G337)),0)+IFERROR(--ISNUMBER(SEARCH("R87",G337)),0)+IFERROR(--ISNUMBER(SEARCH("R88",G337)),0)+IFERROR(--ISNUMBER(SEARCH("R89",G337)),0)+IFERROR(--ISNUMBER(SEARCH("R90",G337)),0)+IFERROR(--ISNUMBER(SEARCH("R91",G337)),0)+IFERROR(--ISNUMBER(SEARCH("R92",G337)),0)+IFERROR(--ISNUMBER(SEARCH("R93",G337)),0)+IFERROR(--ISNUMBER(SEARCH("R94",G337)),0)+IFERROR(--ISNUMBER(SEARCH("R95",G337)),0)+IFERROR(--ISNUMBER(SEARCH("R96",G337)),0)+IFERROR(--ISNUMBER(SEARCH("R97",G337)),0)+IFERROR(--ISNUMBER(SEARCH("R98",G337)),0)+IFERROR(--ISNUMBER(SEARCH("R99",G337)),0)+IFERROR(--ISNUMBER(SEARCH("R100",G337)),0)+IFERROR(--ISNUMBER(SEARCH("R101",G337)),0)+IFERROR(--ISNUMBER(SEARCH("R102",G337)),0)+IFERROR(--ISNUMBER(SEARCH("R103",G337)),0)+IFERROR(--ISNUMBER(SEARCH("R104",G337)),0)+IFERROR(--ISNUMBER(SEARCH("R105",G337)),0)+IFERROR(--ISNUMBER(SEARCH("R106",G337)),0)+IFERROR(--ISNUMBER(SEARCH("R107",G337)),0)+IFERROR(--ISNUMBER(SEARCH("R108",G337)),0)+IFERROR(--ISNUMBER(SEARCH("R109",G337)),0)+IFERROR(--ISNUMBER(SEARCH("R110",G337)),0)+IFERROR(--ISNUMBER(SEARCH("R111",G337)),0)+IFERROR(--ISNUMBER(SEARCH("R112",G337)),0)+IFERROR(--ISNUMBER(SEARCH("R113",G337)),0)+IFERROR(--ISNUMBER(SEARCH("R114",G337)),0)+IFERROR(--ISNUMBER(SEARCH("R115",G337)),0)+IFERROR(--ISNUMBER(SEARCH("R116",G337)),0)+IFERROR(--ISNUMBER(SEARCH("R117",G337)),0)+IFERROR(--ISNUMBER(SEARCH("R118",G337)),0)+IFERROR(--ISNUMBER(SEARCH("R119",G337)),0)+IFERROR(--ISNUMBER(SEARCH("R120",G337)),0)+IFERROR(--ISNUMBER(SEARCH("R121",G337)),0)+IFERROR(--ISNUMBER(SEARCH("R122",G337)),0)+IFERROR(--ISNUMBER(SEARCH("R123",G337)),0)+IFERROR(--ISNUMBER(SEARCH("R124",G337)),0)+IFERROR(--ISNUMBER(SEARCH("R125",G337)),0)+IFERROR(--ISNUMBER(SEARCH("R126",G337)),0)+IFERROR(--ISNUMBER(SEARCH("R127",G337)),0)+IFERROR(--ISNUMBER(SEARCH("R128",G337)),0)+IFERROR(--ISNUMBER(SEARCH("R129",G337)),0)+IFERROR(--ISNUMBER(SEARCH("R130",G337)),0)+IFERROR(--ISNUMBER(SEARCH("R131",G337)),0)+IFERROR(--ISNUMBER(SEARCH("R132",G337)),0)+IFERROR(--ISNUMBER(SEARCH("R133",G337)),0)+IFERROR(--ISNUMBER(SEARCH("R134",G337)),0)+IFERROR(--ISNUMBER(SEARCH("R135",G337)),0)+IFERROR(--ISNUMBER(SEARCH("R136",G337)),0)+IFERROR(--ISNUMBER(SEARCH("R137",G337)),0)+IFERROR(--ISNUMBER(SEARCH("R138",G337)),0)+IFERROR(--ISNUMBER(SEARCH("R139",G337)),0)+IFERROR(--ISNUMBER(SEARCH("R140",G337)),0)+IFERROR(--ISNUMBER(SEARCH("R141",G337)),0))</f>
        <v/>
      </c>
      <c r="T337" s="58">
        <f>IF(A337="","",IFERROR(--ISNUMBER(SEARCH("R28",G337)),0)+IFERROR(--ISNUMBER(SEARCH("R29",G337)),0)+IFERROR(--ISNUMBER(SEARCH("R30",G337)),0)+IFERROR(--ISNUMBER(SEARCH("R32",G337)),0)+IFERROR(--ISNUMBER(SEARCH("R33",G337)),0)+IFERROR(--ISNUMBER(SEARCH("R35",G337)),0)+IFERROR(--ISNUMBER(SEARCH("R36",G337)),0)+IFERROR(--ISNUMBER(SEARCH("R38",G337)),0)+IFERROR(--ISNUMBER(SEARCH("R39",G337)),0)+IFERROR(--ISNUMBER(SEARCH("R43",G337)),0)+IFERROR(--ISNUMBER(SEARCH("R44",G337)),0)+IFERROR(--ISNUMBER(SEARCH("R45",G337)),0)+IFERROR(--ISNUMBER(SEARCH("R47",G337)),0)+IFERROR(--ISNUMBER(SEARCH("R48",G337)),0)+IFERROR(--ISNUMBER(SEARCH("R50",G337)),0)+IFERROR(--ISNUMBER(SEARCH("R51",G337)),0)+IFERROR(--ISNUMBER(SEARCH("R56",G337)),0)+IFERROR(--ISNUMBER(SEARCH("R58",G337)),0)+IFERROR(--ISNUMBER(SEARCH("R59",G337)),0)+IFERROR(--ISNUMBER(SEARCH("R60",G337)),0)+IFERROR(--ISNUMBER(SEARCH("R62",G337)),0)+IFERROR(--ISNUMBER(SEARCH("R63",G337)),0)+IFERROR(--ISNUMBER(SEARCH("R64",G337)),0)+IFERROR(--ISNUMBER(SEARCH("R66",G337)),0)+IFERROR(--ISNUMBER(SEARCH("R67",G337)),0)+IFERROR(--ISNUMBER(SEARCH("R72",G337)),0)+IFERROR(--ISNUMBER(SEARCH("R74",G337)),0)+IFERROR(--ISNUMBER(SEARCH("R75",G337)),0)+IFERROR(--ISNUMBER(SEARCH("R76",G337)),0)+IFERROR(--ISNUMBER(SEARCH("R77",G337)),0)+IFERROR(--ISNUMBER(SEARCH("R79",G337)),0)+IFERROR(--ISNUMBER(SEARCH("R80",G337)),0)+IFERROR(--ISNUMBER(SEARCH("R81",G337)),0)+IFERROR(--ISNUMBER(SEARCH("R83",G337)),0)+IFERROR(--ISNUMBER(SEARCH("R84",G337)),0)+IFERROR(--ISNUMBER(SEARCH("R89",G337)),0)+IFERROR(--ISNUMBER(SEARCH("R94",G337)),0)+IFERROR(--ISNUMBER(SEARCH("R95",G337)),0)+IFERROR(--ISNUMBER(SEARCH("R96",G337)),0)+IFERROR(--ISNUMBER(SEARCH("R98",G337)),0)+IFERROR(--ISNUMBER(SEARCH("R99",G337)),0)+IFERROR(--ISNUMBER(SEARCH("R100",G337)),0)+IFERROR(--ISNUMBER(SEARCH("R104",G337)),0)+IFERROR(--ISNUMBER(SEARCH("R105",G337)),0)+IFERROR(--ISNUMBER(SEARCH("R107",G337)),0)+IFERROR(--ISNUMBER(SEARCH("R108",G337)),0)+IFERROR(--ISNUMBER(SEARCH("R109",G337)),0)+IFERROR(--ISNUMBER(SEARCH("R110",G337)),0)+IFERROR(--ISNUMBER(SEARCH("R112",G337)),0)+IFERROR(--ISNUMBER(SEARCH("R113",G337)),0)+IFERROR(--ISNUMBER(SEARCH("R114",G337)),0)+IFERROR(--ISNUMBER(SEARCH("R118",G337)),0)+IFERROR(--ISNUMBER(SEARCH("R119",G337)),0)+IFERROR(--ISNUMBER(SEARCH("R120",G337)),0)+IFERROR(--ISNUMBER(SEARCH("R122",G337)),0)+IFERROR(--ISNUMBER(SEARCH("R123",G337)),0)+IFERROR(--ISNUMBER(SEARCH("R124",G337)),0)+IFERROR(--ISNUMBER(SEARCH("R128",G337)),0)+IFERROR(--ISNUMBER(SEARCH("R130",G337)),0)+IFERROR(--ISNUMBER(SEARCH("R131",G337)),0)+IFERROR(--ISNUMBER(SEARCH("R132",G337)),0)+IFERROR(--ISNUMBER(SEARCH("R135",G337)),0)+IFERROR(--ISNUMBER(SEARCH("R138",G337)),0)+IFERROR(--ISNUMBER(SEARCH("R141",G337)),0))</f>
        <v/>
      </c>
      <c r="U337" s="58">
        <f>IF(A337="","",IFERROR(--ISNUMBER(SEARCH("R28",G337))*28,0)+IFERROR(--ISNUMBER(SEARCH("R29",G337))*29,0)+IFERROR(--ISNUMBER(SEARCH("R30",G337))*30,0)+IFERROR(--ISNUMBER(SEARCH("R31",G337))*31,0)+IFERROR(--ISNUMBER(SEARCH("R32",G337))*32,0)+IFERROR(--ISNUMBER(SEARCH("R33",G337))*33,0)+IFERROR(--ISNUMBER(SEARCH("R34",G337))*34,0)+IFERROR(--ISNUMBER(SEARCH("R35",G337))*35,0)+IFERROR(--ISNUMBER(SEARCH("R36",G337))*36,0)+IFERROR(--ISNUMBER(SEARCH("R37",G337))*37,0)+IFERROR(--ISNUMBER(SEARCH("R38",G337))*38,0)+IFERROR(--ISNUMBER(SEARCH("R39",G337))*39,0)+IFERROR(--ISNUMBER(SEARCH("R40",G337))*40,0)+IFERROR(--ISNUMBER(SEARCH("R41",G337))*41,0)+IFERROR(--ISNUMBER(SEARCH("R42",G337))*42,0)+IFERROR(--ISNUMBER(SEARCH("R43",G337))*43,0)+IFERROR(--ISNUMBER(SEARCH("R44",G337))*44,0)+IFERROR(--ISNUMBER(SEARCH("R45",G337))*45,0)+IFERROR(--ISNUMBER(SEARCH("R46",G337))*46,0)+IFERROR(--ISNUMBER(SEARCH("R47",G337))*47,0)+IFERROR(--ISNUMBER(SEARCH("R48",G337))*48,0)+IFERROR(--ISNUMBER(SEARCH("R49",G337))*49,0)+IFERROR(--ISNUMBER(SEARCH("R50",G337))*50,0)+IFERROR(--ISNUMBER(SEARCH("R51",G337))*51,0)+IFERROR(--ISNUMBER(SEARCH("R52",G337))*52,0)+IFERROR(--ISNUMBER(SEARCH("R53",G337))*53,0)+IFERROR(--ISNUMBER(SEARCH("R54",G337))*54,0)+IFERROR(--ISNUMBER(SEARCH("R55",G337))*55,0)+IFERROR(--ISNUMBER(SEARCH("R56",G337))*56,0)+IFERROR(--ISNUMBER(SEARCH("R57",G337))*57,0)+IFERROR(--ISNUMBER(SEARCH("R58",G337))*58,0)+IFERROR(--ISNUMBER(SEARCH("R59",G337))*59,0)+IFERROR(--ISNUMBER(SEARCH("R60",G337))*60,0)+IFERROR(--ISNUMBER(SEARCH("R61",G337))*61,0)+IFERROR(--ISNUMBER(SEARCH("R62",G337))*62,0)+IFERROR(--ISNUMBER(SEARCH("R63",G337))*63,0)+IFERROR(--ISNUMBER(SEARCH("R64",G337))*64,0)+IFERROR(--ISNUMBER(SEARCH("R65",G337))*65,0)+IFERROR(--ISNUMBER(SEARCH("R66",G337))*66,0)+IFERROR(--ISNUMBER(SEARCH("R67",G337))*67,0)+IFERROR(--ISNUMBER(SEARCH("R68",G337))*68,0)+IFERROR(--ISNUMBER(SEARCH("R69",G337))*69,0)+IFERROR(--ISNUMBER(SEARCH("R70",G337))*70,0)+IFERROR(--ISNUMBER(SEARCH("R71",G337))*71,0)+IFERROR(--ISNUMBER(SEARCH("R72",G337))*72,0)+IFERROR(--ISNUMBER(SEARCH("R73",G337))*73,0)+IFERROR(--ISNUMBER(SEARCH("R74",G337))*74,0)+IFERROR(--ISNUMBER(SEARCH("R75",G337))*75,0)+IFERROR(--ISNUMBER(SEARCH("R76",G337))*76,0)+IFERROR(--ISNUMBER(SEARCH("R77",G337))*77,0)+IFERROR(--ISNUMBER(SEARCH("R78",G337))*78,0)+IFERROR(--ISNUMBER(SEARCH("R79",G337))*79,0)+IFERROR(--ISNUMBER(SEARCH("R80",G337))*80,0)+IFERROR(--ISNUMBER(SEARCH("R81",G337))*81,0)+IFERROR(--ISNUMBER(SEARCH("R82",G337))*82,0)+IFERROR(--ISNUMBER(SEARCH("R83",G337))*83,0)+IFERROR(--ISNUMBER(SEARCH("R84",G337))*84,0)+IFERROR(--ISNUMBER(SEARCH("R85",G337))*85,0)+IFERROR(--ISNUMBER(SEARCH("R86",G337))*86,0)+IFERROR(--ISNUMBER(SEARCH("R87",G337))*87,0)+IFERROR(--ISNUMBER(SEARCH("R88",G337))*88,0)+IFERROR(--ISNUMBER(SEARCH("R89",G337))*89,0)+IFERROR(--ISNUMBER(SEARCH("R90",G337))*90,0)+IFERROR(--ISNUMBER(SEARCH("R91",G337))*91,0)+IFERROR(--ISNUMBER(SEARCH("R92",G337))*92,0)+IFERROR(--ISNUMBER(SEARCH("R93",G337))*93,0)+IFERROR(--ISNUMBER(SEARCH("R94",G337))*94,0)+IFERROR(--ISNUMBER(SEARCH("R95",G337))*95,0)+IFERROR(--ISNUMBER(SEARCH("R96",G337))*96,0)+IFERROR(--ISNUMBER(SEARCH("R97",G337))*97,0)+IFERROR(--ISNUMBER(SEARCH("R98",G337))*98,0)+IFERROR(--ISNUMBER(SEARCH("R99",G337))*99,0)+IFERROR(--ISNUMBER(SEARCH("R100",G337))*100,0)+IFERROR(--ISNUMBER(SEARCH("R101",G337))*101,0)+IFERROR(--ISNUMBER(SEARCH("R102",G337))*102,0)+IFERROR(--ISNUMBER(SEARCH("R103",G337))*103,0)+IFERROR(--ISNUMBER(SEARCH("R104",G337))*104,0)+IFERROR(--ISNUMBER(SEARCH("R105",G337))*105,0)+IFERROR(--ISNUMBER(SEARCH("R106",G337))*106,0)+IFERROR(--ISNUMBER(SEARCH("R107",G337))*107,0)+IFERROR(--ISNUMBER(SEARCH("R108",G337))*108,0)+IFERROR(--ISNUMBER(SEARCH("R109",G337))*109,0)+IFERROR(--ISNUMBER(SEARCH("R110",G337))*110,0)+IFERROR(--ISNUMBER(SEARCH("R111",G337))*111,0)+IFERROR(--ISNUMBER(SEARCH("R112",G337))*112,0)+IFERROR(--ISNUMBER(SEARCH("R113",G337))*113,0)+IFERROR(--ISNUMBER(SEARCH("R114",G337))*114,0)+IFERROR(--ISNUMBER(SEARCH("R115",G337))*115,0)+IFERROR(--ISNUMBER(SEARCH("R116",G337))*116,0)+IFERROR(--ISNUMBER(SEARCH("R117",G337))*117,0)+IFERROR(--ISNUMBER(SEARCH("R118",G337))*118,0)+IFERROR(--ISNUMBER(SEARCH("R119",G337))*119,0)+IFERROR(--ISNUMBER(SEARCH("R120",G337))*120,0)+IFERROR(--ISNUMBER(SEARCH("R121",G337))*121,0)+IFERROR(--ISNUMBER(SEARCH("R122",G337))*122,0)+IFERROR(--ISNUMBER(SEARCH("R123",G337))*123,0)+IFERROR(--ISNUMBER(SEARCH("R124",G337))*124,0)+IFERROR(--ISNUMBER(SEARCH("R125",G337))*125,0)+IFERROR(--ISNUMBER(SEARCH("R126",G337))*126,0)+IFERROR(--ISNUMBER(SEARCH("R127",G337))*127,0)+IFERROR(--ISNUMBER(SEARCH("R128",G337))*128,0)+IFERROR(--ISNUMBER(SEARCH("R129",G337))*129,0)+IFERROR(--ISNUMBER(SEARCH("R130",G337))*130,0)+IFERROR(--ISNUMBER(SEARCH("R131",G337))*131,0)+IFERROR(--ISNUMBER(SEARCH("R132",G337))*132,0)+IFERROR(--ISNUMBER(SEARCH("R133",G337))*133,0)+IFERROR(--ISNUMBER(SEARCH("R134",G337))*134,0)+IFERROR(--ISNUMBER(SEARCH("R135",G337))*135,0)+IFERROR(--ISNUMBER(SEARCH("R136",G337))*136,0)+IFERROR(--ISNUMBER(SEARCH("R137",G337))*137,0)+IFERROR(--ISNUMBER(SEARCH("R138",G337))*138,0)+IFERROR(--ISNUMBER(SEARCH("R139",G337))*139,0)+IFERROR(--ISNUMBER(SEARCH("R140",G337))*140,0)+IFERROR(--ISNUMBER(SEARCH("R141",G337))*141,0))</f>
        <v/>
      </c>
      <c r="V337" s="59">
        <f>IF(A337="","",IF(K337&lt;&gt;"",K337,J337))</f>
        <v/>
      </c>
      <c r="W337" s="59">
        <f>IF(A337="","",IF(AND(V337=29,O337&lt;&gt;"",COUNTIFS($V$6:$V$505,29,$F$6:$F$505,F337,$C$6:$C$505,C337,$O$6:$O$505,"&lt;&gt;")&gt;1),IF(COUNTIFS($V$6:V337,29,$F$6:F337,F337,$C$6:C337,C337,$O$6:O337,"&lt;&gt;")=1,"Esta es la fila que se debe CONSERVAR (aparición 1 de "&amp;COUNTIFS($V$6:$V$505,29,$F$6:$F$505,F337,$C$6:$C$505,C337,$O$6:$O$505,"&lt;&gt;")&amp;" con el mismo tercero y valor, casilla 29). Si hay más filas iguales, bórreles el valor a ELLAS, no a esta.","DUPLICADO — ya existe otra fila con el mismo tercero y valor para casilla 29 (aparición "&amp;COUNTIFS($V$6:V337,29,$F$6:F337,F337,$C$6:C337,C337,$O$6:O337,"&lt;&gt;")&amp;" de "&amp;COUNTIFS($V$6:$V$505,29,$F$6:$F$505,F337,$C$6:$C$505,C337,$O$6:$O$505,"&lt;&gt;")&amp;"). Para resolverlo: seleccione la celda O"&amp;ROW()&amp;" (columna Valor a declarar de ESTA fila) y presione Supr."),""))</f>
        <v/>
      </c>
      <c r="X337" s="463">
        <f>IF(A337="","",F337)</f>
        <v/>
      </c>
      <c r="Y337" s="463">
        <f>IF(A337="","",SUMIF(Entrada_Manual!$I$88:$I$187,A337,Entrada_Manual!$F$88:$F$187))</f>
        <v/>
      </c>
      <c r="Z337" s="463">
        <f>IF(A337="","",X337-Y337)</f>
        <v/>
      </c>
      <c r="AA337">
        <f>IF(A337="","",SUMPRODUCT((Entrada_Manual!$I$88:$I$187=A337)*1))</f>
        <v/>
      </c>
      <c r="AB337">
        <f>IF(A337="","",IF(S337&lt;=1,"",IF(AA337=0,"PENDIENTE — SIN ASIGNAR",IF(Z337=0,"RESUELTO","PARCIAL — DIFERENCIA "&amp;TEXT(Z337,"#,##0")))))</f>
        <v/>
      </c>
    </row>
    <row r="338" ht="14.25" customHeight="1" s="235">
      <c r="A338" s="47">
        <f>IF(Exogena_RAW!E347&lt;&gt;"",ROW()-5,"")</f>
        <v/>
      </c>
      <c r="B338" s="48">
        <f>IF(A338="","",347)</f>
        <v/>
      </c>
      <c r="C338" s="48">
        <f>IF(A338="","",IFERROR(Exogena_RAW!A347,""))</f>
        <v/>
      </c>
      <c r="D338" s="48">
        <f>IF(A338="","",IFERROR(Exogena_RAW!B347,""))</f>
        <v/>
      </c>
      <c r="E338" s="48">
        <f>IF(A338="","",Exogena_RAW!E347)</f>
        <v/>
      </c>
      <c r="F338" s="461">
        <f>IF(A338="","",Exogena_RAW!F347)</f>
        <v/>
      </c>
      <c r="G338" s="48">
        <f>IF(A338="","",IFERROR(Exogena_RAW!G347,""))</f>
        <v/>
      </c>
      <c r="H338" s="48">
        <f>IF(A338="","",IFERROR(Exogena_RAW!H347,""))</f>
        <v/>
      </c>
      <c r="I338" s="48">
        <f>IF(A338="","",IFERROR(IF(S338&gt;1,"VARIAS CASILLAS",IF(S338=1,IF(T338=1,"PROPUESTA DE CASILLA","REVISIÓN: CASILLA NO DIRECTA"),IF(OR(ISNUMBER(SEARCH("TOPE",UPPER(E338))),ISNUMBER(SEARCH("TOPE",UPPER(G338)))),"SOLO CONTROL",IF(ISNUMBER(SEARCH("RETEN",UPPER(E338))),"RETENCIÓN","REVISAR")))),"REVISAR"))</f>
        <v/>
      </c>
      <c r="J338" s="48">
        <f>IF(A338="","",IF(ISNUMBER(SEARCH("ingreso laboral promedio de los últimos seis meses",E338)),"",IFERROR(IF(AND(S338=1,T338=1),U338,""),"")))</f>
        <v/>
      </c>
      <c r="K338" s="216" t="n"/>
      <c r="L338" s="48">
        <f>IF(A338="","",IFERROR(IF(K338&lt;&gt;"","Casilla elegida por usuario",IF(S338&gt;1,"Varias casillas — elegir en K",IF(J338&lt;&gt;"","Sugerencia directa",IF(S338=1,"No trasladar directo — revisar",IF(OR(ISNUMBER(SEARCH("TOPE",UPPER(E338))),ISNUMBER(SEARCH("TOPE",UPPER(G338)))),"Solo control","Revisar manualmente"))))),"Revisar manualmente"))</f>
        <v/>
      </c>
      <c r="M338" s="461">
        <f>IF(A338="","",IF(IF(K338&lt;&gt;"",K338,J338)="",0,IF(COUNTIFS(Reglas!$I$5:$I$118,IF(K338&lt;&gt;"",K338,J338),Reglas!$J$5:$J$118,"Sí")=1,F338,0)))</f>
        <v/>
      </c>
      <c r="N338" s="56" t="n"/>
      <c r="O338" s="462">
        <f>IF(A338="","",IF(M338=0,"",M338))</f>
        <v/>
      </c>
      <c r="P338" s="461">
        <f>IF(A338="","",IF(O338="",0,IF(ISNUMBER(O338),O338,0)))</f>
        <v/>
      </c>
      <c r="Q338" s="48">
        <f>IF(A338="","",IF(Exogena_RAW!$C$4="","BLOQUEADO: FALTA AÑO",IF(Exogena_RAW!$K$10&lt;&gt;Reglas!$B$5,"BLOQUEADO: AÑO",IF(IF(K338&lt;&gt;"",K338,J338)="",IF(S338&gt;1,"REQUIERE ASIGNACIÓN MANUAL (VARIAS CASILLAS)","INFORMATIVO (sin casilla — no se declara)"),IF(COUNTIFS(Reglas!$I$5:$I$118,IF(K338&lt;&gt;"",K338,J338),Reglas!$J$5:$J$118,"Sí")=0,"BLOQUEADO: CASILLA NO DIRECTA",IF(O338="","EXCLUIDO (valor borrado por el usuario)",IF(_xlfn.ISFORMULA(O338),IF(W338&lt;&gt;"","BORRADOR — VALOR SUGERIDO DIAN ⚠ VER ALERTA","BORRADOR — VALOR SUGERIDO DIAN"),IF(W338&lt;&gt;"","ACEPTADO ⚠ VER ALERTA","ACEPTADO"))))))))</f>
        <v/>
      </c>
      <c r="R338" s="218" t="n"/>
      <c r="S338" s="58">
        <f>IF(A338="","",IFERROR(--ISNUMBER(SEARCH("R28",G338)),0)+IFERROR(--ISNUMBER(SEARCH("R29",G338)),0)+IFERROR(--ISNUMBER(SEARCH("R30",G338)),0)+IFERROR(--ISNUMBER(SEARCH("R31",G338)),0)+IFERROR(--ISNUMBER(SEARCH("R32",G338)),0)+IFERROR(--ISNUMBER(SEARCH("R33",G338)),0)+IFERROR(--ISNUMBER(SEARCH("R34",G338)),0)+IFERROR(--ISNUMBER(SEARCH("R35",G338)),0)+IFERROR(--ISNUMBER(SEARCH("R36",G338)),0)+IFERROR(--ISNUMBER(SEARCH("R37",G338)),0)+IFERROR(--ISNUMBER(SEARCH("R38",G338)),0)+IFERROR(--ISNUMBER(SEARCH("R39",G338)),0)+IFERROR(--ISNUMBER(SEARCH("R40",G338)),0)+IFERROR(--ISNUMBER(SEARCH("R41",G338)),0)+IFERROR(--ISNUMBER(SEARCH("R42",G338)),0)+IFERROR(--ISNUMBER(SEARCH("R43",G338)),0)+IFERROR(--ISNUMBER(SEARCH("R44",G338)),0)+IFERROR(--ISNUMBER(SEARCH("R45",G338)),0)+IFERROR(--ISNUMBER(SEARCH("R46",G338)),0)+IFERROR(--ISNUMBER(SEARCH("R47",G338)),0)+IFERROR(--ISNUMBER(SEARCH("R48",G338)),0)+IFERROR(--ISNUMBER(SEARCH("R49",G338)),0)+IFERROR(--ISNUMBER(SEARCH("R50",G338)),0)+IFERROR(--ISNUMBER(SEARCH("R51",G338)),0)+IFERROR(--ISNUMBER(SEARCH("R52",G338)),0)+IFERROR(--ISNUMBER(SEARCH("R53",G338)),0)+IFERROR(--ISNUMBER(SEARCH("R54",G338)),0)+IFERROR(--ISNUMBER(SEARCH("R55",G338)),0)+IFERROR(--ISNUMBER(SEARCH("R56",G338)),0)+IFERROR(--ISNUMBER(SEARCH("R57",G338)),0)+IFERROR(--ISNUMBER(SEARCH("R58",G338)),0)+IFERROR(--ISNUMBER(SEARCH("R59",G338)),0)+IFERROR(--ISNUMBER(SEARCH("R60",G338)),0)+IFERROR(--ISNUMBER(SEARCH("R61",G338)),0)+IFERROR(--ISNUMBER(SEARCH("R62",G338)),0)+IFERROR(--ISNUMBER(SEARCH("R63",G338)),0)+IFERROR(--ISNUMBER(SEARCH("R64",G338)),0)+IFERROR(--ISNUMBER(SEARCH("R65",G338)),0)+IFERROR(--ISNUMBER(SEARCH("R66",G338)),0)+IFERROR(--ISNUMBER(SEARCH("R67",G338)),0)+IFERROR(--ISNUMBER(SEARCH("R68",G338)),0)+IFERROR(--ISNUMBER(SEARCH("R69",G338)),0)+IFERROR(--ISNUMBER(SEARCH("R70",G338)),0)+IFERROR(--ISNUMBER(SEARCH("R71",G338)),0)+IFERROR(--ISNUMBER(SEARCH("R72",G338)),0)+IFERROR(--ISNUMBER(SEARCH("R73",G338)),0)+IFERROR(--ISNUMBER(SEARCH("R74",G338)),0)+IFERROR(--ISNUMBER(SEARCH("R75",G338)),0)+IFERROR(--ISNUMBER(SEARCH("R76",G338)),0)+IFERROR(--ISNUMBER(SEARCH("R77",G338)),0)+IFERROR(--ISNUMBER(SEARCH("R78",G338)),0)+IFERROR(--ISNUMBER(SEARCH("R79",G338)),0)+IFERROR(--ISNUMBER(SEARCH("R80",G338)),0)+IFERROR(--ISNUMBER(SEARCH("R81",G338)),0)+IFERROR(--ISNUMBER(SEARCH("R82",G338)),0)+IFERROR(--ISNUMBER(SEARCH("R83",G338)),0)+IFERROR(--ISNUMBER(SEARCH("R84",G338)),0)+IFERROR(--ISNUMBER(SEARCH("R85",G338)),0)+IFERROR(--ISNUMBER(SEARCH("R86",G338)),0)+IFERROR(--ISNUMBER(SEARCH("R87",G338)),0)+IFERROR(--ISNUMBER(SEARCH("R88",G338)),0)+IFERROR(--ISNUMBER(SEARCH("R89",G338)),0)+IFERROR(--ISNUMBER(SEARCH("R90",G338)),0)+IFERROR(--ISNUMBER(SEARCH("R91",G338)),0)+IFERROR(--ISNUMBER(SEARCH("R92",G338)),0)+IFERROR(--ISNUMBER(SEARCH("R93",G338)),0)+IFERROR(--ISNUMBER(SEARCH("R94",G338)),0)+IFERROR(--ISNUMBER(SEARCH("R95",G338)),0)+IFERROR(--ISNUMBER(SEARCH("R96",G338)),0)+IFERROR(--ISNUMBER(SEARCH("R97",G338)),0)+IFERROR(--ISNUMBER(SEARCH("R98",G338)),0)+IFERROR(--ISNUMBER(SEARCH("R99",G338)),0)+IFERROR(--ISNUMBER(SEARCH("R100",G338)),0)+IFERROR(--ISNUMBER(SEARCH("R101",G338)),0)+IFERROR(--ISNUMBER(SEARCH("R102",G338)),0)+IFERROR(--ISNUMBER(SEARCH("R103",G338)),0)+IFERROR(--ISNUMBER(SEARCH("R104",G338)),0)+IFERROR(--ISNUMBER(SEARCH("R105",G338)),0)+IFERROR(--ISNUMBER(SEARCH("R106",G338)),0)+IFERROR(--ISNUMBER(SEARCH("R107",G338)),0)+IFERROR(--ISNUMBER(SEARCH("R108",G338)),0)+IFERROR(--ISNUMBER(SEARCH("R109",G338)),0)+IFERROR(--ISNUMBER(SEARCH("R110",G338)),0)+IFERROR(--ISNUMBER(SEARCH("R111",G338)),0)+IFERROR(--ISNUMBER(SEARCH("R112",G338)),0)+IFERROR(--ISNUMBER(SEARCH("R113",G338)),0)+IFERROR(--ISNUMBER(SEARCH("R114",G338)),0)+IFERROR(--ISNUMBER(SEARCH("R115",G338)),0)+IFERROR(--ISNUMBER(SEARCH("R116",G338)),0)+IFERROR(--ISNUMBER(SEARCH("R117",G338)),0)+IFERROR(--ISNUMBER(SEARCH("R118",G338)),0)+IFERROR(--ISNUMBER(SEARCH("R119",G338)),0)+IFERROR(--ISNUMBER(SEARCH("R120",G338)),0)+IFERROR(--ISNUMBER(SEARCH("R121",G338)),0)+IFERROR(--ISNUMBER(SEARCH("R122",G338)),0)+IFERROR(--ISNUMBER(SEARCH("R123",G338)),0)+IFERROR(--ISNUMBER(SEARCH("R124",G338)),0)+IFERROR(--ISNUMBER(SEARCH("R125",G338)),0)+IFERROR(--ISNUMBER(SEARCH("R126",G338)),0)+IFERROR(--ISNUMBER(SEARCH("R127",G338)),0)+IFERROR(--ISNUMBER(SEARCH("R128",G338)),0)+IFERROR(--ISNUMBER(SEARCH("R129",G338)),0)+IFERROR(--ISNUMBER(SEARCH("R130",G338)),0)+IFERROR(--ISNUMBER(SEARCH("R131",G338)),0)+IFERROR(--ISNUMBER(SEARCH("R132",G338)),0)+IFERROR(--ISNUMBER(SEARCH("R133",G338)),0)+IFERROR(--ISNUMBER(SEARCH("R134",G338)),0)+IFERROR(--ISNUMBER(SEARCH("R135",G338)),0)+IFERROR(--ISNUMBER(SEARCH("R136",G338)),0)+IFERROR(--ISNUMBER(SEARCH("R137",G338)),0)+IFERROR(--ISNUMBER(SEARCH("R138",G338)),0)+IFERROR(--ISNUMBER(SEARCH("R139",G338)),0)+IFERROR(--ISNUMBER(SEARCH("R140",G338)),0)+IFERROR(--ISNUMBER(SEARCH("R141",G338)),0))</f>
        <v/>
      </c>
      <c r="T338" s="58">
        <f>IF(A338="","",IFERROR(--ISNUMBER(SEARCH("R28",G338)),0)+IFERROR(--ISNUMBER(SEARCH("R29",G338)),0)+IFERROR(--ISNUMBER(SEARCH("R30",G338)),0)+IFERROR(--ISNUMBER(SEARCH("R32",G338)),0)+IFERROR(--ISNUMBER(SEARCH("R33",G338)),0)+IFERROR(--ISNUMBER(SEARCH("R35",G338)),0)+IFERROR(--ISNUMBER(SEARCH("R36",G338)),0)+IFERROR(--ISNUMBER(SEARCH("R38",G338)),0)+IFERROR(--ISNUMBER(SEARCH("R39",G338)),0)+IFERROR(--ISNUMBER(SEARCH("R43",G338)),0)+IFERROR(--ISNUMBER(SEARCH("R44",G338)),0)+IFERROR(--ISNUMBER(SEARCH("R45",G338)),0)+IFERROR(--ISNUMBER(SEARCH("R47",G338)),0)+IFERROR(--ISNUMBER(SEARCH("R48",G338)),0)+IFERROR(--ISNUMBER(SEARCH("R50",G338)),0)+IFERROR(--ISNUMBER(SEARCH("R51",G338)),0)+IFERROR(--ISNUMBER(SEARCH("R56",G338)),0)+IFERROR(--ISNUMBER(SEARCH("R58",G338)),0)+IFERROR(--ISNUMBER(SEARCH("R59",G338)),0)+IFERROR(--ISNUMBER(SEARCH("R60",G338)),0)+IFERROR(--ISNUMBER(SEARCH("R62",G338)),0)+IFERROR(--ISNUMBER(SEARCH("R63",G338)),0)+IFERROR(--ISNUMBER(SEARCH("R64",G338)),0)+IFERROR(--ISNUMBER(SEARCH("R66",G338)),0)+IFERROR(--ISNUMBER(SEARCH("R67",G338)),0)+IFERROR(--ISNUMBER(SEARCH("R72",G338)),0)+IFERROR(--ISNUMBER(SEARCH("R74",G338)),0)+IFERROR(--ISNUMBER(SEARCH("R75",G338)),0)+IFERROR(--ISNUMBER(SEARCH("R76",G338)),0)+IFERROR(--ISNUMBER(SEARCH("R77",G338)),0)+IFERROR(--ISNUMBER(SEARCH("R79",G338)),0)+IFERROR(--ISNUMBER(SEARCH("R80",G338)),0)+IFERROR(--ISNUMBER(SEARCH("R81",G338)),0)+IFERROR(--ISNUMBER(SEARCH("R83",G338)),0)+IFERROR(--ISNUMBER(SEARCH("R84",G338)),0)+IFERROR(--ISNUMBER(SEARCH("R89",G338)),0)+IFERROR(--ISNUMBER(SEARCH("R94",G338)),0)+IFERROR(--ISNUMBER(SEARCH("R95",G338)),0)+IFERROR(--ISNUMBER(SEARCH("R96",G338)),0)+IFERROR(--ISNUMBER(SEARCH("R98",G338)),0)+IFERROR(--ISNUMBER(SEARCH("R99",G338)),0)+IFERROR(--ISNUMBER(SEARCH("R100",G338)),0)+IFERROR(--ISNUMBER(SEARCH("R104",G338)),0)+IFERROR(--ISNUMBER(SEARCH("R105",G338)),0)+IFERROR(--ISNUMBER(SEARCH("R107",G338)),0)+IFERROR(--ISNUMBER(SEARCH("R108",G338)),0)+IFERROR(--ISNUMBER(SEARCH("R109",G338)),0)+IFERROR(--ISNUMBER(SEARCH("R110",G338)),0)+IFERROR(--ISNUMBER(SEARCH("R112",G338)),0)+IFERROR(--ISNUMBER(SEARCH("R113",G338)),0)+IFERROR(--ISNUMBER(SEARCH("R114",G338)),0)+IFERROR(--ISNUMBER(SEARCH("R118",G338)),0)+IFERROR(--ISNUMBER(SEARCH("R119",G338)),0)+IFERROR(--ISNUMBER(SEARCH("R120",G338)),0)+IFERROR(--ISNUMBER(SEARCH("R122",G338)),0)+IFERROR(--ISNUMBER(SEARCH("R123",G338)),0)+IFERROR(--ISNUMBER(SEARCH("R124",G338)),0)+IFERROR(--ISNUMBER(SEARCH("R128",G338)),0)+IFERROR(--ISNUMBER(SEARCH("R130",G338)),0)+IFERROR(--ISNUMBER(SEARCH("R131",G338)),0)+IFERROR(--ISNUMBER(SEARCH("R132",G338)),0)+IFERROR(--ISNUMBER(SEARCH("R135",G338)),0)+IFERROR(--ISNUMBER(SEARCH("R138",G338)),0)+IFERROR(--ISNUMBER(SEARCH("R141",G338)),0))</f>
        <v/>
      </c>
      <c r="U338" s="58">
        <f>IF(A338="","",IFERROR(--ISNUMBER(SEARCH("R28",G338))*28,0)+IFERROR(--ISNUMBER(SEARCH("R29",G338))*29,0)+IFERROR(--ISNUMBER(SEARCH("R30",G338))*30,0)+IFERROR(--ISNUMBER(SEARCH("R31",G338))*31,0)+IFERROR(--ISNUMBER(SEARCH("R32",G338))*32,0)+IFERROR(--ISNUMBER(SEARCH("R33",G338))*33,0)+IFERROR(--ISNUMBER(SEARCH("R34",G338))*34,0)+IFERROR(--ISNUMBER(SEARCH("R35",G338))*35,0)+IFERROR(--ISNUMBER(SEARCH("R36",G338))*36,0)+IFERROR(--ISNUMBER(SEARCH("R37",G338))*37,0)+IFERROR(--ISNUMBER(SEARCH("R38",G338))*38,0)+IFERROR(--ISNUMBER(SEARCH("R39",G338))*39,0)+IFERROR(--ISNUMBER(SEARCH("R40",G338))*40,0)+IFERROR(--ISNUMBER(SEARCH("R41",G338))*41,0)+IFERROR(--ISNUMBER(SEARCH("R42",G338))*42,0)+IFERROR(--ISNUMBER(SEARCH("R43",G338))*43,0)+IFERROR(--ISNUMBER(SEARCH("R44",G338))*44,0)+IFERROR(--ISNUMBER(SEARCH("R45",G338))*45,0)+IFERROR(--ISNUMBER(SEARCH("R46",G338))*46,0)+IFERROR(--ISNUMBER(SEARCH("R47",G338))*47,0)+IFERROR(--ISNUMBER(SEARCH("R48",G338))*48,0)+IFERROR(--ISNUMBER(SEARCH("R49",G338))*49,0)+IFERROR(--ISNUMBER(SEARCH("R50",G338))*50,0)+IFERROR(--ISNUMBER(SEARCH("R51",G338))*51,0)+IFERROR(--ISNUMBER(SEARCH("R52",G338))*52,0)+IFERROR(--ISNUMBER(SEARCH("R53",G338))*53,0)+IFERROR(--ISNUMBER(SEARCH("R54",G338))*54,0)+IFERROR(--ISNUMBER(SEARCH("R55",G338))*55,0)+IFERROR(--ISNUMBER(SEARCH("R56",G338))*56,0)+IFERROR(--ISNUMBER(SEARCH("R57",G338))*57,0)+IFERROR(--ISNUMBER(SEARCH("R58",G338))*58,0)+IFERROR(--ISNUMBER(SEARCH("R59",G338))*59,0)+IFERROR(--ISNUMBER(SEARCH("R60",G338))*60,0)+IFERROR(--ISNUMBER(SEARCH("R61",G338))*61,0)+IFERROR(--ISNUMBER(SEARCH("R62",G338))*62,0)+IFERROR(--ISNUMBER(SEARCH("R63",G338))*63,0)+IFERROR(--ISNUMBER(SEARCH("R64",G338))*64,0)+IFERROR(--ISNUMBER(SEARCH("R65",G338))*65,0)+IFERROR(--ISNUMBER(SEARCH("R66",G338))*66,0)+IFERROR(--ISNUMBER(SEARCH("R67",G338))*67,0)+IFERROR(--ISNUMBER(SEARCH("R68",G338))*68,0)+IFERROR(--ISNUMBER(SEARCH("R69",G338))*69,0)+IFERROR(--ISNUMBER(SEARCH("R70",G338))*70,0)+IFERROR(--ISNUMBER(SEARCH("R71",G338))*71,0)+IFERROR(--ISNUMBER(SEARCH("R72",G338))*72,0)+IFERROR(--ISNUMBER(SEARCH("R73",G338))*73,0)+IFERROR(--ISNUMBER(SEARCH("R74",G338))*74,0)+IFERROR(--ISNUMBER(SEARCH("R75",G338))*75,0)+IFERROR(--ISNUMBER(SEARCH("R76",G338))*76,0)+IFERROR(--ISNUMBER(SEARCH("R77",G338))*77,0)+IFERROR(--ISNUMBER(SEARCH("R78",G338))*78,0)+IFERROR(--ISNUMBER(SEARCH("R79",G338))*79,0)+IFERROR(--ISNUMBER(SEARCH("R80",G338))*80,0)+IFERROR(--ISNUMBER(SEARCH("R81",G338))*81,0)+IFERROR(--ISNUMBER(SEARCH("R82",G338))*82,0)+IFERROR(--ISNUMBER(SEARCH("R83",G338))*83,0)+IFERROR(--ISNUMBER(SEARCH("R84",G338))*84,0)+IFERROR(--ISNUMBER(SEARCH("R85",G338))*85,0)+IFERROR(--ISNUMBER(SEARCH("R86",G338))*86,0)+IFERROR(--ISNUMBER(SEARCH("R87",G338))*87,0)+IFERROR(--ISNUMBER(SEARCH("R88",G338))*88,0)+IFERROR(--ISNUMBER(SEARCH("R89",G338))*89,0)+IFERROR(--ISNUMBER(SEARCH("R90",G338))*90,0)+IFERROR(--ISNUMBER(SEARCH("R91",G338))*91,0)+IFERROR(--ISNUMBER(SEARCH("R92",G338))*92,0)+IFERROR(--ISNUMBER(SEARCH("R93",G338))*93,0)+IFERROR(--ISNUMBER(SEARCH("R94",G338))*94,0)+IFERROR(--ISNUMBER(SEARCH("R95",G338))*95,0)+IFERROR(--ISNUMBER(SEARCH("R96",G338))*96,0)+IFERROR(--ISNUMBER(SEARCH("R97",G338))*97,0)+IFERROR(--ISNUMBER(SEARCH("R98",G338))*98,0)+IFERROR(--ISNUMBER(SEARCH("R99",G338))*99,0)+IFERROR(--ISNUMBER(SEARCH("R100",G338))*100,0)+IFERROR(--ISNUMBER(SEARCH("R101",G338))*101,0)+IFERROR(--ISNUMBER(SEARCH("R102",G338))*102,0)+IFERROR(--ISNUMBER(SEARCH("R103",G338))*103,0)+IFERROR(--ISNUMBER(SEARCH("R104",G338))*104,0)+IFERROR(--ISNUMBER(SEARCH("R105",G338))*105,0)+IFERROR(--ISNUMBER(SEARCH("R106",G338))*106,0)+IFERROR(--ISNUMBER(SEARCH("R107",G338))*107,0)+IFERROR(--ISNUMBER(SEARCH("R108",G338))*108,0)+IFERROR(--ISNUMBER(SEARCH("R109",G338))*109,0)+IFERROR(--ISNUMBER(SEARCH("R110",G338))*110,0)+IFERROR(--ISNUMBER(SEARCH("R111",G338))*111,0)+IFERROR(--ISNUMBER(SEARCH("R112",G338))*112,0)+IFERROR(--ISNUMBER(SEARCH("R113",G338))*113,0)+IFERROR(--ISNUMBER(SEARCH("R114",G338))*114,0)+IFERROR(--ISNUMBER(SEARCH("R115",G338))*115,0)+IFERROR(--ISNUMBER(SEARCH("R116",G338))*116,0)+IFERROR(--ISNUMBER(SEARCH("R117",G338))*117,0)+IFERROR(--ISNUMBER(SEARCH("R118",G338))*118,0)+IFERROR(--ISNUMBER(SEARCH("R119",G338))*119,0)+IFERROR(--ISNUMBER(SEARCH("R120",G338))*120,0)+IFERROR(--ISNUMBER(SEARCH("R121",G338))*121,0)+IFERROR(--ISNUMBER(SEARCH("R122",G338))*122,0)+IFERROR(--ISNUMBER(SEARCH("R123",G338))*123,0)+IFERROR(--ISNUMBER(SEARCH("R124",G338))*124,0)+IFERROR(--ISNUMBER(SEARCH("R125",G338))*125,0)+IFERROR(--ISNUMBER(SEARCH("R126",G338))*126,0)+IFERROR(--ISNUMBER(SEARCH("R127",G338))*127,0)+IFERROR(--ISNUMBER(SEARCH("R128",G338))*128,0)+IFERROR(--ISNUMBER(SEARCH("R129",G338))*129,0)+IFERROR(--ISNUMBER(SEARCH("R130",G338))*130,0)+IFERROR(--ISNUMBER(SEARCH("R131",G338))*131,0)+IFERROR(--ISNUMBER(SEARCH("R132",G338))*132,0)+IFERROR(--ISNUMBER(SEARCH("R133",G338))*133,0)+IFERROR(--ISNUMBER(SEARCH("R134",G338))*134,0)+IFERROR(--ISNUMBER(SEARCH("R135",G338))*135,0)+IFERROR(--ISNUMBER(SEARCH("R136",G338))*136,0)+IFERROR(--ISNUMBER(SEARCH("R137",G338))*137,0)+IFERROR(--ISNUMBER(SEARCH("R138",G338))*138,0)+IFERROR(--ISNUMBER(SEARCH("R139",G338))*139,0)+IFERROR(--ISNUMBER(SEARCH("R140",G338))*140,0)+IFERROR(--ISNUMBER(SEARCH("R141",G338))*141,0))</f>
        <v/>
      </c>
      <c r="V338" s="59">
        <f>IF(A338="","",IF(K338&lt;&gt;"",K338,J338))</f>
        <v/>
      </c>
      <c r="W338" s="59">
        <f>IF(A338="","",IF(AND(V338=29,O338&lt;&gt;"",COUNTIFS($V$6:$V$505,29,$F$6:$F$505,F338,$C$6:$C$505,C338,$O$6:$O$505,"&lt;&gt;")&gt;1),IF(COUNTIFS($V$6:V338,29,$F$6:F338,F338,$C$6:C338,C338,$O$6:O338,"&lt;&gt;")=1,"Esta es la fila que se debe CONSERVAR (aparición 1 de "&amp;COUNTIFS($V$6:$V$505,29,$F$6:$F$505,F338,$C$6:$C$505,C338,$O$6:$O$505,"&lt;&gt;")&amp;" con el mismo tercero y valor, casilla 29). Si hay más filas iguales, bórreles el valor a ELLAS, no a esta.","DUPLICADO — ya existe otra fila con el mismo tercero y valor para casilla 29 (aparición "&amp;COUNTIFS($V$6:V338,29,$F$6:F338,F338,$C$6:C338,C338,$O$6:O338,"&lt;&gt;")&amp;" de "&amp;COUNTIFS($V$6:$V$505,29,$F$6:$F$505,F338,$C$6:$C$505,C338,$O$6:$O$505,"&lt;&gt;")&amp;"). Para resolverlo: seleccione la celda O"&amp;ROW()&amp;" (columna Valor a declarar de ESTA fila) y presione Supr."),""))</f>
        <v/>
      </c>
      <c r="X338" s="463">
        <f>IF(A338="","",F338)</f>
        <v/>
      </c>
      <c r="Y338" s="463">
        <f>IF(A338="","",SUMIF(Entrada_Manual!$I$88:$I$187,A338,Entrada_Manual!$F$88:$F$187))</f>
        <v/>
      </c>
      <c r="Z338" s="463">
        <f>IF(A338="","",X338-Y338)</f>
        <v/>
      </c>
      <c r="AA338">
        <f>IF(A338="","",SUMPRODUCT((Entrada_Manual!$I$88:$I$187=A338)*1))</f>
        <v/>
      </c>
      <c r="AB338">
        <f>IF(A338="","",IF(S338&lt;=1,"",IF(AA338=0,"PENDIENTE — SIN ASIGNAR",IF(Z338=0,"RESUELTO","PARCIAL — DIFERENCIA "&amp;TEXT(Z338,"#,##0")))))</f>
        <v/>
      </c>
    </row>
    <row r="339" ht="14.25" customHeight="1" s="235">
      <c r="A339" s="47">
        <f>IF(Exogena_RAW!E348&lt;&gt;"",ROW()-5,"")</f>
        <v/>
      </c>
      <c r="B339" s="48">
        <f>IF(A339="","",348)</f>
        <v/>
      </c>
      <c r="C339" s="48">
        <f>IF(A339="","",IFERROR(Exogena_RAW!A348,""))</f>
        <v/>
      </c>
      <c r="D339" s="48">
        <f>IF(A339="","",IFERROR(Exogena_RAW!B348,""))</f>
        <v/>
      </c>
      <c r="E339" s="48">
        <f>IF(A339="","",Exogena_RAW!E348)</f>
        <v/>
      </c>
      <c r="F339" s="461">
        <f>IF(A339="","",Exogena_RAW!F348)</f>
        <v/>
      </c>
      <c r="G339" s="48">
        <f>IF(A339="","",IFERROR(Exogena_RAW!G348,""))</f>
        <v/>
      </c>
      <c r="H339" s="48">
        <f>IF(A339="","",IFERROR(Exogena_RAW!H348,""))</f>
        <v/>
      </c>
      <c r="I339" s="48">
        <f>IF(A339="","",IFERROR(IF(S339&gt;1,"VARIAS CASILLAS",IF(S339=1,IF(T339=1,"PROPUESTA DE CASILLA","REVISIÓN: CASILLA NO DIRECTA"),IF(OR(ISNUMBER(SEARCH("TOPE",UPPER(E339))),ISNUMBER(SEARCH("TOPE",UPPER(G339)))),"SOLO CONTROL",IF(ISNUMBER(SEARCH("RETEN",UPPER(E339))),"RETENCIÓN","REVISAR")))),"REVISAR"))</f>
        <v/>
      </c>
      <c r="J339" s="48">
        <f>IF(A339="","",IF(ISNUMBER(SEARCH("ingreso laboral promedio de los últimos seis meses",E339)),"",IFERROR(IF(AND(S339=1,T339=1),U339,""),"")))</f>
        <v/>
      </c>
      <c r="K339" s="216" t="n"/>
      <c r="L339" s="48">
        <f>IF(A339="","",IFERROR(IF(K339&lt;&gt;"","Casilla elegida por usuario",IF(S339&gt;1,"Varias casillas — elegir en K",IF(J339&lt;&gt;"","Sugerencia directa",IF(S339=1,"No trasladar directo — revisar",IF(OR(ISNUMBER(SEARCH("TOPE",UPPER(E339))),ISNUMBER(SEARCH("TOPE",UPPER(G339)))),"Solo control","Revisar manualmente"))))),"Revisar manualmente"))</f>
        <v/>
      </c>
      <c r="M339" s="461">
        <f>IF(A339="","",IF(IF(K339&lt;&gt;"",K339,J339)="",0,IF(COUNTIFS(Reglas!$I$5:$I$118,IF(K339&lt;&gt;"",K339,J339),Reglas!$J$5:$J$118,"Sí")=1,F339,0)))</f>
        <v/>
      </c>
      <c r="N339" s="56" t="n"/>
      <c r="O339" s="462">
        <f>IF(A339="","",IF(M339=0,"",M339))</f>
        <v/>
      </c>
      <c r="P339" s="461">
        <f>IF(A339="","",IF(O339="",0,IF(ISNUMBER(O339),O339,0)))</f>
        <v/>
      </c>
      <c r="Q339" s="48">
        <f>IF(A339="","",IF(Exogena_RAW!$C$4="","BLOQUEADO: FALTA AÑO",IF(Exogena_RAW!$K$10&lt;&gt;Reglas!$B$5,"BLOQUEADO: AÑO",IF(IF(K339&lt;&gt;"",K339,J339)="",IF(S339&gt;1,"REQUIERE ASIGNACIÓN MANUAL (VARIAS CASILLAS)","INFORMATIVO (sin casilla — no se declara)"),IF(COUNTIFS(Reglas!$I$5:$I$118,IF(K339&lt;&gt;"",K339,J339),Reglas!$J$5:$J$118,"Sí")=0,"BLOQUEADO: CASILLA NO DIRECTA",IF(O339="","EXCLUIDO (valor borrado por el usuario)",IF(_xlfn.ISFORMULA(O339),IF(W339&lt;&gt;"","BORRADOR — VALOR SUGERIDO DIAN ⚠ VER ALERTA","BORRADOR — VALOR SUGERIDO DIAN"),IF(W339&lt;&gt;"","ACEPTADO ⚠ VER ALERTA","ACEPTADO"))))))))</f>
        <v/>
      </c>
      <c r="R339" s="218" t="n"/>
      <c r="S339" s="58">
        <f>IF(A339="","",IFERROR(--ISNUMBER(SEARCH("R28",G339)),0)+IFERROR(--ISNUMBER(SEARCH("R29",G339)),0)+IFERROR(--ISNUMBER(SEARCH("R30",G339)),0)+IFERROR(--ISNUMBER(SEARCH("R31",G339)),0)+IFERROR(--ISNUMBER(SEARCH("R32",G339)),0)+IFERROR(--ISNUMBER(SEARCH("R33",G339)),0)+IFERROR(--ISNUMBER(SEARCH("R34",G339)),0)+IFERROR(--ISNUMBER(SEARCH("R35",G339)),0)+IFERROR(--ISNUMBER(SEARCH("R36",G339)),0)+IFERROR(--ISNUMBER(SEARCH("R37",G339)),0)+IFERROR(--ISNUMBER(SEARCH("R38",G339)),0)+IFERROR(--ISNUMBER(SEARCH("R39",G339)),0)+IFERROR(--ISNUMBER(SEARCH("R40",G339)),0)+IFERROR(--ISNUMBER(SEARCH("R41",G339)),0)+IFERROR(--ISNUMBER(SEARCH("R42",G339)),0)+IFERROR(--ISNUMBER(SEARCH("R43",G339)),0)+IFERROR(--ISNUMBER(SEARCH("R44",G339)),0)+IFERROR(--ISNUMBER(SEARCH("R45",G339)),0)+IFERROR(--ISNUMBER(SEARCH("R46",G339)),0)+IFERROR(--ISNUMBER(SEARCH("R47",G339)),0)+IFERROR(--ISNUMBER(SEARCH("R48",G339)),0)+IFERROR(--ISNUMBER(SEARCH("R49",G339)),0)+IFERROR(--ISNUMBER(SEARCH("R50",G339)),0)+IFERROR(--ISNUMBER(SEARCH("R51",G339)),0)+IFERROR(--ISNUMBER(SEARCH("R52",G339)),0)+IFERROR(--ISNUMBER(SEARCH("R53",G339)),0)+IFERROR(--ISNUMBER(SEARCH("R54",G339)),0)+IFERROR(--ISNUMBER(SEARCH("R55",G339)),0)+IFERROR(--ISNUMBER(SEARCH("R56",G339)),0)+IFERROR(--ISNUMBER(SEARCH("R57",G339)),0)+IFERROR(--ISNUMBER(SEARCH("R58",G339)),0)+IFERROR(--ISNUMBER(SEARCH("R59",G339)),0)+IFERROR(--ISNUMBER(SEARCH("R60",G339)),0)+IFERROR(--ISNUMBER(SEARCH("R61",G339)),0)+IFERROR(--ISNUMBER(SEARCH("R62",G339)),0)+IFERROR(--ISNUMBER(SEARCH("R63",G339)),0)+IFERROR(--ISNUMBER(SEARCH("R64",G339)),0)+IFERROR(--ISNUMBER(SEARCH("R65",G339)),0)+IFERROR(--ISNUMBER(SEARCH("R66",G339)),0)+IFERROR(--ISNUMBER(SEARCH("R67",G339)),0)+IFERROR(--ISNUMBER(SEARCH("R68",G339)),0)+IFERROR(--ISNUMBER(SEARCH("R69",G339)),0)+IFERROR(--ISNUMBER(SEARCH("R70",G339)),0)+IFERROR(--ISNUMBER(SEARCH("R71",G339)),0)+IFERROR(--ISNUMBER(SEARCH("R72",G339)),0)+IFERROR(--ISNUMBER(SEARCH("R73",G339)),0)+IFERROR(--ISNUMBER(SEARCH("R74",G339)),0)+IFERROR(--ISNUMBER(SEARCH("R75",G339)),0)+IFERROR(--ISNUMBER(SEARCH("R76",G339)),0)+IFERROR(--ISNUMBER(SEARCH("R77",G339)),0)+IFERROR(--ISNUMBER(SEARCH("R78",G339)),0)+IFERROR(--ISNUMBER(SEARCH("R79",G339)),0)+IFERROR(--ISNUMBER(SEARCH("R80",G339)),0)+IFERROR(--ISNUMBER(SEARCH("R81",G339)),0)+IFERROR(--ISNUMBER(SEARCH("R82",G339)),0)+IFERROR(--ISNUMBER(SEARCH("R83",G339)),0)+IFERROR(--ISNUMBER(SEARCH("R84",G339)),0)+IFERROR(--ISNUMBER(SEARCH("R85",G339)),0)+IFERROR(--ISNUMBER(SEARCH("R86",G339)),0)+IFERROR(--ISNUMBER(SEARCH("R87",G339)),0)+IFERROR(--ISNUMBER(SEARCH("R88",G339)),0)+IFERROR(--ISNUMBER(SEARCH("R89",G339)),0)+IFERROR(--ISNUMBER(SEARCH("R90",G339)),0)+IFERROR(--ISNUMBER(SEARCH("R91",G339)),0)+IFERROR(--ISNUMBER(SEARCH("R92",G339)),0)+IFERROR(--ISNUMBER(SEARCH("R93",G339)),0)+IFERROR(--ISNUMBER(SEARCH("R94",G339)),0)+IFERROR(--ISNUMBER(SEARCH("R95",G339)),0)+IFERROR(--ISNUMBER(SEARCH("R96",G339)),0)+IFERROR(--ISNUMBER(SEARCH("R97",G339)),0)+IFERROR(--ISNUMBER(SEARCH("R98",G339)),0)+IFERROR(--ISNUMBER(SEARCH("R99",G339)),0)+IFERROR(--ISNUMBER(SEARCH("R100",G339)),0)+IFERROR(--ISNUMBER(SEARCH("R101",G339)),0)+IFERROR(--ISNUMBER(SEARCH("R102",G339)),0)+IFERROR(--ISNUMBER(SEARCH("R103",G339)),0)+IFERROR(--ISNUMBER(SEARCH("R104",G339)),0)+IFERROR(--ISNUMBER(SEARCH("R105",G339)),0)+IFERROR(--ISNUMBER(SEARCH("R106",G339)),0)+IFERROR(--ISNUMBER(SEARCH("R107",G339)),0)+IFERROR(--ISNUMBER(SEARCH("R108",G339)),0)+IFERROR(--ISNUMBER(SEARCH("R109",G339)),0)+IFERROR(--ISNUMBER(SEARCH("R110",G339)),0)+IFERROR(--ISNUMBER(SEARCH("R111",G339)),0)+IFERROR(--ISNUMBER(SEARCH("R112",G339)),0)+IFERROR(--ISNUMBER(SEARCH("R113",G339)),0)+IFERROR(--ISNUMBER(SEARCH("R114",G339)),0)+IFERROR(--ISNUMBER(SEARCH("R115",G339)),0)+IFERROR(--ISNUMBER(SEARCH("R116",G339)),0)+IFERROR(--ISNUMBER(SEARCH("R117",G339)),0)+IFERROR(--ISNUMBER(SEARCH("R118",G339)),0)+IFERROR(--ISNUMBER(SEARCH("R119",G339)),0)+IFERROR(--ISNUMBER(SEARCH("R120",G339)),0)+IFERROR(--ISNUMBER(SEARCH("R121",G339)),0)+IFERROR(--ISNUMBER(SEARCH("R122",G339)),0)+IFERROR(--ISNUMBER(SEARCH("R123",G339)),0)+IFERROR(--ISNUMBER(SEARCH("R124",G339)),0)+IFERROR(--ISNUMBER(SEARCH("R125",G339)),0)+IFERROR(--ISNUMBER(SEARCH("R126",G339)),0)+IFERROR(--ISNUMBER(SEARCH("R127",G339)),0)+IFERROR(--ISNUMBER(SEARCH("R128",G339)),0)+IFERROR(--ISNUMBER(SEARCH("R129",G339)),0)+IFERROR(--ISNUMBER(SEARCH("R130",G339)),0)+IFERROR(--ISNUMBER(SEARCH("R131",G339)),0)+IFERROR(--ISNUMBER(SEARCH("R132",G339)),0)+IFERROR(--ISNUMBER(SEARCH("R133",G339)),0)+IFERROR(--ISNUMBER(SEARCH("R134",G339)),0)+IFERROR(--ISNUMBER(SEARCH("R135",G339)),0)+IFERROR(--ISNUMBER(SEARCH("R136",G339)),0)+IFERROR(--ISNUMBER(SEARCH("R137",G339)),0)+IFERROR(--ISNUMBER(SEARCH("R138",G339)),0)+IFERROR(--ISNUMBER(SEARCH("R139",G339)),0)+IFERROR(--ISNUMBER(SEARCH("R140",G339)),0)+IFERROR(--ISNUMBER(SEARCH("R141",G339)),0))</f>
        <v/>
      </c>
      <c r="T339" s="58">
        <f>IF(A339="","",IFERROR(--ISNUMBER(SEARCH("R28",G339)),0)+IFERROR(--ISNUMBER(SEARCH("R29",G339)),0)+IFERROR(--ISNUMBER(SEARCH("R30",G339)),0)+IFERROR(--ISNUMBER(SEARCH("R32",G339)),0)+IFERROR(--ISNUMBER(SEARCH("R33",G339)),0)+IFERROR(--ISNUMBER(SEARCH("R35",G339)),0)+IFERROR(--ISNUMBER(SEARCH("R36",G339)),0)+IFERROR(--ISNUMBER(SEARCH("R38",G339)),0)+IFERROR(--ISNUMBER(SEARCH("R39",G339)),0)+IFERROR(--ISNUMBER(SEARCH("R43",G339)),0)+IFERROR(--ISNUMBER(SEARCH("R44",G339)),0)+IFERROR(--ISNUMBER(SEARCH("R45",G339)),0)+IFERROR(--ISNUMBER(SEARCH("R47",G339)),0)+IFERROR(--ISNUMBER(SEARCH("R48",G339)),0)+IFERROR(--ISNUMBER(SEARCH("R50",G339)),0)+IFERROR(--ISNUMBER(SEARCH("R51",G339)),0)+IFERROR(--ISNUMBER(SEARCH("R56",G339)),0)+IFERROR(--ISNUMBER(SEARCH("R58",G339)),0)+IFERROR(--ISNUMBER(SEARCH("R59",G339)),0)+IFERROR(--ISNUMBER(SEARCH("R60",G339)),0)+IFERROR(--ISNUMBER(SEARCH("R62",G339)),0)+IFERROR(--ISNUMBER(SEARCH("R63",G339)),0)+IFERROR(--ISNUMBER(SEARCH("R64",G339)),0)+IFERROR(--ISNUMBER(SEARCH("R66",G339)),0)+IFERROR(--ISNUMBER(SEARCH("R67",G339)),0)+IFERROR(--ISNUMBER(SEARCH("R72",G339)),0)+IFERROR(--ISNUMBER(SEARCH("R74",G339)),0)+IFERROR(--ISNUMBER(SEARCH("R75",G339)),0)+IFERROR(--ISNUMBER(SEARCH("R76",G339)),0)+IFERROR(--ISNUMBER(SEARCH("R77",G339)),0)+IFERROR(--ISNUMBER(SEARCH("R79",G339)),0)+IFERROR(--ISNUMBER(SEARCH("R80",G339)),0)+IFERROR(--ISNUMBER(SEARCH("R81",G339)),0)+IFERROR(--ISNUMBER(SEARCH("R83",G339)),0)+IFERROR(--ISNUMBER(SEARCH("R84",G339)),0)+IFERROR(--ISNUMBER(SEARCH("R89",G339)),0)+IFERROR(--ISNUMBER(SEARCH("R94",G339)),0)+IFERROR(--ISNUMBER(SEARCH("R95",G339)),0)+IFERROR(--ISNUMBER(SEARCH("R96",G339)),0)+IFERROR(--ISNUMBER(SEARCH("R98",G339)),0)+IFERROR(--ISNUMBER(SEARCH("R99",G339)),0)+IFERROR(--ISNUMBER(SEARCH("R100",G339)),0)+IFERROR(--ISNUMBER(SEARCH("R104",G339)),0)+IFERROR(--ISNUMBER(SEARCH("R105",G339)),0)+IFERROR(--ISNUMBER(SEARCH("R107",G339)),0)+IFERROR(--ISNUMBER(SEARCH("R108",G339)),0)+IFERROR(--ISNUMBER(SEARCH("R109",G339)),0)+IFERROR(--ISNUMBER(SEARCH("R110",G339)),0)+IFERROR(--ISNUMBER(SEARCH("R112",G339)),0)+IFERROR(--ISNUMBER(SEARCH("R113",G339)),0)+IFERROR(--ISNUMBER(SEARCH("R114",G339)),0)+IFERROR(--ISNUMBER(SEARCH("R118",G339)),0)+IFERROR(--ISNUMBER(SEARCH("R119",G339)),0)+IFERROR(--ISNUMBER(SEARCH("R120",G339)),0)+IFERROR(--ISNUMBER(SEARCH("R122",G339)),0)+IFERROR(--ISNUMBER(SEARCH("R123",G339)),0)+IFERROR(--ISNUMBER(SEARCH("R124",G339)),0)+IFERROR(--ISNUMBER(SEARCH("R128",G339)),0)+IFERROR(--ISNUMBER(SEARCH("R130",G339)),0)+IFERROR(--ISNUMBER(SEARCH("R131",G339)),0)+IFERROR(--ISNUMBER(SEARCH("R132",G339)),0)+IFERROR(--ISNUMBER(SEARCH("R135",G339)),0)+IFERROR(--ISNUMBER(SEARCH("R138",G339)),0)+IFERROR(--ISNUMBER(SEARCH("R141",G339)),0))</f>
        <v/>
      </c>
      <c r="U339" s="58">
        <f>IF(A339="","",IFERROR(--ISNUMBER(SEARCH("R28",G339))*28,0)+IFERROR(--ISNUMBER(SEARCH("R29",G339))*29,0)+IFERROR(--ISNUMBER(SEARCH("R30",G339))*30,0)+IFERROR(--ISNUMBER(SEARCH("R31",G339))*31,0)+IFERROR(--ISNUMBER(SEARCH("R32",G339))*32,0)+IFERROR(--ISNUMBER(SEARCH("R33",G339))*33,0)+IFERROR(--ISNUMBER(SEARCH("R34",G339))*34,0)+IFERROR(--ISNUMBER(SEARCH("R35",G339))*35,0)+IFERROR(--ISNUMBER(SEARCH("R36",G339))*36,0)+IFERROR(--ISNUMBER(SEARCH("R37",G339))*37,0)+IFERROR(--ISNUMBER(SEARCH("R38",G339))*38,0)+IFERROR(--ISNUMBER(SEARCH("R39",G339))*39,0)+IFERROR(--ISNUMBER(SEARCH("R40",G339))*40,0)+IFERROR(--ISNUMBER(SEARCH("R41",G339))*41,0)+IFERROR(--ISNUMBER(SEARCH("R42",G339))*42,0)+IFERROR(--ISNUMBER(SEARCH("R43",G339))*43,0)+IFERROR(--ISNUMBER(SEARCH("R44",G339))*44,0)+IFERROR(--ISNUMBER(SEARCH("R45",G339))*45,0)+IFERROR(--ISNUMBER(SEARCH("R46",G339))*46,0)+IFERROR(--ISNUMBER(SEARCH("R47",G339))*47,0)+IFERROR(--ISNUMBER(SEARCH("R48",G339))*48,0)+IFERROR(--ISNUMBER(SEARCH("R49",G339))*49,0)+IFERROR(--ISNUMBER(SEARCH("R50",G339))*50,0)+IFERROR(--ISNUMBER(SEARCH("R51",G339))*51,0)+IFERROR(--ISNUMBER(SEARCH("R52",G339))*52,0)+IFERROR(--ISNUMBER(SEARCH("R53",G339))*53,0)+IFERROR(--ISNUMBER(SEARCH("R54",G339))*54,0)+IFERROR(--ISNUMBER(SEARCH("R55",G339))*55,0)+IFERROR(--ISNUMBER(SEARCH("R56",G339))*56,0)+IFERROR(--ISNUMBER(SEARCH("R57",G339))*57,0)+IFERROR(--ISNUMBER(SEARCH("R58",G339))*58,0)+IFERROR(--ISNUMBER(SEARCH("R59",G339))*59,0)+IFERROR(--ISNUMBER(SEARCH("R60",G339))*60,0)+IFERROR(--ISNUMBER(SEARCH("R61",G339))*61,0)+IFERROR(--ISNUMBER(SEARCH("R62",G339))*62,0)+IFERROR(--ISNUMBER(SEARCH("R63",G339))*63,0)+IFERROR(--ISNUMBER(SEARCH("R64",G339))*64,0)+IFERROR(--ISNUMBER(SEARCH("R65",G339))*65,0)+IFERROR(--ISNUMBER(SEARCH("R66",G339))*66,0)+IFERROR(--ISNUMBER(SEARCH("R67",G339))*67,0)+IFERROR(--ISNUMBER(SEARCH("R68",G339))*68,0)+IFERROR(--ISNUMBER(SEARCH("R69",G339))*69,0)+IFERROR(--ISNUMBER(SEARCH("R70",G339))*70,0)+IFERROR(--ISNUMBER(SEARCH("R71",G339))*71,0)+IFERROR(--ISNUMBER(SEARCH("R72",G339))*72,0)+IFERROR(--ISNUMBER(SEARCH("R73",G339))*73,0)+IFERROR(--ISNUMBER(SEARCH("R74",G339))*74,0)+IFERROR(--ISNUMBER(SEARCH("R75",G339))*75,0)+IFERROR(--ISNUMBER(SEARCH("R76",G339))*76,0)+IFERROR(--ISNUMBER(SEARCH("R77",G339))*77,0)+IFERROR(--ISNUMBER(SEARCH("R78",G339))*78,0)+IFERROR(--ISNUMBER(SEARCH("R79",G339))*79,0)+IFERROR(--ISNUMBER(SEARCH("R80",G339))*80,0)+IFERROR(--ISNUMBER(SEARCH("R81",G339))*81,0)+IFERROR(--ISNUMBER(SEARCH("R82",G339))*82,0)+IFERROR(--ISNUMBER(SEARCH("R83",G339))*83,0)+IFERROR(--ISNUMBER(SEARCH("R84",G339))*84,0)+IFERROR(--ISNUMBER(SEARCH("R85",G339))*85,0)+IFERROR(--ISNUMBER(SEARCH("R86",G339))*86,0)+IFERROR(--ISNUMBER(SEARCH("R87",G339))*87,0)+IFERROR(--ISNUMBER(SEARCH("R88",G339))*88,0)+IFERROR(--ISNUMBER(SEARCH("R89",G339))*89,0)+IFERROR(--ISNUMBER(SEARCH("R90",G339))*90,0)+IFERROR(--ISNUMBER(SEARCH("R91",G339))*91,0)+IFERROR(--ISNUMBER(SEARCH("R92",G339))*92,0)+IFERROR(--ISNUMBER(SEARCH("R93",G339))*93,0)+IFERROR(--ISNUMBER(SEARCH("R94",G339))*94,0)+IFERROR(--ISNUMBER(SEARCH("R95",G339))*95,0)+IFERROR(--ISNUMBER(SEARCH("R96",G339))*96,0)+IFERROR(--ISNUMBER(SEARCH("R97",G339))*97,0)+IFERROR(--ISNUMBER(SEARCH("R98",G339))*98,0)+IFERROR(--ISNUMBER(SEARCH("R99",G339))*99,0)+IFERROR(--ISNUMBER(SEARCH("R100",G339))*100,0)+IFERROR(--ISNUMBER(SEARCH("R101",G339))*101,0)+IFERROR(--ISNUMBER(SEARCH("R102",G339))*102,0)+IFERROR(--ISNUMBER(SEARCH("R103",G339))*103,0)+IFERROR(--ISNUMBER(SEARCH("R104",G339))*104,0)+IFERROR(--ISNUMBER(SEARCH("R105",G339))*105,0)+IFERROR(--ISNUMBER(SEARCH("R106",G339))*106,0)+IFERROR(--ISNUMBER(SEARCH("R107",G339))*107,0)+IFERROR(--ISNUMBER(SEARCH("R108",G339))*108,0)+IFERROR(--ISNUMBER(SEARCH("R109",G339))*109,0)+IFERROR(--ISNUMBER(SEARCH("R110",G339))*110,0)+IFERROR(--ISNUMBER(SEARCH("R111",G339))*111,0)+IFERROR(--ISNUMBER(SEARCH("R112",G339))*112,0)+IFERROR(--ISNUMBER(SEARCH("R113",G339))*113,0)+IFERROR(--ISNUMBER(SEARCH("R114",G339))*114,0)+IFERROR(--ISNUMBER(SEARCH("R115",G339))*115,0)+IFERROR(--ISNUMBER(SEARCH("R116",G339))*116,0)+IFERROR(--ISNUMBER(SEARCH("R117",G339))*117,0)+IFERROR(--ISNUMBER(SEARCH("R118",G339))*118,0)+IFERROR(--ISNUMBER(SEARCH("R119",G339))*119,0)+IFERROR(--ISNUMBER(SEARCH("R120",G339))*120,0)+IFERROR(--ISNUMBER(SEARCH("R121",G339))*121,0)+IFERROR(--ISNUMBER(SEARCH("R122",G339))*122,0)+IFERROR(--ISNUMBER(SEARCH("R123",G339))*123,0)+IFERROR(--ISNUMBER(SEARCH("R124",G339))*124,0)+IFERROR(--ISNUMBER(SEARCH("R125",G339))*125,0)+IFERROR(--ISNUMBER(SEARCH("R126",G339))*126,0)+IFERROR(--ISNUMBER(SEARCH("R127",G339))*127,0)+IFERROR(--ISNUMBER(SEARCH("R128",G339))*128,0)+IFERROR(--ISNUMBER(SEARCH("R129",G339))*129,0)+IFERROR(--ISNUMBER(SEARCH("R130",G339))*130,0)+IFERROR(--ISNUMBER(SEARCH("R131",G339))*131,0)+IFERROR(--ISNUMBER(SEARCH("R132",G339))*132,0)+IFERROR(--ISNUMBER(SEARCH("R133",G339))*133,0)+IFERROR(--ISNUMBER(SEARCH("R134",G339))*134,0)+IFERROR(--ISNUMBER(SEARCH("R135",G339))*135,0)+IFERROR(--ISNUMBER(SEARCH("R136",G339))*136,0)+IFERROR(--ISNUMBER(SEARCH("R137",G339))*137,0)+IFERROR(--ISNUMBER(SEARCH("R138",G339))*138,0)+IFERROR(--ISNUMBER(SEARCH("R139",G339))*139,0)+IFERROR(--ISNUMBER(SEARCH("R140",G339))*140,0)+IFERROR(--ISNUMBER(SEARCH("R141",G339))*141,0))</f>
        <v/>
      </c>
      <c r="V339" s="59">
        <f>IF(A339="","",IF(K339&lt;&gt;"",K339,J339))</f>
        <v/>
      </c>
      <c r="W339" s="59">
        <f>IF(A339="","",IF(AND(V339=29,O339&lt;&gt;"",COUNTIFS($V$6:$V$505,29,$F$6:$F$505,F339,$C$6:$C$505,C339,$O$6:$O$505,"&lt;&gt;")&gt;1),IF(COUNTIFS($V$6:V339,29,$F$6:F339,F339,$C$6:C339,C339,$O$6:O339,"&lt;&gt;")=1,"Esta es la fila que se debe CONSERVAR (aparición 1 de "&amp;COUNTIFS($V$6:$V$505,29,$F$6:$F$505,F339,$C$6:$C$505,C339,$O$6:$O$505,"&lt;&gt;")&amp;" con el mismo tercero y valor, casilla 29). Si hay más filas iguales, bórreles el valor a ELLAS, no a esta.","DUPLICADO — ya existe otra fila con el mismo tercero y valor para casilla 29 (aparición "&amp;COUNTIFS($V$6:V339,29,$F$6:F339,F339,$C$6:C339,C339,$O$6:O339,"&lt;&gt;")&amp;" de "&amp;COUNTIFS($V$6:$V$505,29,$F$6:$F$505,F339,$C$6:$C$505,C339,$O$6:$O$505,"&lt;&gt;")&amp;"). Para resolverlo: seleccione la celda O"&amp;ROW()&amp;" (columna Valor a declarar de ESTA fila) y presione Supr."),""))</f>
        <v/>
      </c>
      <c r="X339" s="463">
        <f>IF(A339="","",F339)</f>
        <v/>
      </c>
      <c r="Y339" s="463">
        <f>IF(A339="","",SUMIF(Entrada_Manual!$I$88:$I$187,A339,Entrada_Manual!$F$88:$F$187))</f>
        <v/>
      </c>
      <c r="Z339" s="463">
        <f>IF(A339="","",X339-Y339)</f>
        <v/>
      </c>
      <c r="AA339">
        <f>IF(A339="","",SUMPRODUCT((Entrada_Manual!$I$88:$I$187=A339)*1))</f>
        <v/>
      </c>
      <c r="AB339">
        <f>IF(A339="","",IF(S339&lt;=1,"",IF(AA339=0,"PENDIENTE — SIN ASIGNAR",IF(Z339=0,"RESUELTO","PARCIAL — DIFERENCIA "&amp;TEXT(Z339,"#,##0")))))</f>
        <v/>
      </c>
    </row>
    <row r="340" ht="14.25" customHeight="1" s="235">
      <c r="A340" s="47">
        <f>IF(Exogena_RAW!E349&lt;&gt;"",ROW()-5,"")</f>
        <v/>
      </c>
      <c r="B340" s="48">
        <f>IF(A340="","",349)</f>
        <v/>
      </c>
      <c r="C340" s="48">
        <f>IF(A340="","",IFERROR(Exogena_RAW!A349,""))</f>
        <v/>
      </c>
      <c r="D340" s="48">
        <f>IF(A340="","",IFERROR(Exogena_RAW!B349,""))</f>
        <v/>
      </c>
      <c r="E340" s="48">
        <f>IF(A340="","",Exogena_RAW!E349)</f>
        <v/>
      </c>
      <c r="F340" s="461">
        <f>IF(A340="","",Exogena_RAW!F349)</f>
        <v/>
      </c>
      <c r="G340" s="48">
        <f>IF(A340="","",IFERROR(Exogena_RAW!G349,""))</f>
        <v/>
      </c>
      <c r="H340" s="48">
        <f>IF(A340="","",IFERROR(Exogena_RAW!H349,""))</f>
        <v/>
      </c>
      <c r="I340" s="48">
        <f>IF(A340="","",IFERROR(IF(S340&gt;1,"VARIAS CASILLAS",IF(S340=1,IF(T340=1,"PROPUESTA DE CASILLA","REVISIÓN: CASILLA NO DIRECTA"),IF(OR(ISNUMBER(SEARCH("TOPE",UPPER(E340))),ISNUMBER(SEARCH("TOPE",UPPER(G340)))),"SOLO CONTROL",IF(ISNUMBER(SEARCH("RETEN",UPPER(E340))),"RETENCIÓN","REVISAR")))),"REVISAR"))</f>
        <v/>
      </c>
      <c r="J340" s="48">
        <f>IF(A340="","",IF(ISNUMBER(SEARCH("ingreso laboral promedio de los últimos seis meses",E340)),"",IFERROR(IF(AND(S340=1,T340=1),U340,""),"")))</f>
        <v/>
      </c>
      <c r="K340" s="216" t="n"/>
      <c r="L340" s="48">
        <f>IF(A340="","",IFERROR(IF(K340&lt;&gt;"","Casilla elegida por usuario",IF(S340&gt;1,"Varias casillas — elegir en K",IF(J340&lt;&gt;"","Sugerencia directa",IF(S340=1,"No trasladar directo — revisar",IF(OR(ISNUMBER(SEARCH("TOPE",UPPER(E340))),ISNUMBER(SEARCH("TOPE",UPPER(G340)))),"Solo control","Revisar manualmente"))))),"Revisar manualmente"))</f>
        <v/>
      </c>
      <c r="M340" s="461">
        <f>IF(A340="","",IF(IF(K340&lt;&gt;"",K340,J340)="",0,IF(COUNTIFS(Reglas!$I$5:$I$118,IF(K340&lt;&gt;"",K340,J340),Reglas!$J$5:$J$118,"Sí")=1,F340,0)))</f>
        <v/>
      </c>
      <c r="N340" s="56" t="n"/>
      <c r="O340" s="462">
        <f>IF(A340="","",IF(M340=0,"",M340))</f>
        <v/>
      </c>
      <c r="P340" s="461">
        <f>IF(A340="","",IF(O340="",0,IF(ISNUMBER(O340),O340,0)))</f>
        <v/>
      </c>
      <c r="Q340" s="48">
        <f>IF(A340="","",IF(Exogena_RAW!$C$4="","BLOQUEADO: FALTA AÑO",IF(Exogena_RAW!$K$10&lt;&gt;Reglas!$B$5,"BLOQUEADO: AÑO",IF(IF(K340&lt;&gt;"",K340,J340)="",IF(S340&gt;1,"REQUIERE ASIGNACIÓN MANUAL (VARIAS CASILLAS)","INFORMATIVO (sin casilla — no se declara)"),IF(COUNTIFS(Reglas!$I$5:$I$118,IF(K340&lt;&gt;"",K340,J340),Reglas!$J$5:$J$118,"Sí")=0,"BLOQUEADO: CASILLA NO DIRECTA",IF(O340="","EXCLUIDO (valor borrado por el usuario)",IF(_xlfn.ISFORMULA(O340),IF(W340&lt;&gt;"","BORRADOR — VALOR SUGERIDO DIAN ⚠ VER ALERTA","BORRADOR — VALOR SUGERIDO DIAN"),IF(W340&lt;&gt;"","ACEPTADO ⚠ VER ALERTA","ACEPTADO"))))))))</f>
        <v/>
      </c>
      <c r="R340" s="218" t="n"/>
      <c r="S340" s="58">
        <f>IF(A340="","",IFERROR(--ISNUMBER(SEARCH("R28",G340)),0)+IFERROR(--ISNUMBER(SEARCH("R29",G340)),0)+IFERROR(--ISNUMBER(SEARCH("R30",G340)),0)+IFERROR(--ISNUMBER(SEARCH("R31",G340)),0)+IFERROR(--ISNUMBER(SEARCH("R32",G340)),0)+IFERROR(--ISNUMBER(SEARCH("R33",G340)),0)+IFERROR(--ISNUMBER(SEARCH("R34",G340)),0)+IFERROR(--ISNUMBER(SEARCH("R35",G340)),0)+IFERROR(--ISNUMBER(SEARCH("R36",G340)),0)+IFERROR(--ISNUMBER(SEARCH("R37",G340)),0)+IFERROR(--ISNUMBER(SEARCH("R38",G340)),0)+IFERROR(--ISNUMBER(SEARCH("R39",G340)),0)+IFERROR(--ISNUMBER(SEARCH("R40",G340)),0)+IFERROR(--ISNUMBER(SEARCH("R41",G340)),0)+IFERROR(--ISNUMBER(SEARCH("R42",G340)),0)+IFERROR(--ISNUMBER(SEARCH("R43",G340)),0)+IFERROR(--ISNUMBER(SEARCH("R44",G340)),0)+IFERROR(--ISNUMBER(SEARCH("R45",G340)),0)+IFERROR(--ISNUMBER(SEARCH("R46",G340)),0)+IFERROR(--ISNUMBER(SEARCH("R47",G340)),0)+IFERROR(--ISNUMBER(SEARCH("R48",G340)),0)+IFERROR(--ISNUMBER(SEARCH("R49",G340)),0)+IFERROR(--ISNUMBER(SEARCH("R50",G340)),0)+IFERROR(--ISNUMBER(SEARCH("R51",G340)),0)+IFERROR(--ISNUMBER(SEARCH("R52",G340)),0)+IFERROR(--ISNUMBER(SEARCH("R53",G340)),0)+IFERROR(--ISNUMBER(SEARCH("R54",G340)),0)+IFERROR(--ISNUMBER(SEARCH("R55",G340)),0)+IFERROR(--ISNUMBER(SEARCH("R56",G340)),0)+IFERROR(--ISNUMBER(SEARCH("R57",G340)),0)+IFERROR(--ISNUMBER(SEARCH("R58",G340)),0)+IFERROR(--ISNUMBER(SEARCH("R59",G340)),0)+IFERROR(--ISNUMBER(SEARCH("R60",G340)),0)+IFERROR(--ISNUMBER(SEARCH("R61",G340)),0)+IFERROR(--ISNUMBER(SEARCH("R62",G340)),0)+IFERROR(--ISNUMBER(SEARCH("R63",G340)),0)+IFERROR(--ISNUMBER(SEARCH("R64",G340)),0)+IFERROR(--ISNUMBER(SEARCH("R65",G340)),0)+IFERROR(--ISNUMBER(SEARCH("R66",G340)),0)+IFERROR(--ISNUMBER(SEARCH("R67",G340)),0)+IFERROR(--ISNUMBER(SEARCH("R68",G340)),0)+IFERROR(--ISNUMBER(SEARCH("R69",G340)),0)+IFERROR(--ISNUMBER(SEARCH("R70",G340)),0)+IFERROR(--ISNUMBER(SEARCH("R71",G340)),0)+IFERROR(--ISNUMBER(SEARCH("R72",G340)),0)+IFERROR(--ISNUMBER(SEARCH("R73",G340)),0)+IFERROR(--ISNUMBER(SEARCH("R74",G340)),0)+IFERROR(--ISNUMBER(SEARCH("R75",G340)),0)+IFERROR(--ISNUMBER(SEARCH("R76",G340)),0)+IFERROR(--ISNUMBER(SEARCH("R77",G340)),0)+IFERROR(--ISNUMBER(SEARCH("R78",G340)),0)+IFERROR(--ISNUMBER(SEARCH("R79",G340)),0)+IFERROR(--ISNUMBER(SEARCH("R80",G340)),0)+IFERROR(--ISNUMBER(SEARCH("R81",G340)),0)+IFERROR(--ISNUMBER(SEARCH("R82",G340)),0)+IFERROR(--ISNUMBER(SEARCH("R83",G340)),0)+IFERROR(--ISNUMBER(SEARCH("R84",G340)),0)+IFERROR(--ISNUMBER(SEARCH("R85",G340)),0)+IFERROR(--ISNUMBER(SEARCH("R86",G340)),0)+IFERROR(--ISNUMBER(SEARCH("R87",G340)),0)+IFERROR(--ISNUMBER(SEARCH("R88",G340)),0)+IFERROR(--ISNUMBER(SEARCH("R89",G340)),0)+IFERROR(--ISNUMBER(SEARCH("R90",G340)),0)+IFERROR(--ISNUMBER(SEARCH("R91",G340)),0)+IFERROR(--ISNUMBER(SEARCH("R92",G340)),0)+IFERROR(--ISNUMBER(SEARCH("R93",G340)),0)+IFERROR(--ISNUMBER(SEARCH("R94",G340)),0)+IFERROR(--ISNUMBER(SEARCH("R95",G340)),0)+IFERROR(--ISNUMBER(SEARCH("R96",G340)),0)+IFERROR(--ISNUMBER(SEARCH("R97",G340)),0)+IFERROR(--ISNUMBER(SEARCH("R98",G340)),0)+IFERROR(--ISNUMBER(SEARCH("R99",G340)),0)+IFERROR(--ISNUMBER(SEARCH("R100",G340)),0)+IFERROR(--ISNUMBER(SEARCH("R101",G340)),0)+IFERROR(--ISNUMBER(SEARCH("R102",G340)),0)+IFERROR(--ISNUMBER(SEARCH("R103",G340)),0)+IFERROR(--ISNUMBER(SEARCH("R104",G340)),0)+IFERROR(--ISNUMBER(SEARCH("R105",G340)),0)+IFERROR(--ISNUMBER(SEARCH("R106",G340)),0)+IFERROR(--ISNUMBER(SEARCH("R107",G340)),0)+IFERROR(--ISNUMBER(SEARCH("R108",G340)),0)+IFERROR(--ISNUMBER(SEARCH("R109",G340)),0)+IFERROR(--ISNUMBER(SEARCH("R110",G340)),0)+IFERROR(--ISNUMBER(SEARCH("R111",G340)),0)+IFERROR(--ISNUMBER(SEARCH("R112",G340)),0)+IFERROR(--ISNUMBER(SEARCH("R113",G340)),0)+IFERROR(--ISNUMBER(SEARCH("R114",G340)),0)+IFERROR(--ISNUMBER(SEARCH("R115",G340)),0)+IFERROR(--ISNUMBER(SEARCH("R116",G340)),0)+IFERROR(--ISNUMBER(SEARCH("R117",G340)),0)+IFERROR(--ISNUMBER(SEARCH("R118",G340)),0)+IFERROR(--ISNUMBER(SEARCH("R119",G340)),0)+IFERROR(--ISNUMBER(SEARCH("R120",G340)),0)+IFERROR(--ISNUMBER(SEARCH("R121",G340)),0)+IFERROR(--ISNUMBER(SEARCH("R122",G340)),0)+IFERROR(--ISNUMBER(SEARCH("R123",G340)),0)+IFERROR(--ISNUMBER(SEARCH("R124",G340)),0)+IFERROR(--ISNUMBER(SEARCH("R125",G340)),0)+IFERROR(--ISNUMBER(SEARCH("R126",G340)),0)+IFERROR(--ISNUMBER(SEARCH("R127",G340)),0)+IFERROR(--ISNUMBER(SEARCH("R128",G340)),0)+IFERROR(--ISNUMBER(SEARCH("R129",G340)),0)+IFERROR(--ISNUMBER(SEARCH("R130",G340)),0)+IFERROR(--ISNUMBER(SEARCH("R131",G340)),0)+IFERROR(--ISNUMBER(SEARCH("R132",G340)),0)+IFERROR(--ISNUMBER(SEARCH("R133",G340)),0)+IFERROR(--ISNUMBER(SEARCH("R134",G340)),0)+IFERROR(--ISNUMBER(SEARCH("R135",G340)),0)+IFERROR(--ISNUMBER(SEARCH("R136",G340)),0)+IFERROR(--ISNUMBER(SEARCH("R137",G340)),0)+IFERROR(--ISNUMBER(SEARCH("R138",G340)),0)+IFERROR(--ISNUMBER(SEARCH("R139",G340)),0)+IFERROR(--ISNUMBER(SEARCH("R140",G340)),0)+IFERROR(--ISNUMBER(SEARCH("R141",G340)),0))</f>
        <v/>
      </c>
      <c r="T340" s="58">
        <f>IF(A340="","",IFERROR(--ISNUMBER(SEARCH("R28",G340)),0)+IFERROR(--ISNUMBER(SEARCH("R29",G340)),0)+IFERROR(--ISNUMBER(SEARCH("R30",G340)),0)+IFERROR(--ISNUMBER(SEARCH("R32",G340)),0)+IFERROR(--ISNUMBER(SEARCH("R33",G340)),0)+IFERROR(--ISNUMBER(SEARCH("R35",G340)),0)+IFERROR(--ISNUMBER(SEARCH("R36",G340)),0)+IFERROR(--ISNUMBER(SEARCH("R38",G340)),0)+IFERROR(--ISNUMBER(SEARCH("R39",G340)),0)+IFERROR(--ISNUMBER(SEARCH("R43",G340)),0)+IFERROR(--ISNUMBER(SEARCH("R44",G340)),0)+IFERROR(--ISNUMBER(SEARCH("R45",G340)),0)+IFERROR(--ISNUMBER(SEARCH("R47",G340)),0)+IFERROR(--ISNUMBER(SEARCH("R48",G340)),0)+IFERROR(--ISNUMBER(SEARCH("R50",G340)),0)+IFERROR(--ISNUMBER(SEARCH("R51",G340)),0)+IFERROR(--ISNUMBER(SEARCH("R56",G340)),0)+IFERROR(--ISNUMBER(SEARCH("R58",G340)),0)+IFERROR(--ISNUMBER(SEARCH("R59",G340)),0)+IFERROR(--ISNUMBER(SEARCH("R60",G340)),0)+IFERROR(--ISNUMBER(SEARCH("R62",G340)),0)+IFERROR(--ISNUMBER(SEARCH("R63",G340)),0)+IFERROR(--ISNUMBER(SEARCH("R64",G340)),0)+IFERROR(--ISNUMBER(SEARCH("R66",G340)),0)+IFERROR(--ISNUMBER(SEARCH("R67",G340)),0)+IFERROR(--ISNUMBER(SEARCH("R72",G340)),0)+IFERROR(--ISNUMBER(SEARCH("R74",G340)),0)+IFERROR(--ISNUMBER(SEARCH("R75",G340)),0)+IFERROR(--ISNUMBER(SEARCH("R76",G340)),0)+IFERROR(--ISNUMBER(SEARCH("R77",G340)),0)+IFERROR(--ISNUMBER(SEARCH("R79",G340)),0)+IFERROR(--ISNUMBER(SEARCH("R80",G340)),0)+IFERROR(--ISNUMBER(SEARCH("R81",G340)),0)+IFERROR(--ISNUMBER(SEARCH("R83",G340)),0)+IFERROR(--ISNUMBER(SEARCH("R84",G340)),0)+IFERROR(--ISNUMBER(SEARCH("R89",G340)),0)+IFERROR(--ISNUMBER(SEARCH("R94",G340)),0)+IFERROR(--ISNUMBER(SEARCH("R95",G340)),0)+IFERROR(--ISNUMBER(SEARCH("R96",G340)),0)+IFERROR(--ISNUMBER(SEARCH("R98",G340)),0)+IFERROR(--ISNUMBER(SEARCH("R99",G340)),0)+IFERROR(--ISNUMBER(SEARCH("R100",G340)),0)+IFERROR(--ISNUMBER(SEARCH("R104",G340)),0)+IFERROR(--ISNUMBER(SEARCH("R105",G340)),0)+IFERROR(--ISNUMBER(SEARCH("R107",G340)),0)+IFERROR(--ISNUMBER(SEARCH("R108",G340)),0)+IFERROR(--ISNUMBER(SEARCH("R109",G340)),0)+IFERROR(--ISNUMBER(SEARCH("R110",G340)),0)+IFERROR(--ISNUMBER(SEARCH("R112",G340)),0)+IFERROR(--ISNUMBER(SEARCH("R113",G340)),0)+IFERROR(--ISNUMBER(SEARCH("R114",G340)),0)+IFERROR(--ISNUMBER(SEARCH("R118",G340)),0)+IFERROR(--ISNUMBER(SEARCH("R119",G340)),0)+IFERROR(--ISNUMBER(SEARCH("R120",G340)),0)+IFERROR(--ISNUMBER(SEARCH("R122",G340)),0)+IFERROR(--ISNUMBER(SEARCH("R123",G340)),0)+IFERROR(--ISNUMBER(SEARCH("R124",G340)),0)+IFERROR(--ISNUMBER(SEARCH("R128",G340)),0)+IFERROR(--ISNUMBER(SEARCH("R130",G340)),0)+IFERROR(--ISNUMBER(SEARCH("R131",G340)),0)+IFERROR(--ISNUMBER(SEARCH("R132",G340)),0)+IFERROR(--ISNUMBER(SEARCH("R135",G340)),0)+IFERROR(--ISNUMBER(SEARCH("R138",G340)),0)+IFERROR(--ISNUMBER(SEARCH("R141",G340)),0))</f>
        <v/>
      </c>
      <c r="U340" s="58">
        <f>IF(A340="","",IFERROR(--ISNUMBER(SEARCH("R28",G340))*28,0)+IFERROR(--ISNUMBER(SEARCH("R29",G340))*29,0)+IFERROR(--ISNUMBER(SEARCH("R30",G340))*30,0)+IFERROR(--ISNUMBER(SEARCH("R31",G340))*31,0)+IFERROR(--ISNUMBER(SEARCH("R32",G340))*32,0)+IFERROR(--ISNUMBER(SEARCH("R33",G340))*33,0)+IFERROR(--ISNUMBER(SEARCH("R34",G340))*34,0)+IFERROR(--ISNUMBER(SEARCH("R35",G340))*35,0)+IFERROR(--ISNUMBER(SEARCH("R36",G340))*36,0)+IFERROR(--ISNUMBER(SEARCH("R37",G340))*37,0)+IFERROR(--ISNUMBER(SEARCH("R38",G340))*38,0)+IFERROR(--ISNUMBER(SEARCH("R39",G340))*39,0)+IFERROR(--ISNUMBER(SEARCH("R40",G340))*40,0)+IFERROR(--ISNUMBER(SEARCH("R41",G340))*41,0)+IFERROR(--ISNUMBER(SEARCH("R42",G340))*42,0)+IFERROR(--ISNUMBER(SEARCH("R43",G340))*43,0)+IFERROR(--ISNUMBER(SEARCH("R44",G340))*44,0)+IFERROR(--ISNUMBER(SEARCH("R45",G340))*45,0)+IFERROR(--ISNUMBER(SEARCH("R46",G340))*46,0)+IFERROR(--ISNUMBER(SEARCH("R47",G340))*47,0)+IFERROR(--ISNUMBER(SEARCH("R48",G340))*48,0)+IFERROR(--ISNUMBER(SEARCH("R49",G340))*49,0)+IFERROR(--ISNUMBER(SEARCH("R50",G340))*50,0)+IFERROR(--ISNUMBER(SEARCH("R51",G340))*51,0)+IFERROR(--ISNUMBER(SEARCH("R52",G340))*52,0)+IFERROR(--ISNUMBER(SEARCH("R53",G340))*53,0)+IFERROR(--ISNUMBER(SEARCH("R54",G340))*54,0)+IFERROR(--ISNUMBER(SEARCH("R55",G340))*55,0)+IFERROR(--ISNUMBER(SEARCH("R56",G340))*56,0)+IFERROR(--ISNUMBER(SEARCH("R57",G340))*57,0)+IFERROR(--ISNUMBER(SEARCH("R58",G340))*58,0)+IFERROR(--ISNUMBER(SEARCH("R59",G340))*59,0)+IFERROR(--ISNUMBER(SEARCH("R60",G340))*60,0)+IFERROR(--ISNUMBER(SEARCH("R61",G340))*61,0)+IFERROR(--ISNUMBER(SEARCH("R62",G340))*62,0)+IFERROR(--ISNUMBER(SEARCH("R63",G340))*63,0)+IFERROR(--ISNUMBER(SEARCH("R64",G340))*64,0)+IFERROR(--ISNUMBER(SEARCH("R65",G340))*65,0)+IFERROR(--ISNUMBER(SEARCH("R66",G340))*66,0)+IFERROR(--ISNUMBER(SEARCH("R67",G340))*67,0)+IFERROR(--ISNUMBER(SEARCH("R68",G340))*68,0)+IFERROR(--ISNUMBER(SEARCH("R69",G340))*69,0)+IFERROR(--ISNUMBER(SEARCH("R70",G340))*70,0)+IFERROR(--ISNUMBER(SEARCH("R71",G340))*71,0)+IFERROR(--ISNUMBER(SEARCH("R72",G340))*72,0)+IFERROR(--ISNUMBER(SEARCH("R73",G340))*73,0)+IFERROR(--ISNUMBER(SEARCH("R74",G340))*74,0)+IFERROR(--ISNUMBER(SEARCH("R75",G340))*75,0)+IFERROR(--ISNUMBER(SEARCH("R76",G340))*76,0)+IFERROR(--ISNUMBER(SEARCH("R77",G340))*77,0)+IFERROR(--ISNUMBER(SEARCH("R78",G340))*78,0)+IFERROR(--ISNUMBER(SEARCH("R79",G340))*79,0)+IFERROR(--ISNUMBER(SEARCH("R80",G340))*80,0)+IFERROR(--ISNUMBER(SEARCH("R81",G340))*81,0)+IFERROR(--ISNUMBER(SEARCH("R82",G340))*82,0)+IFERROR(--ISNUMBER(SEARCH("R83",G340))*83,0)+IFERROR(--ISNUMBER(SEARCH("R84",G340))*84,0)+IFERROR(--ISNUMBER(SEARCH("R85",G340))*85,0)+IFERROR(--ISNUMBER(SEARCH("R86",G340))*86,0)+IFERROR(--ISNUMBER(SEARCH("R87",G340))*87,0)+IFERROR(--ISNUMBER(SEARCH("R88",G340))*88,0)+IFERROR(--ISNUMBER(SEARCH("R89",G340))*89,0)+IFERROR(--ISNUMBER(SEARCH("R90",G340))*90,0)+IFERROR(--ISNUMBER(SEARCH("R91",G340))*91,0)+IFERROR(--ISNUMBER(SEARCH("R92",G340))*92,0)+IFERROR(--ISNUMBER(SEARCH("R93",G340))*93,0)+IFERROR(--ISNUMBER(SEARCH("R94",G340))*94,0)+IFERROR(--ISNUMBER(SEARCH("R95",G340))*95,0)+IFERROR(--ISNUMBER(SEARCH("R96",G340))*96,0)+IFERROR(--ISNUMBER(SEARCH("R97",G340))*97,0)+IFERROR(--ISNUMBER(SEARCH("R98",G340))*98,0)+IFERROR(--ISNUMBER(SEARCH("R99",G340))*99,0)+IFERROR(--ISNUMBER(SEARCH("R100",G340))*100,0)+IFERROR(--ISNUMBER(SEARCH("R101",G340))*101,0)+IFERROR(--ISNUMBER(SEARCH("R102",G340))*102,0)+IFERROR(--ISNUMBER(SEARCH("R103",G340))*103,0)+IFERROR(--ISNUMBER(SEARCH("R104",G340))*104,0)+IFERROR(--ISNUMBER(SEARCH("R105",G340))*105,0)+IFERROR(--ISNUMBER(SEARCH("R106",G340))*106,0)+IFERROR(--ISNUMBER(SEARCH("R107",G340))*107,0)+IFERROR(--ISNUMBER(SEARCH("R108",G340))*108,0)+IFERROR(--ISNUMBER(SEARCH("R109",G340))*109,0)+IFERROR(--ISNUMBER(SEARCH("R110",G340))*110,0)+IFERROR(--ISNUMBER(SEARCH("R111",G340))*111,0)+IFERROR(--ISNUMBER(SEARCH("R112",G340))*112,0)+IFERROR(--ISNUMBER(SEARCH("R113",G340))*113,0)+IFERROR(--ISNUMBER(SEARCH("R114",G340))*114,0)+IFERROR(--ISNUMBER(SEARCH("R115",G340))*115,0)+IFERROR(--ISNUMBER(SEARCH("R116",G340))*116,0)+IFERROR(--ISNUMBER(SEARCH("R117",G340))*117,0)+IFERROR(--ISNUMBER(SEARCH("R118",G340))*118,0)+IFERROR(--ISNUMBER(SEARCH("R119",G340))*119,0)+IFERROR(--ISNUMBER(SEARCH("R120",G340))*120,0)+IFERROR(--ISNUMBER(SEARCH("R121",G340))*121,0)+IFERROR(--ISNUMBER(SEARCH("R122",G340))*122,0)+IFERROR(--ISNUMBER(SEARCH("R123",G340))*123,0)+IFERROR(--ISNUMBER(SEARCH("R124",G340))*124,0)+IFERROR(--ISNUMBER(SEARCH("R125",G340))*125,0)+IFERROR(--ISNUMBER(SEARCH("R126",G340))*126,0)+IFERROR(--ISNUMBER(SEARCH("R127",G340))*127,0)+IFERROR(--ISNUMBER(SEARCH("R128",G340))*128,0)+IFERROR(--ISNUMBER(SEARCH("R129",G340))*129,0)+IFERROR(--ISNUMBER(SEARCH("R130",G340))*130,0)+IFERROR(--ISNUMBER(SEARCH("R131",G340))*131,0)+IFERROR(--ISNUMBER(SEARCH("R132",G340))*132,0)+IFERROR(--ISNUMBER(SEARCH("R133",G340))*133,0)+IFERROR(--ISNUMBER(SEARCH("R134",G340))*134,0)+IFERROR(--ISNUMBER(SEARCH("R135",G340))*135,0)+IFERROR(--ISNUMBER(SEARCH("R136",G340))*136,0)+IFERROR(--ISNUMBER(SEARCH("R137",G340))*137,0)+IFERROR(--ISNUMBER(SEARCH("R138",G340))*138,0)+IFERROR(--ISNUMBER(SEARCH("R139",G340))*139,0)+IFERROR(--ISNUMBER(SEARCH("R140",G340))*140,0)+IFERROR(--ISNUMBER(SEARCH("R141",G340))*141,0))</f>
        <v/>
      </c>
      <c r="V340" s="59">
        <f>IF(A340="","",IF(K340&lt;&gt;"",K340,J340))</f>
        <v/>
      </c>
      <c r="W340" s="59">
        <f>IF(A340="","",IF(AND(V340=29,O340&lt;&gt;"",COUNTIFS($V$6:$V$505,29,$F$6:$F$505,F340,$C$6:$C$505,C340,$O$6:$O$505,"&lt;&gt;")&gt;1),IF(COUNTIFS($V$6:V340,29,$F$6:F340,F340,$C$6:C340,C340,$O$6:O340,"&lt;&gt;")=1,"Esta es la fila que se debe CONSERVAR (aparición 1 de "&amp;COUNTIFS($V$6:$V$505,29,$F$6:$F$505,F340,$C$6:$C$505,C340,$O$6:$O$505,"&lt;&gt;")&amp;" con el mismo tercero y valor, casilla 29). Si hay más filas iguales, bórreles el valor a ELLAS, no a esta.","DUPLICADO — ya existe otra fila con el mismo tercero y valor para casilla 29 (aparición "&amp;COUNTIFS($V$6:V340,29,$F$6:F340,F340,$C$6:C340,C340,$O$6:O340,"&lt;&gt;")&amp;" de "&amp;COUNTIFS($V$6:$V$505,29,$F$6:$F$505,F340,$C$6:$C$505,C340,$O$6:$O$505,"&lt;&gt;")&amp;"). Para resolverlo: seleccione la celda O"&amp;ROW()&amp;" (columna Valor a declarar de ESTA fila) y presione Supr."),""))</f>
        <v/>
      </c>
      <c r="X340" s="463">
        <f>IF(A340="","",F340)</f>
        <v/>
      </c>
      <c r="Y340" s="463">
        <f>IF(A340="","",SUMIF(Entrada_Manual!$I$88:$I$187,A340,Entrada_Manual!$F$88:$F$187))</f>
        <v/>
      </c>
      <c r="Z340" s="463">
        <f>IF(A340="","",X340-Y340)</f>
        <v/>
      </c>
      <c r="AA340">
        <f>IF(A340="","",SUMPRODUCT((Entrada_Manual!$I$88:$I$187=A340)*1))</f>
        <v/>
      </c>
      <c r="AB340">
        <f>IF(A340="","",IF(S340&lt;=1,"",IF(AA340=0,"PENDIENTE — SIN ASIGNAR",IF(Z340=0,"RESUELTO","PARCIAL — DIFERENCIA "&amp;TEXT(Z340,"#,##0")))))</f>
        <v/>
      </c>
    </row>
    <row r="341" ht="14.25" customHeight="1" s="235">
      <c r="A341" s="47">
        <f>IF(Exogena_RAW!E350&lt;&gt;"",ROW()-5,"")</f>
        <v/>
      </c>
      <c r="B341" s="48">
        <f>IF(A341="","",350)</f>
        <v/>
      </c>
      <c r="C341" s="48">
        <f>IF(A341="","",IFERROR(Exogena_RAW!A350,""))</f>
        <v/>
      </c>
      <c r="D341" s="48">
        <f>IF(A341="","",IFERROR(Exogena_RAW!B350,""))</f>
        <v/>
      </c>
      <c r="E341" s="48">
        <f>IF(A341="","",Exogena_RAW!E350)</f>
        <v/>
      </c>
      <c r="F341" s="461">
        <f>IF(A341="","",Exogena_RAW!F350)</f>
        <v/>
      </c>
      <c r="G341" s="48">
        <f>IF(A341="","",IFERROR(Exogena_RAW!G350,""))</f>
        <v/>
      </c>
      <c r="H341" s="48">
        <f>IF(A341="","",IFERROR(Exogena_RAW!H350,""))</f>
        <v/>
      </c>
      <c r="I341" s="48">
        <f>IF(A341="","",IFERROR(IF(S341&gt;1,"VARIAS CASILLAS",IF(S341=1,IF(T341=1,"PROPUESTA DE CASILLA","REVISIÓN: CASILLA NO DIRECTA"),IF(OR(ISNUMBER(SEARCH("TOPE",UPPER(E341))),ISNUMBER(SEARCH("TOPE",UPPER(G341)))),"SOLO CONTROL",IF(ISNUMBER(SEARCH("RETEN",UPPER(E341))),"RETENCIÓN","REVISAR")))),"REVISAR"))</f>
        <v/>
      </c>
      <c r="J341" s="48">
        <f>IF(A341="","",IF(ISNUMBER(SEARCH("ingreso laboral promedio de los últimos seis meses",E341)),"",IFERROR(IF(AND(S341=1,T341=1),U341,""),"")))</f>
        <v/>
      </c>
      <c r="K341" s="216" t="n"/>
      <c r="L341" s="48">
        <f>IF(A341="","",IFERROR(IF(K341&lt;&gt;"","Casilla elegida por usuario",IF(S341&gt;1,"Varias casillas — elegir en K",IF(J341&lt;&gt;"","Sugerencia directa",IF(S341=1,"No trasladar directo — revisar",IF(OR(ISNUMBER(SEARCH("TOPE",UPPER(E341))),ISNUMBER(SEARCH("TOPE",UPPER(G341)))),"Solo control","Revisar manualmente"))))),"Revisar manualmente"))</f>
        <v/>
      </c>
      <c r="M341" s="461">
        <f>IF(A341="","",IF(IF(K341&lt;&gt;"",K341,J341)="",0,IF(COUNTIFS(Reglas!$I$5:$I$118,IF(K341&lt;&gt;"",K341,J341),Reglas!$J$5:$J$118,"Sí")=1,F341,0)))</f>
        <v/>
      </c>
      <c r="N341" s="56" t="n"/>
      <c r="O341" s="462">
        <f>IF(A341="","",IF(M341=0,"",M341))</f>
        <v/>
      </c>
      <c r="P341" s="461">
        <f>IF(A341="","",IF(O341="",0,IF(ISNUMBER(O341),O341,0)))</f>
        <v/>
      </c>
      <c r="Q341" s="48">
        <f>IF(A341="","",IF(Exogena_RAW!$C$4="","BLOQUEADO: FALTA AÑO",IF(Exogena_RAW!$K$10&lt;&gt;Reglas!$B$5,"BLOQUEADO: AÑO",IF(IF(K341&lt;&gt;"",K341,J341)="",IF(S341&gt;1,"REQUIERE ASIGNACIÓN MANUAL (VARIAS CASILLAS)","INFORMATIVO (sin casilla — no se declara)"),IF(COUNTIFS(Reglas!$I$5:$I$118,IF(K341&lt;&gt;"",K341,J341),Reglas!$J$5:$J$118,"Sí")=0,"BLOQUEADO: CASILLA NO DIRECTA",IF(O341="","EXCLUIDO (valor borrado por el usuario)",IF(_xlfn.ISFORMULA(O341),IF(W341&lt;&gt;"","BORRADOR — VALOR SUGERIDO DIAN ⚠ VER ALERTA","BORRADOR — VALOR SUGERIDO DIAN"),IF(W341&lt;&gt;"","ACEPTADO ⚠ VER ALERTA","ACEPTADO"))))))))</f>
        <v/>
      </c>
      <c r="R341" s="218" t="n"/>
      <c r="S341" s="58">
        <f>IF(A341="","",IFERROR(--ISNUMBER(SEARCH("R28",G341)),0)+IFERROR(--ISNUMBER(SEARCH("R29",G341)),0)+IFERROR(--ISNUMBER(SEARCH("R30",G341)),0)+IFERROR(--ISNUMBER(SEARCH("R31",G341)),0)+IFERROR(--ISNUMBER(SEARCH("R32",G341)),0)+IFERROR(--ISNUMBER(SEARCH("R33",G341)),0)+IFERROR(--ISNUMBER(SEARCH("R34",G341)),0)+IFERROR(--ISNUMBER(SEARCH("R35",G341)),0)+IFERROR(--ISNUMBER(SEARCH("R36",G341)),0)+IFERROR(--ISNUMBER(SEARCH("R37",G341)),0)+IFERROR(--ISNUMBER(SEARCH("R38",G341)),0)+IFERROR(--ISNUMBER(SEARCH("R39",G341)),0)+IFERROR(--ISNUMBER(SEARCH("R40",G341)),0)+IFERROR(--ISNUMBER(SEARCH("R41",G341)),0)+IFERROR(--ISNUMBER(SEARCH("R42",G341)),0)+IFERROR(--ISNUMBER(SEARCH("R43",G341)),0)+IFERROR(--ISNUMBER(SEARCH("R44",G341)),0)+IFERROR(--ISNUMBER(SEARCH("R45",G341)),0)+IFERROR(--ISNUMBER(SEARCH("R46",G341)),0)+IFERROR(--ISNUMBER(SEARCH("R47",G341)),0)+IFERROR(--ISNUMBER(SEARCH("R48",G341)),0)+IFERROR(--ISNUMBER(SEARCH("R49",G341)),0)+IFERROR(--ISNUMBER(SEARCH("R50",G341)),0)+IFERROR(--ISNUMBER(SEARCH("R51",G341)),0)+IFERROR(--ISNUMBER(SEARCH("R52",G341)),0)+IFERROR(--ISNUMBER(SEARCH("R53",G341)),0)+IFERROR(--ISNUMBER(SEARCH("R54",G341)),0)+IFERROR(--ISNUMBER(SEARCH("R55",G341)),0)+IFERROR(--ISNUMBER(SEARCH("R56",G341)),0)+IFERROR(--ISNUMBER(SEARCH("R57",G341)),0)+IFERROR(--ISNUMBER(SEARCH("R58",G341)),0)+IFERROR(--ISNUMBER(SEARCH("R59",G341)),0)+IFERROR(--ISNUMBER(SEARCH("R60",G341)),0)+IFERROR(--ISNUMBER(SEARCH("R61",G341)),0)+IFERROR(--ISNUMBER(SEARCH("R62",G341)),0)+IFERROR(--ISNUMBER(SEARCH("R63",G341)),0)+IFERROR(--ISNUMBER(SEARCH("R64",G341)),0)+IFERROR(--ISNUMBER(SEARCH("R65",G341)),0)+IFERROR(--ISNUMBER(SEARCH("R66",G341)),0)+IFERROR(--ISNUMBER(SEARCH("R67",G341)),0)+IFERROR(--ISNUMBER(SEARCH("R68",G341)),0)+IFERROR(--ISNUMBER(SEARCH("R69",G341)),0)+IFERROR(--ISNUMBER(SEARCH("R70",G341)),0)+IFERROR(--ISNUMBER(SEARCH("R71",G341)),0)+IFERROR(--ISNUMBER(SEARCH("R72",G341)),0)+IFERROR(--ISNUMBER(SEARCH("R73",G341)),0)+IFERROR(--ISNUMBER(SEARCH("R74",G341)),0)+IFERROR(--ISNUMBER(SEARCH("R75",G341)),0)+IFERROR(--ISNUMBER(SEARCH("R76",G341)),0)+IFERROR(--ISNUMBER(SEARCH("R77",G341)),0)+IFERROR(--ISNUMBER(SEARCH("R78",G341)),0)+IFERROR(--ISNUMBER(SEARCH("R79",G341)),0)+IFERROR(--ISNUMBER(SEARCH("R80",G341)),0)+IFERROR(--ISNUMBER(SEARCH("R81",G341)),0)+IFERROR(--ISNUMBER(SEARCH("R82",G341)),0)+IFERROR(--ISNUMBER(SEARCH("R83",G341)),0)+IFERROR(--ISNUMBER(SEARCH("R84",G341)),0)+IFERROR(--ISNUMBER(SEARCH("R85",G341)),0)+IFERROR(--ISNUMBER(SEARCH("R86",G341)),0)+IFERROR(--ISNUMBER(SEARCH("R87",G341)),0)+IFERROR(--ISNUMBER(SEARCH("R88",G341)),0)+IFERROR(--ISNUMBER(SEARCH("R89",G341)),0)+IFERROR(--ISNUMBER(SEARCH("R90",G341)),0)+IFERROR(--ISNUMBER(SEARCH("R91",G341)),0)+IFERROR(--ISNUMBER(SEARCH("R92",G341)),0)+IFERROR(--ISNUMBER(SEARCH("R93",G341)),0)+IFERROR(--ISNUMBER(SEARCH("R94",G341)),0)+IFERROR(--ISNUMBER(SEARCH("R95",G341)),0)+IFERROR(--ISNUMBER(SEARCH("R96",G341)),0)+IFERROR(--ISNUMBER(SEARCH("R97",G341)),0)+IFERROR(--ISNUMBER(SEARCH("R98",G341)),0)+IFERROR(--ISNUMBER(SEARCH("R99",G341)),0)+IFERROR(--ISNUMBER(SEARCH("R100",G341)),0)+IFERROR(--ISNUMBER(SEARCH("R101",G341)),0)+IFERROR(--ISNUMBER(SEARCH("R102",G341)),0)+IFERROR(--ISNUMBER(SEARCH("R103",G341)),0)+IFERROR(--ISNUMBER(SEARCH("R104",G341)),0)+IFERROR(--ISNUMBER(SEARCH("R105",G341)),0)+IFERROR(--ISNUMBER(SEARCH("R106",G341)),0)+IFERROR(--ISNUMBER(SEARCH("R107",G341)),0)+IFERROR(--ISNUMBER(SEARCH("R108",G341)),0)+IFERROR(--ISNUMBER(SEARCH("R109",G341)),0)+IFERROR(--ISNUMBER(SEARCH("R110",G341)),0)+IFERROR(--ISNUMBER(SEARCH("R111",G341)),0)+IFERROR(--ISNUMBER(SEARCH("R112",G341)),0)+IFERROR(--ISNUMBER(SEARCH("R113",G341)),0)+IFERROR(--ISNUMBER(SEARCH("R114",G341)),0)+IFERROR(--ISNUMBER(SEARCH("R115",G341)),0)+IFERROR(--ISNUMBER(SEARCH("R116",G341)),0)+IFERROR(--ISNUMBER(SEARCH("R117",G341)),0)+IFERROR(--ISNUMBER(SEARCH("R118",G341)),0)+IFERROR(--ISNUMBER(SEARCH("R119",G341)),0)+IFERROR(--ISNUMBER(SEARCH("R120",G341)),0)+IFERROR(--ISNUMBER(SEARCH("R121",G341)),0)+IFERROR(--ISNUMBER(SEARCH("R122",G341)),0)+IFERROR(--ISNUMBER(SEARCH("R123",G341)),0)+IFERROR(--ISNUMBER(SEARCH("R124",G341)),0)+IFERROR(--ISNUMBER(SEARCH("R125",G341)),0)+IFERROR(--ISNUMBER(SEARCH("R126",G341)),0)+IFERROR(--ISNUMBER(SEARCH("R127",G341)),0)+IFERROR(--ISNUMBER(SEARCH("R128",G341)),0)+IFERROR(--ISNUMBER(SEARCH("R129",G341)),0)+IFERROR(--ISNUMBER(SEARCH("R130",G341)),0)+IFERROR(--ISNUMBER(SEARCH("R131",G341)),0)+IFERROR(--ISNUMBER(SEARCH("R132",G341)),0)+IFERROR(--ISNUMBER(SEARCH("R133",G341)),0)+IFERROR(--ISNUMBER(SEARCH("R134",G341)),0)+IFERROR(--ISNUMBER(SEARCH("R135",G341)),0)+IFERROR(--ISNUMBER(SEARCH("R136",G341)),0)+IFERROR(--ISNUMBER(SEARCH("R137",G341)),0)+IFERROR(--ISNUMBER(SEARCH("R138",G341)),0)+IFERROR(--ISNUMBER(SEARCH("R139",G341)),0)+IFERROR(--ISNUMBER(SEARCH("R140",G341)),0)+IFERROR(--ISNUMBER(SEARCH("R141",G341)),0))</f>
        <v/>
      </c>
      <c r="T341" s="58">
        <f>IF(A341="","",IFERROR(--ISNUMBER(SEARCH("R28",G341)),0)+IFERROR(--ISNUMBER(SEARCH("R29",G341)),0)+IFERROR(--ISNUMBER(SEARCH("R30",G341)),0)+IFERROR(--ISNUMBER(SEARCH("R32",G341)),0)+IFERROR(--ISNUMBER(SEARCH("R33",G341)),0)+IFERROR(--ISNUMBER(SEARCH("R35",G341)),0)+IFERROR(--ISNUMBER(SEARCH("R36",G341)),0)+IFERROR(--ISNUMBER(SEARCH("R38",G341)),0)+IFERROR(--ISNUMBER(SEARCH("R39",G341)),0)+IFERROR(--ISNUMBER(SEARCH("R43",G341)),0)+IFERROR(--ISNUMBER(SEARCH("R44",G341)),0)+IFERROR(--ISNUMBER(SEARCH("R45",G341)),0)+IFERROR(--ISNUMBER(SEARCH("R47",G341)),0)+IFERROR(--ISNUMBER(SEARCH("R48",G341)),0)+IFERROR(--ISNUMBER(SEARCH("R50",G341)),0)+IFERROR(--ISNUMBER(SEARCH("R51",G341)),0)+IFERROR(--ISNUMBER(SEARCH("R56",G341)),0)+IFERROR(--ISNUMBER(SEARCH("R58",G341)),0)+IFERROR(--ISNUMBER(SEARCH("R59",G341)),0)+IFERROR(--ISNUMBER(SEARCH("R60",G341)),0)+IFERROR(--ISNUMBER(SEARCH("R62",G341)),0)+IFERROR(--ISNUMBER(SEARCH("R63",G341)),0)+IFERROR(--ISNUMBER(SEARCH("R64",G341)),0)+IFERROR(--ISNUMBER(SEARCH("R66",G341)),0)+IFERROR(--ISNUMBER(SEARCH("R67",G341)),0)+IFERROR(--ISNUMBER(SEARCH("R72",G341)),0)+IFERROR(--ISNUMBER(SEARCH("R74",G341)),0)+IFERROR(--ISNUMBER(SEARCH("R75",G341)),0)+IFERROR(--ISNUMBER(SEARCH("R76",G341)),0)+IFERROR(--ISNUMBER(SEARCH("R77",G341)),0)+IFERROR(--ISNUMBER(SEARCH("R79",G341)),0)+IFERROR(--ISNUMBER(SEARCH("R80",G341)),0)+IFERROR(--ISNUMBER(SEARCH("R81",G341)),0)+IFERROR(--ISNUMBER(SEARCH("R83",G341)),0)+IFERROR(--ISNUMBER(SEARCH("R84",G341)),0)+IFERROR(--ISNUMBER(SEARCH("R89",G341)),0)+IFERROR(--ISNUMBER(SEARCH("R94",G341)),0)+IFERROR(--ISNUMBER(SEARCH("R95",G341)),0)+IFERROR(--ISNUMBER(SEARCH("R96",G341)),0)+IFERROR(--ISNUMBER(SEARCH("R98",G341)),0)+IFERROR(--ISNUMBER(SEARCH("R99",G341)),0)+IFERROR(--ISNUMBER(SEARCH("R100",G341)),0)+IFERROR(--ISNUMBER(SEARCH("R104",G341)),0)+IFERROR(--ISNUMBER(SEARCH("R105",G341)),0)+IFERROR(--ISNUMBER(SEARCH("R107",G341)),0)+IFERROR(--ISNUMBER(SEARCH("R108",G341)),0)+IFERROR(--ISNUMBER(SEARCH("R109",G341)),0)+IFERROR(--ISNUMBER(SEARCH("R110",G341)),0)+IFERROR(--ISNUMBER(SEARCH("R112",G341)),0)+IFERROR(--ISNUMBER(SEARCH("R113",G341)),0)+IFERROR(--ISNUMBER(SEARCH("R114",G341)),0)+IFERROR(--ISNUMBER(SEARCH("R118",G341)),0)+IFERROR(--ISNUMBER(SEARCH("R119",G341)),0)+IFERROR(--ISNUMBER(SEARCH("R120",G341)),0)+IFERROR(--ISNUMBER(SEARCH("R122",G341)),0)+IFERROR(--ISNUMBER(SEARCH("R123",G341)),0)+IFERROR(--ISNUMBER(SEARCH("R124",G341)),0)+IFERROR(--ISNUMBER(SEARCH("R128",G341)),0)+IFERROR(--ISNUMBER(SEARCH("R130",G341)),0)+IFERROR(--ISNUMBER(SEARCH("R131",G341)),0)+IFERROR(--ISNUMBER(SEARCH("R132",G341)),0)+IFERROR(--ISNUMBER(SEARCH("R135",G341)),0)+IFERROR(--ISNUMBER(SEARCH("R138",G341)),0)+IFERROR(--ISNUMBER(SEARCH("R141",G341)),0))</f>
        <v/>
      </c>
      <c r="U341" s="58">
        <f>IF(A341="","",IFERROR(--ISNUMBER(SEARCH("R28",G341))*28,0)+IFERROR(--ISNUMBER(SEARCH("R29",G341))*29,0)+IFERROR(--ISNUMBER(SEARCH("R30",G341))*30,0)+IFERROR(--ISNUMBER(SEARCH("R31",G341))*31,0)+IFERROR(--ISNUMBER(SEARCH("R32",G341))*32,0)+IFERROR(--ISNUMBER(SEARCH("R33",G341))*33,0)+IFERROR(--ISNUMBER(SEARCH("R34",G341))*34,0)+IFERROR(--ISNUMBER(SEARCH("R35",G341))*35,0)+IFERROR(--ISNUMBER(SEARCH("R36",G341))*36,0)+IFERROR(--ISNUMBER(SEARCH("R37",G341))*37,0)+IFERROR(--ISNUMBER(SEARCH("R38",G341))*38,0)+IFERROR(--ISNUMBER(SEARCH("R39",G341))*39,0)+IFERROR(--ISNUMBER(SEARCH("R40",G341))*40,0)+IFERROR(--ISNUMBER(SEARCH("R41",G341))*41,0)+IFERROR(--ISNUMBER(SEARCH("R42",G341))*42,0)+IFERROR(--ISNUMBER(SEARCH("R43",G341))*43,0)+IFERROR(--ISNUMBER(SEARCH("R44",G341))*44,0)+IFERROR(--ISNUMBER(SEARCH("R45",G341))*45,0)+IFERROR(--ISNUMBER(SEARCH("R46",G341))*46,0)+IFERROR(--ISNUMBER(SEARCH("R47",G341))*47,0)+IFERROR(--ISNUMBER(SEARCH("R48",G341))*48,0)+IFERROR(--ISNUMBER(SEARCH("R49",G341))*49,0)+IFERROR(--ISNUMBER(SEARCH("R50",G341))*50,0)+IFERROR(--ISNUMBER(SEARCH("R51",G341))*51,0)+IFERROR(--ISNUMBER(SEARCH("R52",G341))*52,0)+IFERROR(--ISNUMBER(SEARCH("R53",G341))*53,0)+IFERROR(--ISNUMBER(SEARCH("R54",G341))*54,0)+IFERROR(--ISNUMBER(SEARCH("R55",G341))*55,0)+IFERROR(--ISNUMBER(SEARCH("R56",G341))*56,0)+IFERROR(--ISNUMBER(SEARCH("R57",G341))*57,0)+IFERROR(--ISNUMBER(SEARCH("R58",G341))*58,0)+IFERROR(--ISNUMBER(SEARCH("R59",G341))*59,0)+IFERROR(--ISNUMBER(SEARCH("R60",G341))*60,0)+IFERROR(--ISNUMBER(SEARCH("R61",G341))*61,0)+IFERROR(--ISNUMBER(SEARCH("R62",G341))*62,0)+IFERROR(--ISNUMBER(SEARCH("R63",G341))*63,0)+IFERROR(--ISNUMBER(SEARCH("R64",G341))*64,0)+IFERROR(--ISNUMBER(SEARCH("R65",G341))*65,0)+IFERROR(--ISNUMBER(SEARCH("R66",G341))*66,0)+IFERROR(--ISNUMBER(SEARCH("R67",G341))*67,0)+IFERROR(--ISNUMBER(SEARCH("R68",G341))*68,0)+IFERROR(--ISNUMBER(SEARCH("R69",G341))*69,0)+IFERROR(--ISNUMBER(SEARCH("R70",G341))*70,0)+IFERROR(--ISNUMBER(SEARCH("R71",G341))*71,0)+IFERROR(--ISNUMBER(SEARCH("R72",G341))*72,0)+IFERROR(--ISNUMBER(SEARCH("R73",G341))*73,0)+IFERROR(--ISNUMBER(SEARCH("R74",G341))*74,0)+IFERROR(--ISNUMBER(SEARCH("R75",G341))*75,0)+IFERROR(--ISNUMBER(SEARCH("R76",G341))*76,0)+IFERROR(--ISNUMBER(SEARCH("R77",G341))*77,0)+IFERROR(--ISNUMBER(SEARCH("R78",G341))*78,0)+IFERROR(--ISNUMBER(SEARCH("R79",G341))*79,0)+IFERROR(--ISNUMBER(SEARCH("R80",G341))*80,0)+IFERROR(--ISNUMBER(SEARCH("R81",G341))*81,0)+IFERROR(--ISNUMBER(SEARCH("R82",G341))*82,0)+IFERROR(--ISNUMBER(SEARCH("R83",G341))*83,0)+IFERROR(--ISNUMBER(SEARCH("R84",G341))*84,0)+IFERROR(--ISNUMBER(SEARCH("R85",G341))*85,0)+IFERROR(--ISNUMBER(SEARCH("R86",G341))*86,0)+IFERROR(--ISNUMBER(SEARCH("R87",G341))*87,0)+IFERROR(--ISNUMBER(SEARCH("R88",G341))*88,0)+IFERROR(--ISNUMBER(SEARCH("R89",G341))*89,0)+IFERROR(--ISNUMBER(SEARCH("R90",G341))*90,0)+IFERROR(--ISNUMBER(SEARCH("R91",G341))*91,0)+IFERROR(--ISNUMBER(SEARCH("R92",G341))*92,0)+IFERROR(--ISNUMBER(SEARCH("R93",G341))*93,0)+IFERROR(--ISNUMBER(SEARCH("R94",G341))*94,0)+IFERROR(--ISNUMBER(SEARCH("R95",G341))*95,0)+IFERROR(--ISNUMBER(SEARCH("R96",G341))*96,0)+IFERROR(--ISNUMBER(SEARCH("R97",G341))*97,0)+IFERROR(--ISNUMBER(SEARCH("R98",G341))*98,0)+IFERROR(--ISNUMBER(SEARCH("R99",G341))*99,0)+IFERROR(--ISNUMBER(SEARCH("R100",G341))*100,0)+IFERROR(--ISNUMBER(SEARCH("R101",G341))*101,0)+IFERROR(--ISNUMBER(SEARCH("R102",G341))*102,0)+IFERROR(--ISNUMBER(SEARCH("R103",G341))*103,0)+IFERROR(--ISNUMBER(SEARCH("R104",G341))*104,0)+IFERROR(--ISNUMBER(SEARCH("R105",G341))*105,0)+IFERROR(--ISNUMBER(SEARCH("R106",G341))*106,0)+IFERROR(--ISNUMBER(SEARCH("R107",G341))*107,0)+IFERROR(--ISNUMBER(SEARCH("R108",G341))*108,0)+IFERROR(--ISNUMBER(SEARCH("R109",G341))*109,0)+IFERROR(--ISNUMBER(SEARCH("R110",G341))*110,0)+IFERROR(--ISNUMBER(SEARCH("R111",G341))*111,0)+IFERROR(--ISNUMBER(SEARCH("R112",G341))*112,0)+IFERROR(--ISNUMBER(SEARCH("R113",G341))*113,0)+IFERROR(--ISNUMBER(SEARCH("R114",G341))*114,0)+IFERROR(--ISNUMBER(SEARCH("R115",G341))*115,0)+IFERROR(--ISNUMBER(SEARCH("R116",G341))*116,0)+IFERROR(--ISNUMBER(SEARCH("R117",G341))*117,0)+IFERROR(--ISNUMBER(SEARCH("R118",G341))*118,0)+IFERROR(--ISNUMBER(SEARCH("R119",G341))*119,0)+IFERROR(--ISNUMBER(SEARCH("R120",G341))*120,0)+IFERROR(--ISNUMBER(SEARCH("R121",G341))*121,0)+IFERROR(--ISNUMBER(SEARCH("R122",G341))*122,0)+IFERROR(--ISNUMBER(SEARCH("R123",G341))*123,0)+IFERROR(--ISNUMBER(SEARCH("R124",G341))*124,0)+IFERROR(--ISNUMBER(SEARCH("R125",G341))*125,0)+IFERROR(--ISNUMBER(SEARCH("R126",G341))*126,0)+IFERROR(--ISNUMBER(SEARCH("R127",G341))*127,0)+IFERROR(--ISNUMBER(SEARCH("R128",G341))*128,0)+IFERROR(--ISNUMBER(SEARCH("R129",G341))*129,0)+IFERROR(--ISNUMBER(SEARCH("R130",G341))*130,0)+IFERROR(--ISNUMBER(SEARCH("R131",G341))*131,0)+IFERROR(--ISNUMBER(SEARCH("R132",G341))*132,0)+IFERROR(--ISNUMBER(SEARCH("R133",G341))*133,0)+IFERROR(--ISNUMBER(SEARCH("R134",G341))*134,0)+IFERROR(--ISNUMBER(SEARCH("R135",G341))*135,0)+IFERROR(--ISNUMBER(SEARCH("R136",G341))*136,0)+IFERROR(--ISNUMBER(SEARCH("R137",G341))*137,0)+IFERROR(--ISNUMBER(SEARCH("R138",G341))*138,0)+IFERROR(--ISNUMBER(SEARCH("R139",G341))*139,0)+IFERROR(--ISNUMBER(SEARCH("R140",G341))*140,0)+IFERROR(--ISNUMBER(SEARCH("R141",G341))*141,0))</f>
        <v/>
      </c>
      <c r="V341" s="59">
        <f>IF(A341="","",IF(K341&lt;&gt;"",K341,J341))</f>
        <v/>
      </c>
      <c r="W341" s="59">
        <f>IF(A341="","",IF(AND(V341=29,O341&lt;&gt;"",COUNTIFS($V$6:$V$505,29,$F$6:$F$505,F341,$C$6:$C$505,C341,$O$6:$O$505,"&lt;&gt;")&gt;1),IF(COUNTIFS($V$6:V341,29,$F$6:F341,F341,$C$6:C341,C341,$O$6:O341,"&lt;&gt;")=1,"Esta es la fila que se debe CONSERVAR (aparición 1 de "&amp;COUNTIFS($V$6:$V$505,29,$F$6:$F$505,F341,$C$6:$C$505,C341,$O$6:$O$505,"&lt;&gt;")&amp;" con el mismo tercero y valor, casilla 29). Si hay más filas iguales, bórreles el valor a ELLAS, no a esta.","DUPLICADO — ya existe otra fila con el mismo tercero y valor para casilla 29 (aparición "&amp;COUNTIFS($V$6:V341,29,$F$6:F341,F341,$C$6:C341,C341,$O$6:O341,"&lt;&gt;")&amp;" de "&amp;COUNTIFS($V$6:$V$505,29,$F$6:$F$505,F341,$C$6:$C$505,C341,$O$6:$O$505,"&lt;&gt;")&amp;"). Para resolverlo: seleccione la celda O"&amp;ROW()&amp;" (columna Valor a declarar de ESTA fila) y presione Supr."),""))</f>
        <v/>
      </c>
      <c r="X341" s="463">
        <f>IF(A341="","",F341)</f>
        <v/>
      </c>
      <c r="Y341" s="463">
        <f>IF(A341="","",SUMIF(Entrada_Manual!$I$88:$I$187,A341,Entrada_Manual!$F$88:$F$187))</f>
        <v/>
      </c>
      <c r="Z341" s="463">
        <f>IF(A341="","",X341-Y341)</f>
        <v/>
      </c>
      <c r="AA341">
        <f>IF(A341="","",SUMPRODUCT((Entrada_Manual!$I$88:$I$187=A341)*1))</f>
        <v/>
      </c>
      <c r="AB341">
        <f>IF(A341="","",IF(S341&lt;=1,"",IF(AA341=0,"PENDIENTE — SIN ASIGNAR",IF(Z341=0,"RESUELTO","PARCIAL — DIFERENCIA "&amp;TEXT(Z341,"#,##0")))))</f>
        <v/>
      </c>
    </row>
    <row r="342" ht="14.25" customHeight="1" s="235">
      <c r="A342" s="47">
        <f>IF(Exogena_RAW!E351&lt;&gt;"",ROW()-5,"")</f>
        <v/>
      </c>
      <c r="B342" s="48">
        <f>IF(A342="","",351)</f>
        <v/>
      </c>
      <c r="C342" s="48">
        <f>IF(A342="","",IFERROR(Exogena_RAW!A351,""))</f>
        <v/>
      </c>
      <c r="D342" s="48">
        <f>IF(A342="","",IFERROR(Exogena_RAW!B351,""))</f>
        <v/>
      </c>
      <c r="E342" s="48">
        <f>IF(A342="","",Exogena_RAW!E351)</f>
        <v/>
      </c>
      <c r="F342" s="461">
        <f>IF(A342="","",Exogena_RAW!F351)</f>
        <v/>
      </c>
      <c r="G342" s="48">
        <f>IF(A342="","",IFERROR(Exogena_RAW!G351,""))</f>
        <v/>
      </c>
      <c r="H342" s="48">
        <f>IF(A342="","",IFERROR(Exogena_RAW!H351,""))</f>
        <v/>
      </c>
      <c r="I342" s="48">
        <f>IF(A342="","",IFERROR(IF(S342&gt;1,"VARIAS CASILLAS",IF(S342=1,IF(T342=1,"PROPUESTA DE CASILLA","REVISIÓN: CASILLA NO DIRECTA"),IF(OR(ISNUMBER(SEARCH("TOPE",UPPER(E342))),ISNUMBER(SEARCH("TOPE",UPPER(G342)))),"SOLO CONTROL",IF(ISNUMBER(SEARCH("RETEN",UPPER(E342))),"RETENCIÓN","REVISAR")))),"REVISAR"))</f>
        <v/>
      </c>
      <c r="J342" s="48">
        <f>IF(A342="","",IF(ISNUMBER(SEARCH("ingreso laboral promedio de los últimos seis meses",E342)),"",IFERROR(IF(AND(S342=1,T342=1),U342,""),"")))</f>
        <v/>
      </c>
      <c r="K342" s="216" t="n"/>
      <c r="L342" s="48">
        <f>IF(A342="","",IFERROR(IF(K342&lt;&gt;"","Casilla elegida por usuario",IF(S342&gt;1,"Varias casillas — elegir en K",IF(J342&lt;&gt;"","Sugerencia directa",IF(S342=1,"No trasladar directo — revisar",IF(OR(ISNUMBER(SEARCH("TOPE",UPPER(E342))),ISNUMBER(SEARCH("TOPE",UPPER(G342)))),"Solo control","Revisar manualmente"))))),"Revisar manualmente"))</f>
        <v/>
      </c>
      <c r="M342" s="461">
        <f>IF(A342="","",IF(IF(K342&lt;&gt;"",K342,J342)="",0,IF(COUNTIFS(Reglas!$I$5:$I$118,IF(K342&lt;&gt;"",K342,J342),Reglas!$J$5:$J$118,"Sí")=1,F342,0)))</f>
        <v/>
      </c>
      <c r="N342" s="56" t="n"/>
      <c r="O342" s="462">
        <f>IF(A342="","",IF(M342=0,"",M342))</f>
        <v/>
      </c>
      <c r="P342" s="461">
        <f>IF(A342="","",IF(O342="",0,IF(ISNUMBER(O342),O342,0)))</f>
        <v/>
      </c>
      <c r="Q342" s="48">
        <f>IF(A342="","",IF(Exogena_RAW!$C$4="","BLOQUEADO: FALTA AÑO",IF(Exogena_RAW!$K$10&lt;&gt;Reglas!$B$5,"BLOQUEADO: AÑO",IF(IF(K342&lt;&gt;"",K342,J342)="",IF(S342&gt;1,"REQUIERE ASIGNACIÓN MANUAL (VARIAS CASILLAS)","INFORMATIVO (sin casilla — no se declara)"),IF(COUNTIFS(Reglas!$I$5:$I$118,IF(K342&lt;&gt;"",K342,J342),Reglas!$J$5:$J$118,"Sí")=0,"BLOQUEADO: CASILLA NO DIRECTA",IF(O342="","EXCLUIDO (valor borrado por el usuario)",IF(_xlfn.ISFORMULA(O342),IF(W342&lt;&gt;"","BORRADOR — VALOR SUGERIDO DIAN ⚠ VER ALERTA","BORRADOR — VALOR SUGERIDO DIAN"),IF(W342&lt;&gt;"","ACEPTADO ⚠ VER ALERTA","ACEPTADO"))))))))</f>
        <v/>
      </c>
      <c r="R342" s="218" t="n"/>
      <c r="S342" s="58">
        <f>IF(A342="","",IFERROR(--ISNUMBER(SEARCH("R28",G342)),0)+IFERROR(--ISNUMBER(SEARCH("R29",G342)),0)+IFERROR(--ISNUMBER(SEARCH("R30",G342)),0)+IFERROR(--ISNUMBER(SEARCH("R31",G342)),0)+IFERROR(--ISNUMBER(SEARCH("R32",G342)),0)+IFERROR(--ISNUMBER(SEARCH("R33",G342)),0)+IFERROR(--ISNUMBER(SEARCH("R34",G342)),0)+IFERROR(--ISNUMBER(SEARCH("R35",G342)),0)+IFERROR(--ISNUMBER(SEARCH("R36",G342)),0)+IFERROR(--ISNUMBER(SEARCH("R37",G342)),0)+IFERROR(--ISNUMBER(SEARCH("R38",G342)),0)+IFERROR(--ISNUMBER(SEARCH("R39",G342)),0)+IFERROR(--ISNUMBER(SEARCH("R40",G342)),0)+IFERROR(--ISNUMBER(SEARCH("R41",G342)),0)+IFERROR(--ISNUMBER(SEARCH("R42",G342)),0)+IFERROR(--ISNUMBER(SEARCH("R43",G342)),0)+IFERROR(--ISNUMBER(SEARCH("R44",G342)),0)+IFERROR(--ISNUMBER(SEARCH("R45",G342)),0)+IFERROR(--ISNUMBER(SEARCH("R46",G342)),0)+IFERROR(--ISNUMBER(SEARCH("R47",G342)),0)+IFERROR(--ISNUMBER(SEARCH("R48",G342)),0)+IFERROR(--ISNUMBER(SEARCH("R49",G342)),0)+IFERROR(--ISNUMBER(SEARCH("R50",G342)),0)+IFERROR(--ISNUMBER(SEARCH("R51",G342)),0)+IFERROR(--ISNUMBER(SEARCH("R52",G342)),0)+IFERROR(--ISNUMBER(SEARCH("R53",G342)),0)+IFERROR(--ISNUMBER(SEARCH("R54",G342)),0)+IFERROR(--ISNUMBER(SEARCH("R55",G342)),0)+IFERROR(--ISNUMBER(SEARCH("R56",G342)),0)+IFERROR(--ISNUMBER(SEARCH("R57",G342)),0)+IFERROR(--ISNUMBER(SEARCH("R58",G342)),0)+IFERROR(--ISNUMBER(SEARCH("R59",G342)),0)+IFERROR(--ISNUMBER(SEARCH("R60",G342)),0)+IFERROR(--ISNUMBER(SEARCH("R61",G342)),0)+IFERROR(--ISNUMBER(SEARCH("R62",G342)),0)+IFERROR(--ISNUMBER(SEARCH("R63",G342)),0)+IFERROR(--ISNUMBER(SEARCH("R64",G342)),0)+IFERROR(--ISNUMBER(SEARCH("R65",G342)),0)+IFERROR(--ISNUMBER(SEARCH("R66",G342)),0)+IFERROR(--ISNUMBER(SEARCH("R67",G342)),0)+IFERROR(--ISNUMBER(SEARCH("R68",G342)),0)+IFERROR(--ISNUMBER(SEARCH("R69",G342)),0)+IFERROR(--ISNUMBER(SEARCH("R70",G342)),0)+IFERROR(--ISNUMBER(SEARCH("R71",G342)),0)+IFERROR(--ISNUMBER(SEARCH("R72",G342)),0)+IFERROR(--ISNUMBER(SEARCH("R73",G342)),0)+IFERROR(--ISNUMBER(SEARCH("R74",G342)),0)+IFERROR(--ISNUMBER(SEARCH("R75",G342)),0)+IFERROR(--ISNUMBER(SEARCH("R76",G342)),0)+IFERROR(--ISNUMBER(SEARCH("R77",G342)),0)+IFERROR(--ISNUMBER(SEARCH("R78",G342)),0)+IFERROR(--ISNUMBER(SEARCH("R79",G342)),0)+IFERROR(--ISNUMBER(SEARCH("R80",G342)),0)+IFERROR(--ISNUMBER(SEARCH("R81",G342)),0)+IFERROR(--ISNUMBER(SEARCH("R82",G342)),0)+IFERROR(--ISNUMBER(SEARCH("R83",G342)),0)+IFERROR(--ISNUMBER(SEARCH("R84",G342)),0)+IFERROR(--ISNUMBER(SEARCH("R85",G342)),0)+IFERROR(--ISNUMBER(SEARCH("R86",G342)),0)+IFERROR(--ISNUMBER(SEARCH("R87",G342)),0)+IFERROR(--ISNUMBER(SEARCH("R88",G342)),0)+IFERROR(--ISNUMBER(SEARCH("R89",G342)),0)+IFERROR(--ISNUMBER(SEARCH("R90",G342)),0)+IFERROR(--ISNUMBER(SEARCH("R91",G342)),0)+IFERROR(--ISNUMBER(SEARCH("R92",G342)),0)+IFERROR(--ISNUMBER(SEARCH("R93",G342)),0)+IFERROR(--ISNUMBER(SEARCH("R94",G342)),0)+IFERROR(--ISNUMBER(SEARCH("R95",G342)),0)+IFERROR(--ISNUMBER(SEARCH("R96",G342)),0)+IFERROR(--ISNUMBER(SEARCH("R97",G342)),0)+IFERROR(--ISNUMBER(SEARCH("R98",G342)),0)+IFERROR(--ISNUMBER(SEARCH("R99",G342)),0)+IFERROR(--ISNUMBER(SEARCH("R100",G342)),0)+IFERROR(--ISNUMBER(SEARCH("R101",G342)),0)+IFERROR(--ISNUMBER(SEARCH("R102",G342)),0)+IFERROR(--ISNUMBER(SEARCH("R103",G342)),0)+IFERROR(--ISNUMBER(SEARCH("R104",G342)),0)+IFERROR(--ISNUMBER(SEARCH("R105",G342)),0)+IFERROR(--ISNUMBER(SEARCH("R106",G342)),0)+IFERROR(--ISNUMBER(SEARCH("R107",G342)),0)+IFERROR(--ISNUMBER(SEARCH("R108",G342)),0)+IFERROR(--ISNUMBER(SEARCH("R109",G342)),0)+IFERROR(--ISNUMBER(SEARCH("R110",G342)),0)+IFERROR(--ISNUMBER(SEARCH("R111",G342)),0)+IFERROR(--ISNUMBER(SEARCH("R112",G342)),0)+IFERROR(--ISNUMBER(SEARCH("R113",G342)),0)+IFERROR(--ISNUMBER(SEARCH("R114",G342)),0)+IFERROR(--ISNUMBER(SEARCH("R115",G342)),0)+IFERROR(--ISNUMBER(SEARCH("R116",G342)),0)+IFERROR(--ISNUMBER(SEARCH("R117",G342)),0)+IFERROR(--ISNUMBER(SEARCH("R118",G342)),0)+IFERROR(--ISNUMBER(SEARCH("R119",G342)),0)+IFERROR(--ISNUMBER(SEARCH("R120",G342)),0)+IFERROR(--ISNUMBER(SEARCH("R121",G342)),0)+IFERROR(--ISNUMBER(SEARCH("R122",G342)),0)+IFERROR(--ISNUMBER(SEARCH("R123",G342)),0)+IFERROR(--ISNUMBER(SEARCH("R124",G342)),0)+IFERROR(--ISNUMBER(SEARCH("R125",G342)),0)+IFERROR(--ISNUMBER(SEARCH("R126",G342)),0)+IFERROR(--ISNUMBER(SEARCH("R127",G342)),0)+IFERROR(--ISNUMBER(SEARCH("R128",G342)),0)+IFERROR(--ISNUMBER(SEARCH("R129",G342)),0)+IFERROR(--ISNUMBER(SEARCH("R130",G342)),0)+IFERROR(--ISNUMBER(SEARCH("R131",G342)),0)+IFERROR(--ISNUMBER(SEARCH("R132",G342)),0)+IFERROR(--ISNUMBER(SEARCH("R133",G342)),0)+IFERROR(--ISNUMBER(SEARCH("R134",G342)),0)+IFERROR(--ISNUMBER(SEARCH("R135",G342)),0)+IFERROR(--ISNUMBER(SEARCH("R136",G342)),0)+IFERROR(--ISNUMBER(SEARCH("R137",G342)),0)+IFERROR(--ISNUMBER(SEARCH("R138",G342)),0)+IFERROR(--ISNUMBER(SEARCH("R139",G342)),0)+IFERROR(--ISNUMBER(SEARCH("R140",G342)),0)+IFERROR(--ISNUMBER(SEARCH("R141",G342)),0))</f>
        <v/>
      </c>
      <c r="T342" s="58">
        <f>IF(A342="","",IFERROR(--ISNUMBER(SEARCH("R28",G342)),0)+IFERROR(--ISNUMBER(SEARCH("R29",G342)),0)+IFERROR(--ISNUMBER(SEARCH("R30",G342)),0)+IFERROR(--ISNUMBER(SEARCH("R32",G342)),0)+IFERROR(--ISNUMBER(SEARCH("R33",G342)),0)+IFERROR(--ISNUMBER(SEARCH("R35",G342)),0)+IFERROR(--ISNUMBER(SEARCH("R36",G342)),0)+IFERROR(--ISNUMBER(SEARCH("R38",G342)),0)+IFERROR(--ISNUMBER(SEARCH("R39",G342)),0)+IFERROR(--ISNUMBER(SEARCH("R43",G342)),0)+IFERROR(--ISNUMBER(SEARCH("R44",G342)),0)+IFERROR(--ISNUMBER(SEARCH("R45",G342)),0)+IFERROR(--ISNUMBER(SEARCH("R47",G342)),0)+IFERROR(--ISNUMBER(SEARCH("R48",G342)),0)+IFERROR(--ISNUMBER(SEARCH("R50",G342)),0)+IFERROR(--ISNUMBER(SEARCH("R51",G342)),0)+IFERROR(--ISNUMBER(SEARCH("R56",G342)),0)+IFERROR(--ISNUMBER(SEARCH("R58",G342)),0)+IFERROR(--ISNUMBER(SEARCH("R59",G342)),0)+IFERROR(--ISNUMBER(SEARCH("R60",G342)),0)+IFERROR(--ISNUMBER(SEARCH("R62",G342)),0)+IFERROR(--ISNUMBER(SEARCH("R63",G342)),0)+IFERROR(--ISNUMBER(SEARCH("R64",G342)),0)+IFERROR(--ISNUMBER(SEARCH("R66",G342)),0)+IFERROR(--ISNUMBER(SEARCH("R67",G342)),0)+IFERROR(--ISNUMBER(SEARCH("R72",G342)),0)+IFERROR(--ISNUMBER(SEARCH("R74",G342)),0)+IFERROR(--ISNUMBER(SEARCH("R75",G342)),0)+IFERROR(--ISNUMBER(SEARCH("R76",G342)),0)+IFERROR(--ISNUMBER(SEARCH("R77",G342)),0)+IFERROR(--ISNUMBER(SEARCH("R79",G342)),0)+IFERROR(--ISNUMBER(SEARCH("R80",G342)),0)+IFERROR(--ISNUMBER(SEARCH("R81",G342)),0)+IFERROR(--ISNUMBER(SEARCH("R83",G342)),0)+IFERROR(--ISNUMBER(SEARCH("R84",G342)),0)+IFERROR(--ISNUMBER(SEARCH("R89",G342)),0)+IFERROR(--ISNUMBER(SEARCH("R94",G342)),0)+IFERROR(--ISNUMBER(SEARCH("R95",G342)),0)+IFERROR(--ISNUMBER(SEARCH("R96",G342)),0)+IFERROR(--ISNUMBER(SEARCH("R98",G342)),0)+IFERROR(--ISNUMBER(SEARCH("R99",G342)),0)+IFERROR(--ISNUMBER(SEARCH("R100",G342)),0)+IFERROR(--ISNUMBER(SEARCH("R104",G342)),0)+IFERROR(--ISNUMBER(SEARCH("R105",G342)),0)+IFERROR(--ISNUMBER(SEARCH("R107",G342)),0)+IFERROR(--ISNUMBER(SEARCH("R108",G342)),0)+IFERROR(--ISNUMBER(SEARCH("R109",G342)),0)+IFERROR(--ISNUMBER(SEARCH("R110",G342)),0)+IFERROR(--ISNUMBER(SEARCH("R112",G342)),0)+IFERROR(--ISNUMBER(SEARCH("R113",G342)),0)+IFERROR(--ISNUMBER(SEARCH("R114",G342)),0)+IFERROR(--ISNUMBER(SEARCH("R118",G342)),0)+IFERROR(--ISNUMBER(SEARCH("R119",G342)),0)+IFERROR(--ISNUMBER(SEARCH("R120",G342)),0)+IFERROR(--ISNUMBER(SEARCH("R122",G342)),0)+IFERROR(--ISNUMBER(SEARCH("R123",G342)),0)+IFERROR(--ISNUMBER(SEARCH("R124",G342)),0)+IFERROR(--ISNUMBER(SEARCH("R128",G342)),0)+IFERROR(--ISNUMBER(SEARCH("R130",G342)),0)+IFERROR(--ISNUMBER(SEARCH("R131",G342)),0)+IFERROR(--ISNUMBER(SEARCH("R132",G342)),0)+IFERROR(--ISNUMBER(SEARCH("R135",G342)),0)+IFERROR(--ISNUMBER(SEARCH("R138",G342)),0)+IFERROR(--ISNUMBER(SEARCH("R141",G342)),0))</f>
        <v/>
      </c>
      <c r="U342" s="58">
        <f>IF(A342="","",IFERROR(--ISNUMBER(SEARCH("R28",G342))*28,0)+IFERROR(--ISNUMBER(SEARCH("R29",G342))*29,0)+IFERROR(--ISNUMBER(SEARCH("R30",G342))*30,0)+IFERROR(--ISNUMBER(SEARCH("R31",G342))*31,0)+IFERROR(--ISNUMBER(SEARCH("R32",G342))*32,0)+IFERROR(--ISNUMBER(SEARCH("R33",G342))*33,0)+IFERROR(--ISNUMBER(SEARCH("R34",G342))*34,0)+IFERROR(--ISNUMBER(SEARCH("R35",G342))*35,0)+IFERROR(--ISNUMBER(SEARCH("R36",G342))*36,0)+IFERROR(--ISNUMBER(SEARCH("R37",G342))*37,0)+IFERROR(--ISNUMBER(SEARCH("R38",G342))*38,0)+IFERROR(--ISNUMBER(SEARCH("R39",G342))*39,0)+IFERROR(--ISNUMBER(SEARCH("R40",G342))*40,0)+IFERROR(--ISNUMBER(SEARCH("R41",G342))*41,0)+IFERROR(--ISNUMBER(SEARCH("R42",G342))*42,0)+IFERROR(--ISNUMBER(SEARCH("R43",G342))*43,0)+IFERROR(--ISNUMBER(SEARCH("R44",G342))*44,0)+IFERROR(--ISNUMBER(SEARCH("R45",G342))*45,0)+IFERROR(--ISNUMBER(SEARCH("R46",G342))*46,0)+IFERROR(--ISNUMBER(SEARCH("R47",G342))*47,0)+IFERROR(--ISNUMBER(SEARCH("R48",G342))*48,0)+IFERROR(--ISNUMBER(SEARCH("R49",G342))*49,0)+IFERROR(--ISNUMBER(SEARCH("R50",G342))*50,0)+IFERROR(--ISNUMBER(SEARCH("R51",G342))*51,0)+IFERROR(--ISNUMBER(SEARCH("R52",G342))*52,0)+IFERROR(--ISNUMBER(SEARCH("R53",G342))*53,0)+IFERROR(--ISNUMBER(SEARCH("R54",G342))*54,0)+IFERROR(--ISNUMBER(SEARCH("R55",G342))*55,0)+IFERROR(--ISNUMBER(SEARCH("R56",G342))*56,0)+IFERROR(--ISNUMBER(SEARCH("R57",G342))*57,0)+IFERROR(--ISNUMBER(SEARCH("R58",G342))*58,0)+IFERROR(--ISNUMBER(SEARCH("R59",G342))*59,0)+IFERROR(--ISNUMBER(SEARCH("R60",G342))*60,0)+IFERROR(--ISNUMBER(SEARCH("R61",G342))*61,0)+IFERROR(--ISNUMBER(SEARCH("R62",G342))*62,0)+IFERROR(--ISNUMBER(SEARCH("R63",G342))*63,0)+IFERROR(--ISNUMBER(SEARCH("R64",G342))*64,0)+IFERROR(--ISNUMBER(SEARCH("R65",G342))*65,0)+IFERROR(--ISNUMBER(SEARCH("R66",G342))*66,0)+IFERROR(--ISNUMBER(SEARCH("R67",G342))*67,0)+IFERROR(--ISNUMBER(SEARCH("R68",G342))*68,0)+IFERROR(--ISNUMBER(SEARCH("R69",G342))*69,0)+IFERROR(--ISNUMBER(SEARCH("R70",G342))*70,0)+IFERROR(--ISNUMBER(SEARCH("R71",G342))*71,0)+IFERROR(--ISNUMBER(SEARCH("R72",G342))*72,0)+IFERROR(--ISNUMBER(SEARCH("R73",G342))*73,0)+IFERROR(--ISNUMBER(SEARCH("R74",G342))*74,0)+IFERROR(--ISNUMBER(SEARCH("R75",G342))*75,0)+IFERROR(--ISNUMBER(SEARCH("R76",G342))*76,0)+IFERROR(--ISNUMBER(SEARCH("R77",G342))*77,0)+IFERROR(--ISNUMBER(SEARCH("R78",G342))*78,0)+IFERROR(--ISNUMBER(SEARCH("R79",G342))*79,0)+IFERROR(--ISNUMBER(SEARCH("R80",G342))*80,0)+IFERROR(--ISNUMBER(SEARCH("R81",G342))*81,0)+IFERROR(--ISNUMBER(SEARCH("R82",G342))*82,0)+IFERROR(--ISNUMBER(SEARCH("R83",G342))*83,0)+IFERROR(--ISNUMBER(SEARCH("R84",G342))*84,0)+IFERROR(--ISNUMBER(SEARCH("R85",G342))*85,0)+IFERROR(--ISNUMBER(SEARCH("R86",G342))*86,0)+IFERROR(--ISNUMBER(SEARCH("R87",G342))*87,0)+IFERROR(--ISNUMBER(SEARCH("R88",G342))*88,0)+IFERROR(--ISNUMBER(SEARCH("R89",G342))*89,0)+IFERROR(--ISNUMBER(SEARCH("R90",G342))*90,0)+IFERROR(--ISNUMBER(SEARCH("R91",G342))*91,0)+IFERROR(--ISNUMBER(SEARCH("R92",G342))*92,0)+IFERROR(--ISNUMBER(SEARCH("R93",G342))*93,0)+IFERROR(--ISNUMBER(SEARCH("R94",G342))*94,0)+IFERROR(--ISNUMBER(SEARCH("R95",G342))*95,0)+IFERROR(--ISNUMBER(SEARCH("R96",G342))*96,0)+IFERROR(--ISNUMBER(SEARCH("R97",G342))*97,0)+IFERROR(--ISNUMBER(SEARCH("R98",G342))*98,0)+IFERROR(--ISNUMBER(SEARCH("R99",G342))*99,0)+IFERROR(--ISNUMBER(SEARCH("R100",G342))*100,0)+IFERROR(--ISNUMBER(SEARCH("R101",G342))*101,0)+IFERROR(--ISNUMBER(SEARCH("R102",G342))*102,0)+IFERROR(--ISNUMBER(SEARCH("R103",G342))*103,0)+IFERROR(--ISNUMBER(SEARCH("R104",G342))*104,0)+IFERROR(--ISNUMBER(SEARCH("R105",G342))*105,0)+IFERROR(--ISNUMBER(SEARCH("R106",G342))*106,0)+IFERROR(--ISNUMBER(SEARCH("R107",G342))*107,0)+IFERROR(--ISNUMBER(SEARCH("R108",G342))*108,0)+IFERROR(--ISNUMBER(SEARCH("R109",G342))*109,0)+IFERROR(--ISNUMBER(SEARCH("R110",G342))*110,0)+IFERROR(--ISNUMBER(SEARCH("R111",G342))*111,0)+IFERROR(--ISNUMBER(SEARCH("R112",G342))*112,0)+IFERROR(--ISNUMBER(SEARCH("R113",G342))*113,0)+IFERROR(--ISNUMBER(SEARCH("R114",G342))*114,0)+IFERROR(--ISNUMBER(SEARCH("R115",G342))*115,0)+IFERROR(--ISNUMBER(SEARCH("R116",G342))*116,0)+IFERROR(--ISNUMBER(SEARCH("R117",G342))*117,0)+IFERROR(--ISNUMBER(SEARCH("R118",G342))*118,0)+IFERROR(--ISNUMBER(SEARCH("R119",G342))*119,0)+IFERROR(--ISNUMBER(SEARCH("R120",G342))*120,0)+IFERROR(--ISNUMBER(SEARCH("R121",G342))*121,0)+IFERROR(--ISNUMBER(SEARCH("R122",G342))*122,0)+IFERROR(--ISNUMBER(SEARCH("R123",G342))*123,0)+IFERROR(--ISNUMBER(SEARCH("R124",G342))*124,0)+IFERROR(--ISNUMBER(SEARCH("R125",G342))*125,0)+IFERROR(--ISNUMBER(SEARCH("R126",G342))*126,0)+IFERROR(--ISNUMBER(SEARCH("R127",G342))*127,0)+IFERROR(--ISNUMBER(SEARCH("R128",G342))*128,0)+IFERROR(--ISNUMBER(SEARCH("R129",G342))*129,0)+IFERROR(--ISNUMBER(SEARCH("R130",G342))*130,0)+IFERROR(--ISNUMBER(SEARCH("R131",G342))*131,0)+IFERROR(--ISNUMBER(SEARCH("R132",G342))*132,0)+IFERROR(--ISNUMBER(SEARCH("R133",G342))*133,0)+IFERROR(--ISNUMBER(SEARCH("R134",G342))*134,0)+IFERROR(--ISNUMBER(SEARCH("R135",G342))*135,0)+IFERROR(--ISNUMBER(SEARCH("R136",G342))*136,0)+IFERROR(--ISNUMBER(SEARCH("R137",G342))*137,0)+IFERROR(--ISNUMBER(SEARCH("R138",G342))*138,0)+IFERROR(--ISNUMBER(SEARCH("R139",G342))*139,0)+IFERROR(--ISNUMBER(SEARCH("R140",G342))*140,0)+IFERROR(--ISNUMBER(SEARCH("R141",G342))*141,0))</f>
        <v/>
      </c>
      <c r="V342" s="59">
        <f>IF(A342="","",IF(K342&lt;&gt;"",K342,J342))</f>
        <v/>
      </c>
      <c r="W342" s="59">
        <f>IF(A342="","",IF(AND(V342=29,O342&lt;&gt;"",COUNTIFS($V$6:$V$505,29,$F$6:$F$505,F342,$C$6:$C$505,C342,$O$6:$O$505,"&lt;&gt;")&gt;1),IF(COUNTIFS($V$6:V342,29,$F$6:F342,F342,$C$6:C342,C342,$O$6:O342,"&lt;&gt;")=1,"Esta es la fila que se debe CONSERVAR (aparición 1 de "&amp;COUNTIFS($V$6:$V$505,29,$F$6:$F$505,F342,$C$6:$C$505,C342,$O$6:$O$505,"&lt;&gt;")&amp;" con el mismo tercero y valor, casilla 29). Si hay más filas iguales, bórreles el valor a ELLAS, no a esta.","DUPLICADO — ya existe otra fila con el mismo tercero y valor para casilla 29 (aparición "&amp;COUNTIFS($V$6:V342,29,$F$6:F342,F342,$C$6:C342,C342,$O$6:O342,"&lt;&gt;")&amp;" de "&amp;COUNTIFS($V$6:$V$505,29,$F$6:$F$505,F342,$C$6:$C$505,C342,$O$6:$O$505,"&lt;&gt;")&amp;"). Para resolverlo: seleccione la celda O"&amp;ROW()&amp;" (columna Valor a declarar de ESTA fila) y presione Supr."),""))</f>
        <v/>
      </c>
      <c r="X342" s="463">
        <f>IF(A342="","",F342)</f>
        <v/>
      </c>
      <c r="Y342" s="463">
        <f>IF(A342="","",SUMIF(Entrada_Manual!$I$88:$I$187,A342,Entrada_Manual!$F$88:$F$187))</f>
        <v/>
      </c>
      <c r="Z342" s="463">
        <f>IF(A342="","",X342-Y342)</f>
        <v/>
      </c>
      <c r="AA342">
        <f>IF(A342="","",SUMPRODUCT((Entrada_Manual!$I$88:$I$187=A342)*1))</f>
        <v/>
      </c>
      <c r="AB342">
        <f>IF(A342="","",IF(S342&lt;=1,"",IF(AA342=0,"PENDIENTE — SIN ASIGNAR",IF(Z342=0,"RESUELTO","PARCIAL — DIFERENCIA "&amp;TEXT(Z342,"#,##0")))))</f>
        <v/>
      </c>
    </row>
    <row r="343" ht="14.25" customHeight="1" s="235">
      <c r="A343" s="47">
        <f>IF(Exogena_RAW!E352&lt;&gt;"",ROW()-5,"")</f>
        <v/>
      </c>
      <c r="B343" s="48">
        <f>IF(A343="","",352)</f>
        <v/>
      </c>
      <c r="C343" s="48">
        <f>IF(A343="","",IFERROR(Exogena_RAW!A352,""))</f>
        <v/>
      </c>
      <c r="D343" s="48">
        <f>IF(A343="","",IFERROR(Exogena_RAW!B352,""))</f>
        <v/>
      </c>
      <c r="E343" s="48">
        <f>IF(A343="","",Exogena_RAW!E352)</f>
        <v/>
      </c>
      <c r="F343" s="461">
        <f>IF(A343="","",Exogena_RAW!F352)</f>
        <v/>
      </c>
      <c r="G343" s="48">
        <f>IF(A343="","",IFERROR(Exogena_RAW!G352,""))</f>
        <v/>
      </c>
      <c r="H343" s="48">
        <f>IF(A343="","",IFERROR(Exogena_RAW!H352,""))</f>
        <v/>
      </c>
      <c r="I343" s="48">
        <f>IF(A343="","",IFERROR(IF(S343&gt;1,"VARIAS CASILLAS",IF(S343=1,IF(T343=1,"PROPUESTA DE CASILLA","REVISIÓN: CASILLA NO DIRECTA"),IF(OR(ISNUMBER(SEARCH("TOPE",UPPER(E343))),ISNUMBER(SEARCH("TOPE",UPPER(G343)))),"SOLO CONTROL",IF(ISNUMBER(SEARCH("RETEN",UPPER(E343))),"RETENCIÓN","REVISAR")))),"REVISAR"))</f>
        <v/>
      </c>
      <c r="J343" s="48">
        <f>IF(A343="","",IF(ISNUMBER(SEARCH("ingreso laboral promedio de los últimos seis meses",E343)),"",IFERROR(IF(AND(S343=1,T343=1),U343,""),"")))</f>
        <v/>
      </c>
      <c r="K343" s="216" t="n"/>
      <c r="L343" s="48">
        <f>IF(A343="","",IFERROR(IF(K343&lt;&gt;"","Casilla elegida por usuario",IF(S343&gt;1,"Varias casillas — elegir en K",IF(J343&lt;&gt;"","Sugerencia directa",IF(S343=1,"No trasladar directo — revisar",IF(OR(ISNUMBER(SEARCH("TOPE",UPPER(E343))),ISNUMBER(SEARCH("TOPE",UPPER(G343)))),"Solo control","Revisar manualmente"))))),"Revisar manualmente"))</f>
        <v/>
      </c>
      <c r="M343" s="461">
        <f>IF(A343="","",IF(IF(K343&lt;&gt;"",K343,J343)="",0,IF(COUNTIFS(Reglas!$I$5:$I$118,IF(K343&lt;&gt;"",K343,J343),Reglas!$J$5:$J$118,"Sí")=1,F343,0)))</f>
        <v/>
      </c>
      <c r="N343" s="56" t="n"/>
      <c r="O343" s="462">
        <f>IF(A343="","",IF(M343=0,"",M343))</f>
        <v/>
      </c>
      <c r="P343" s="461">
        <f>IF(A343="","",IF(O343="",0,IF(ISNUMBER(O343),O343,0)))</f>
        <v/>
      </c>
      <c r="Q343" s="48">
        <f>IF(A343="","",IF(Exogena_RAW!$C$4="","BLOQUEADO: FALTA AÑO",IF(Exogena_RAW!$K$10&lt;&gt;Reglas!$B$5,"BLOQUEADO: AÑO",IF(IF(K343&lt;&gt;"",K343,J343)="",IF(S343&gt;1,"REQUIERE ASIGNACIÓN MANUAL (VARIAS CASILLAS)","INFORMATIVO (sin casilla — no se declara)"),IF(COUNTIFS(Reglas!$I$5:$I$118,IF(K343&lt;&gt;"",K343,J343),Reglas!$J$5:$J$118,"Sí")=0,"BLOQUEADO: CASILLA NO DIRECTA",IF(O343="","EXCLUIDO (valor borrado por el usuario)",IF(_xlfn.ISFORMULA(O343),IF(W343&lt;&gt;"","BORRADOR — VALOR SUGERIDO DIAN ⚠ VER ALERTA","BORRADOR — VALOR SUGERIDO DIAN"),IF(W343&lt;&gt;"","ACEPTADO ⚠ VER ALERTA","ACEPTADO"))))))))</f>
        <v/>
      </c>
      <c r="R343" s="218" t="n"/>
      <c r="S343" s="58">
        <f>IF(A343="","",IFERROR(--ISNUMBER(SEARCH("R28",G343)),0)+IFERROR(--ISNUMBER(SEARCH("R29",G343)),0)+IFERROR(--ISNUMBER(SEARCH("R30",G343)),0)+IFERROR(--ISNUMBER(SEARCH("R31",G343)),0)+IFERROR(--ISNUMBER(SEARCH("R32",G343)),0)+IFERROR(--ISNUMBER(SEARCH("R33",G343)),0)+IFERROR(--ISNUMBER(SEARCH("R34",G343)),0)+IFERROR(--ISNUMBER(SEARCH("R35",G343)),0)+IFERROR(--ISNUMBER(SEARCH("R36",G343)),0)+IFERROR(--ISNUMBER(SEARCH("R37",G343)),0)+IFERROR(--ISNUMBER(SEARCH("R38",G343)),0)+IFERROR(--ISNUMBER(SEARCH("R39",G343)),0)+IFERROR(--ISNUMBER(SEARCH("R40",G343)),0)+IFERROR(--ISNUMBER(SEARCH("R41",G343)),0)+IFERROR(--ISNUMBER(SEARCH("R42",G343)),0)+IFERROR(--ISNUMBER(SEARCH("R43",G343)),0)+IFERROR(--ISNUMBER(SEARCH("R44",G343)),0)+IFERROR(--ISNUMBER(SEARCH("R45",G343)),0)+IFERROR(--ISNUMBER(SEARCH("R46",G343)),0)+IFERROR(--ISNUMBER(SEARCH("R47",G343)),0)+IFERROR(--ISNUMBER(SEARCH("R48",G343)),0)+IFERROR(--ISNUMBER(SEARCH("R49",G343)),0)+IFERROR(--ISNUMBER(SEARCH("R50",G343)),0)+IFERROR(--ISNUMBER(SEARCH("R51",G343)),0)+IFERROR(--ISNUMBER(SEARCH("R52",G343)),0)+IFERROR(--ISNUMBER(SEARCH("R53",G343)),0)+IFERROR(--ISNUMBER(SEARCH("R54",G343)),0)+IFERROR(--ISNUMBER(SEARCH("R55",G343)),0)+IFERROR(--ISNUMBER(SEARCH("R56",G343)),0)+IFERROR(--ISNUMBER(SEARCH("R57",G343)),0)+IFERROR(--ISNUMBER(SEARCH("R58",G343)),0)+IFERROR(--ISNUMBER(SEARCH("R59",G343)),0)+IFERROR(--ISNUMBER(SEARCH("R60",G343)),0)+IFERROR(--ISNUMBER(SEARCH("R61",G343)),0)+IFERROR(--ISNUMBER(SEARCH("R62",G343)),0)+IFERROR(--ISNUMBER(SEARCH("R63",G343)),0)+IFERROR(--ISNUMBER(SEARCH("R64",G343)),0)+IFERROR(--ISNUMBER(SEARCH("R65",G343)),0)+IFERROR(--ISNUMBER(SEARCH("R66",G343)),0)+IFERROR(--ISNUMBER(SEARCH("R67",G343)),0)+IFERROR(--ISNUMBER(SEARCH("R68",G343)),0)+IFERROR(--ISNUMBER(SEARCH("R69",G343)),0)+IFERROR(--ISNUMBER(SEARCH("R70",G343)),0)+IFERROR(--ISNUMBER(SEARCH("R71",G343)),0)+IFERROR(--ISNUMBER(SEARCH("R72",G343)),0)+IFERROR(--ISNUMBER(SEARCH("R73",G343)),0)+IFERROR(--ISNUMBER(SEARCH("R74",G343)),0)+IFERROR(--ISNUMBER(SEARCH("R75",G343)),0)+IFERROR(--ISNUMBER(SEARCH("R76",G343)),0)+IFERROR(--ISNUMBER(SEARCH("R77",G343)),0)+IFERROR(--ISNUMBER(SEARCH("R78",G343)),0)+IFERROR(--ISNUMBER(SEARCH("R79",G343)),0)+IFERROR(--ISNUMBER(SEARCH("R80",G343)),0)+IFERROR(--ISNUMBER(SEARCH("R81",G343)),0)+IFERROR(--ISNUMBER(SEARCH("R82",G343)),0)+IFERROR(--ISNUMBER(SEARCH("R83",G343)),0)+IFERROR(--ISNUMBER(SEARCH("R84",G343)),0)+IFERROR(--ISNUMBER(SEARCH("R85",G343)),0)+IFERROR(--ISNUMBER(SEARCH("R86",G343)),0)+IFERROR(--ISNUMBER(SEARCH("R87",G343)),0)+IFERROR(--ISNUMBER(SEARCH("R88",G343)),0)+IFERROR(--ISNUMBER(SEARCH("R89",G343)),0)+IFERROR(--ISNUMBER(SEARCH("R90",G343)),0)+IFERROR(--ISNUMBER(SEARCH("R91",G343)),0)+IFERROR(--ISNUMBER(SEARCH("R92",G343)),0)+IFERROR(--ISNUMBER(SEARCH("R93",G343)),0)+IFERROR(--ISNUMBER(SEARCH("R94",G343)),0)+IFERROR(--ISNUMBER(SEARCH("R95",G343)),0)+IFERROR(--ISNUMBER(SEARCH("R96",G343)),0)+IFERROR(--ISNUMBER(SEARCH("R97",G343)),0)+IFERROR(--ISNUMBER(SEARCH("R98",G343)),0)+IFERROR(--ISNUMBER(SEARCH("R99",G343)),0)+IFERROR(--ISNUMBER(SEARCH("R100",G343)),0)+IFERROR(--ISNUMBER(SEARCH("R101",G343)),0)+IFERROR(--ISNUMBER(SEARCH("R102",G343)),0)+IFERROR(--ISNUMBER(SEARCH("R103",G343)),0)+IFERROR(--ISNUMBER(SEARCH("R104",G343)),0)+IFERROR(--ISNUMBER(SEARCH("R105",G343)),0)+IFERROR(--ISNUMBER(SEARCH("R106",G343)),0)+IFERROR(--ISNUMBER(SEARCH("R107",G343)),0)+IFERROR(--ISNUMBER(SEARCH("R108",G343)),0)+IFERROR(--ISNUMBER(SEARCH("R109",G343)),0)+IFERROR(--ISNUMBER(SEARCH("R110",G343)),0)+IFERROR(--ISNUMBER(SEARCH("R111",G343)),0)+IFERROR(--ISNUMBER(SEARCH("R112",G343)),0)+IFERROR(--ISNUMBER(SEARCH("R113",G343)),0)+IFERROR(--ISNUMBER(SEARCH("R114",G343)),0)+IFERROR(--ISNUMBER(SEARCH("R115",G343)),0)+IFERROR(--ISNUMBER(SEARCH("R116",G343)),0)+IFERROR(--ISNUMBER(SEARCH("R117",G343)),0)+IFERROR(--ISNUMBER(SEARCH("R118",G343)),0)+IFERROR(--ISNUMBER(SEARCH("R119",G343)),0)+IFERROR(--ISNUMBER(SEARCH("R120",G343)),0)+IFERROR(--ISNUMBER(SEARCH("R121",G343)),0)+IFERROR(--ISNUMBER(SEARCH("R122",G343)),0)+IFERROR(--ISNUMBER(SEARCH("R123",G343)),0)+IFERROR(--ISNUMBER(SEARCH("R124",G343)),0)+IFERROR(--ISNUMBER(SEARCH("R125",G343)),0)+IFERROR(--ISNUMBER(SEARCH("R126",G343)),0)+IFERROR(--ISNUMBER(SEARCH("R127",G343)),0)+IFERROR(--ISNUMBER(SEARCH("R128",G343)),0)+IFERROR(--ISNUMBER(SEARCH("R129",G343)),0)+IFERROR(--ISNUMBER(SEARCH("R130",G343)),0)+IFERROR(--ISNUMBER(SEARCH("R131",G343)),0)+IFERROR(--ISNUMBER(SEARCH("R132",G343)),0)+IFERROR(--ISNUMBER(SEARCH("R133",G343)),0)+IFERROR(--ISNUMBER(SEARCH("R134",G343)),0)+IFERROR(--ISNUMBER(SEARCH("R135",G343)),0)+IFERROR(--ISNUMBER(SEARCH("R136",G343)),0)+IFERROR(--ISNUMBER(SEARCH("R137",G343)),0)+IFERROR(--ISNUMBER(SEARCH("R138",G343)),0)+IFERROR(--ISNUMBER(SEARCH("R139",G343)),0)+IFERROR(--ISNUMBER(SEARCH("R140",G343)),0)+IFERROR(--ISNUMBER(SEARCH("R141",G343)),0))</f>
        <v/>
      </c>
      <c r="T343" s="58">
        <f>IF(A343="","",IFERROR(--ISNUMBER(SEARCH("R28",G343)),0)+IFERROR(--ISNUMBER(SEARCH("R29",G343)),0)+IFERROR(--ISNUMBER(SEARCH("R30",G343)),0)+IFERROR(--ISNUMBER(SEARCH("R32",G343)),0)+IFERROR(--ISNUMBER(SEARCH("R33",G343)),0)+IFERROR(--ISNUMBER(SEARCH("R35",G343)),0)+IFERROR(--ISNUMBER(SEARCH("R36",G343)),0)+IFERROR(--ISNUMBER(SEARCH("R38",G343)),0)+IFERROR(--ISNUMBER(SEARCH("R39",G343)),0)+IFERROR(--ISNUMBER(SEARCH("R43",G343)),0)+IFERROR(--ISNUMBER(SEARCH("R44",G343)),0)+IFERROR(--ISNUMBER(SEARCH("R45",G343)),0)+IFERROR(--ISNUMBER(SEARCH("R47",G343)),0)+IFERROR(--ISNUMBER(SEARCH("R48",G343)),0)+IFERROR(--ISNUMBER(SEARCH("R50",G343)),0)+IFERROR(--ISNUMBER(SEARCH("R51",G343)),0)+IFERROR(--ISNUMBER(SEARCH("R56",G343)),0)+IFERROR(--ISNUMBER(SEARCH("R58",G343)),0)+IFERROR(--ISNUMBER(SEARCH("R59",G343)),0)+IFERROR(--ISNUMBER(SEARCH("R60",G343)),0)+IFERROR(--ISNUMBER(SEARCH("R62",G343)),0)+IFERROR(--ISNUMBER(SEARCH("R63",G343)),0)+IFERROR(--ISNUMBER(SEARCH("R64",G343)),0)+IFERROR(--ISNUMBER(SEARCH("R66",G343)),0)+IFERROR(--ISNUMBER(SEARCH("R67",G343)),0)+IFERROR(--ISNUMBER(SEARCH("R72",G343)),0)+IFERROR(--ISNUMBER(SEARCH("R74",G343)),0)+IFERROR(--ISNUMBER(SEARCH("R75",G343)),0)+IFERROR(--ISNUMBER(SEARCH("R76",G343)),0)+IFERROR(--ISNUMBER(SEARCH("R77",G343)),0)+IFERROR(--ISNUMBER(SEARCH("R79",G343)),0)+IFERROR(--ISNUMBER(SEARCH("R80",G343)),0)+IFERROR(--ISNUMBER(SEARCH("R81",G343)),0)+IFERROR(--ISNUMBER(SEARCH("R83",G343)),0)+IFERROR(--ISNUMBER(SEARCH("R84",G343)),0)+IFERROR(--ISNUMBER(SEARCH("R89",G343)),0)+IFERROR(--ISNUMBER(SEARCH("R94",G343)),0)+IFERROR(--ISNUMBER(SEARCH("R95",G343)),0)+IFERROR(--ISNUMBER(SEARCH("R96",G343)),0)+IFERROR(--ISNUMBER(SEARCH("R98",G343)),0)+IFERROR(--ISNUMBER(SEARCH("R99",G343)),0)+IFERROR(--ISNUMBER(SEARCH("R100",G343)),0)+IFERROR(--ISNUMBER(SEARCH("R104",G343)),0)+IFERROR(--ISNUMBER(SEARCH("R105",G343)),0)+IFERROR(--ISNUMBER(SEARCH("R107",G343)),0)+IFERROR(--ISNUMBER(SEARCH("R108",G343)),0)+IFERROR(--ISNUMBER(SEARCH("R109",G343)),0)+IFERROR(--ISNUMBER(SEARCH("R110",G343)),0)+IFERROR(--ISNUMBER(SEARCH("R112",G343)),0)+IFERROR(--ISNUMBER(SEARCH("R113",G343)),0)+IFERROR(--ISNUMBER(SEARCH("R114",G343)),0)+IFERROR(--ISNUMBER(SEARCH("R118",G343)),0)+IFERROR(--ISNUMBER(SEARCH("R119",G343)),0)+IFERROR(--ISNUMBER(SEARCH("R120",G343)),0)+IFERROR(--ISNUMBER(SEARCH("R122",G343)),0)+IFERROR(--ISNUMBER(SEARCH("R123",G343)),0)+IFERROR(--ISNUMBER(SEARCH("R124",G343)),0)+IFERROR(--ISNUMBER(SEARCH("R128",G343)),0)+IFERROR(--ISNUMBER(SEARCH("R130",G343)),0)+IFERROR(--ISNUMBER(SEARCH("R131",G343)),0)+IFERROR(--ISNUMBER(SEARCH("R132",G343)),0)+IFERROR(--ISNUMBER(SEARCH("R135",G343)),0)+IFERROR(--ISNUMBER(SEARCH("R138",G343)),0)+IFERROR(--ISNUMBER(SEARCH("R141",G343)),0))</f>
        <v/>
      </c>
      <c r="U343" s="58">
        <f>IF(A343="","",IFERROR(--ISNUMBER(SEARCH("R28",G343))*28,0)+IFERROR(--ISNUMBER(SEARCH("R29",G343))*29,0)+IFERROR(--ISNUMBER(SEARCH("R30",G343))*30,0)+IFERROR(--ISNUMBER(SEARCH("R31",G343))*31,0)+IFERROR(--ISNUMBER(SEARCH("R32",G343))*32,0)+IFERROR(--ISNUMBER(SEARCH("R33",G343))*33,0)+IFERROR(--ISNUMBER(SEARCH("R34",G343))*34,0)+IFERROR(--ISNUMBER(SEARCH("R35",G343))*35,0)+IFERROR(--ISNUMBER(SEARCH("R36",G343))*36,0)+IFERROR(--ISNUMBER(SEARCH("R37",G343))*37,0)+IFERROR(--ISNUMBER(SEARCH("R38",G343))*38,0)+IFERROR(--ISNUMBER(SEARCH("R39",G343))*39,0)+IFERROR(--ISNUMBER(SEARCH("R40",G343))*40,0)+IFERROR(--ISNUMBER(SEARCH("R41",G343))*41,0)+IFERROR(--ISNUMBER(SEARCH("R42",G343))*42,0)+IFERROR(--ISNUMBER(SEARCH("R43",G343))*43,0)+IFERROR(--ISNUMBER(SEARCH("R44",G343))*44,0)+IFERROR(--ISNUMBER(SEARCH("R45",G343))*45,0)+IFERROR(--ISNUMBER(SEARCH("R46",G343))*46,0)+IFERROR(--ISNUMBER(SEARCH("R47",G343))*47,0)+IFERROR(--ISNUMBER(SEARCH("R48",G343))*48,0)+IFERROR(--ISNUMBER(SEARCH("R49",G343))*49,0)+IFERROR(--ISNUMBER(SEARCH("R50",G343))*50,0)+IFERROR(--ISNUMBER(SEARCH("R51",G343))*51,0)+IFERROR(--ISNUMBER(SEARCH("R52",G343))*52,0)+IFERROR(--ISNUMBER(SEARCH("R53",G343))*53,0)+IFERROR(--ISNUMBER(SEARCH("R54",G343))*54,0)+IFERROR(--ISNUMBER(SEARCH("R55",G343))*55,0)+IFERROR(--ISNUMBER(SEARCH("R56",G343))*56,0)+IFERROR(--ISNUMBER(SEARCH("R57",G343))*57,0)+IFERROR(--ISNUMBER(SEARCH("R58",G343))*58,0)+IFERROR(--ISNUMBER(SEARCH("R59",G343))*59,0)+IFERROR(--ISNUMBER(SEARCH("R60",G343))*60,0)+IFERROR(--ISNUMBER(SEARCH("R61",G343))*61,0)+IFERROR(--ISNUMBER(SEARCH("R62",G343))*62,0)+IFERROR(--ISNUMBER(SEARCH("R63",G343))*63,0)+IFERROR(--ISNUMBER(SEARCH("R64",G343))*64,0)+IFERROR(--ISNUMBER(SEARCH("R65",G343))*65,0)+IFERROR(--ISNUMBER(SEARCH("R66",G343))*66,0)+IFERROR(--ISNUMBER(SEARCH("R67",G343))*67,0)+IFERROR(--ISNUMBER(SEARCH("R68",G343))*68,0)+IFERROR(--ISNUMBER(SEARCH("R69",G343))*69,0)+IFERROR(--ISNUMBER(SEARCH("R70",G343))*70,0)+IFERROR(--ISNUMBER(SEARCH("R71",G343))*71,0)+IFERROR(--ISNUMBER(SEARCH("R72",G343))*72,0)+IFERROR(--ISNUMBER(SEARCH("R73",G343))*73,0)+IFERROR(--ISNUMBER(SEARCH("R74",G343))*74,0)+IFERROR(--ISNUMBER(SEARCH("R75",G343))*75,0)+IFERROR(--ISNUMBER(SEARCH("R76",G343))*76,0)+IFERROR(--ISNUMBER(SEARCH("R77",G343))*77,0)+IFERROR(--ISNUMBER(SEARCH("R78",G343))*78,0)+IFERROR(--ISNUMBER(SEARCH("R79",G343))*79,0)+IFERROR(--ISNUMBER(SEARCH("R80",G343))*80,0)+IFERROR(--ISNUMBER(SEARCH("R81",G343))*81,0)+IFERROR(--ISNUMBER(SEARCH("R82",G343))*82,0)+IFERROR(--ISNUMBER(SEARCH("R83",G343))*83,0)+IFERROR(--ISNUMBER(SEARCH("R84",G343))*84,0)+IFERROR(--ISNUMBER(SEARCH("R85",G343))*85,0)+IFERROR(--ISNUMBER(SEARCH("R86",G343))*86,0)+IFERROR(--ISNUMBER(SEARCH("R87",G343))*87,0)+IFERROR(--ISNUMBER(SEARCH("R88",G343))*88,0)+IFERROR(--ISNUMBER(SEARCH("R89",G343))*89,0)+IFERROR(--ISNUMBER(SEARCH("R90",G343))*90,0)+IFERROR(--ISNUMBER(SEARCH("R91",G343))*91,0)+IFERROR(--ISNUMBER(SEARCH("R92",G343))*92,0)+IFERROR(--ISNUMBER(SEARCH("R93",G343))*93,0)+IFERROR(--ISNUMBER(SEARCH("R94",G343))*94,0)+IFERROR(--ISNUMBER(SEARCH("R95",G343))*95,0)+IFERROR(--ISNUMBER(SEARCH("R96",G343))*96,0)+IFERROR(--ISNUMBER(SEARCH("R97",G343))*97,0)+IFERROR(--ISNUMBER(SEARCH("R98",G343))*98,0)+IFERROR(--ISNUMBER(SEARCH("R99",G343))*99,0)+IFERROR(--ISNUMBER(SEARCH("R100",G343))*100,0)+IFERROR(--ISNUMBER(SEARCH("R101",G343))*101,0)+IFERROR(--ISNUMBER(SEARCH("R102",G343))*102,0)+IFERROR(--ISNUMBER(SEARCH("R103",G343))*103,0)+IFERROR(--ISNUMBER(SEARCH("R104",G343))*104,0)+IFERROR(--ISNUMBER(SEARCH("R105",G343))*105,0)+IFERROR(--ISNUMBER(SEARCH("R106",G343))*106,0)+IFERROR(--ISNUMBER(SEARCH("R107",G343))*107,0)+IFERROR(--ISNUMBER(SEARCH("R108",G343))*108,0)+IFERROR(--ISNUMBER(SEARCH("R109",G343))*109,0)+IFERROR(--ISNUMBER(SEARCH("R110",G343))*110,0)+IFERROR(--ISNUMBER(SEARCH("R111",G343))*111,0)+IFERROR(--ISNUMBER(SEARCH("R112",G343))*112,0)+IFERROR(--ISNUMBER(SEARCH("R113",G343))*113,0)+IFERROR(--ISNUMBER(SEARCH("R114",G343))*114,0)+IFERROR(--ISNUMBER(SEARCH("R115",G343))*115,0)+IFERROR(--ISNUMBER(SEARCH("R116",G343))*116,0)+IFERROR(--ISNUMBER(SEARCH("R117",G343))*117,0)+IFERROR(--ISNUMBER(SEARCH("R118",G343))*118,0)+IFERROR(--ISNUMBER(SEARCH("R119",G343))*119,0)+IFERROR(--ISNUMBER(SEARCH("R120",G343))*120,0)+IFERROR(--ISNUMBER(SEARCH("R121",G343))*121,0)+IFERROR(--ISNUMBER(SEARCH("R122",G343))*122,0)+IFERROR(--ISNUMBER(SEARCH("R123",G343))*123,0)+IFERROR(--ISNUMBER(SEARCH("R124",G343))*124,0)+IFERROR(--ISNUMBER(SEARCH("R125",G343))*125,0)+IFERROR(--ISNUMBER(SEARCH("R126",G343))*126,0)+IFERROR(--ISNUMBER(SEARCH("R127",G343))*127,0)+IFERROR(--ISNUMBER(SEARCH("R128",G343))*128,0)+IFERROR(--ISNUMBER(SEARCH("R129",G343))*129,0)+IFERROR(--ISNUMBER(SEARCH("R130",G343))*130,0)+IFERROR(--ISNUMBER(SEARCH("R131",G343))*131,0)+IFERROR(--ISNUMBER(SEARCH("R132",G343))*132,0)+IFERROR(--ISNUMBER(SEARCH("R133",G343))*133,0)+IFERROR(--ISNUMBER(SEARCH("R134",G343))*134,0)+IFERROR(--ISNUMBER(SEARCH("R135",G343))*135,0)+IFERROR(--ISNUMBER(SEARCH("R136",G343))*136,0)+IFERROR(--ISNUMBER(SEARCH("R137",G343))*137,0)+IFERROR(--ISNUMBER(SEARCH("R138",G343))*138,0)+IFERROR(--ISNUMBER(SEARCH("R139",G343))*139,0)+IFERROR(--ISNUMBER(SEARCH("R140",G343))*140,0)+IFERROR(--ISNUMBER(SEARCH("R141",G343))*141,0))</f>
        <v/>
      </c>
      <c r="V343" s="59">
        <f>IF(A343="","",IF(K343&lt;&gt;"",K343,J343))</f>
        <v/>
      </c>
      <c r="W343" s="59">
        <f>IF(A343="","",IF(AND(V343=29,O343&lt;&gt;"",COUNTIFS($V$6:$V$505,29,$F$6:$F$505,F343,$C$6:$C$505,C343,$O$6:$O$505,"&lt;&gt;")&gt;1),IF(COUNTIFS($V$6:V343,29,$F$6:F343,F343,$C$6:C343,C343,$O$6:O343,"&lt;&gt;")=1,"Esta es la fila que se debe CONSERVAR (aparición 1 de "&amp;COUNTIFS($V$6:$V$505,29,$F$6:$F$505,F343,$C$6:$C$505,C343,$O$6:$O$505,"&lt;&gt;")&amp;" con el mismo tercero y valor, casilla 29). Si hay más filas iguales, bórreles el valor a ELLAS, no a esta.","DUPLICADO — ya existe otra fila con el mismo tercero y valor para casilla 29 (aparición "&amp;COUNTIFS($V$6:V343,29,$F$6:F343,F343,$C$6:C343,C343,$O$6:O343,"&lt;&gt;")&amp;" de "&amp;COUNTIFS($V$6:$V$505,29,$F$6:$F$505,F343,$C$6:$C$505,C343,$O$6:$O$505,"&lt;&gt;")&amp;"). Para resolverlo: seleccione la celda O"&amp;ROW()&amp;" (columna Valor a declarar de ESTA fila) y presione Supr."),""))</f>
        <v/>
      </c>
      <c r="X343" s="463">
        <f>IF(A343="","",F343)</f>
        <v/>
      </c>
      <c r="Y343" s="463">
        <f>IF(A343="","",SUMIF(Entrada_Manual!$I$88:$I$187,A343,Entrada_Manual!$F$88:$F$187))</f>
        <v/>
      </c>
      <c r="Z343" s="463">
        <f>IF(A343="","",X343-Y343)</f>
        <v/>
      </c>
      <c r="AA343">
        <f>IF(A343="","",SUMPRODUCT((Entrada_Manual!$I$88:$I$187=A343)*1))</f>
        <v/>
      </c>
      <c r="AB343">
        <f>IF(A343="","",IF(S343&lt;=1,"",IF(AA343=0,"PENDIENTE — SIN ASIGNAR",IF(Z343=0,"RESUELTO","PARCIAL — DIFERENCIA "&amp;TEXT(Z343,"#,##0")))))</f>
        <v/>
      </c>
    </row>
    <row r="344" ht="14.25" customHeight="1" s="235">
      <c r="A344" s="47">
        <f>IF(Exogena_RAW!E353&lt;&gt;"",ROW()-5,"")</f>
        <v/>
      </c>
      <c r="B344" s="48">
        <f>IF(A344="","",353)</f>
        <v/>
      </c>
      <c r="C344" s="48">
        <f>IF(A344="","",IFERROR(Exogena_RAW!A353,""))</f>
        <v/>
      </c>
      <c r="D344" s="48">
        <f>IF(A344="","",IFERROR(Exogena_RAW!B353,""))</f>
        <v/>
      </c>
      <c r="E344" s="48">
        <f>IF(A344="","",Exogena_RAW!E353)</f>
        <v/>
      </c>
      <c r="F344" s="461">
        <f>IF(A344="","",Exogena_RAW!F353)</f>
        <v/>
      </c>
      <c r="G344" s="48">
        <f>IF(A344="","",IFERROR(Exogena_RAW!G353,""))</f>
        <v/>
      </c>
      <c r="H344" s="48">
        <f>IF(A344="","",IFERROR(Exogena_RAW!H353,""))</f>
        <v/>
      </c>
      <c r="I344" s="48">
        <f>IF(A344="","",IFERROR(IF(S344&gt;1,"VARIAS CASILLAS",IF(S344=1,IF(T344=1,"PROPUESTA DE CASILLA","REVISIÓN: CASILLA NO DIRECTA"),IF(OR(ISNUMBER(SEARCH("TOPE",UPPER(E344))),ISNUMBER(SEARCH("TOPE",UPPER(G344)))),"SOLO CONTROL",IF(ISNUMBER(SEARCH("RETEN",UPPER(E344))),"RETENCIÓN","REVISAR")))),"REVISAR"))</f>
        <v/>
      </c>
      <c r="J344" s="48">
        <f>IF(A344="","",IF(ISNUMBER(SEARCH("ingreso laboral promedio de los últimos seis meses",E344)),"",IFERROR(IF(AND(S344=1,T344=1),U344,""),"")))</f>
        <v/>
      </c>
      <c r="K344" s="216" t="n"/>
      <c r="L344" s="48">
        <f>IF(A344="","",IFERROR(IF(K344&lt;&gt;"","Casilla elegida por usuario",IF(S344&gt;1,"Varias casillas — elegir en K",IF(J344&lt;&gt;"","Sugerencia directa",IF(S344=1,"No trasladar directo — revisar",IF(OR(ISNUMBER(SEARCH("TOPE",UPPER(E344))),ISNUMBER(SEARCH("TOPE",UPPER(G344)))),"Solo control","Revisar manualmente"))))),"Revisar manualmente"))</f>
        <v/>
      </c>
      <c r="M344" s="461">
        <f>IF(A344="","",IF(IF(K344&lt;&gt;"",K344,J344)="",0,IF(COUNTIFS(Reglas!$I$5:$I$118,IF(K344&lt;&gt;"",K344,J344),Reglas!$J$5:$J$118,"Sí")=1,F344,0)))</f>
        <v/>
      </c>
      <c r="N344" s="56" t="n"/>
      <c r="O344" s="462">
        <f>IF(A344="","",IF(M344=0,"",M344))</f>
        <v/>
      </c>
      <c r="P344" s="461">
        <f>IF(A344="","",IF(O344="",0,IF(ISNUMBER(O344),O344,0)))</f>
        <v/>
      </c>
      <c r="Q344" s="48">
        <f>IF(A344="","",IF(Exogena_RAW!$C$4="","BLOQUEADO: FALTA AÑO",IF(Exogena_RAW!$K$10&lt;&gt;Reglas!$B$5,"BLOQUEADO: AÑO",IF(IF(K344&lt;&gt;"",K344,J344)="",IF(S344&gt;1,"REQUIERE ASIGNACIÓN MANUAL (VARIAS CASILLAS)","INFORMATIVO (sin casilla — no se declara)"),IF(COUNTIFS(Reglas!$I$5:$I$118,IF(K344&lt;&gt;"",K344,J344),Reglas!$J$5:$J$118,"Sí")=0,"BLOQUEADO: CASILLA NO DIRECTA",IF(O344="","EXCLUIDO (valor borrado por el usuario)",IF(_xlfn.ISFORMULA(O344),IF(W344&lt;&gt;"","BORRADOR — VALOR SUGERIDO DIAN ⚠ VER ALERTA","BORRADOR — VALOR SUGERIDO DIAN"),IF(W344&lt;&gt;"","ACEPTADO ⚠ VER ALERTA","ACEPTADO"))))))))</f>
        <v/>
      </c>
      <c r="R344" s="218" t="n"/>
      <c r="S344" s="58">
        <f>IF(A344="","",IFERROR(--ISNUMBER(SEARCH("R28",G344)),0)+IFERROR(--ISNUMBER(SEARCH("R29",G344)),0)+IFERROR(--ISNUMBER(SEARCH("R30",G344)),0)+IFERROR(--ISNUMBER(SEARCH("R31",G344)),0)+IFERROR(--ISNUMBER(SEARCH("R32",G344)),0)+IFERROR(--ISNUMBER(SEARCH("R33",G344)),0)+IFERROR(--ISNUMBER(SEARCH("R34",G344)),0)+IFERROR(--ISNUMBER(SEARCH("R35",G344)),0)+IFERROR(--ISNUMBER(SEARCH("R36",G344)),0)+IFERROR(--ISNUMBER(SEARCH("R37",G344)),0)+IFERROR(--ISNUMBER(SEARCH("R38",G344)),0)+IFERROR(--ISNUMBER(SEARCH("R39",G344)),0)+IFERROR(--ISNUMBER(SEARCH("R40",G344)),0)+IFERROR(--ISNUMBER(SEARCH("R41",G344)),0)+IFERROR(--ISNUMBER(SEARCH("R42",G344)),0)+IFERROR(--ISNUMBER(SEARCH("R43",G344)),0)+IFERROR(--ISNUMBER(SEARCH("R44",G344)),0)+IFERROR(--ISNUMBER(SEARCH("R45",G344)),0)+IFERROR(--ISNUMBER(SEARCH("R46",G344)),0)+IFERROR(--ISNUMBER(SEARCH("R47",G344)),0)+IFERROR(--ISNUMBER(SEARCH("R48",G344)),0)+IFERROR(--ISNUMBER(SEARCH("R49",G344)),0)+IFERROR(--ISNUMBER(SEARCH("R50",G344)),0)+IFERROR(--ISNUMBER(SEARCH("R51",G344)),0)+IFERROR(--ISNUMBER(SEARCH("R52",G344)),0)+IFERROR(--ISNUMBER(SEARCH("R53",G344)),0)+IFERROR(--ISNUMBER(SEARCH("R54",G344)),0)+IFERROR(--ISNUMBER(SEARCH("R55",G344)),0)+IFERROR(--ISNUMBER(SEARCH("R56",G344)),0)+IFERROR(--ISNUMBER(SEARCH("R57",G344)),0)+IFERROR(--ISNUMBER(SEARCH("R58",G344)),0)+IFERROR(--ISNUMBER(SEARCH("R59",G344)),0)+IFERROR(--ISNUMBER(SEARCH("R60",G344)),0)+IFERROR(--ISNUMBER(SEARCH("R61",G344)),0)+IFERROR(--ISNUMBER(SEARCH("R62",G344)),0)+IFERROR(--ISNUMBER(SEARCH("R63",G344)),0)+IFERROR(--ISNUMBER(SEARCH("R64",G344)),0)+IFERROR(--ISNUMBER(SEARCH("R65",G344)),0)+IFERROR(--ISNUMBER(SEARCH("R66",G344)),0)+IFERROR(--ISNUMBER(SEARCH("R67",G344)),0)+IFERROR(--ISNUMBER(SEARCH("R68",G344)),0)+IFERROR(--ISNUMBER(SEARCH("R69",G344)),0)+IFERROR(--ISNUMBER(SEARCH("R70",G344)),0)+IFERROR(--ISNUMBER(SEARCH("R71",G344)),0)+IFERROR(--ISNUMBER(SEARCH("R72",G344)),0)+IFERROR(--ISNUMBER(SEARCH("R73",G344)),0)+IFERROR(--ISNUMBER(SEARCH("R74",G344)),0)+IFERROR(--ISNUMBER(SEARCH("R75",G344)),0)+IFERROR(--ISNUMBER(SEARCH("R76",G344)),0)+IFERROR(--ISNUMBER(SEARCH("R77",G344)),0)+IFERROR(--ISNUMBER(SEARCH("R78",G344)),0)+IFERROR(--ISNUMBER(SEARCH("R79",G344)),0)+IFERROR(--ISNUMBER(SEARCH("R80",G344)),0)+IFERROR(--ISNUMBER(SEARCH("R81",G344)),0)+IFERROR(--ISNUMBER(SEARCH("R82",G344)),0)+IFERROR(--ISNUMBER(SEARCH("R83",G344)),0)+IFERROR(--ISNUMBER(SEARCH("R84",G344)),0)+IFERROR(--ISNUMBER(SEARCH("R85",G344)),0)+IFERROR(--ISNUMBER(SEARCH("R86",G344)),0)+IFERROR(--ISNUMBER(SEARCH("R87",G344)),0)+IFERROR(--ISNUMBER(SEARCH("R88",G344)),0)+IFERROR(--ISNUMBER(SEARCH("R89",G344)),0)+IFERROR(--ISNUMBER(SEARCH("R90",G344)),0)+IFERROR(--ISNUMBER(SEARCH("R91",G344)),0)+IFERROR(--ISNUMBER(SEARCH("R92",G344)),0)+IFERROR(--ISNUMBER(SEARCH("R93",G344)),0)+IFERROR(--ISNUMBER(SEARCH("R94",G344)),0)+IFERROR(--ISNUMBER(SEARCH("R95",G344)),0)+IFERROR(--ISNUMBER(SEARCH("R96",G344)),0)+IFERROR(--ISNUMBER(SEARCH("R97",G344)),0)+IFERROR(--ISNUMBER(SEARCH("R98",G344)),0)+IFERROR(--ISNUMBER(SEARCH("R99",G344)),0)+IFERROR(--ISNUMBER(SEARCH("R100",G344)),0)+IFERROR(--ISNUMBER(SEARCH("R101",G344)),0)+IFERROR(--ISNUMBER(SEARCH("R102",G344)),0)+IFERROR(--ISNUMBER(SEARCH("R103",G344)),0)+IFERROR(--ISNUMBER(SEARCH("R104",G344)),0)+IFERROR(--ISNUMBER(SEARCH("R105",G344)),0)+IFERROR(--ISNUMBER(SEARCH("R106",G344)),0)+IFERROR(--ISNUMBER(SEARCH("R107",G344)),0)+IFERROR(--ISNUMBER(SEARCH("R108",G344)),0)+IFERROR(--ISNUMBER(SEARCH("R109",G344)),0)+IFERROR(--ISNUMBER(SEARCH("R110",G344)),0)+IFERROR(--ISNUMBER(SEARCH("R111",G344)),0)+IFERROR(--ISNUMBER(SEARCH("R112",G344)),0)+IFERROR(--ISNUMBER(SEARCH("R113",G344)),0)+IFERROR(--ISNUMBER(SEARCH("R114",G344)),0)+IFERROR(--ISNUMBER(SEARCH("R115",G344)),0)+IFERROR(--ISNUMBER(SEARCH("R116",G344)),0)+IFERROR(--ISNUMBER(SEARCH("R117",G344)),0)+IFERROR(--ISNUMBER(SEARCH("R118",G344)),0)+IFERROR(--ISNUMBER(SEARCH("R119",G344)),0)+IFERROR(--ISNUMBER(SEARCH("R120",G344)),0)+IFERROR(--ISNUMBER(SEARCH("R121",G344)),0)+IFERROR(--ISNUMBER(SEARCH("R122",G344)),0)+IFERROR(--ISNUMBER(SEARCH("R123",G344)),0)+IFERROR(--ISNUMBER(SEARCH("R124",G344)),0)+IFERROR(--ISNUMBER(SEARCH("R125",G344)),0)+IFERROR(--ISNUMBER(SEARCH("R126",G344)),0)+IFERROR(--ISNUMBER(SEARCH("R127",G344)),0)+IFERROR(--ISNUMBER(SEARCH("R128",G344)),0)+IFERROR(--ISNUMBER(SEARCH("R129",G344)),0)+IFERROR(--ISNUMBER(SEARCH("R130",G344)),0)+IFERROR(--ISNUMBER(SEARCH("R131",G344)),0)+IFERROR(--ISNUMBER(SEARCH("R132",G344)),0)+IFERROR(--ISNUMBER(SEARCH("R133",G344)),0)+IFERROR(--ISNUMBER(SEARCH("R134",G344)),0)+IFERROR(--ISNUMBER(SEARCH("R135",G344)),0)+IFERROR(--ISNUMBER(SEARCH("R136",G344)),0)+IFERROR(--ISNUMBER(SEARCH("R137",G344)),0)+IFERROR(--ISNUMBER(SEARCH("R138",G344)),0)+IFERROR(--ISNUMBER(SEARCH("R139",G344)),0)+IFERROR(--ISNUMBER(SEARCH("R140",G344)),0)+IFERROR(--ISNUMBER(SEARCH("R141",G344)),0))</f>
        <v/>
      </c>
      <c r="T344" s="58">
        <f>IF(A344="","",IFERROR(--ISNUMBER(SEARCH("R28",G344)),0)+IFERROR(--ISNUMBER(SEARCH("R29",G344)),0)+IFERROR(--ISNUMBER(SEARCH("R30",G344)),0)+IFERROR(--ISNUMBER(SEARCH("R32",G344)),0)+IFERROR(--ISNUMBER(SEARCH("R33",G344)),0)+IFERROR(--ISNUMBER(SEARCH("R35",G344)),0)+IFERROR(--ISNUMBER(SEARCH("R36",G344)),0)+IFERROR(--ISNUMBER(SEARCH("R38",G344)),0)+IFERROR(--ISNUMBER(SEARCH("R39",G344)),0)+IFERROR(--ISNUMBER(SEARCH("R43",G344)),0)+IFERROR(--ISNUMBER(SEARCH("R44",G344)),0)+IFERROR(--ISNUMBER(SEARCH("R45",G344)),0)+IFERROR(--ISNUMBER(SEARCH("R47",G344)),0)+IFERROR(--ISNUMBER(SEARCH("R48",G344)),0)+IFERROR(--ISNUMBER(SEARCH("R50",G344)),0)+IFERROR(--ISNUMBER(SEARCH("R51",G344)),0)+IFERROR(--ISNUMBER(SEARCH("R56",G344)),0)+IFERROR(--ISNUMBER(SEARCH("R58",G344)),0)+IFERROR(--ISNUMBER(SEARCH("R59",G344)),0)+IFERROR(--ISNUMBER(SEARCH("R60",G344)),0)+IFERROR(--ISNUMBER(SEARCH("R62",G344)),0)+IFERROR(--ISNUMBER(SEARCH("R63",G344)),0)+IFERROR(--ISNUMBER(SEARCH("R64",G344)),0)+IFERROR(--ISNUMBER(SEARCH("R66",G344)),0)+IFERROR(--ISNUMBER(SEARCH("R67",G344)),0)+IFERROR(--ISNUMBER(SEARCH("R72",G344)),0)+IFERROR(--ISNUMBER(SEARCH("R74",G344)),0)+IFERROR(--ISNUMBER(SEARCH("R75",G344)),0)+IFERROR(--ISNUMBER(SEARCH("R76",G344)),0)+IFERROR(--ISNUMBER(SEARCH("R77",G344)),0)+IFERROR(--ISNUMBER(SEARCH("R79",G344)),0)+IFERROR(--ISNUMBER(SEARCH("R80",G344)),0)+IFERROR(--ISNUMBER(SEARCH("R81",G344)),0)+IFERROR(--ISNUMBER(SEARCH("R83",G344)),0)+IFERROR(--ISNUMBER(SEARCH("R84",G344)),0)+IFERROR(--ISNUMBER(SEARCH("R89",G344)),0)+IFERROR(--ISNUMBER(SEARCH("R94",G344)),0)+IFERROR(--ISNUMBER(SEARCH("R95",G344)),0)+IFERROR(--ISNUMBER(SEARCH("R96",G344)),0)+IFERROR(--ISNUMBER(SEARCH("R98",G344)),0)+IFERROR(--ISNUMBER(SEARCH("R99",G344)),0)+IFERROR(--ISNUMBER(SEARCH("R100",G344)),0)+IFERROR(--ISNUMBER(SEARCH("R104",G344)),0)+IFERROR(--ISNUMBER(SEARCH("R105",G344)),0)+IFERROR(--ISNUMBER(SEARCH("R107",G344)),0)+IFERROR(--ISNUMBER(SEARCH("R108",G344)),0)+IFERROR(--ISNUMBER(SEARCH("R109",G344)),0)+IFERROR(--ISNUMBER(SEARCH("R110",G344)),0)+IFERROR(--ISNUMBER(SEARCH("R112",G344)),0)+IFERROR(--ISNUMBER(SEARCH("R113",G344)),0)+IFERROR(--ISNUMBER(SEARCH("R114",G344)),0)+IFERROR(--ISNUMBER(SEARCH("R118",G344)),0)+IFERROR(--ISNUMBER(SEARCH("R119",G344)),0)+IFERROR(--ISNUMBER(SEARCH("R120",G344)),0)+IFERROR(--ISNUMBER(SEARCH("R122",G344)),0)+IFERROR(--ISNUMBER(SEARCH("R123",G344)),0)+IFERROR(--ISNUMBER(SEARCH("R124",G344)),0)+IFERROR(--ISNUMBER(SEARCH("R128",G344)),0)+IFERROR(--ISNUMBER(SEARCH("R130",G344)),0)+IFERROR(--ISNUMBER(SEARCH("R131",G344)),0)+IFERROR(--ISNUMBER(SEARCH("R132",G344)),0)+IFERROR(--ISNUMBER(SEARCH("R135",G344)),0)+IFERROR(--ISNUMBER(SEARCH("R138",G344)),0)+IFERROR(--ISNUMBER(SEARCH("R141",G344)),0))</f>
        <v/>
      </c>
      <c r="U344" s="58">
        <f>IF(A344="","",IFERROR(--ISNUMBER(SEARCH("R28",G344))*28,0)+IFERROR(--ISNUMBER(SEARCH("R29",G344))*29,0)+IFERROR(--ISNUMBER(SEARCH("R30",G344))*30,0)+IFERROR(--ISNUMBER(SEARCH("R31",G344))*31,0)+IFERROR(--ISNUMBER(SEARCH("R32",G344))*32,0)+IFERROR(--ISNUMBER(SEARCH("R33",G344))*33,0)+IFERROR(--ISNUMBER(SEARCH("R34",G344))*34,0)+IFERROR(--ISNUMBER(SEARCH("R35",G344))*35,0)+IFERROR(--ISNUMBER(SEARCH("R36",G344))*36,0)+IFERROR(--ISNUMBER(SEARCH("R37",G344))*37,0)+IFERROR(--ISNUMBER(SEARCH("R38",G344))*38,0)+IFERROR(--ISNUMBER(SEARCH("R39",G344))*39,0)+IFERROR(--ISNUMBER(SEARCH("R40",G344))*40,0)+IFERROR(--ISNUMBER(SEARCH("R41",G344))*41,0)+IFERROR(--ISNUMBER(SEARCH("R42",G344))*42,0)+IFERROR(--ISNUMBER(SEARCH("R43",G344))*43,0)+IFERROR(--ISNUMBER(SEARCH("R44",G344))*44,0)+IFERROR(--ISNUMBER(SEARCH("R45",G344))*45,0)+IFERROR(--ISNUMBER(SEARCH("R46",G344))*46,0)+IFERROR(--ISNUMBER(SEARCH("R47",G344))*47,0)+IFERROR(--ISNUMBER(SEARCH("R48",G344))*48,0)+IFERROR(--ISNUMBER(SEARCH("R49",G344))*49,0)+IFERROR(--ISNUMBER(SEARCH("R50",G344))*50,0)+IFERROR(--ISNUMBER(SEARCH("R51",G344))*51,0)+IFERROR(--ISNUMBER(SEARCH("R52",G344))*52,0)+IFERROR(--ISNUMBER(SEARCH("R53",G344))*53,0)+IFERROR(--ISNUMBER(SEARCH("R54",G344))*54,0)+IFERROR(--ISNUMBER(SEARCH("R55",G344))*55,0)+IFERROR(--ISNUMBER(SEARCH("R56",G344))*56,0)+IFERROR(--ISNUMBER(SEARCH("R57",G344))*57,0)+IFERROR(--ISNUMBER(SEARCH("R58",G344))*58,0)+IFERROR(--ISNUMBER(SEARCH("R59",G344))*59,0)+IFERROR(--ISNUMBER(SEARCH("R60",G344))*60,0)+IFERROR(--ISNUMBER(SEARCH("R61",G344))*61,0)+IFERROR(--ISNUMBER(SEARCH("R62",G344))*62,0)+IFERROR(--ISNUMBER(SEARCH("R63",G344))*63,0)+IFERROR(--ISNUMBER(SEARCH("R64",G344))*64,0)+IFERROR(--ISNUMBER(SEARCH("R65",G344))*65,0)+IFERROR(--ISNUMBER(SEARCH("R66",G344))*66,0)+IFERROR(--ISNUMBER(SEARCH("R67",G344))*67,0)+IFERROR(--ISNUMBER(SEARCH("R68",G344))*68,0)+IFERROR(--ISNUMBER(SEARCH("R69",G344))*69,0)+IFERROR(--ISNUMBER(SEARCH("R70",G344))*70,0)+IFERROR(--ISNUMBER(SEARCH("R71",G344))*71,0)+IFERROR(--ISNUMBER(SEARCH("R72",G344))*72,0)+IFERROR(--ISNUMBER(SEARCH("R73",G344))*73,0)+IFERROR(--ISNUMBER(SEARCH("R74",G344))*74,0)+IFERROR(--ISNUMBER(SEARCH("R75",G344))*75,0)+IFERROR(--ISNUMBER(SEARCH("R76",G344))*76,0)+IFERROR(--ISNUMBER(SEARCH("R77",G344))*77,0)+IFERROR(--ISNUMBER(SEARCH("R78",G344))*78,0)+IFERROR(--ISNUMBER(SEARCH("R79",G344))*79,0)+IFERROR(--ISNUMBER(SEARCH("R80",G344))*80,0)+IFERROR(--ISNUMBER(SEARCH("R81",G344))*81,0)+IFERROR(--ISNUMBER(SEARCH("R82",G344))*82,0)+IFERROR(--ISNUMBER(SEARCH("R83",G344))*83,0)+IFERROR(--ISNUMBER(SEARCH("R84",G344))*84,0)+IFERROR(--ISNUMBER(SEARCH("R85",G344))*85,0)+IFERROR(--ISNUMBER(SEARCH("R86",G344))*86,0)+IFERROR(--ISNUMBER(SEARCH("R87",G344))*87,0)+IFERROR(--ISNUMBER(SEARCH("R88",G344))*88,0)+IFERROR(--ISNUMBER(SEARCH("R89",G344))*89,0)+IFERROR(--ISNUMBER(SEARCH("R90",G344))*90,0)+IFERROR(--ISNUMBER(SEARCH("R91",G344))*91,0)+IFERROR(--ISNUMBER(SEARCH("R92",G344))*92,0)+IFERROR(--ISNUMBER(SEARCH("R93",G344))*93,0)+IFERROR(--ISNUMBER(SEARCH("R94",G344))*94,0)+IFERROR(--ISNUMBER(SEARCH("R95",G344))*95,0)+IFERROR(--ISNUMBER(SEARCH("R96",G344))*96,0)+IFERROR(--ISNUMBER(SEARCH("R97",G344))*97,0)+IFERROR(--ISNUMBER(SEARCH("R98",G344))*98,0)+IFERROR(--ISNUMBER(SEARCH("R99",G344))*99,0)+IFERROR(--ISNUMBER(SEARCH("R100",G344))*100,0)+IFERROR(--ISNUMBER(SEARCH("R101",G344))*101,0)+IFERROR(--ISNUMBER(SEARCH("R102",G344))*102,0)+IFERROR(--ISNUMBER(SEARCH("R103",G344))*103,0)+IFERROR(--ISNUMBER(SEARCH("R104",G344))*104,0)+IFERROR(--ISNUMBER(SEARCH("R105",G344))*105,0)+IFERROR(--ISNUMBER(SEARCH("R106",G344))*106,0)+IFERROR(--ISNUMBER(SEARCH("R107",G344))*107,0)+IFERROR(--ISNUMBER(SEARCH("R108",G344))*108,0)+IFERROR(--ISNUMBER(SEARCH("R109",G344))*109,0)+IFERROR(--ISNUMBER(SEARCH("R110",G344))*110,0)+IFERROR(--ISNUMBER(SEARCH("R111",G344))*111,0)+IFERROR(--ISNUMBER(SEARCH("R112",G344))*112,0)+IFERROR(--ISNUMBER(SEARCH("R113",G344))*113,0)+IFERROR(--ISNUMBER(SEARCH("R114",G344))*114,0)+IFERROR(--ISNUMBER(SEARCH("R115",G344))*115,0)+IFERROR(--ISNUMBER(SEARCH("R116",G344))*116,0)+IFERROR(--ISNUMBER(SEARCH("R117",G344))*117,0)+IFERROR(--ISNUMBER(SEARCH("R118",G344))*118,0)+IFERROR(--ISNUMBER(SEARCH("R119",G344))*119,0)+IFERROR(--ISNUMBER(SEARCH("R120",G344))*120,0)+IFERROR(--ISNUMBER(SEARCH("R121",G344))*121,0)+IFERROR(--ISNUMBER(SEARCH("R122",G344))*122,0)+IFERROR(--ISNUMBER(SEARCH("R123",G344))*123,0)+IFERROR(--ISNUMBER(SEARCH("R124",G344))*124,0)+IFERROR(--ISNUMBER(SEARCH("R125",G344))*125,0)+IFERROR(--ISNUMBER(SEARCH("R126",G344))*126,0)+IFERROR(--ISNUMBER(SEARCH("R127",G344))*127,0)+IFERROR(--ISNUMBER(SEARCH("R128",G344))*128,0)+IFERROR(--ISNUMBER(SEARCH("R129",G344))*129,0)+IFERROR(--ISNUMBER(SEARCH("R130",G344))*130,0)+IFERROR(--ISNUMBER(SEARCH("R131",G344))*131,0)+IFERROR(--ISNUMBER(SEARCH("R132",G344))*132,0)+IFERROR(--ISNUMBER(SEARCH("R133",G344))*133,0)+IFERROR(--ISNUMBER(SEARCH("R134",G344))*134,0)+IFERROR(--ISNUMBER(SEARCH("R135",G344))*135,0)+IFERROR(--ISNUMBER(SEARCH("R136",G344))*136,0)+IFERROR(--ISNUMBER(SEARCH("R137",G344))*137,0)+IFERROR(--ISNUMBER(SEARCH("R138",G344))*138,0)+IFERROR(--ISNUMBER(SEARCH("R139",G344))*139,0)+IFERROR(--ISNUMBER(SEARCH("R140",G344))*140,0)+IFERROR(--ISNUMBER(SEARCH("R141",G344))*141,0))</f>
        <v/>
      </c>
      <c r="V344" s="59">
        <f>IF(A344="","",IF(K344&lt;&gt;"",K344,J344))</f>
        <v/>
      </c>
      <c r="W344" s="59">
        <f>IF(A344="","",IF(AND(V344=29,O344&lt;&gt;"",COUNTIFS($V$6:$V$505,29,$F$6:$F$505,F344,$C$6:$C$505,C344,$O$6:$O$505,"&lt;&gt;")&gt;1),IF(COUNTIFS($V$6:V344,29,$F$6:F344,F344,$C$6:C344,C344,$O$6:O344,"&lt;&gt;")=1,"Esta es la fila que se debe CONSERVAR (aparición 1 de "&amp;COUNTIFS($V$6:$V$505,29,$F$6:$F$505,F344,$C$6:$C$505,C344,$O$6:$O$505,"&lt;&gt;")&amp;" con el mismo tercero y valor, casilla 29). Si hay más filas iguales, bórreles el valor a ELLAS, no a esta.","DUPLICADO — ya existe otra fila con el mismo tercero y valor para casilla 29 (aparición "&amp;COUNTIFS($V$6:V344,29,$F$6:F344,F344,$C$6:C344,C344,$O$6:O344,"&lt;&gt;")&amp;" de "&amp;COUNTIFS($V$6:$V$505,29,$F$6:$F$505,F344,$C$6:$C$505,C344,$O$6:$O$505,"&lt;&gt;")&amp;"). Para resolverlo: seleccione la celda O"&amp;ROW()&amp;" (columna Valor a declarar de ESTA fila) y presione Supr."),""))</f>
        <v/>
      </c>
      <c r="X344" s="463">
        <f>IF(A344="","",F344)</f>
        <v/>
      </c>
      <c r="Y344" s="463">
        <f>IF(A344="","",SUMIF(Entrada_Manual!$I$88:$I$187,A344,Entrada_Manual!$F$88:$F$187))</f>
        <v/>
      </c>
      <c r="Z344" s="463">
        <f>IF(A344="","",X344-Y344)</f>
        <v/>
      </c>
      <c r="AA344">
        <f>IF(A344="","",SUMPRODUCT((Entrada_Manual!$I$88:$I$187=A344)*1))</f>
        <v/>
      </c>
      <c r="AB344">
        <f>IF(A344="","",IF(S344&lt;=1,"",IF(AA344=0,"PENDIENTE — SIN ASIGNAR",IF(Z344=0,"RESUELTO","PARCIAL — DIFERENCIA "&amp;TEXT(Z344,"#,##0")))))</f>
        <v/>
      </c>
    </row>
    <row r="345" ht="14.25" customHeight="1" s="235">
      <c r="A345" s="47">
        <f>IF(Exogena_RAW!E354&lt;&gt;"",ROW()-5,"")</f>
        <v/>
      </c>
      <c r="B345" s="48">
        <f>IF(A345="","",354)</f>
        <v/>
      </c>
      <c r="C345" s="48">
        <f>IF(A345="","",IFERROR(Exogena_RAW!A354,""))</f>
        <v/>
      </c>
      <c r="D345" s="48">
        <f>IF(A345="","",IFERROR(Exogena_RAW!B354,""))</f>
        <v/>
      </c>
      <c r="E345" s="48">
        <f>IF(A345="","",Exogena_RAW!E354)</f>
        <v/>
      </c>
      <c r="F345" s="461">
        <f>IF(A345="","",Exogena_RAW!F354)</f>
        <v/>
      </c>
      <c r="G345" s="48">
        <f>IF(A345="","",IFERROR(Exogena_RAW!G354,""))</f>
        <v/>
      </c>
      <c r="H345" s="48">
        <f>IF(A345="","",IFERROR(Exogena_RAW!H354,""))</f>
        <v/>
      </c>
      <c r="I345" s="48">
        <f>IF(A345="","",IFERROR(IF(S345&gt;1,"VARIAS CASILLAS",IF(S345=1,IF(T345=1,"PROPUESTA DE CASILLA","REVISIÓN: CASILLA NO DIRECTA"),IF(OR(ISNUMBER(SEARCH("TOPE",UPPER(E345))),ISNUMBER(SEARCH("TOPE",UPPER(G345)))),"SOLO CONTROL",IF(ISNUMBER(SEARCH("RETEN",UPPER(E345))),"RETENCIÓN","REVISAR")))),"REVISAR"))</f>
        <v/>
      </c>
      <c r="J345" s="48">
        <f>IF(A345="","",IF(ISNUMBER(SEARCH("ingreso laboral promedio de los últimos seis meses",E345)),"",IFERROR(IF(AND(S345=1,T345=1),U345,""),"")))</f>
        <v/>
      </c>
      <c r="K345" s="216" t="n"/>
      <c r="L345" s="48">
        <f>IF(A345="","",IFERROR(IF(K345&lt;&gt;"","Casilla elegida por usuario",IF(S345&gt;1,"Varias casillas — elegir en K",IF(J345&lt;&gt;"","Sugerencia directa",IF(S345=1,"No trasladar directo — revisar",IF(OR(ISNUMBER(SEARCH("TOPE",UPPER(E345))),ISNUMBER(SEARCH("TOPE",UPPER(G345)))),"Solo control","Revisar manualmente"))))),"Revisar manualmente"))</f>
        <v/>
      </c>
      <c r="M345" s="461">
        <f>IF(A345="","",IF(IF(K345&lt;&gt;"",K345,J345)="",0,IF(COUNTIFS(Reglas!$I$5:$I$118,IF(K345&lt;&gt;"",K345,J345),Reglas!$J$5:$J$118,"Sí")=1,F345,0)))</f>
        <v/>
      </c>
      <c r="N345" s="56" t="n"/>
      <c r="O345" s="462">
        <f>IF(A345="","",IF(M345=0,"",M345))</f>
        <v/>
      </c>
      <c r="P345" s="461">
        <f>IF(A345="","",IF(O345="",0,IF(ISNUMBER(O345),O345,0)))</f>
        <v/>
      </c>
      <c r="Q345" s="48">
        <f>IF(A345="","",IF(Exogena_RAW!$C$4="","BLOQUEADO: FALTA AÑO",IF(Exogena_RAW!$K$10&lt;&gt;Reglas!$B$5,"BLOQUEADO: AÑO",IF(IF(K345&lt;&gt;"",K345,J345)="",IF(S345&gt;1,"REQUIERE ASIGNACIÓN MANUAL (VARIAS CASILLAS)","INFORMATIVO (sin casilla — no se declara)"),IF(COUNTIFS(Reglas!$I$5:$I$118,IF(K345&lt;&gt;"",K345,J345),Reglas!$J$5:$J$118,"Sí")=0,"BLOQUEADO: CASILLA NO DIRECTA",IF(O345="","EXCLUIDO (valor borrado por el usuario)",IF(_xlfn.ISFORMULA(O345),IF(W345&lt;&gt;"","BORRADOR — VALOR SUGERIDO DIAN ⚠ VER ALERTA","BORRADOR — VALOR SUGERIDO DIAN"),IF(W345&lt;&gt;"","ACEPTADO ⚠ VER ALERTA","ACEPTADO"))))))))</f>
        <v/>
      </c>
      <c r="R345" s="218" t="n"/>
      <c r="S345" s="58">
        <f>IF(A345="","",IFERROR(--ISNUMBER(SEARCH("R28",G345)),0)+IFERROR(--ISNUMBER(SEARCH("R29",G345)),0)+IFERROR(--ISNUMBER(SEARCH("R30",G345)),0)+IFERROR(--ISNUMBER(SEARCH("R31",G345)),0)+IFERROR(--ISNUMBER(SEARCH("R32",G345)),0)+IFERROR(--ISNUMBER(SEARCH("R33",G345)),0)+IFERROR(--ISNUMBER(SEARCH("R34",G345)),0)+IFERROR(--ISNUMBER(SEARCH("R35",G345)),0)+IFERROR(--ISNUMBER(SEARCH("R36",G345)),0)+IFERROR(--ISNUMBER(SEARCH("R37",G345)),0)+IFERROR(--ISNUMBER(SEARCH("R38",G345)),0)+IFERROR(--ISNUMBER(SEARCH("R39",G345)),0)+IFERROR(--ISNUMBER(SEARCH("R40",G345)),0)+IFERROR(--ISNUMBER(SEARCH("R41",G345)),0)+IFERROR(--ISNUMBER(SEARCH("R42",G345)),0)+IFERROR(--ISNUMBER(SEARCH("R43",G345)),0)+IFERROR(--ISNUMBER(SEARCH("R44",G345)),0)+IFERROR(--ISNUMBER(SEARCH("R45",G345)),0)+IFERROR(--ISNUMBER(SEARCH("R46",G345)),0)+IFERROR(--ISNUMBER(SEARCH("R47",G345)),0)+IFERROR(--ISNUMBER(SEARCH("R48",G345)),0)+IFERROR(--ISNUMBER(SEARCH("R49",G345)),0)+IFERROR(--ISNUMBER(SEARCH("R50",G345)),0)+IFERROR(--ISNUMBER(SEARCH("R51",G345)),0)+IFERROR(--ISNUMBER(SEARCH("R52",G345)),0)+IFERROR(--ISNUMBER(SEARCH("R53",G345)),0)+IFERROR(--ISNUMBER(SEARCH("R54",G345)),0)+IFERROR(--ISNUMBER(SEARCH("R55",G345)),0)+IFERROR(--ISNUMBER(SEARCH("R56",G345)),0)+IFERROR(--ISNUMBER(SEARCH("R57",G345)),0)+IFERROR(--ISNUMBER(SEARCH("R58",G345)),0)+IFERROR(--ISNUMBER(SEARCH("R59",G345)),0)+IFERROR(--ISNUMBER(SEARCH("R60",G345)),0)+IFERROR(--ISNUMBER(SEARCH("R61",G345)),0)+IFERROR(--ISNUMBER(SEARCH("R62",G345)),0)+IFERROR(--ISNUMBER(SEARCH("R63",G345)),0)+IFERROR(--ISNUMBER(SEARCH("R64",G345)),0)+IFERROR(--ISNUMBER(SEARCH("R65",G345)),0)+IFERROR(--ISNUMBER(SEARCH("R66",G345)),0)+IFERROR(--ISNUMBER(SEARCH("R67",G345)),0)+IFERROR(--ISNUMBER(SEARCH("R68",G345)),0)+IFERROR(--ISNUMBER(SEARCH("R69",G345)),0)+IFERROR(--ISNUMBER(SEARCH("R70",G345)),0)+IFERROR(--ISNUMBER(SEARCH("R71",G345)),0)+IFERROR(--ISNUMBER(SEARCH("R72",G345)),0)+IFERROR(--ISNUMBER(SEARCH("R73",G345)),0)+IFERROR(--ISNUMBER(SEARCH("R74",G345)),0)+IFERROR(--ISNUMBER(SEARCH("R75",G345)),0)+IFERROR(--ISNUMBER(SEARCH("R76",G345)),0)+IFERROR(--ISNUMBER(SEARCH("R77",G345)),0)+IFERROR(--ISNUMBER(SEARCH("R78",G345)),0)+IFERROR(--ISNUMBER(SEARCH("R79",G345)),0)+IFERROR(--ISNUMBER(SEARCH("R80",G345)),0)+IFERROR(--ISNUMBER(SEARCH("R81",G345)),0)+IFERROR(--ISNUMBER(SEARCH("R82",G345)),0)+IFERROR(--ISNUMBER(SEARCH("R83",G345)),0)+IFERROR(--ISNUMBER(SEARCH("R84",G345)),0)+IFERROR(--ISNUMBER(SEARCH("R85",G345)),0)+IFERROR(--ISNUMBER(SEARCH("R86",G345)),0)+IFERROR(--ISNUMBER(SEARCH("R87",G345)),0)+IFERROR(--ISNUMBER(SEARCH("R88",G345)),0)+IFERROR(--ISNUMBER(SEARCH("R89",G345)),0)+IFERROR(--ISNUMBER(SEARCH("R90",G345)),0)+IFERROR(--ISNUMBER(SEARCH("R91",G345)),0)+IFERROR(--ISNUMBER(SEARCH("R92",G345)),0)+IFERROR(--ISNUMBER(SEARCH("R93",G345)),0)+IFERROR(--ISNUMBER(SEARCH("R94",G345)),0)+IFERROR(--ISNUMBER(SEARCH("R95",G345)),0)+IFERROR(--ISNUMBER(SEARCH("R96",G345)),0)+IFERROR(--ISNUMBER(SEARCH("R97",G345)),0)+IFERROR(--ISNUMBER(SEARCH("R98",G345)),0)+IFERROR(--ISNUMBER(SEARCH("R99",G345)),0)+IFERROR(--ISNUMBER(SEARCH("R100",G345)),0)+IFERROR(--ISNUMBER(SEARCH("R101",G345)),0)+IFERROR(--ISNUMBER(SEARCH("R102",G345)),0)+IFERROR(--ISNUMBER(SEARCH("R103",G345)),0)+IFERROR(--ISNUMBER(SEARCH("R104",G345)),0)+IFERROR(--ISNUMBER(SEARCH("R105",G345)),0)+IFERROR(--ISNUMBER(SEARCH("R106",G345)),0)+IFERROR(--ISNUMBER(SEARCH("R107",G345)),0)+IFERROR(--ISNUMBER(SEARCH("R108",G345)),0)+IFERROR(--ISNUMBER(SEARCH("R109",G345)),0)+IFERROR(--ISNUMBER(SEARCH("R110",G345)),0)+IFERROR(--ISNUMBER(SEARCH("R111",G345)),0)+IFERROR(--ISNUMBER(SEARCH("R112",G345)),0)+IFERROR(--ISNUMBER(SEARCH("R113",G345)),0)+IFERROR(--ISNUMBER(SEARCH("R114",G345)),0)+IFERROR(--ISNUMBER(SEARCH("R115",G345)),0)+IFERROR(--ISNUMBER(SEARCH("R116",G345)),0)+IFERROR(--ISNUMBER(SEARCH("R117",G345)),0)+IFERROR(--ISNUMBER(SEARCH("R118",G345)),0)+IFERROR(--ISNUMBER(SEARCH("R119",G345)),0)+IFERROR(--ISNUMBER(SEARCH("R120",G345)),0)+IFERROR(--ISNUMBER(SEARCH("R121",G345)),0)+IFERROR(--ISNUMBER(SEARCH("R122",G345)),0)+IFERROR(--ISNUMBER(SEARCH("R123",G345)),0)+IFERROR(--ISNUMBER(SEARCH("R124",G345)),0)+IFERROR(--ISNUMBER(SEARCH("R125",G345)),0)+IFERROR(--ISNUMBER(SEARCH("R126",G345)),0)+IFERROR(--ISNUMBER(SEARCH("R127",G345)),0)+IFERROR(--ISNUMBER(SEARCH("R128",G345)),0)+IFERROR(--ISNUMBER(SEARCH("R129",G345)),0)+IFERROR(--ISNUMBER(SEARCH("R130",G345)),0)+IFERROR(--ISNUMBER(SEARCH("R131",G345)),0)+IFERROR(--ISNUMBER(SEARCH("R132",G345)),0)+IFERROR(--ISNUMBER(SEARCH("R133",G345)),0)+IFERROR(--ISNUMBER(SEARCH("R134",G345)),0)+IFERROR(--ISNUMBER(SEARCH("R135",G345)),0)+IFERROR(--ISNUMBER(SEARCH("R136",G345)),0)+IFERROR(--ISNUMBER(SEARCH("R137",G345)),0)+IFERROR(--ISNUMBER(SEARCH("R138",G345)),0)+IFERROR(--ISNUMBER(SEARCH("R139",G345)),0)+IFERROR(--ISNUMBER(SEARCH("R140",G345)),0)+IFERROR(--ISNUMBER(SEARCH("R141",G345)),0))</f>
        <v/>
      </c>
      <c r="T345" s="58">
        <f>IF(A345="","",IFERROR(--ISNUMBER(SEARCH("R28",G345)),0)+IFERROR(--ISNUMBER(SEARCH("R29",G345)),0)+IFERROR(--ISNUMBER(SEARCH("R30",G345)),0)+IFERROR(--ISNUMBER(SEARCH("R32",G345)),0)+IFERROR(--ISNUMBER(SEARCH("R33",G345)),0)+IFERROR(--ISNUMBER(SEARCH("R35",G345)),0)+IFERROR(--ISNUMBER(SEARCH("R36",G345)),0)+IFERROR(--ISNUMBER(SEARCH("R38",G345)),0)+IFERROR(--ISNUMBER(SEARCH("R39",G345)),0)+IFERROR(--ISNUMBER(SEARCH("R43",G345)),0)+IFERROR(--ISNUMBER(SEARCH("R44",G345)),0)+IFERROR(--ISNUMBER(SEARCH("R45",G345)),0)+IFERROR(--ISNUMBER(SEARCH("R47",G345)),0)+IFERROR(--ISNUMBER(SEARCH("R48",G345)),0)+IFERROR(--ISNUMBER(SEARCH("R50",G345)),0)+IFERROR(--ISNUMBER(SEARCH("R51",G345)),0)+IFERROR(--ISNUMBER(SEARCH("R56",G345)),0)+IFERROR(--ISNUMBER(SEARCH("R58",G345)),0)+IFERROR(--ISNUMBER(SEARCH("R59",G345)),0)+IFERROR(--ISNUMBER(SEARCH("R60",G345)),0)+IFERROR(--ISNUMBER(SEARCH("R62",G345)),0)+IFERROR(--ISNUMBER(SEARCH("R63",G345)),0)+IFERROR(--ISNUMBER(SEARCH("R64",G345)),0)+IFERROR(--ISNUMBER(SEARCH("R66",G345)),0)+IFERROR(--ISNUMBER(SEARCH("R67",G345)),0)+IFERROR(--ISNUMBER(SEARCH("R72",G345)),0)+IFERROR(--ISNUMBER(SEARCH("R74",G345)),0)+IFERROR(--ISNUMBER(SEARCH("R75",G345)),0)+IFERROR(--ISNUMBER(SEARCH("R76",G345)),0)+IFERROR(--ISNUMBER(SEARCH("R77",G345)),0)+IFERROR(--ISNUMBER(SEARCH("R79",G345)),0)+IFERROR(--ISNUMBER(SEARCH("R80",G345)),0)+IFERROR(--ISNUMBER(SEARCH("R81",G345)),0)+IFERROR(--ISNUMBER(SEARCH("R83",G345)),0)+IFERROR(--ISNUMBER(SEARCH("R84",G345)),0)+IFERROR(--ISNUMBER(SEARCH("R89",G345)),0)+IFERROR(--ISNUMBER(SEARCH("R94",G345)),0)+IFERROR(--ISNUMBER(SEARCH("R95",G345)),0)+IFERROR(--ISNUMBER(SEARCH("R96",G345)),0)+IFERROR(--ISNUMBER(SEARCH("R98",G345)),0)+IFERROR(--ISNUMBER(SEARCH("R99",G345)),0)+IFERROR(--ISNUMBER(SEARCH("R100",G345)),0)+IFERROR(--ISNUMBER(SEARCH("R104",G345)),0)+IFERROR(--ISNUMBER(SEARCH("R105",G345)),0)+IFERROR(--ISNUMBER(SEARCH("R107",G345)),0)+IFERROR(--ISNUMBER(SEARCH("R108",G345)),0)+IFERROR(--ISNUMBER(SEARCH("R109",G345)),0)+IFERROR(--ISNUMBER(SEARCH("R110",G345)),0)+IFERROR(--ISNUMBER(SEARCH("R112",G345)),0)+IFERROR(--ISNUMBER(SEARCH("R113",G345)),0)+IFERROR(--ISNUMBER(SEARCH("R114",G345)),0)+IFERROR(--ISNUMBER(SEARCH("R118",G345)),0)+IFERROR(--ISNUMBER(SEARCH("R119",G345)),0)+IFERROR(--ISNUMBER(SEARCH("R120",G345)),0)+IFERROR(--ISNUMBER(SEARCH("R122",G345)),0)+IFERROR(--ISNUMBER(SEARCH("R123",G345)),0)+IFERROR(--ISNUMBER(SEARCH("R124",G345)),0)+IFERROR(--ISNUMBER(SEARCH("R128",G345)),0)+IFERROR(--ISNUMBER(SEARCH("R130",G345)),0)+IFERROR(--ISNUMBER(SEARCH("R131",G345)),0)+IFERROR(--ISNUMBER(SEARCH("R132",G345)),0)+IFERROR(--ISNUMBER(SEARCH("R135",G345)),0)+IFERROR(--ISNUMBER(SEARCH("R138",G345)),0)+IFERROR(--ISNUMBER(SEARCH("R141",G345)),0))</f>
        <v/>
      </c>
      <c r="U345" s="58">
        <f>IF(A345="","",IFERROR(--ISNUMBER(SEARCH("R28",G345))*28,0)+IFERROR(--ISNUMBER(SEARCH("R29",G345))*29,0)+IFERROR(--ISNUMBER(SEARCH("R30",G345))*30,0)+IFERROR(--ISNUMBER(SEARCH("R31",G345))*31,0)+IFERROR(--ISNUMBER(SEARCH("R32",G345))*32,0)+IFERROR(--ISNUMBER(SEARCH("R33",G345))*33,0)+IFERROR(--ISNUMBER(SEARCH("R34",G345))*34,0)+IFERROR(--ISNUMBER(SEARCH("R35",G345))*35,0)+IFERROR(--ISNUMBER(SEARCH("R36",G345))*36,0)+IFERROR(--ISNUMBER(SEARCH("R37",G345))*37,0)+IFERROR(--ISNUMBER(SEARCH("R38",G345))*38,0)+IFERROR(--ISNUMBER(SEARCH("R39",G345))*39,0)+IFERROR(--ISNUMBER(SEARCH("R40",G345))*40,0)+IFERROR(--ISNUMBER(SEARCH("R41",G345))*41,0)+IFERROR(--ISNUMBER(SEARCH("R42",G345))*42,0)+IFERROR(--ISNUMBER(SEARCH("R43",G345))*43,0)+IFERROR(--ISNUMBER(SEARCH("R44",G345))*44,0)+IFERROR(--ISNUMBER(SEARCH("R45",G345))*45,0)+IFERROR(--ISNUMBER(SEARCH("R46",G345))*46,0)+IFERROR(--ISNUMBER(SEARCH("R47",G345))*47,0)+IFERROR(--ISNUMBER(SEARCH("R48",G345))*48,0)+IFERROR(--ISNUMBER(SEARCH("R49",G345))*49,0)+IFERROR(--ISNUMBER(SEARCH("R50",G345))*50,0)+IFERROR(--ISNUMBER(SEARCH("R51",G345))*51,0)+IFERROR(--ISNUMBER(SEARCH("R52",G345))*52,0)+IFERROR(--ISNUMBER(SEARCH("R53",G345))*53,0)+IFERROR(--ISNUMBER(SEARCH("R54",G345))*54,0)+IFERROR(--ISNUMBER(SEARCH("R55",G345))*55,0)+IFERROR(--ISNUMBER(SEARCH("R56",G345))*56,0)+IFERROR(--ISNUMBER(SEARCH("R57",G345))*57,0)+IFERROR(--ISNUMBER(SEARCH("R58",G345))*58,0)+IFERROR(--ISNUMBER(SEARCH("R59",G345))*59,0)+IFERROR(--ISNUMBER(SEARCH("R60",G345))*60,0)+IFERROR(--ISNUMBER(SEARCH("R61",G345))*61,0)+IFERROR(--ISNUMBER(SEARCH("R62",G345))*62,0)+IFERROR(--ISNUMBER(SEARCH("R63",G345))*63,0)+IFERROR(--ISNUMBER(SEARCH("R64",G345))*64,0)+IFERROR(--ISNUMBER(SEARCH("R65",G345))*65,0)+IFERROR(--ISNUMBER(SEARCH("R66",G345))*66,0)+IFERROR(--ISNUMBER(SEARCH("R67",G345))*67,0)+IFERROR(--ISNUMBER(SEARCH("R68",G345))*68,0)+IFERROR(--ISNUMBER(SEARCH("R69",G345))*69,0)+IFERROR(--ISNUMBER(SEARCH("R70",G345))*70,0)+IFERROR(--ISNUMBER(SEARCH("R71",G345))*71,0)+IFERROR(--ISNUMBER(SEARCH("R72",G345))*72,0)+IFERROR(--ISNUMBER(SEARCH("R73",G345))*73,0)+IFERROR(--ISNUMBER(SEARCH("R74",G345))*74,0)+IFERROR(--ISNUMBER(SEARCH("R75",G345))*75,0)+IFERROR(--ISNUMBER(SEARCH("R76",G345))*76,0)+IFERROR(--ISNUMBER(SEARCH("R77",G345))*77,0)+IFERROR(--ISNUMBER(SEARCH("R78",G345))*78,0)+IFERROR(--ISNUMBER(SEARCH("R79",G345))*79,0)+IFERROR(--ISNUMBER(SEARCH("R80",G345))*80,0)+IFERROR(--ISNUMBER(SEARCH("R81",G345))*81,0)+IFERROR(--ISNUMBER(SEARCH("R82",G345))*82,0)+IFERROR(--ISNUMBER(SEARCH("R83",G345))*83,0)+IFERROR(--ISNUMBER(SEARCH("R84",G345))*84,0)+IFERROR(--ISNUMBER(SEARCH("R85",G345))*85,0)+IFERROR(--ISNUMBER(SEARCH("R86",G345))*86,0)+IFERROR(--ISNUMBER(SEARCH("R87",G345))*87,0)+IFERROR(--ISNUMBER(SEARCH("R88",G345))*88,0)+IFERROR(--ISNUMBER(SEARCH("R89",G345))*89,0)+IFERROR(--ISNUMBER(SEARCH("R90",G345))*90,0)+IFERROR(--ISNUMBER(SEARCH("R91",G345))*91,0)+IFERROR(--ISNUMBER(SEARCH("R92",G345))*92,0)+IFERROR(--ISNUMBER(SEARCH("R93",G345))*93,0)+IFERROR(--ISNUMBER(SEARCH("R94",G345))*94,0)+IFERROR(--ISNUMBER(SEARCH("R95",G345))*95,0)+IFERROR(--ISNUMBER(SEARCH("R96",G345))*96,0)+IFERROR(--ISNUMBER(SEARCH("R97",G345))*97,0)+IFERROR(--ISNUMBER(SEARCH("R98",G345))*98,0)+IFERROR(--ISNUMBER(SEARCH("R99",G345))*99,0)+IFERROR(--ISNUMBER(SEARCH("R100",G345))*100,0)+IFERROR(--ISNUMBER(SEARCH("R101",G345))*101,0)+IFERROR(--ISNUMBER(SEARCH("R102",G345))*102,0)+IFERROR(--ISNUMBER(SEARCH("R103",G345))*103,0)+IFERROR(--ISNUMBER(SEARCH("R104",G345))*104,0)+IFERROR(--ISNUMBER(SEARCH("R105",G345))*105,0)+IFERROR(--ISNUMBER(SEARCH("R106",G345))*106,0)+IFERROR(--ISNUMBER(SEARCH("R107",G345))*107,0)+IFERROR(--ISNUMBER(SEARCH("R108",G345))*108,0)+IFERROR(--ISNUMBER(SEARCH("R109",G345))*109,0)+IFERROR(--ISNUMBER(SEARCH("R110",G345))*110,0)+IFERROR(--ISNUMBER(SEARCH("R111",G345))*111,0)+IFERROR(--ISNUMBER(SEARCH("R112",G345))*112,0)+IFERROR(--ISNUMBER(SEARCH("R113",G345))*113,0)+IFERROR(--ISNUMBER(SEARCH("R114",G345))*114,0)+IFERROR(--ISNUMBER(SEARCH("R115",G345))*115,0)+IFERROR(--ISNUMBER(SEARCH("R116",G345))*116,0)+IFERROR(--ISNUMBER(SEARCH("R117",G345))*117,0)+IFERROR(--ISNUMBER(SEARCH("R118",G345))*118,0)+IFERROR(--ISNUMBER(SEARCH("R119",G345))*119,0)+IFERROR(--ISNUMBER(SEARCH("R120",G345))*120,0)+IFERROR(--ISNUMBER(SEARCH("R121",G345))*121,0)+IFERROR(--ISNUMBER(SEARCH("R122",G345))*122,0)+IFERROR(--ISNUMBER(SEARCH("R123",G345))*123,0)+IFERROR(--ISNUMBER(SEARCH("R124",G345))*124,0)+IFERROR(--ISNUMBER(SEARCH("R125",G345))*125,0)+IFERROR(--ISNUMBER(SEARCH("R126",G345))*126,0)+IFERROR(--ISNUMBER(SEARCH("R127",G345))*127,0)+IFERROR(--ISNUMBER(SEARCH("R128",G345))*128,0)+IFERROR(--ISNUMBER(SEARCH("R129",G345))*129,0)+IFERROR(--ISNUMBER(SEARCH("R130",G345))*130,0)+IFERROR(--ISNUMBER(SEARCH("R131",G345))*131,0)+IFERROR(--ISNUMBER(SEARCH("R132",G345))*132,0)+IFERROR(--ISNUMBER(SEARCH("R133",G345))*133,0)+IFERROR(--ISNUMBER(SEARCH("R134",G345))*134,0)+IFERROR(--ISNUMBER(SEARCH("R135",G345))*135,0)+IFERROR(--ISNUMBER(SEARCH("R136",G345))*136,0)+IFERROR(--ISNUMBER(SEARCH("R137",G345))*137,0)+IFERROR(--ISNUMBER(SEARCH("R138",G345))*138,0)+IFERROR(--ISNUMBER(SEARCH("R139",G345))*139,0)+IFERROR(--ISNUMBER(SEARCH("R140",G345))*140,0)+IFERROR(--ISNUMBER(SEARCH("R141",G345))*141,0))</f>
        <v/>
      </c>
      <c r="V345" s="59">
        <f>IF(A345="","",IF(K345&lt;&gt;"",K345,J345))</f>
        <v/>
      </c>
      <c r="W345" s="59">
        <f>IF(A345="","",IF(AND(V345=29,O345&lt;&gt;"",COUNTIFS($V$6:$V$505,29,$F$6:$F$505,F345,$C$6:$C$505,C345,$O$6:$O$505,"&lt;&gt;")&gt;1),IF(COUNTIFS($V$6:V345,29,$F$6:F345,F345,$C$6:C345,C345,$O$6:O345,"&lt;&gt;")=1,"Esta es la fila que se debe CONSERVAR (aparición 1 de "&amp;COUNTIFS($V$6:$V$505,29,$F$6:$F$505,F345,$C$6:$C$505,C345,$O$6:$O$505,"&lt;&gt;")&amp;" con el mismo tercero y valor, casilla 29). Si hay más filas iguales, bórreles el valor a ELLAS, no a esta.","DUPLICADO — ya existe otra fila con el mismo tercero y valor para casilla 29 (aparición "&amp;COUNTIFS($V$6:V345,29,$F$6:F345,F345,$C$6:C345,C345,$O$6:O345,"&lt;&gt;")&amp;" de "&amp;COUNTIFS($V$6:$V$505,29,$F$6:$F$505,F345,$C$6:$C$505,C345,$O$6:$O$505,"&lt;&gt;")&amp;"). Para resolverlo: seleccione la celda O"&amp;ROW()&amp;" (columna Valor a declarar de ESTA fila) y presione Supr."),""))</f>
        <v/>
      </c>
      <c r="X345" s="463">
        <f>IF(A345="","",F345)</f>
        <v/>
      </c>
      <c r="Y345" s="463">
        <f>IF(A345="","",SUMIF(Entrada_Manual!$I$88:$I$187,A345,Entrada_Manual!$F$88:$F$187))</f>
        <v/>
      </c>
      <c r="Z345" s="463">
        <f>IF(A345="","",X345-Y345)</f>
        <v/>
      </c>
      <c r="AA345">
        <f>IF(A345="","",SUMPRODUCT((Entrada_Manual!$I$88:$I$187=A345)*1))</f>
        <v/>
      </c>
      <c r="AB345">
        <f>IF(A345="","",IF(S345&lt;=1,"",IF(AA345=0,"PENDIENTE — SIN ASIGNAR",IF(Z345=0,"RESUELTO","PARCIAL — DIFERENCIA "&amp;TEXT(Z345,"#,##0")))))</f>
        <v/>
      </c>
    </row>
    <row r="346" ht="14.25" customHeight="1" s="235">
      <c r="A346" s="47">
        <f>IF(Exogena_RAW!E355&lt;&gt;"",ROW()-5,"")</f>
        <v/>
      </c>
      <c r="B346" s="48">
        <f>IF(A346="","",355)</f>
        <v/>
      </c>
      <c r="C346" s="48">
        <f>IF(A346="","",IFERROR(Exogena_RAW!A355,""))</f>
        <v/>
      </c>
      <c r="D346" s="48">
        <f>IF(A346="","",IFERROR(Exogena_RAW!B355,""))</f>
        <v/>
      </c>
      <c r="E346" s="48">
        <f>IF(A346="","",Exogena_RAW!E355)</f>
        <v/>
      </c>
      <c r="F346" s="461">
        <f>IF(A346="","",Exogena_RAW!F355)</f>
        <v/>
      </c>
      <c r="G346" s="48">
        <f>IF(A346="","",IFERROR(Exogena_RAW!G355,""))</f>
        <v/>
      </c>
      <c r="H346" s="48">
        <f>IF(A346="","",IFERROR(Exogena_RAW!H355,""))</f>
        <v/>
      </c>
      <c r="I346" s="48">
        <f>IF(A346="","",IFERROR(IF(S346&gt;1,"VARIAS CASILLAS",IF(S346=1,IF(T346=1,"PROPUESTA DE CASILLA","REVISIÓN: CASILLA NO DIRECTA"),IF(OR(ISNUMBER(SEARCH("TOPE",UPPER(E346))),ISNUMBER(SEARCH("TOPE",UPPER(G346)))),"SOLO CONTROL",IF(ISNUMBER(SEARCH("RETEN",UPPER(E346))),"RETENCIÓN","REVISAR")))),"REVISAR"))</f>
        <v/>
      </c>
      <c r="J346" s="48">
        <f>IF(A346="","",IF(ISNUMBER(SEARCH("ingreso laboral promedio de los últimos seis meses",E346)),"",IFERROR(IF(AND(S346=1,T346=1),U346,""),"")))</f>
        <v/>
      </c>
      <c r="K346" s="216" t="n"/>
      <c r="L346" s="48">
        <f>IF(A346="","",IFERROR(IF(K346&lt;&gt;"","Casilla elegida por usuario",IF(S346&gt;1,"Varias casillas — elegir en K",IF(J346&lt;&gt;"","Sugerencia directa",IF(S346=1,"No trasladar directo — revisar",IF(OR(ISNUMBER(SEARCH("TOPE",UPPER(E346))),ISNUMBER(SEARCH("TOPE",UPPER(G346)))),"Solo control","Revisar manualmente"))))),"Revisar manualmente"))</f>
        <v/>
      </c>
      <c r="M346" s="461">
        <f>IF(A346="","",IF(IF(K346&lt;&gt;"",K346,J346)="",0,IF(COUNTIFS(Reglas!$I$5:$I$118,IF(K346&lt;&gt;"",K346,J346),Reglas!$J$5:$J$118,"Sí")=1,F346,0)))</f>
        <v/>
      </c>
      <c r="N346" s="56" t="n"/>
      <c r="O346" s="462">
        <f>IF(A346="","",IF(M346=0,"",M346))</f>
        <v/>
      </c>
      <c r="P346" s="461">
        <f>IF(A346="","",IF(O346="",0,IF(ISNUMBER(O346),O346,0)))</f>
        <v/>
      </c>
      <c r="Q346" s="48">
        <f>IF(A346="","",IF(Exogena_RAW!$C$4="","BLOQUEADO: FALTA AÑO",IF(Exogena_RAW!$K$10&lt;&gt;Reglas!$B$5,"BLOQUEADO: AÑO",IF(IF(K346&lt;&gt;"",K346,J346)="",IF(S346&gt;1,"REQUIERE ASIGNACIÓN MANUAL (VARIAS CASILLAS)","INFORMATIVO (sin casilla — no se declara)"),IF(COUNTIFS(Reglas!$I$5:$I$118,IF(K346&lt;&gt;"",K346,J346),Reglas!$J$5:$J$118,"Sí")=0,"BLOQUEADO: CASILLA NO DIRECTA",IF(O346="","EXCLUIDO (valor borrado por el usuario)",IF(_xlfn.ISFORMULA(O346),IF(W346&lt;&gt;"","BORRADOR — VALOR SUGERIDO DIAN ⚠ VER ALERTA","BORRADOR — VALOR SUGERIDO DIAN"),IF(W346&lt;&gt;"","ACEPTADO ⚠ VER ALERTA","ACEPTADO"))))))))</f>
        <v/>
      </c>
      <c r="R346" s="218" t="n"/>
      <c r="S346" s="58">
        <f>IF(A346="","",IFERROR(--ISNUMBER(SEARCH("R28",G346)),0)+IFERROR(--ISNUMBER(SEARCH("R29",G346)),0)+IFERROR(--ISNUMBER(SEARCH("R30",G346)),0)+IFERROR(--ISNUMBER(SEARCH("R31",G346)),0)+IFERROR(--ISNUMBER(SEARCH("R32",G346)),0)+IFERROR(--ISNUMBER(SEARCH("R33",G346)),0)+IFERROR(--ISNUMBER(SEARCH("R34",G346)),0)+IFERROR(--ISNUMBER(SEARCH("R35",G346)),0)+IFERROR(--ISNUMBER(SEARCH("R36",G346)),0)+IFERROR(--ISNUMBER(SEARCH("R37",G346)),0)+IFERROR(--ISNUMBER(SEARCH("R38",G346)),0)+IFERROR(--ISNUMBER(SEARCH("R39",G346)),0)+IFERROR(--ISNUMBER(SEARCH("R40",G346)),0)+IFERROR(--ISNUMBER(SEARCH("R41",G346)),0)+IFERROR(--ISNUMBER(SEARCH("R42",G346)),0)+IFERROR(--ISNUMBER(SEARCH("R43",G346)),0)+IFERROR(--ISNUMBER(SEARCH("R44",G346)),0)+IFERROR(--ISNUMBER(SEARCH("R45",G346)),0)+IFERROR(--ISNUMBER(SEARCH("R46",G346)),0)+IFERROR(--ISNUMBER(SEARCH("R47",G346)),0)+IFERROR(--ISNUMBER(SEARCH("R48",G346)),0)+IFERROR(--ISNUMBER(SEARCH("R49",G346)),0)+IFERROR(--ISNUMBER(SEARCH("R50",G346)),0)+IFERROR(--ISNUMBER(SEARCH("R51",G346)),0)+IFERROR(--ISNUMBER(SEARCH("R52",G346)),0)+IFERROR(--ISNUMBER(SEARCH("R53",G346)),0)+IFERROR(--ISNUMBER(SEARCH("R54",G346)),0)+IFERROR(--ISNUMBER(SEARCH("R55",G346)),0)+IFERROR(--ISNUMBER(SEARCH("R56",G346)),0)+IFERROR(--ISNUMBER(SEARCH("R57",G346)),0)+IFERROR(--ISNUMBER(SEARCH("R58",G346)),0)+IFERROR(--ISNUMBER(SEARCH("R59",G346)),0)+IFERROR(--ISNUMBER(SEARCH("R60",G346)),0)+IFERROR(--ISNUMBER(SEARCH("R61",G346)),0)+IFERROR(--ISNUMBER(SEARCH("R62",G346)),0)+IFERROR(--ISNUMBER(SEARCH("R63",G346)),0)+IFERROR(--ISNUMBER(SEARCH("R64",G346)),0)+IFERROR(--ISNUMBER(SEARCH("R65",G346)),0)+IFERROR(--ISNUMBER(SEARCH("R66",G346)),0)+IFERROR(--ISNUMBER(SEARCH("R67",G346)),0)+IFERROR(--ISNUMBER(SEARCH("R68",G346)),0)+IFERROR(--ISNUMBER(SEARCH("R69",G346)),0)+IFERROR(--ISNUMBER(SEARCH("R70",G346)),0)+IFERROR(--ISNUMBER(SEARCH("R71",G346)),0)+IFERROR(--ISNUMBER(SEARCH("R72",G346)),0)+IFERROR(--ISNUMBER(SEARCH("R73",G346)),0)+IFERROR(--ISNUMBER(SEARCH("R74",G346)),0)+IFERROR(--ISNUMBER(SEARCH("R75",G346)),0)+IFERROR(--ISNUMBER(SEARCH("R76",G346)),0)+IFERROR(--ISNUMBER(SEARCH("R77",G346)),0)+IFERROR(--ISNUMBER(SEARCH("R78",G346)),0)+IFERROR(--ISNUMBER(SEARCH("R79",G346)),0)+IFERROR(--ISNUMBER(SEARCH("R80",G346)),0)+IFERROR(--ISNUMBER(SEARCH("R81",G346)),0)+IFERROR(--ISNUMBER(SEARCH("R82",G346)),0)+IFERROR(--ISNUMBER(SEARCH("R83",G346)),0)+IFERROR(--ISNUMBER(SEARCH("R84",G346)),0)+IFERROR(--ISNUMBER(SEARCH("R85",G346)),0)+IFERROR(--ISNUMBER(SEARCH("R86",G346)),0)+IFERROR(--ISNUMBER(SEARCH("R87",G346)),0)+IFERROR(--ISNUMBER(SEARCH("R88",G346)),0)+IFERROR(--ISNUMBER(SEARCH("R89",G346)),0)+IFERROR(--ISNUMBER(SEARCH("R90",G346)),0)+IFERROR(--ISNUMBER(SEARCH("R91",G346)),0)+IFERROR(--ISNUMBER(SEARCH("R92",G346)),0)+IFERROR(--ISNUMBER(SEARCH("R93",G346)),0)+IFERROR(--ISNUMBER(SEARCH("R94",G346)),0)+IFERROR(--ISNUMBER(SEARCH("R95",G346)),0)+IFERROR(--ISNUMBER(SEARCH("R96",G346)),0)+IFERROR(--ISNUMBER(SEARCH("R97",G346)),0)+IFERROR(--ISNUMBER(SEARCH("R98",G346)),0)+IFERROR(--ISNUMBER(SEARCH("R99",G346)),0)+IFERROR(--ISNUMBER(SEARCH("R100",G346)),0)+IFERROR(--ISNUMBER(SEARCH("R101",G346)),0)+IFERROR(--ISNUMBER(SEARCH("R102",G346)),0)+IFERROR(--ISNUMBER(SEARCH("R103",G346)),0)+IFERROR(--ISNUMBER(SEARCH("R104",G346)),0)+IFERROR(--ISNUMBER(SEARCH("R105",G346)),0)+IFERROR(--ISNUMBER(SEARCH("R106",G346)),0)+IFERROR(--ISNUMBER(SEARCH("R107",G346)),0)+IFERROR(--ISNUMBER(SEARCH("R108",G346)),0)+IFERROR(--ISNUMBER(SEARCH("R109",G346)),0)+IFERROR(--ISNUMBER(SEARCH("R110",G346)),0)+IFERROR(--ISNUMBER(SEARCH("R111",G346)),0)+IFERROR(--ISNUMBER(SEARCH("R112",G346)),0)+IFERROR(--ISNUMBER(SEARCH("R113",G346)),0)+IFERROR(--ISNUMBER(SEARCH("R114",G346)),0)+IFERROR(--ISNUMBER(SEARCH("R115",G346)),0)+IFERROR(--ISNUMBER(SEARCH("R116",G346)),0)+IFERROR(--ISNUMBER(SEARCH("R117",G346)),0)+IFERROR(--ISNUMBER(SEARCH("R118",G346)),0)+IFERROR(--ISNUMBER(SEARCH("R119",G346)),0)+IFERROR(--ISNUMBER(SEARCH("R120",G346)),0)+IFERROR(--ISNUMBER(SEARCH("R121",G346)),0)+IFERROR(--ISNUMBER(SEARCH("R122",G346)),0)+IFERROR(--ISNUMBER(SEARCH("R123",G346)),0)+IFERROR(--ISNUMBER(SEARCH("R124",G346)),0)+IFERROR(--ISNUMBER(SEARCH("R125",G346)),0)+IFERROR(--ISNUMBER(SEARCH("R126",G346)),0)+IFERROR(--ISNUMBER(SEARCH("R127",G346)),0)+IFERROR(--ISNUMBER(SEARCH("R128",G346)),0)+IFERROR(--ISNUMBER(SEARCH("R129",G346)),0)+IFERROR(--ISNUMBER(SEARCH("R130",G346)),0)+IFERROR(--ISNUMBER(SEARCH("R131",G346)),0)+IFERROR(--ISNUMBER(SEARCH("R132",G346)),0)+IFERROR(--ISNUMBER(SEARCH("R133",G346)),0)+IFERROR(--ISNUMBER(SEARCH("R134",G346)),0)+IFERROR(--ISNUMBER(SEARCH("R135",G346)),0)+IFERROR(--ISNUMBER(SEARCH("R136",G346)),0)+IFERROR(--ISNUMBER(SEARCH("R137",G346)),0)+IFERROR(--ISNUMBER(SEARCH("R138",G346)),0)+IFERROR(--ISNUMBER(SEARCH("R139",G346)),0)+IFERROR(--ISNUMBER(SEARCH("R140",G346)),0)+IFERROR(--ISNUMBER(SEARCH("R141",G346)),0))</f>
        <v/>
      </c>
      <c r="T346" s="58">
        <f>IF(A346="","",IFERROR(--ISNUMBER(SEARCH("R28",G346)),0)+IFERROR(--ISNUMBER(SEARCH("R29",G346)),0)+IFERROR(--ISNUMBER(SEARCH("R30",G346)),0)+IFERROR(--ISNUMBER(SEARCH("R32",G346)),0)+IFERROR(--ISNUMBER(SEARCH("R33",G346)),0)+IFERROR(--ISNUMBER(SEARCH("R35",G346)),0)+IFERROR(--ISNUMBER(SEARCH("R36",G346)),0)+IFERROR(--ISNUMBER(SEARCH("R38",G346)),0)+IFERROR(--ISNUMBER(SEARCH("R39",G346)),0)+IFERROR(--ISNUMBER(SEARCH("R43",G346)),0)+IFERROR(--ISNUMBER(SEARCH("R44",G346)),0)+IFERROR(--ISNUMBER(SEARCH("R45",G346)),0)+IFERROR(--ISNUMBER(SEARCH("R47",G346)),0)+IFERROR(--ISNUMBER(SEARCH("R48",G346)),0)+IFERROR(--ISNUMBER(SEARCH("R50",G346)),0)+IFERROR(--ISNUMBER(SEARCH("R51",G346)),0)+IFERROR(--ISNUMBER(SEARCH("R56",G346)),0)+IFERROR(--ISNUMBER(SEARCH("R58",G346)),0)+IFERROR(--ISNUMBER(SEARCH("R59",G346)),0)+IFERROR(--ISNUMBER(SEARCH("R60",G346)),0)+IFERROR(--ISNUMBER(SEARCH("R62",G346)),0)+IFERROR(--ISNUMBER(SEARCH("R63",G346)),0)+IFERROR(--ISNUMBER(SEARCH("R64",G346)),0)+IFERROR(--ISNUMBER(SEARCH("R66",G346)),0)+IFERROR(--ISNUMBER(SEARCH("R67",G346)),0)+IFERROR(--ISNUMBER(SEARCH("R72",G346)),0)+IFERROR(--ISNUMBER(SEARCH("R74",G346)),0)+IFERROR(--ISNUMBER(SEARCH("R75",G346)),0)+IFERROR(--ISNUMBER(SEARCH("R76",G346)),0)+IFERROR(--ISNUMBER(SEARCH("R77",G346)),0)+IFERROR(--ISNUMBER(SEARCH("R79",G346)),0)+IFERROR(--ISNUMBER(SEARCH("R80",G346)),0)+IFERROR(--ISNUMBER(SEARCH("R81",G346)),0)+IFERROR(--ISNUMBER(SEARCH("R83",G346)),0)+IFERROR(--ISNUMBER(SEARCH("R84",G346)),0)+IFERROR(--ISNUMBER(SEARCH("R89",G346)),0)+IFERROR(--ISNUMBER(SEARCH("R94",G346)),0)+IFERROR(--ISNUMBER(SEARCH("R95",G346)),0)+IFERROR(--ISNUMBER(SEARCH("R96",G346)),0)+IFERROR(--ISNUMBER(SEARCH("R98",G346)),0)+IFERROR(--ISNUMBER(SEARCH("R99",G346)),0)+IFERROR(--ISNUMBER(SEARCH("R100",G346)),0)+IFERROR(--ISNUMBER(SEARCH("R104",G346)),0)+IFERROR(--ISNUMBER(SEARCH("R105",G346)),0)+IFERROR(--ISNUMBER(SEARCH("R107",G346)),0)+IFERROR(--ISNUMBER(SEARCH("R108",G346)),0)+IFERROR(--ISNUMBER(SEARCH("R109",G346)),0)+IFERROR(--ISNUMBER(SEARCH("R110",G346)),0)+IFERROR(--ISNUMBER(SEARCH("R112",G346)),0)+IFERROR(--ISNUMBER(SEARCH("R113",G346)),0)+IFERROR(--ISNUMBER(SEARCH("R114",G346)),0)+IFERROR(--ISNUMBER(SEARCH("R118",G346)),0)+IFERROR(--ISNUMBER(SEARCH("R119",G346)),0)+IFERROR(--ISNUMBER(SEARCH("R120",G346)),0)+IFERROR(--ISNUMBER(SEARCH("R122",G346)),0)+IFERROR(--ISNUMBER(SEARCH("R123",G346)),0)+IFERROR(--ISNUMBER(SEARCH("R124",G346)),0)+IFERROR(--ISNUMBER(SEARCH("R128",G346)),0)+IFERROR(--ISNUMBER(SEARCH("R130",G346)),0)+IFERROR(--ISNUMBER(SEARCH("R131",G346)),0)+IFERROR(--ISNUMBER(SEARCH("R132",G346)),0)+IFERROR(--ISNUMBER(SEARCH("R135",G346)),0)+IFERROR(--ISNUMBER(SEARCH("R138",G346)),0)+IFERROR(--ISNUMBER(SEARCH("R141",G346)),0))</f>
        <v/>
      </c>
      <c r="U346" s="58">
        <f>IF(A346="","",IFERROR(--ISNUMBER(SEARCH("R28",G346))*28,0)+IFERROR(--ISNUMBER(SEARCH("R29",G346))*29,0)+IFERROR(--ISNUMBER(SEARCH("R30",G346))*30,0)+IFERROR(--ISNUMBER(SEARCH("R31",G346))*31,0)+IFERROR(--ISNUMBER(SEARCH("R32",G346))*32,0)+IFERROR(--ISNUMBER(SEARCH("R33",G346))*33,0)+IFERROR(--ISNUMBER(SEARCH("R34",G346))*34,0)+IFERROR(--ISNUMBER(SEARCH("R35",G346))*35,0)+IFERROR(--ISNUMBER(SEARCH("R36",G346))*36,0)+IFERROR(--ISNUMBER(SEARCH("R37",G346))*37,0)+IFERROR(--ISNUMBER(SEARCH("R38",G346))*38,0)+IFERROR(--ISNUMBER(SEARCH("R39",G346))*39,0)+IFERROR(--ISNUMBER(SEARCH("R40",G346))*40,0)+IFERROR(--ISNUMBER(SEARCH("R41",G346))*41,0)+IFERROR(--ISNUMBER(SEARCH("R42",G346))*42,0)+IFERROR(--ISNUMBER(SEARCH("R43",G346))*43,0)+IFERROR(--ISNUMBER(SEARCH("R44",G346))*44,0)+IFERROR(--ISNUMBER(SEARCH("R45",G346))*45,0)+IFERROR(--ISNUMBER(SEARCH("R46",G346))*46,0)+IFERROR(--ISNUMBER(SEARCH("R47",G346))*47,0)+IFERROR(--ISNUMBER(SEARCH("R48",G346))*48,0)+IFERROR(--ISNUMBER(SEARCH("R49",G346))*49,0)+IFERROR(--ISNUMBER(SEARCH("R50",G346))*50,0)+IFERROR(--ISNUMBER(SEARCH("R51",G346))*51,0)+IFERROR(--ISNUMBER(SEARCH("R52",G346))*52,0)+IFERROR(--ISNUMBER(SEARCH("R53",G346))*53,0)+IFERROR(--ISNUMBER(SEARCH("R54",G346))*54,0)+IFERROR(--ISNUMBER(SEARCH("R55",G346))*55,0)+IFERROR(--ISNUMBER(SEARCH("R56",G346))*56,0)+IFERROR(--ISNUMBER(SEARCH("R57",G346))*57,0)+IFERROR(--ISNUMBER(SEARCH("R58",G346))*58,0)+IFERROR(--ISNUMBER(SEARCH("R59",G346))*59,0)+IFERROR(--ISNUMBER(SEARCH("R60",G346))*60,0)+IFERROR(--ISNUMBER(SEARCH("R61",G346))*61,0)+IFERROR(--ISNUMBER(SEARCH("R62",G346))*62,0)+IFERROR(--ISNUMBER(SEARCH("R63",G346))*63,0)+IFERROR(--ISNUMBER(SEARCH("R64",G346))*64,0)+IFERROR(--ISNUMBER(SEARCH("R65",G346))*65,0)+IFERROR(--ISNUMBER(SEARCH("R66",G346))*66,0)+IFERROR(--ISNUMBER(SEARCH("R67",G346))*67,0)+IFERROR(--ISNUMBER(SEARCH("R68",G346))*68,0)+IFERROR(--ISNUMBER(SEARCH("R69",G346))*69,0)+IFERROR(--ISNUMBER(SEARCH("R70",G346))*70,0)+IFERROR(--ISNUMBER(SEARCH("R71",G346))*71,0)+IFERROR(--ISNUMBER(SEARCH("R72",G346))*72,0)+IFERROR(--ISNUMBER(SEARCH("R73",G346))*73,0)+IFERROR(--ISNUMBER(SEARCH("R74",G346))*74,0)+IFERROR(--ISNUMBER(SEARCH("R75",G346))*75,0)+IFERROR(--ISNUMBER(SEARCH("R76",G346))*76,0)+IFERROR(--ISNUMBER(SEARCH("R77",G346))*77,0)+IFERROR(--ISNUMBER(SEARCH("R78",G346))*78,0)+IFERROR(--ISNUMBER(SEARCH("R79",G346))*79,0)+IFERROR(--ISNUMBER(SEARCH("R80",G346))*80,0)+IFERROR(--ISNUMBER(SEARCH("R81",G346))*81,0)+IFERROR(--ISNUMBER(SEARCH("R82",G346))*82,0)+IFERROR(--ISNUMBER(SEARCH("R83",G346))*83,0)+IFERROR(--ISNUMBER(SEARCH("R84",G346))*84,0)+IFERROR(--ISNUMBER(SEARCH("R85",G346))*85,0)+IFERROR(--ISNUMBER(SEARCH("R86",G346))*86,0)+IFERROR(--ISNUMBER(SEARCH("R87",G346))*87,0)+IFERROR(--ISNUMBER(SEARCH("R88",G346))*88,0)+IFERROR(--ISNUMBER(SEARCH("R89",G346))*89,0)+IFERROR(--ISNUMBER(SEARCH("R90",G346))*90,0)+IFERROR(--ISNUMBER(SEARCH("R91",G346))*91,0)+IFERROR(--ISNUMBER(SEARCH("R92",G346))*92,0)+IFERROR(--ISNUMBER(SEARCH("R93",G346))*93,0)+IFERROR(--ISNUMBER(SEARCH("R94",G346))*94,0)+IFERROR(--ISNUMBER(SEARCH("R95",G346))*95,0)+IFERROR(--ISNUMBER(SEARCH("R96",G346))*96,0)+IFERROR(--ISNUMBER(SEARCH("R97",G346))*97,0)+IFERROR(--ISNUMBER(SEARCH("R98",G346))*98,0)+IFERROR(--ISNUMBER(SEARCH("R99",G346))*99,0)+IFERROR(--ISNUMBER(SEARCH("R100",G346))*100,0)+IFERROR(--ISNUMBER(SEARCH("R101",G346))*101,0)+IFERROR(--ISNUMBER(SEARCH("R102",G346))*102,0)+IFERROR(--ISNUMBER(SEARCH("R103",G346))*103,0)+IFERROR(--ISNUMBER(SEARCH("R104",G346))*104,0)+IFERROR(--ISNUMBER(SEARCH("R105",G346))*105,0)+IFERROR(--ISNUMBER(SEARCH("R106",G346))*106,0)+IFERROR(--ISNUMBER(SEARCH("R107",G346))*107,0)+IFERROR(--ISNUMBER(SEARCH("R108",G346))*108,0)+IFERROR(--ISNUMBER(SEARCH("R109",G346))*109,0)+IFERROR(--ISNUMBER(SEARCH("R110",G346))*110,0)+IFERROR(--ISNUMBER(SEARCH("R111",G346))*111,0)+IFERROR(--ISNUMBER(SEARCH("R112",G346))*112,0)+IFERROR(--ISNUMBER(SEARCH("R113",G346))*113,0)+IFERROR(--ISNUMBER(SEARCH("R114",G346))*114,0)+IFERROR(--ISNUMBER(SEARCH("R115",G346))*115,0)+IFERROR(--ISNUMBER(SEARCH("R116",G346))*116,0)+IFERROR(--ISNUMBER(SEARCH("R117",G346))*117,0)+IFERROR(--ISNUMBER(SEARCH("R118",G346))*118,0)+IFERROR(--ISNUMBER(SEARCH("R119",G346))*119,0)+IFERROR(--ISNUMBER(SEARCH("R120",G346))*120,0)+IFERROR(--ISNUMBER(SEARCH("R121",G346))*121,0)+IFERROR(--ISNUMBER(SEARCH("R122",G346))*122,0)+IFERROR(--ISNUMBER(SEARCH("R123",G346))*123,0)+IFERROR(--ISNUMBER(SEARCH("R124",G346))*124,0)+IFERROR(--ISNUMBER(SEARCH("R125",G346))*125,0)+IFERROR(--ISNUMBER(SEARCH("R126",G346))*126,0)+IFERROR(--ISNUMBER(SEARCH("R127",G346))*127,0)+IFERROR(--ISNUMBER(SEARCH("R128",G346))*128,0)+IFERROR(--ISNUMBER(SEARCH("R129",G346))*129,0)+IFERROR(--ISNUMBER(SEARCH("R130",G346))*130,0)+IFERROR(--ISNUMBER(SEARCH("R131",G346))*131,0)+IFERROR(--ISNUMBER(SEARCH("R132",G346))*132,0)+IFERROR(--ISNUMBER(SEARCH("R133",G346))*133,0)+IFERROR(--ISNUMBER(SEARCH("R134",G346))*134,0)+IFERROR(--ISNUMBER(SEARCH("R135",G346))*135,0)+IFERROR(--ISNUMBER(SEARCH("R136",G346))*136,0)+IFERROR(--ISNUMBER(SEARCH("R137",G346))*137,0)+IFERROR(--ISNUMBER(SEARCH("R138",G346))*138,0)+IFERROR(--ISNUMBER(SEARCH("R139",G346))*139,0)+IFERROR(--ISNUMBER(SEARCH("R140",G346))*140,0)+IFERROR(--ISNUMBER(SEARCH("R141",G346))*141,0))</f>
        <v/>
      </c>
      <c r="V346" s="59">
        <f>IF(A346="","",IF(K346&lt;&gt;"",K346,J346))</f>
        <v/>
      </c>
      <c r="W346" s="59">
        <f>IF(A346="","",IF(AND(V346=29,O346&lt;&gt;"",COUNTIFS($V$6:$V$505,29,$F$6:$F$505,F346,$C$6:$C$505,C346,$O$6:$O$505,"&lt;&gt;")&gt;1),IF(COUNTIFS($V$6:V346,29,$F$6:F346,F346,$C$6:C346,C346,$O$6:O346,"&lt;&gt;")=1,"Esta es la fila que se debe CONSERVAR (aparición 1 de "&amp;COUNTIFS($V$6:$V$505,29,$F$6:$F$505,F346,$C$6:$C$505,C346,$O$6:$O$505,"&lt;&gt;")&amp;" con el mismo tercero y valor, casilla 29). Si hay más filas iguales, bórreles el valor a ELLAS, no a esta.","DUPLICADO — ya existe otra fila con el mismo tercero y valor para casilla 29 (aparición "&amp;COUNTIFS($V$6:V346,29,$F$6:F346,F346,$C$6:C346,C346,$O$6:O346,"&lt;&gt;")&amp;" de "&amp;COUNTIFS($V$6:$V$505,29,$F$6:$F$505,F346,$C$6:$C$505,C346,$O$6:$O$505,"&lt;&gt;")&amp;"). Para resolverlo: seleccione la celda O"&amp;ROW()&amp;" (columna Valor a declarar de ESTA fila) y presione Supr."),""))</f>
        <v/>
      </c>
      <c r="X346" s="463">
        <f>IF(A346="","",F346)</f>
        <v/>
      </c>
      <c r="Y346" s="463">
        <f>IF(A346="","",SUMIF(Entrada_Manual!$I$88:$I$187,A346,Entrada_Manual!$F$88:$F$187))</f>
        <v/>
      </c>
      <c r="Z346" s="463">
        <f>IF(A346="","",X346-Y346)</f>
        <v/>
      </c>
      <c r="AA346">
        <f>IF(A346="","",SUMPRODUCT((Entrada_Manual!$I$88:$I$187=A346)*1))</f>
        <v/>
      </c>
      <c r="AB346">
        <f>IF(A346="","",IF(S346&lt;=1,"",IF(AA346=0,"PENDIENTE — SIN ASIGNAR",IF(Z346=0,"RESUELTO","PARCIAL — DIFERENCIA "&amp;TEXT(Z346,"#,##0")))))</f>
        <v/>
      </c>
    </row>
    <row r="347" ht="14.25" customHeight="1" s="235">
      <c r="A347" s="47">
        <f>IF(Exogena_RAW!E356&lt;&gt;"",ROW()-5,"")</f>
        <v/>
      </c>
      <c r="B347" s="48">
        <f>IF(A347="","",356)</f>
        <v/>
      </c>
      <c r="C347" s="48">
        <f>IF(A347="","",IFERROR(Exogena_RAW!A356,""))</f>
        <v/>
      </c>
      <c r="D347" s="48">
        <f>IF(A347="","",IFERROR(Exogena_RAW!B356,""))</f>
        <v/>
      </c>
      <c r="E347" s="48">
        <f>IF(A347="","",Exogena_RAW!E356)</f>
        <v/>
      </c>
      <c r="F347" s="461">
        <f>IF(A347="","",Exogena_RAW!F356)</f>
        <v/>
      </c>
      <c r="G347" s="48">
        <f>IF(A347="","",IFERROR(Exogena_RAW!G356,""))</f>
        <v/>
      </c>
      <c r="H347" s="48">
        <f>IF(A347="","",IFERROR(Exogena_RAW!H356,""))</f>
        <v/>
      </c>
      <c r="I347" s="48">
        <f>IF(A347="","",IFERROR(IF(S347&gt;1,"VARIAS CASILLAS",IF(S347=1,IF(T347=1,"PROPUESTA DE CASILLA","REVISIÓN: CASILLA NO DIRECTA"),IF(OR(ISNUMBER(SEARCH("TOPE",UPPER(E347))),ISNUMBER(SEARCH("TOPE",UPPER(G347)))),"SOLO CONTROL",IF(ISNUMBER(SEARCH("RETEN",UPPER(E347))),"RETENCIÓN","REVISAR")))),"REVISAR"))</f>
        <v/>
      </c>
      <c r="J347" s="48">
        <f>IF(A347="","",IF(ISNUMBER(SEARCH("ingreso laboral promedio de los últimos seis meses",E347)),"",IFERROR(IF(AND(S347=1,T347=1),U347,""),"")))</f>
        <v/>
      </c>
      <c r="K347" s="216" t="n"/>
      <c r="L347" s="48">
        <f>IF(A347="","",IFERROR(IF(K347&lt;&gt;"","Casilla elegida por usuario",IF(S347&gt;1,"Varias casillas — elegir en K",IF(J347&lt;&gt;"","Sugerencia directa",IF(S347=1,"No trasladar directo — revisar",IF(OR(ISNUMBER(SEARCH("TOPE",UPPER(E347))),ISNUMBER(SEARCH("TOPE",UPPER(G347)))),"Solo control","Revisar manualmente"))))),"Revisar manualmente"))</f>
        <v/>
      </c>
      <c r="M347" s="461">
        <f>IF(A347="","",IF(IF(K347&lt;&gt;"",K347,J347)="",0,IF(COUNTIFS(Reglas!$I$5:$I$118,IF(K347&lt;&gt;"",K347,J347),Reglas!$J$5:$J$118,"Sí")=1,F347,0)))</f>
        <v/>
      </c>
      <c r="N347" s="56" t="n"/>
      <c r="O347" s="462">
        <f>IF(A347="","",IF(M347=0,"",M347))</f>
        <v/>
      </c>
      <c r="P347" s="461">
        <f>IF(A347="","",IF(O347="",0,IF(ISNUMBER(O347),O347,0)))</f>
        <v/>
      </c>
      <c r="Q347" s="48">
        <f>IF(A347="","",IF(Exogena_RAW!$C$4="","BLOQUEADO: FALTA AÑO",IF(Exogena_RAW!$K$10&lt;&gt;Reglas!$B$5,"BLOQUEADO: AÑO",IF(IF(K347&lt;&gt;"",K347,J347)="",IF(S347&gt;1,"REQUIERE ASIGNACIÓN MANUAL (VARIAS CASILLAS)","INFORMATIVO (sin casilla — no se declara)"),IF(COUNTIFS(Reglas!$I$5:$I$118,IF(K347&lt;&gt;"",K347,J347),Reglas!$J$5:$J$118,"Sí")=0,"BLOQUEADO: CASILLA NO DIRECTA",IF(O347="","EXCLUIDO (valor borrado por el usuario)",IF(_xlfn.ISFORMULA(O347),IF(W347&lt;&gt;"","BORRADOR — VALOR SUGERIDO DIAN ⚠ VER ALERTA","BORRADOR — VALOR SUGERIDO DIAN"),IF(W347&lt;&gt;"","ACEPTADO ⚠ VER ALERTA","ACEPTADO"))))))))</f>
        <v/>
      </c>
      <c r="R347" s="218" t="n"/>
      <c r="S347" s="58">
        <f>IF(A347="","",IFERROR(--ISNUMBER(SEARCH("R28",G347)),0)+IFERROR(--ISNUMBER(SEARCH("R29",G347)),0)+IFERROR(--ISNUMBER(SEARCH("R30",G347)),0)+IFERROR(--ISNUMBER(SEARCH("R31",G347)),0)+IFERROR(--ISNUMBER(SEARCH("R32",G347)),0)+IFERROR(--ISNUMBER(SEARCH("R33",G347)),0)+IFERROR(--ISNUMBER(SEARCH("R34",G347)),0)+IFERROR(--ISNUMBER(SEARCH("R35",G347)),0)+IFERROR(--ISNUMBER(SEARCH("R36",G347)),0)+IFERROR(--ISNUMBER(SEARCH("R37",G347)),0)+IFERROR(--ISNUMBER(SEARCH("R38",G347)),0)+IFERROR(--ISNUMBER(SEARCH("R39",G347)),0)+IFERROR(--ISNUMBER(SEARCH("R40",G347)),0)+IFERROR(--ISNUMBER(SEARCH("R41",G347)),0)+IFERROR(--ISNUMBER(SEARCH("R42",G347)),0)+IFERROR(--ISNUMBER(SEARCH("R43",G347)),0)+IFERROR(--ISNUMBER(SEARCH("R44",G347)),0)+IFERROR(--ISNUMBER(SEARCH("R45",G347)),0)+IFERROR(--ISNUMBER(SEARCH("R46",G347)),0)+IFERROR(--ISNUMBER(SEARCH("R47",G347)),0)+IFERROR(--ISNUMBER(SEARCH("R48",G347)),0)+IFERROR(--ISNUMBER(SEARCH("R49",G347)),0)+IFERROR(--ISNUMBER(SEARCH("R50",G347)),0)+IFERROR(--ISNUMBER(SEARCH("R51",G347)),0)+IFERROR(--ISNUMBER(SEARCH("R52",G347)),0)+IFERROR(--ISNUMBER(SEARCH("R53",G347)),0)+IFERROR(--ISNUMBER(SEARCH("R54",G347)),0)+IFERROR(--ISNUMBER(SEARCH("R55",G347)),0)+IFERROR(--ISNUMBER(SEARCH("R56",G347)),0)+IFERROR(--ISNUMBER(SEARCH("R57",G347)),0)+IFERROR(--ISNUMBER(SEARCH("R58",G347)),0)+IFERROR(--ISNUMBER(SEARCH("R59",G347)),0)+IFERROR(--ISNUMBER(SEARCH("R60",G347)),0)+IFERROR(--ISNUMBER(SEARCH("R61",G347)),0)+IFERROR(--ISNUMBER(SEARCH("R62",G347)),0)+IFERROR(--ISNUMBER(SEARCH("R63",G347)),0)+IFERROR(--ISNUMBER(SEARCH("R64",G347)),0)+IFERROR(--ISNUMBER(SEARCH("R65",G347)),0)+IFERROR(--ISNUMBER(SEARCH("R66",G347)),0)+IFERROR(--ISNUMBER(SEARCH("R67",G347)),0)+IFERROR(--ISNUMBER(SEARCH("R68",G347)),0)+IFERROR(--ISNUMBER(SEARCH("R69",G347)),0)+IFERROR(--ISNUMBER(SEARCH("R70",G347)),0)+IFERROR(--ISNUMBER(SEARCH("R71",G347)),0)+IFERROR(--ISNUMBER(SEARCH("R72",G347)),0)+IFERROR(--ISNUMBER(SEARCH("R73",G347)),0)+IFERROR(--ISNUMBER(SEARCH("R74",G347)),0)+IFERROR(--ISNUMBER(SEARCH("R75",G347)),0)+IFERROR(--ISNUMBER(SEARCH("R76",G347)),0)+IFERROR(--ISNUMBER(SEARCH("R77",G347)),0)+IFERROR(--ISNUMBER(SEARCH("R78",G347)),0)+IFERROR(--ISNUMBER(SEARCH("R79",G347)),0)+IFERROR(--ISNUMBER(SEARCH("R80",G347)),0)+IFERROR(--ISNUMBER(SEARCH("R81",G347)),0)+IFERROR(--ISNUMBER(SEARCH("R82",G347)),0)+IFERROR(--ISNUMBER(SEARCH("R83",G347)),0)+IFERROR(--ISNUMBER(SEARCH("R84",G347)),0)+IFERROR(--ISNUMBER(SEARCH("R85",G347)),0)+IFERROR(--ISNUMBER(SEARCH("R86",G347)),0)+IFERROR(--ISNUMBER(SEARCH("R87",G347)),0)+IFERROR(--ISNUMBER(SEARCH("R88",G347)),0)+IFERROR(--ISNUMBER(SEARCH("R89",G347)),0)+IFERROR(--ISNUMBER(SEARCH("R90",G347)),0)+IFERROR(--ISNUMBER(SEARCH("R91",G347)),0)+IFERROR(--ISNUMBER(SEARCH("R92",G347)),0)+IFERROR(--ISNUMBER(SEARCH("R93",G347)),0)+IFERROR(--ISNUMBER(SEARCH("R94",G347)),0)+IFERROR(--ISNUMBER(SEARCH("R95",G347)),0)+IFERROR(--ISNUMBER(SEARCH("R96",G347)),0)+IFERROR(--ISNUMBER(SEARCH("R97",G347)),0)+IFERROR(--ISNUMBER(SEARCH("R98",G347)),0)+IFERROR(--ISNUMBER(SEARCH("R99",G347)),0)+IFERROR(--ISNUMBER(SEARCH("R100",G347)),0)+IFERROR(--ISNUMBER(SEARCH("R101",G347)),0)+IFERROR(--ISNUMBER(SEARCH("R102",G347)),0)+IFERROR(--ISNUMBER(SEARCH("R103",G347)),0)+IFERROR(--ISNUMBER(SEARCH("R104",G347)),0)+IFERROR(--ISNUMBER(SEARCH("R105",G347)),0)+IFERROR(--ISNUMBER(SEARCH("R106",G347)),0)+IFERROR(--ISNUMBER(SEARCH("R107",G347)),0)+IFERROR(--ISNUMBER(SEARCH("R108",G347)),0)+IFERROR(--ISNUMBER(SEARCH("R109",G347)),0)+IFERROR(--ISNUMBER(SEARCH("R110",G347)),0)+IFERROR(--ISNUMBER(SEARCH("R111",G347)),0)+IFERROR(--ISNUMBER(SEARCH("R112",G347)),0)+IFERROR(--ISNUMBER(SEARCH("R113",G347)),0)+IFERROR(--ISNUMBER(SEARCH("R114",G347)),0)+IFERROR(--ISNUMBER(SEARCH("R115",G347)),0)+IFERROR(--ISNUMBER(SEARCH("R116",G347)),0)+IFERROR(--ISNUMBER(SEARCH("R117",G347)),0)+IFERROR(--ISNUMBER(SEARCH("R118",G347)),0)+IFERROR(--ISNUMBER(SEARCH("R119",G347)),0)+IFERROR(--ISNUMBER(SEARCH("R120",G347)),0)+IFERROR(--ISNUMBER(SEARCH("R121",G347)),0)+IFERROR(--ISNUMBER(SEARCH("R122",G347)),0)+IFERROR(--ISNUMBER(SEARCH("R123",G347)),0)+IFERROR(--ISNUMBER(SEARCH("R124",G347)),0)+IFERROR(--ISNUMBER(SEARCH("R125",G347)),0)+IFERROR(--ISNUMBER(SEARCH("R126",G347)),0)+IFERROR(--ISNUMBER(SEARCH("R127",G347)),0)+IFERROR(--ISNUMBER(SEARCH("R128",G347)),0)+IFERROR(--ISNUMBER(SEARCH("R129",G347)),0)+IFERROR(--ISNUMBER(SEARCH("R130",G347)),0)+IFERROR(--ISNUMBER(SEARCH("R131",G347)),0)+IFERROR(--ISNUMBER(SEARCH("R132",G347)),0)+IFERROR(--ISNUMBER(SEARCH("R133",G347)),0)+IFERROR(--ISNUMBER(SEARCH("R134",G347)),0)+IFERROR(--ISNUMBER(SEARCH("R135",G347)),0)+IFERROR(--ISNUMBER(SEARCH("R136",G347)),0)+IFERROR(--ISNUMBER(SEARCH("R137",G347)),0)+IFERROR(--ISNUMBER(SEARCH("R138",G347)),0)+IFERROR(--ISNUMBER(SEARCH("R139",G347)),0)+IFERROR(--ISNUMBER(SEARCH("R140",G347)),0)+IFERROR(--ISNUMBER(SEARCH("R141",G347)),0))</f>
        <v/>
      </c>
      <c r="T347" s="58">
        <f>IF(A347="","",IFERROR(--ISNUMBER(SEARCH("R28",G347)),0)+IFERROR(--ISNUMBER(SEARCH("R29",G347)),0)+IFERROR(--ISNUMBER(SEARCH("R30",G347)),0)+IFERROR(--ISNUMBER(SEARCH("R32",G347)),0)+IFERROR(--ISNUMBER(SEARCH("R33",G347)),0)+IFERROR(--ISNUMBER(SEARCH("R35",G347)),0)+IFERROR(--ISNUMBER(SEARCH("R36",G347)),0)+IFERROR(--ISNUMBER(SEARCH("R38",G347)),0)+IFERROR(--ISNUMBER(SEARCH("R39",G347)),0)+IFERROR(--ISNUMBER(SEARCH("R43",G347)),0)+IFERROR(--ISNUMBER(SEARCH("R44",G347)),0)+IFERROR(--ISNUMBER(SEARCH("R45",G347)),0)+IFERROR(--ISNUMBER(SEARCH("R47",G347)),0)+IFERROR(--ISNUMBER(SEARCH("R48",G347)),0)+IFERROR(--ISNUMBER(SEARCH("R50",G347)),0)+IFERROR(--ISNUMBER(SEARCH("R51",G347)),0)+IFERROR(--ISNUMBER(SEARCH("R56",G347)),0)+IFERROR(--ISNUMBER(SEARCH("R58",G347)),0)+IFERROR(--ISNUMBER(SEARCH("R59",G347)),0)+IFERROR(--ISNUMBER(SEARCH("R60",G347)),0)+IFERROR(--ISNUMBER(SEARCH("R62",G347)),0)+IFERROR(--ISNUMBER(SEARCH("R63",G347)),0)+IFERROR(--ISNUMBER(SEARCH("R64",G347)),0)+IFERROR(--ISNUMBER(SEARCH("R66",G347)),0)+IFERROR(--ISNUMBER(SEARCH("R67",G347)),0)+IFERROR(--ISNUMBER(SEARCH("R72",G347)),0)+IFERROR(--ISNUMBER(SEARCH("R74",G347)),0)+IFERROR(--ISNUMBER(SEARCH("R75",G347)),0)+IFERROR(--ISNUMBER(SEARCH("R76",G347)),0)+IFERROR(--ISNUMBER(SEARCH("R77",G347)),0)+IFERROR(--ISNUMBER(SEARCH("R79",G347)),0)+IFERROR(--ISNUMBER(SEARCH("R80",G347)),0)+IFERROR(--ISNUMBER(SEARCH("R81",G347)),0)+IFERROR(--ISNUMBER(SEARCH("R83",G347)),0)+IFERROR(--ISNUMBER(SEARCH("R84",G347)),0)+IFERROR(--ISNUMBER(SEARCH("R89",G347)),0)+IFERROR(--ISNUMBER(SEARCH("R94",G347)),0)+IFERROR(--ISNUMBER(SEARCH("R95",G347)),0)+IFERROR(--ISNUMBER(SEARCH("R96",G347)),0)+IFERROR(--ISNUMBER(SEARCH("R98",G347)),0)+IFERROR(--ISNUMBER(SEARCH("R99",G347)),0)+IFERROR(--ISNUMBER(SEARCH("R100",G347)),0)+IFERROR(--ISNUMBER(SEARCH("R104",G347)),0)+IFERROR(--ISNUMBER(SEARCH("R105",G347)),0)+IFERROR(--ISNUMBER(SEARCH("R107",G347)),0)+IFERROR(--ISNUMBER(SEARCH("R108",G347)),0)+IFERROR(--ISNUMBER(SEARCH("R109",G347)),0)+IFERROR(--ISNUMBER(SEARCH("R110",G347)),0)+IFERROR(--ISNUMBER(SEARCH("R112",G347)),0)+IFERROR(--ISNUMBER(SEARCH("R113",G347)),0)+IFERROR(--ISNUMBER(SEARCH("R114",G347)),0)+IFERROR(--ISNUMBER(SEARCH("R118",G347)),0)+IFERROR(--ISNUMBER(SEARCH("R119",G347)),0)+IFERROR(--ISNUMBER(SEARCH("R120",G347)),0)+IFERROR(--ISNUMBER(SEARCH("R122",G347)),0)+IFERROR(--ISNUMBER(SEARCH("R123",G347)),0)+IFERROR(--ISNUMBER(SEARCH("R124",G347)),0)+IFERROR(--ISNUMBER(SEARCH("R128",G347)),0)+IFERROR(--ISNUMBER(SEARCH("R130",G347)),0)+IFERROR(--ISNUMBER(SEARCH("R131",G347)),0)+IFERROR(--ISNUMBER(SEARCH("R132",G347)),0)+IFERROR(--ISNUMBER(SEARCH("R135",G347)),0)+IFERROR(--ISNUMBER(SEARCH("R138",G347)),0)+IFERROR(--ISNUMBER(SEARCH("R141",G347)),0))</f>
        <v/>
      </c>
      <c r="U347" s="58">
        <f>IF(A347="","",IFERROR(--ISNUMBER(SEARCH("R28",G347))*28,0)+IFERROR(--ISNUMBER(SEARCH("R29",G347))*29,0)+IFERROR(--ISNUMBER(SEARCH("R30",G347))*30,0)+IFERROR(--ISNUMBER(SEARCH("R31",G347))*31,0)+IFERROR(--ISNUMBER(SEARCH("R32",G347))*32,0)+IFERROR(--ISNUMBER(SEARCH("R33",G347))*33,0)+IFERROR(--ISNUMBER(SEARCH("R34",G347))*34,0)+IFERROR(--ISNUMBER(SEARCH("R35",G347))*35,0)+IFERROR(--ISNUMBER(SEARCH("R36",G347))*36,0)+IFERROR(--ISNUMBER(SEARCH("R37",G347))*37,0)+IFERROR(--ISNUMBER(SEARCH("R38",G347))*38,0)+IFERROR(--ISNUMBER(SEARCH("R39",G347))*39,0)+IFERROR(--ISNUMBER(SEARCH("R40",G347))*40,0)+IFERROR(--ISNUMBER(SEARCH("R41",G347))*41,0)+IFERROR(--ISNUMBER(SEARCH("R42",G347))*42,0)+IFERROR(--ISNUMBER(SEARCH("R43",G347))*43,0)+IFERROR(--ISNUMBER(SEARCH("R44",G347))*44,0)+IFERROR(--ISNUMBER(SEARCH("R45",G347))*45,0)+IFERROR(--ISNUMBER(SEARCH("R46",G347))*46,0)+IFERROR(--ISNUMBER(SEARCH("R47",G347))*47,0)+IFERROR(--ISNUMBER(SEARCH("R48",G347))*48,0)+IFERROR(--ISNUMBER(SEARCH("R49",G347))*49,0)+IFERROR(--ISNUMBER(SEARCH("R50",G347))*50,0)+IFERROR(--ISNUMBER(SEARCH("R51",G347))*51,0)+IFERROR(--ISNUMBER(SEARCH("R52",G347))*52,0)+IFERROR(--ISNUMBER(SEARCH("R53",G347))*53,0)+IFERROR(--ISNUMBER(SEARCH("R54",G347))*54,0)+IFERROR(--ISNUMBER(SEARCH("R55",G347))*55,0)+IFERROR(--ISNUMBER(SEARCH("R56",G347))*56,0)+IFERROR(--ISNUMBER(SEARCH("R57",G347))*57,0)+IFERROR(--ISNUMBER(SEARCH("R58",G347))*58,0)+IFERROR(--ISNUMBER(SEARCH("R59",G347))*59,0)+IFERROR(--ISNUMBER(SEARCH("R60",G347))*60,0)+IFERROR(--ISNUMBER(SEARCH("R61",G347))*61,0)+IFERROR(--ISNUMBER(SEARCH("R62",G347))*62,0)+IFERROR(--ISNUMBER(SEARCH("R63",G347))*63,0)+IFERROR(--ISNUMBER(SEARCH("R64",G347))*64,0)+IFERROR(--ISNUMBER(SEARCH("R65",G347))*65,0)+IFERROR(--ISNUMBER(SEARCH("R66",G347))*66,0)+IFERROR(--ISNUMBER(SEARCH("R67",G347))*67,0)+IFERROR(--ISNUMBER(SEARCH("R68",G347))*68,0)+IFERROR(--ISNUMBER(SEARCH("R69",G347))*69,0)+IFERROR(--ISNUMBER(SEARCH("R70",G347))*70,0)+IFERROR(--ISNUMBER(SEARCH("R71",G347))*71,0)+IFERROR(--ISNUMBER(SEARCH("R72",G347))*72,0)+IFERROR(--ISNUMBER(SEARCH("R73",G347))*73,0)+IFERROR(--ISNUMBER(SEARCH("R74",G347))*74,0)+IFERROR(--ISNUMBER(SEARCH("R75",G347))*75,0)+IFERROR(--ISNUMBER(SEARCH("R76",G347))*76,0)+IFERROR(--ISNUMBER(SEARCH("R77",G347))*77,0)+IFERROR(--ISNUMBER(SEARCH("R78",G347))*78,0)+IFERROR(--ISNUMBER(SEARCH("R79",G347))*79,0)+IFERROR(--ISNUMBER(SEARCH("R80",G347))*80,0)+IFERROR(--ISNUMBER(SEARCH("R81",G347))*81,0)+IFERROR(--ISNUMBER(SEARCH("R82",G347))*82,0)+IFERROR(--ISNUMBER(SEARCH("R83",G347))*83,0)+IFERROR(--ISNUMBER(SEARCH("R84",G347))*84,0)+IFERROR(--ISNUMBER(SEARCH("R85",G347))*85,0)+IFERROR(--ISNUMBER(SEARCH("R86",G347))*86,0)+IFERROR(--ISNUMBER(SEARCH("R87",G347))*87,0)+IFERROR(--ISNUMBER(SEARCH("R88",G347))*88,0)+IFERROR(--ISNUMBER(SEARCH("R89",G347))*89,0)+IFERROR(--ISNUMBER(SEARCH("R90",G347))*90,0)+IFERROR(--ISNUMBER(SEARCH("R91",G347))*91,0)+IFERROR(--ISNUMBER(SEARCH("R92",G347))*92,0)+IFERROR(--ISNUMBER(SEARCH("R93",G347))*93,0)+IFERROR(--ISNUMBER(SEARCH("R94",G347))*94,0)+IFERROR(--ISNUMBER(SEARCH("R95",G347))*95,0)+IFERROR(--ISNUMBER(SEARCH("R96",G347))*96,0)+IFERROR(--ISNUMBER(SEARCH("R97",G347))*97,0)+IFERROR(--ISNUMBER(SEARCH("R98",G347))*98,0)+IFERROR(--ISNUMBER(SEARCH("R99",G347))*99,0)+IFERROR(--ISNUMBER(SEARCH("R100",G347))*100,0)+IFERROR(--ISNUMBER(SEARCH("R101",G347))*101,0)+IFERROR(--ISNUMBER(SEARCH("R102",G347))*102,0)+IFERROR(--ISNUMBER(SEARCH("R103",G347))*103,0)+IFERROR(--ISNUMBER(SEARCH("R104",G347))*104,0)+IFERROR(--ISNUMBER(SEARCH("R105",G347))*105,0)+IFERROR(--ISNUMBER(SEARCH("R106",G347))*106,0)+IFERROR(--ISNUMBER(SEARCH("R107",G347))*107,0)+IFERROR(--ISNUMBER(SEARCH("R108",G347))*108,0)+IFERROR(--ISNUMBER(SEARCH("R109",G347))*109,0)+IFERROR(--ISNUMBER(SEARCH("R110",G347))*110,0)+IFERROR(--ISNUMBER(SEARCH("R111",G347))*111,0)+IFERROR(--ISNUMBER(SEARCH("R112",G347))*112,0)+IFERROR(--ISNUMBER(SEARCH("R113",G347))*113,0)+IFERROR(--ISNUMBER(SEARCH("R114",G347))*114,0)+IFERROR(--ISNUMBER(SEARCH("R115",G347))*115,0)+IFERROR(--ISNUMBER(SEARCH("R116",G347))*116,0)+IFERROR(--ISNUMBER(SEARCH("R117",G347))*117,0)+IFERROR(--ISNUMBER(SEARCH("R118",G347))*118,0)+IFERROR(--ISNUMBER(SEARCH("R119",G347))*119,0)+IFERROR(--ISNUMBER(SEARCH("R120",G347))*120,0)+IFERROR(--ISNUMBER(SEARCH("R121",G347))*121,0)+IFERROR(--ISNUMBER(SEARCH("R122",G347))*122,0)+IFERROR(--ISNUMBER(SEARCH("R123",G347))*123,0)+IFERROR(--ISNUMBER(SEARCH("R124",G347))*124,0)+IFERROR(--ISNUMBER(SEARCH("R125",G347))*125,0)+IFERROR(--ISNUMBER(SEARCH("R126",G347))*126,0)+IFERROR(--ISNUMBER(SEARCH("R127",G347))*127,0)+IFERROR(--ISNUMBER(SEARCH("R128",G347))*128,0)+IFERROR(--ISNUMBER(SEARCH("R129",G347))*129,0)+IFERROR(--ISNUMBER(SEARCH("R130",G347))*130,0)+IFERROR(--ISNUMBER(SEARCH("R131",G347))*131,0)+IFERROR(--ISNUMBER(SEARCH("R132",G347))*132,0)+IFERROR(--ISNUMBER(SEARCH("R133",G347))*133,0)+IFERROR(--ISNUMBER(SEARCH("R134",G347))*134,0)+IFERROR(--ISNUMBER(SEARCH("R135",G347))*135,0)+IFERROR(--ISNUMBER(SEARCH("R136",G347))*136,0)+IFERROR(--ISNUMBER(SEARCH("R137",G347))*137,0)+IFERROR(--ISNUMBER(SEARCH("R138",G347))*138,0)+IFERROR(--ISNUMBER(SEARCH("R139",G347))*139,0)+IFERROR(--ISNUMBER(SEARCH("R140",G347))*140,0)+IFERROR(--ISNUMBER(SEARCH("R141",G347))*141,0))</f>
        <v/>
      </c>
      <c r="V347" s="59">
        <f>IF(A347="","",IF(K347&lt;&gt;"",K347,J347))</f>
        <v/>
      </c>
      <c r="W347" s="59">
        <f>IF(A347="","",IF(AND(V347=29,O347&lt;&gt;"",COUNTIFS($V$6:$V$505,29,$F$6:$F$505,F347,$C$6:$C$505,C347,$O$6:$O$505,"&lt;&gt;")&gt;1),IF(COUNTIFS($V$6:V347,29,$F$6:F347,F347,$C$6:C347,C347,$O$6:O347,"&lt;&gt;")=1,"Esta es la fila que se debe CONSERVAR (aparición 1 de "&amp;COUNTIFS($V$6:$V$505,29,$F$6:$F$505,F347,$C$6:$C$505,C347,$O$6:$O$505,"&lt;&gt;")&amp;" con el mismo tercero y valor, casilla 29). Si hay más filas iguales, bórreles el valor a ELLAS, no a esta.","DUPLICADO — ya existe otra fila con el mismo tercero y valor para casilla 29 (aparición "&amp;COUNTIFS($V$6:V347,29,$F$6:F347,F347,$C$6:C347,C347,$O$6:O347,"&lt;&gt;")&amp;" de "&amp;COUNTIFS($V$6:$V$505,29,$F$6:$F$505,F347,$C$6:$C$505,C347,$O$6:$O$505,"&lt;&gt;")&amp;"). Para resolverlo: seleccione la celda O"&amp;ROW()&amp;" (columna Valor a declarar de ESTA fila) y presione Supr."),""))</f>
        <v/>
      </c>
      <c r="X347" s="463">
        <f>IF(A347="","",F347)</f>
        <v/>
      </c>
      <c r="Y347" s="463">
        <f>IF(A347="","",SUMIF(Entrada_Manual!$I$88:$I$187,A347,Entrada_Manual!$F$88:$F$187))</f>
        <v/>
      </c>
      <c r="Z347" s="463">
        <f>IF(A347="","",X347-Y347)</f>
        <v/>
      </c>
      <c r="AA347">
        <f>IF(A347="","",SUMPRODUCT((Entrada_Manual!$I$88:$I$187=A347)*1))</f>
        <v/>
      </c>
      <c r="AB347">
        <f>IF(A347="","",IF(S347&lt;=1,"",IF(AA347=0,"PENDIENTE — SIN ASIGNAR",IF(Z347=0,"RESUELTO","PARCIAL — DIFERENCIA "&amp;TEXT(Z347,"#,##0")))))</f>
        <v/>
      </c>
    </row>
    <row r="348" ht="14.25" customHeight="1" s="235">
      <c r="A348" s="47">
        <f>IF(Exogena_RAW!E357&lt;&gt;"",ROW()-5,"")</f>
        <v/>
      </c>
      <c r="B348" s="48">
        <f>IF(A348="","",357)</f>
        <v/>
      </c>
      <c r="C348" s="48">
        <f>IF(A348="","",IFERROR(Exogena_RAW!A357,""))</f>
        <v/>
      </c>
      <c r="D348" s="48">
        <f>IF(A348="","",IFERROR(Exogena_RAW!B357,""))</f>
        <v/>
      </c>
      <c r="E348" s="48">
        <f>IF(A348="","",Exogena_RAW!E357)</f>
        <v/>
      </c>
      <c r="F348" s="461">
        <f>IF(A348="","",Exogena_RAW!F357)</f>
        <v/>
      </c>
      <c r="G348" s="48">
        <f>IF(A348="","",IFERROR(Exogena_RAW!G357,""))</f>
        <v/>
      </c>
      <c r="H348" s="48">
        <f>IF(A348="","",IFERROR(Exogena_RAW!H357,""))</f>
        <v/>
      </c>
      <c r="I348" s="48">
        <f>IF(A348="","",IFERROR(IF(S348&gt;1,"VARIAS CASILLAS",IF(S348=1,IF(T348=1,"PROPUESTA DE CASILLA","REVISIÓN: CASILLA NO DIRECTA"),IF(OR(ISNUMBER(SEARCH("TOPE",UPPER(E348))),ISNUMBER(SEARCH("TOPE",UPPER(G348)))),"SOLO CONTROL",IF(ISNUMBER(SEARCH("RETEN",UPPER(E348))),"RETENCIÓN","REVISAR")))),"REVISAR"))</f>
        <v/>
      </c>
      <c r="J348" s="48">
        <f>IF(A348="","",IF(ISNUMBER(SEARCH("ingreso laboral promedio de los últimos seis meses",E348)),"",IFERROR(IF(AND(S348=1,T348=1),U348,""),"")))</f>
        <v/>
      </c>
      <c r="K348" s="216" t="n"/>
      <c r="L348" s="48">
        <f>IF(A348="","",IFERROR(IF(K348&lt;&gt;"","Casilla elegida por usuario",IF(S348&gt;1,"Varias casillas — elegir en K",IF(J348&lt;&gt;"","Sugerencia directa",IF(S348=1,"No trasladar directo — revisar",IF(OR(ISNUMBER(SEARCH("TOPE",UPPER(E348))),ISNUMBER(SEARCH("TOPE",UPPER(G348)))),"Solo control","Revisar manualmente"))))),"Revisar manualmente"))</f>
        <v/>
      </c>
      <c r="M348" s="461">
        <f>IF(A348="","",IF(IF(K348&lt;&gt;"",K348,J348)="",0,IF(COUNTIFS(Reglas!$I$5:$I$118,IF(K348&lt;&gt;"",K348,J348),Reglas!$J$5:$J$118,"Sí")=1,F348,0)))</f>
        <v/>
      </c>
      <c r="N348" s="56" t="n"/>
      <c r="O348" s="462">
        <f>IF(A348="","",IF(M348=0,"",M348))</f>
        <v/>
      </c>
      <c r="P348" s="461">
        <f>IF(A348="","",IF(O348="",0,IF(ISNUMBER(O348),O348,0)))</f>
        <v/>
      </c>
      <c r="Q348" s="48">
        <f>IF(A348="","",IF(Exogena_RAW!$C$4="","BLOQUEADO: FALTA AÑO",IF(Exogena_RAW!$K$10&lt;&gt;Reglas!$B$5,"BLOQUEADO: AÑO",IF(IF(K348&lt;&gt;"",K348,J348)="",IF(S348&gt;1,"REQUIERE ASIGNACIÓN MANUAL (VARIAS CASILLAS)","INFORMATIVO (sin casilla — no se declara)"),IF(COUNTIFS(Reglas!$I$5:$I$118,IF(K348&lt;&gt;"",K348,J348),Reglas!$J$5:$J$118,"Sí")=0,"BLOQUEADO: CASILLA NO DIRECTA",IF(O348="","EXCLUIDO (valor borrado por el usuario)",IF(_xlfn.ISFORMULA(O348),IF(W348&lt;&gt;"","BORRADOR — VALOR SUGERIDO DIAN ⚠ VER ALERTA","BORRADOR — VALOR SUGERIDO DIAN"),IF(W348&lt;&gt;"","ACEPTADO ⚠ VER ALERTA","ACEPTADO"))))))))</f>
        <v/>
      </c>
      <c r="R348" s="218" t="n"/>
      <c r="S348" s="58">
        <f>IF(A348="","",IFERROR(--ISNUMBER(SEARCH("R28",G348)),0)+IFERROR(--ISNUMBER(SEARCH("R29",G348)),0)+IFERROR(--ISNUMBER(SEARCH("R30",G348)),0)+IFERROR(--ISNUMBER(SEARCH("R31",G348)),0)+IFERROR(--ISNUMBER(SEARCH("R32",G348)),0)+IFERROR(--ISNUMBER(SEARCH("R33",G348)),0)+IFERROR(--ISNUMBER(SEARCH("R34",G348)),0)+IFERROR(--ISNUMBER(SEARCH("R35",G348)),0)+IFERROR(--ISNUMBER(SEARCH("R36",G348)),0)+IFERROR(--ISNUMBER(SEARCH("R37",G348)),0)+IFERROR(--ISNUMBER(SEARCH("R38",G348)),0)+IFERROR(--ISNUMBER(SEARCH("R39",G348)),0)+IFERROR(--ISNUMBER(SEARCH("R40",G348)),0)+IFERROR(--ISNUMBER(SEARCH("R41",G348)),0)+IFERROR(--ISNUMBER(SEARCH("R42",G348)),0)+IFERROR(--ISNUMBER(SEARCH("R43",G348)),0)+IFERROR(--ISNUMBER(SEARCH("R44",G348)),0)+IFERROR(--ISNUMBER(SEARCH("R45",G348)),0)+IFERROR(--ISNUMBER(SEARCH("R46",G348)),0)+IFERROR(--ISNUMBER(SEARCH("R47",G348)),0)+IFERROR(--ISNUMBER(SEARCH("R48",G348)),0)+IFERROR(--ISNUMBER(SEARCH("R49",G348)),0)+IFERROR(--ISNUMBER(SEARCH("R50",G348)),0)+IFERROR(--ISNUMBER(SEARCH("R51",G348)),0)+IFERROR(--ISNUMBER(SEARCH("R52",G348)),0)+IFERROR(--ISNUMBER(SEARCH("R53",G348)),0)+IFERROR(--ISNUMBER(SEARCH("R54",G348)),0)+IFERROR(--ISNUMBER(SEARCH("R55",G348)),0)+IFERROR(--ISNUMBER(SEARCH("R56",G348)),0)+IFERROR(--ISNUMBER(SEARCH("R57",G348)),0)+IFERROR(--ISNUMBER(SEARCH("R58",G348)),0)+IFERROR(--ISNUMBER(SEARCH("R59",G348)),0)+IFERROR(--ISNUMBER(SEARCH("R60",G348)),0)+IFERROR(--ISNUMBER(SEARCH("R61",G348)),0)+IFERROR(--ISNUMBER(SEARCH("R62",G348)),0)+IFERROR(--ISNUMBER(SEARCH("R63",G348)),0)+IFERROR(--ISNUMBER(SEARCH("R64",G348)),0)+IFERROR(--ISNUMBER(SEARCH("R65",G348)),0)+IFERROR(--ISNUMBER(SEARCH("R66",G348)),0)+IFERROR(--ISNUMBER(SEARCH("R67",G348)),0)+IFERROR(--ISNUMBER(SEARCH("R68",G348)),0)+IFERROR(--ISNUMBER(SEARCH("R69",G348)),0)+IFERROR(--ISNUMBER(SEARCH("R70",G348)),0)+IFERROR(--ISNUMBER(SEARCH("R71",G348)),0)+IFERROR(--ISNUMBER(SEARCH("R72",G348)),0)+IFERROR(--ISNUMBER(SEARCH("R73",G348)),0)+IFERROR(--ISNUMBER(SEARCH("R74",G348)),0)+IFERROR(--ISNUMBER(SEARCH("R75",G348)),0)+IFERROR(--ISNUMBER(SEARCH("R76",G348)),0)+IFERROR(--ISNUMBER(SEARCH("R77",G348)),0)+IFERROR(--ISNUMBER(SEARCH("R78",G348)),0)+IFERROR(--ISNUMBER(SEARCH("R79",G348)),0)+IFERROR(--ISNUMBER(SEARCH("R80",G348)),0)+IFERROR(--ISNUMBER(SEARCH("R81",G348)),0)+IFERROR(--ISNUMBER(SEARCH("R82",G348)),0)+IFERROR(--ISNUMBER(SEARCH("R83",G348)),0)+IFERROR(--ISNUMBER(SEARCH("R84",G348)),0)+IFERROR(--ISNUMBER(SEARCH("R85",G348)),0)+IFERROR(--ISNUMBER(SEARCH("R86",G348)),0)+IFERROR(--ISNUMBER(SEARCH("R87",G348)),0)+IFERROR(--ISNUMBER(SEARCH("R88",G348)),0)+IFERROR(--ISNUMBER(SEARCH("R89",G348)),0)+IFERROR(--ISNUMBER(SEARCH("R90",G348)),0)+IFERROR(--ISNUMBER(SEARCH("R91",G348)),0)+IFERROR(--ISNUMBER(SEARCH("R92",G348)),0)+IFERROR(--ISNUMBER(SEARCH("R93",G348)),0)+IFERROR(--ISNUMBER(SEARCH("R94",G348)),0)+IFERROR(--ISNUMBER(SEARCH("R95",G348)),0)+IFERROR(--ISNUMBER(SEARCH("R96",G348)),0)+IFERROR(--ISNUMBER(SEARCH("R97",G348)),0)+IFERROR(--ISNUMBER(SEARCH("R98",G348)),0)+IFERROR(--ISNUMBER(SEARCH("R99",G348)),0)+IFERROR(--ISNUMBER(SEARCH("R100",G348)),0)+IFERROR(--ISNUMBER(SEARCH("R101",G348)),0)+IFERROR(--ISNUMBER(SEARCH("R102",G348)),0)+IFERROR(--ISNUMBER(SEARCH("R103",G348)),0)+IFERROR(--ISNUMBER(SEARCH("R104",G348)),0)+IFERROR(--ISNUMBER(SEARCH("R105",G348)),0)+IFERROR(--ISNUMBER(SEARCH("R106",G348)),0)+IFERROR(--ISNUMBER(SEARCH("R107",G348)),0)+IFERROR(--ISNUMBER(SEARCH("R108",G348)),0)+IFERROR(--ISNUMBER(SEARCH("R109",G348)),0)+IFERROR(--ISNUMBER(SEARCH("R110",G348)),0)+IFERROR(--ISNUMBER(SEARCH("R111",G348)),0)+IFERROR(--ISNUMBER(SEARCH("R112",G348)),0)+IFERROR(--ISNUMBER(SEARCH("R113",G348)),0)+IFERROR(--ISNUMBER(SEARCH("R114",G348)),0)+IFERROR(--ISNUMBER(SEARCH("R115",G348)),0)+IFERROR(--ISNUMBER(SEARCH("R116",G348)),0)+IFERROR(--ISNUMBER(SEARCH("R117",G348)),0)+IFERROR(--ISNUMBER(SEARCH("R118",G348)),0)+IFERROR(--ISNUMBER(SEARCH("R119",G348)),0)+IFERROR(--ISNUMBER(SEARCH("R120",G348)),0)+IFERROR(--ISNUMBER(SEARCH("R121",G348)),0)+IFERROR(--ISNUMBER(SEARCH("R122",G348)),0)+IFERROR(--ISNUMBER(SEARCH("R123",G348)),0)+IFERROR(--ISNUMBER(SEARCH("R124",G348)),0)+IFERROR(--ISNUMBER(SEARCH("R125",G348)),0)+IFERROR(--ISNUMBER(SEARCH("R126",G348)),0)+IFERROR(--ISNUMBER(SEARCH("R127",G348)),0)+IFERROR(--ISNUMBER(SEARCH("R128",G348)),0)+IFERROR(--ISNUMBER(SEARCH("R129",G348)),0)+IFERROR(--ISNUMBER(SEARCH("R130",G348)),0)+IFERROR(--ISNUMBER(SEARCH("R131",G348)),0)+IFERROR(--ISNUMBER(SEARCH("R132",G348)),0)+IFERROR(--ISNUMBER(SEARCH("R133",G348)),0)+IFERROR(--ISNUMBER(SEARCH("R134",G348)),0)+IFERROR(--ISNUMBER(SEARCH("R135",G348)),0)+IFERROR(--ISNUMBER(SEARCH("R136",G348)),0)+IFERROR(--ISNUMBER(SEARCH("R137",G348)),0)+IFERROR(--ISNUMBER(SEARCH("R138",G348)),0)+IFERROR(--ISNUMBER(SEARCH("R139",G348)),0)+IFERROR(--ISNUMBER(SEARCH("R140",G348)),0)+IFERROR(--ISNUMBER(SEARCH("R141",G348)),0))</f>
        <v/>
      </c>
      <c r="T348" s="58">
        <f>IF(A348="","",IFERROR(--ISNUMBER(SEARCH("R28",G348)),0)+IFERROR(--ISNUMBER(SEARCH("R29",G348)),0)+IFERROR(--ISNUMBER(SEARCH("R30",G348)),0)+IFERROR(--ISNUMBER(SEARCH("R32",G348)),0)+IFERROR(--ISNUMBER(SEARCH("R33",G348)),0)+IFERROR(--ISNUMBER(SEARCH("R35",G348)),0)+IFERROR(--ISNUMBER(SEARCH("R36",G348)),0)+IFERROR(--ISNUMBER(SEARCH("R38",G348)),0)+IFERROR(--ISNUMBER(SEARCH("R39",G348)),0)+IFERROR(--ISNUMBER(SEARCH("R43",G348)),0)+IFERROR(--ISNUMBER(SEARCH("R44",G348)),0)+IFERROR(--ISNUMBER(SEARCH("R45",G348)),0)+IFERROR(--ISNUMBER(SEARCH("R47",G348)),0)+IFERROR(--ISNUMBER(SEARCH("R48",G348)),0)+IFERROR(--ISNUMBER(SEARCH("R50",G348)),0)+IFERROR(--ISNUMBER(SEARCH("R51",G348)),0)+IFERROR(--ISNUMBER(SEARCH("R56",G348)),0)+IFERROR(--ISNUMBER(SEARCH("R58",G348)),0)+IFERROR(--ISNUMBER(SEARCH("R59",G348)),0)+IFERROR(--ISNUMBER(SEARCH("R60",G348)),0)+IFERROR(--ISNUMBER(SEARCH("R62",G348)),0)+IFERROR(--ISNUMBER(SEARCH("R63",G348)),0)+IFERROR(--ISNUMBER(SEARCH("R64",G348)),0)+IFERROR(--ISNUMBER(SEARCH("R66",G348)),0)+IFERROR(--ISNUMBER(SEARCH("R67",G348)),0)+IFERROR(--ISNUMBER(SEARCH("R72",G348)),0)+IFERROR(--ISNUMBER(SEARCH("R74",G348)),0)+IFERROR(--ISNUMBER(SEARCH("R75",G348)),0)+IFERROR(--ISNUMBER(SEARCH("R76",G348)),0)+IFERROR(--ISNUMBER(SEARCH("R77",G348)),0)+IFERROR(--ISNUMBER(SEARCH("R79",G348)),0)+IFERROR(--ISNUMBER(SEARCH("R80",G348)),0)+IFERROR(--ISNUMBER(SEARCH("R81",G348)),0)+IFERROR(--ISNUMBER(SEARCH("R83",G348)),0)+IFERROR(--ISNUMBER(SEARCH("R84",G348)),0)+IFERROR(--ISNUMBER(SEARCH("R89",G348)),0)+IFERROR(--ISNUMBER(SEARCH("R94",G348)),0)+IFERROR(--ISNUMBER(SEARCH("R95",G348)),0)+IFERROR(--ISNUMBER(SEARCH("R96",G348)),0)+IFERROR(--ISNUMBER(SEARCH("R98",G348)),0)+IFERROR(--ISNUMBER(SEARCH("R99",G348)),0)+IFERROR(--ISNUMBER(SEARCH("R100",G348)),0)+IFERROR(--ISNUMBER(SEARCH("R104",G348)),0)+IFERROR(--ISNUMBER(SEARCH("R105",G348)),0)+IFERROR(--ISNUMBER(SEARCH("R107",G348)),0)+IFERROR(--ISNUMBER(SEARCH("R108",G348)),0)+IFERROR(--ISNUMBER(SEARCH("R109",G348)),0)+IFERROR(--ISNUMBER(SEARCH("R110",G348)),0)+IFERROR(--ISNUMBER(SEARCH("R112",G348)),0)+IFERROR(--ISNUMBER(SEARCH("R113",G348)),0)+IFERROR(--ISNUMBER(SEARCH("R114",G348)),0)+IFERROR(--ISNUMBER(SEARCH("R118",G348)),0)+IFERROR(--ISNUMBER(SEARCH("R119",G348)),0)+IFERROR(--ISNUMBER(SEARCH("R120",G348)),0)+IFERROR(--ISNUMBER(SEARCH("R122",G348)),0)+IFERROR(--ISNUMBER(SEARCH("R123",G348)),0)+IFERROR(--ISNUMBER(SEARCH("R124",G348)),0)+IFERROR(--ISNUMBER(SEARCH("R128",G348)),0)+IFERROR(--ISNUMBER(SEARCH("R130",G348)),0)+IFERROR(--ISNUMBER(SEARCH("R131",G348)),0)+IFERROR(--ISNUMBER(SEARCH("R132",G348)),0)+IFERROR(--ISNUMBER(SEARCH("R135",G348)),0)+IFERROR(--ISNUMBER(SEARCH("R138",G348)),0)+IFERROR(--ISNUMBER(SEARCH("R141",G348)),0))</f>
        <v/>
      </c>
      <c r="U348" s="58">
        <f>IF(A348="","",IFERROR(--ISNUMBER(SEARCH("R28",G348))*28,0)+IFERROR(--ISNUMBER(SEARCH("R29",G348))*29,0)+IFERROR(--ISNUMBER(SEARCH("R30",G348))*30,0)+IFERROR(--ISNUMBER(SEARCH("R31",G348))*31,0)+IFERROR(--ISNUMBER(SEARCH("R32",G348))*32,0)+IFERROR(--ISNUMBER(SEARCH("R33",G348))*33,0)+IFERROR(--ISNUMBER(SEARCH("R34",G348))*34,0)+IFERROR(--ISNUMBER(SEARCH("R35",G348))*35,0)+IFERROR(--ISNUMBER(SEARCH("R36",G348))*36,0)+IFERROR(--ISNUMBER(SEARCH("R37",G348))*37,0)+IFERROR(--ISNUMBER(SEARCH("R38",G348))*38,0)+IFERROR(--ISNUMBER(SEARCH("R39",G348))*39,0)+IFERROR(--ISNUMBER(SEARCH("R40",G348))*40,0)+IFERROR(--ISNUMBER(SEARCH("R41",G348))*41,0)+IFERROR(--ISNUMBER(SEARCH("R42",G348))*42,0)+IFERROR(--ISNUMBER(SEARCH("R43",G348))*43,0)+IFERROR(--ISNUMBER(SEARCH("R44",G348))*44,0)+IFERROR(--ISNUMBER(SEARCH("R45",G348))*45,0)+IFERROR(--ISNUMBER(SEARCH("R46",G348))*46,0)+IFERROR(--ISNUMBER(SEARCH("R47",G348))*47,0)+IFERROR(--ISNUMBER(SEARCH("R48",G348))*48,0)+IFERROR(--ISNUMBER(SEARCH("R49",G348))*49,0)+IFERROR(--ISNUMBER(SEARCH("R50",G348))*50,0)+IFERROR(--ISNUMBER(SEARCH("R51",G348))*51,0)+IFERROR(--ISNUMBER(SEARCH("R52",G348))*52,0)+IFERROR(--ISNUMBER(SEARCH("R53",G348))*53,0)+IFERROR(--ISNUMBER(SEARCH("R54",G348))*54,0)+IFERROR(--ISNUMBER(SEARCH("R55",G348))*55,0)+IFERROR(--ISNUMBER(SEARCH("R56",G348))*56,0)+IFERROR(--ISNUMBER(SEARCH("R57",G348))*57,0)+IFERROR(--ISNUMBER(SEARCH("R58",G348))*58,0)+IFERROR(--ISNUMBER(SEARCH("R59",G348))*59,0)+IFERROR(--ISNUMBER(SEARCH("R60",G348))*60,0)+IFERROR(--ISNUMBER(SEARCH("R61",G348))*61,0)+IFERROR(--ISNUMBER(SEARCH("R62",G348))*62,0)+IFERROR(--ISNUMBER(SEARCH("R63",G348))*63,0)+IFERROR(--ISNUMBER(SEARCH("R64",G348))*64,0)+IFERROR(--ISNUMBER(SEARCH("R65",G348))*65,0)+IFERROR(--ISNUMBER(SEARCH("R66",G348))*66,0)+IFERROR(--ISNUMBER(SEARCH("R67",G348))*67,0)+IFERROR(--ISNUMBER(SEARCH("R68",G348))*68,0)+IFERROR(--ISNUMBER(SEARCH("R69",G348))*69,0)+IFERROR(--ISNUMBER(SEARCH("R70",G348))*70,0)+IFERROR(--ISNUMBER(SEARCH("R71",G348))*71,0)+IFERROR(--ISNUMBER(SEARCH("R72",G348))*72,0)+IFERROR(--ISNUMBER(SEARCH("R73",G348))*73,0)+IFERROR(--ISNUMBER(SEARCH("R74",G348))*74,0)+IFERROR(--ISNUMBER(SEARCH("R75",G348))*75,0)+IFERROR(--ISNUMBER(SEARCH("R76",G348))*76,0)+IFERROR(--ISNUMBER(SEARCH("R77",G348))*77,0)+IFERROR(--ISNUMBER(SEARCH("R78",G348))*78,0)+IFERROR(--ISNUMBER(SEARCH("R79",G348))*79,0)+IFERROR(--ISNUMBER(SEARCH("R80",G348))*80,0)+IFERROR(--ISNUMBER(SEARCH("R81",G348))*81,0)+IFERROR(--ISNUMBER(SEARCH("R82",G348))*82,0)+IFERROR(--ISNUMBER(SEARCH("R83",G348))*83,0)+IFERROR(--ISNUMBER(SEARCH("R84",G348))*84,0)+IFERROR(--ISNUMBER(SEARCH("R85",G348))*85,0)+IFERROR(--ISNUMBER(SEARCH("R86",G348))*86,0)+IFERROR(--ISNUMBER(SEARCH("R87",G348))*87,0)+IFERROR(--ISNUMBER(SEARCH("R88",G348))*88,0)+IFERROR(--ISNUMBER(SEARCH("R89",G348))*89,0)+IFERROR(--ISNUMBER(SEARCH("R90",G348))*90,0)+IFERROR(--ISNUMBER(SEARCH("R91",G348))*91,0)+IFERROR(--ISNUMBER(SEARCH("R92",G348))*92,0)+IFERROR(--ISNUMBER(SEARCH("R93",G348))*93,0)+IFERROR(--ISNUMBER(SEARCH("R94",G348))*94,0)+IFERROR(--ISNUMBER(SEARCH("R95",G348))*95,0)+IFERROR(--ISNUMBER(SEARCH("R96",G348))*96,0)+IFERROR(--ISNUMBER(SEARCH("R97",G348))*97,0)+IFERROR(--ISNUMBER(SEARCH("R98",G348))*98,0)+IFERROR(--ISNUMBER(SEARCH("R99",G348))*99,0)+IFERROR(--ISNUMBER(SEARCH("R100",G348))*100,0)+IFERROR(--ISNUMBER(SEARCH("R101",G348))*101,0)+IFERROR(--ISNUMBER(SEARCH("R102",G348))*102,0)+IFERROR(--ISNUMBER(SEARCH("R103",G348))*103,0)+IFERROR(--ISNUMBER(SEARCH("R104",G348))*104,0)+IFERROR(--ISNUMBER(SEARCH("R105",G348))*105,0)+IFERROR(--ISNUMBER(SEARCH("R106",G348))*106,0)+IFERROR(--ISNUMBER(SEARCH("R107",G348))*107,0)+IFERROR(--ISNUMBER(SEARCH("R108",G348))*108,0)+IFERROR(--ISNUMBER(SEARCH("R109",G348))*109,0)+IFERROR(--ISNUMBER(SEARCH("R110",G348))*110,0)+IFERROR(--ISNUMBER(SEARCH("R111",G348))*111,0)+IFERROR(--ISNUMBER(SEARCH("R112",G348))*112,0)+IFERROR(--ISNUMBER(SEARCH("R113",G348))*113,0)+IFERROR(--ISNUMBER(SEARCH("R114",G348))*114,0)+IFERROR(--ISNUMBER(SEARCH("R115",G348))*115,0)+IFERROR(--ISNUMBER(SEARCH("R116",G348))*116,0)+IFERROR(--ISNUMBER(SEARCH("R117",G348))*117,0)+IFERROR(--ISNUMBER(SEARCH("R118",G348))*118,0)+IFERROR(--ISNUMBER(SEARCH("R119",G348))*119,0)+IFERROR(--ISNUMBER(SEARCH("R120",G348))*120,0)+IFERROR(--ISNUMBER(SEARCH("R121",G348))*121,0)+IFERROR(--ISNUMBER(SEARCH("R122",G348))*122,0)+IFERROR(--ISNUMBER(SEARCH("R123",G348))*123,0)+IFERROR(--ISNUMBER(SEARCH("R124",G348))*124,0)+IFERROR(--ISNUMBER(SEARCH("R125",G348))*125,0)+IFERROR(--ISNUMBER(SEARCH("R126",G348))*126,0)+IFERROR(--ISNUMBER(SEARCH("R127",G348))*127,0)+IFERROR(--ISNUMBER(SEARCH("R128",G348))*128,0)+IFERROR(--ISNUMBER(SEARCH("R129",G348))*129,0)+IFERROR(--ISNUMBER(SEARCH("R130",G348))*130,0)+IFERROR(--ISNUMBER(SEARCH("R131",G348))*131,0)+IFERROR(--ISNUMBER(SEARCH("R132",G348))*132,0)+IFERROR(--ISNUMBER(SEARCH("R133",G348))*133,0)+IFERROR(--ISNUMBER(SEARCH("R134",G348))*134,0)+IFERROR(--ISNUMBER(SEARCH("R135",G348))*135,0)+IFERROR(--ISNUMBER(SEARCH("R136",G348))*136,0)+IFERROR(--ISNUMBER(SEARCH("R137",G348))*137,0)+IFERROR(--ISNUMBER(SEARCH("R138",G348))*138,0)+IFERROR(--ISNUMBER(SEARCH("R139",G348))*139,0)+IFERROR(--ISNUMBER(SEARCH("R140",G348))*140,0)+IFERROR(--ISNUMBER(SEARCH("R141",G348))*141,0))</f>
        <v/>
      </c>
      <c r="V348" s="59">
        <f>IF(A348="","",IF(K348&lt;&gt;"",K348,J348))</f>
        <v/>
      </c>
      <c r="W348" s="59">
        <f>IF(A348="","",IF(AND(V348=29,O348&lt;&gt;"",COUNTIFS($V$6:$V$505,29,$F$6:$F$505,F348,$C$6:$C$505,C348,$O$6:$O$505,"&lt;&gt;")&gt;1),IF(COUNTIFS($V$6:V348,29,$F$6:F348,F348,$C$6:C348,C348,$O$6:O348,"&lt;&gt;")=1,"Esta es la fila que se debe CONSERVAR (aparición 1 de "&amp;COUNTIFS($V$6:$V$505,29,$F$6:$F$505,F348,$C$6:$C$505,C348,$O$6:$O$505,"&lt;&gt;")&amp;" con el mismo tercero y valor, casilla 29). Si hay más filas iguales, bórreles el valor a ELLAS, no a esta.","DUPLICADO — ya existe otra fila con el mismo tercero y valor para casilla 29 (aparición "&amp;COUNTIFS($V$6:V348,29,$F$6:F348,F348,$C$6:C348,C348,$O$6:O348,"&lt;&gt;")&amp;" de "&amp;COUNTIFS($V$6:$V$505,29,$F$6:$F$505,F348,$C$6:$C$505,C348,$O$6:$O$505,"&lt;&gt;")&amp;"). Para resolverlo: seleccione la celda O"&amp;ROW()&amp;" (columna Valor a declarar de ESTA fila) y presione Supr."),""))</f>
        <v/>
      </c>
      <c r="X348" s="463">
        <f>IF(A348="","",F348)</f>
        <v/>
      </c>
      <c r="Y348" s="463">
        <f>IF(A348="","",SUMIF(Entrada_Manual!$I$88:$I$187,A348,Entrada_Manual!$F$88:$F$187))</f>
        <v/>
      </c>
      <c r="Z348" s="463">
        <f>IF(A348="","",X348-Y348)</f>
        <v/>
      </c>
      <c r="AA348">
        <f>IF(A348="","",SUMPRODUCT((Entrada_Manual!$I$88:$I$187=A348)*1))</f>
        <v/>
      </c>
      <c r="AB348">
        <f>IF(A348="","",IF(S348&lt;=1,"",IF(AA348=0,"PENDIENTE — SIN ASIGNAR",IF(Z348=0,"RESUELTO","PARCIAL — DIFERENCIA "&amp;TEXT(Z348,"#,##0")))))</f>
        <v/>
      </c>
    </row>
    <row r="349" ht="14.25" customHeight="1" s="235">
      <c r="A349" s="47">
        <f>IF(Exogena_RAW!E358&lt;&gt;"",ROW()-5,"")</f>
        <v/>
      </c>
      <c r="B349" s="48">
        <f>IF(A349="","",358)</f>
        <v/>
      </c>
      <c r="C349" s="48">
        <f>IF(A349="","",IFERROR(Exogena_RAW!A358,""))</f>
        <v/>
      </c>
      <c r="D349" s="48">
        <f>IF(A349="","",IFERROR(Exogena_RAW!B358,""))</f>
        <v/>
      </c>
      <c r="E349" s="48">
        <f>IF(A349="","",Exogena_RAW!E358)</f>
        <v/>
      </c>
      <c r="F349" s="461">
        <f>IF(A349="","",Exogena_RAW!F358)</f>
        <v/>
      </c>
      <c r="G349" s="48">
        <f>IF(A349="","",IFERROR(Exogena_RAW!G358,""))</f>
        <v/>
      </c>
      <c r="H349" s="48">
        <f>IF(A349="","",IFERROR(Exogena_RAW!H358,""))</f>
        <v/>
      </c>
      <c r="I349" s="48">
        <f>IF(A349="","",IFERROR(IF(S349&gt;1,"VARIAS CASILLAS",IF(S349=1,IF(T349=1,"PROPUESTA DE CASILLA","REVISIÓN: CASILLA NO DIRECTA"),IF(OR(ISNUMBER(SEARCH("TOPE",UPPER(E349))),ISNUMBER(SEARCH("TOPE",UPPER(G349)))),"SOLO CONTROL",IF(ISNUMBER(SEARCH("RETEN",UPPER(E349))),"RETENCIÓN","REVISAR")))),"REVISAR"))</f>
        <v/>
      </c>
      <c r="J349" s="48">
        <f>IF(A349="","",IF(ISNUMBER(SEARCH("ingreso laboral promedio de los últimos seis meses",E349)),"",IFERROR(IF(AND(S349=1,T349=1),U349,""),"")))</f>
        <v/>
      </c>
      <c r="K349" s="216" t="n"/>
      <c r="L349" s="48">
        <f>IF(A349="","",IFERROR(IF(K349&lt;&gt;"","Casilla elegida por usuario",IF(S349&gt;1,"Varias casillas — elegir en K",IF(J349&lt;&gt;"","Sugerencia directa",IF(S349=1,"No trasladar directo — revisar",IF(OR(ISNUMBER(SEARCH("TOPE",UPPER(E349))),ISNUMBER(SEARCH("TOPE",UPPER(G349)))),"Solo control","Revisar manualmente"))))),"Revisar manualmente"))</f>
        <v/>
      </c>
      <c r="M349" s="461">
        <f>IF(A349="","",IF(IF(K349&lt;&gt;"",K349,J349)="",0,IF(COUNTIFS(Reglas!$I$5:$I$118,IF(K349&lt;&gt;"",K349,J349),Reglas!$J$5:$J$118,"Sí")=1,F349,0)))</f>
        <v/>
      </c>
      <c r="N349" s="56" t="n"/>
      <c r="O349" s="462">
        <f>IF(A349="","",IF(M349=0,"",M349))</f>
        <v/>
      </c>
      <c r="P349" s="461">
        <f>IF(A349="","",IF(O349="",0,IF(ISNUMBER(O349),O349,0)))</f>
        <v/>
      </c>
      <c r="Q349" s="48">
        <f>IF(A349="","",IF(Exogena_RAW!$C$4="","BLOQUEADO: FALTA AÑO",IF(Exogena_RAW!$K$10&lt;&gt;Reglas!$B$5,"BLOQUEADO: AÑO",IF(IF(K349&lt;&gt;"",K349,J349)="",IF(S349&gt;1,"REQUIERE ASIGNACIÓN MANUAL (VARIAS CASILLAS)","INFORMATIVO (sin casilla — no se declara)"),IF(COUNTIFS(Reglas!$I$5:$I$118,IF(K349&lt;&gt;"",K349,J349),Reglas!$J$5:$J$118,"Sí")=0,"BLOQUEADO: CASILLA NO DIRECTA",IF(O349="","EXCLUIDO (valor borrado por el usuario)",IF(_xlfn.ISFORMULA(O349),IF(W349&lt;&gt;"","BORRADOR — VALOR SUGERIDO DIAN ⚠ VER ALERTA","BORRADOR — VALOR SUGERIDO DIAN"),IF(W349&lt;&gt;"","ACEPTADO ⚠ VER ALERTA","ACEPTADO"))))))))</f>
        <v/>
      </c>
      <c r="R349" s="218" t="n"/>
      <c r="S349" s="58">
        <f>IF(A349="","",IFERROR(--ISNUMBER(SEARCH("R28",G349)),0)+IFERROR(--ISNUMBER(SEARCH("R29",G349)),0)+IFERROR(--ISNUMBER(SEARCH("R30",G349)),0)+IFERROR(--ISNUMBER(SEARCH("R31",G349)),0)+IFERROR(--ISNUMBER(SEARCH("R32",G349)),0)+IFERROR(--ISNUMBER(SEARCH("R33",G349)),0)+IFERROR(--ISNUMBER(SEARCH("R34",G349)),0)+IFERROR(--ISNUMBER(SEARCH("R35",G349)),0)+IFERROR(--ISNUMBER(SEARCH("R36",G349)),0)+IFERROR(--ISNUMBER(SEARCH("R37",G349)),0)+IFERROR(--ISNUMBER(SEARCH("R38",G349)),0)+IFERROR(--ISNUMBER(SEARCH("R39",G349)),0)+IFERROR(--ISNUMBER(SEARCH("R40",G349)),0)+IFERROR(--ISNUMBER(SEARCH("R41",G349)),0)+IFERROR(--ISNUMBER(SEARCH("R42",G349)),0)+IFERROR(--ISNUMBER(SEARCH("R43",G349)),0)+IFERROR(--ISNUMBER(SEARCH("R44",G349)),0)+IFERROR(--ISNUMBER(SEARCH("R45",G349)),0)+IFERROR(--ISNUMBER(SEARCH("R46",G349)),0)+IFERROR(--ISNUMBER(SEARCH("R47",G349)),0)+IFERROR(--ISNUMBER(SEARCH("R48",G349)),0)+IFERROR(--ISNUMBER(SEARCH("R49",G349)),0)+IFERROR(--ISNUMBER(SEARCH("R50",G349)),0)+IFERROR(--ISNUMBER(SEARCH("R51",G349)),0)+IFERROR(--ISNUMBER(SEARCH("R52",G349)),0)+IFERROR(--ISNUMBER(SEARCH("R53",G349)),0)+IFERROR(--ISNUMBER(SEARCH("R54",G349)),0)+IFERROR(--ISNUMBER(SEARCH("R55",G349)),0)+IFERROR(--ISNUMBER(SEARCH("R56",G349)),0)+IFERROR(--ISNUMBER(SEARCH("R57",G349)),0)+IFERROR(--ISNUMBER(SEARCH("R58",G349)),0)+IFERROR(--ISNUMBER(SEARCH("R59",G349)),0)+IFERROR(--ISNUMBER(SEARCH("R60",G349)),0)+IFERROR(--ISNUMBER(SEARCH("R61",G349)),0)+IFERROR(--ISNUMBER(SEARCH("R62",G349)),0)+IFERROR(--ISNUMBER(SEARCH("R63",G349)),0)+IFERROR(--ISNUMBER(SEARCH("R64",G349)),0)+IFERROR(--ISNUMBER(SEARCH("R65",G349)),0)+IFERROR(--ISNUMBER(SEARCH("R66",G349)),0)+IFERROR(--ISNUMBER(SEARCH("R67",G349)),0)+IFERROR(--ISNUMBER(SEARCH("R68",G349)),0)+IFERROR(--ISNUMBER(SEARCH("R69",G349)),0)+IFERROR(--ISNUMBER(SEARCH("R70",G349)),0)+IFERROR(--ISNUMBER(SEARCH("R71",G349)),0)+IFERROR(--ISNUMBER(SEARCH("R72",G349)),0)+IFERROR(--ISNUMBER(SEARCH("R73",G349)),0)+IFERROR(--ISNUMBER(SEARCH("R74",G349)),0)+IFERROR(--ISNUMBER(SEARCH("R75",G349)),0)+IFERROR(--ISNUMBER(SEARCH("R76",G349)),0)+IFERROR(--ISNUMBER(SEARCH("R77",G349)),0)+IFERROR(--ISNUMBER(SEARCH("R78",G349)),0)+IFERROR(--ISNUMBER(SEARCH("R79",G349)),0)+IFERROR(--ISNUMBER(SEARCH("R80",G349)),0)+IFERROR(--ISNUMBER(SEARCH("R81",G349)),0)+IFERROR(--ISNUMBER(SEARCH("R82",G349)),0)+IFERROR(--ISNUMBER(SEARCH("R83",G349)),0)+IFERROR(--ISNUMBER(SEARCH("R84",G349)),0)+IFERROR(--ISNUMBER(SEARCH("R85",G349)),0)+IFERROR(--ISNUMBER(SEARCH("R86",G349)),0)+IFERROR(--ISNUMBER(SEARCH("R87",G349)),0)+IFERROR(--ISNUMBER(SEARCH("R88",G349)),0)+IFERROR(--ISNUMBER(SEARCH("R89",G349)),0)+IFERROR(--ISNUMBER(SEARCH("R90",G349)),0)+IFERROR(--ISNUMBER(SEARCH("R91",G349)),0)+IFERROR(--ISNUMBER(SEARCH("R92",G349)),0)+IFERROR(--ISNUMBER(SEARCH("R93",G349)),0)+IFERROR(--ISNUMBER(SEARCH("R94",G349)),0)+IFERROR(--ISNUMBER(SEARCH("R95",G349)),0)+IFERROR(--ISNUMBER(SEARCH("R96",G349)),0)+IFERROR(--ISNUMBER(SEARCH("R97",G349)),0)+IFERROR(--ISNUMBER(SEARCH("R98",G349)),0)+IFERROR(--ISNUMBER(SEARCH("R99",G349)),0)+IFERROR(--ISNUMBER(SEARCH("R100",G349)),0)+IFERROR(--ISNUMBER(SEARCH("R101",G349)),0)+IFERROR(--ISNUMBER(SEARCH("R102",G349)),0)+IFERROR(--ISNUMBER(SEARCH("R103",G349)),0)+IFERROR(--ISNUMBER(SEARCH("R104",G349)),0)+IFERROR(--ISNUMBER(SEARCH("R105",G349)),0)+IFERROR(--ISNUMBER(SEARCH("R106",G349)),0)+IFERROR(--ISNUMBER(SEARCH("R107",G349)),0)+IFERROR(--ISNUMBER(SEARCH("R108",G349)),0)+IFERROR(--ISNUMBER(SEARCH("R109",G349)),0)+IFERROR(--ISNUMBER(SEARCH("R110",G349)),0)+IFERROR(--ISNUMBER(SEARCH("R111",G349)),0)+IFERROR(--ISNUMBER(SEARCH("R112",G349)),0)+IFERROR(--ISNUMBER(SEARCH("R113",G349)),0)+IFERROR(--ISNUMBER(SEARCH("R114",G349)),0)+IFERROR(--ISNUMBER(SEARCH("R115",G349)),0)+IFERROR(--ISNUMBER(SEARCH("R116",G349)),0)+IFERROR(--ISNUMBER(SEARCH("R117",G349)),0)+IFERROR(--ISNUMBER(SEARCH("R118",G349)),0)+IFERROR(--ISNUMBER(SEARCH("R119",G349)),0)+IFERROR(--ISNUMBER(SEARCH("R120",G349)),0)+IFERROR(--ISNUMBER(SEARCH("R121",G349)),0)+IFERROR(--ISNUMBER(SEARCH("R122",G349)),0)+IFERROR(--ISNUMBER(SEARCH("R123",G349)),0)+IFERROR(--ISNUMBER(SEARCH("R124",G349)),0)+IFERROR(--ISNUMBER(SEARCH("R125",G349)),0)+IFERROR(--ISNUMBER(SEARCH("R126",G349)),0)+IFERROR(--ISNUMBER(SEARCH("R127",G349)),0)+IFERROR(--ISNUMBER(SEARCH("R128",G349)),0)+IFERROR(--ISNUMBER(SEARCH("R129",G349)),0)+IFERROR(--ISNUMBER(SEARCH("R130",G349)),0)+IFERROR(--ISNUMBER(SEARCH("R131",G349)),0)+IFERROR(--ISNUMBER(SEARCH("R132",G349)),0)+IFERROR(--ISNUMBER(SEARCH("R133",G349)),0)+IFERROR(--ISNUMBER(SEARCH("R134",G349)),0)+IFERROR(--ISNUMBER(SEARCH("R135",G349)),0)+IFERROR(--ISNUMBER(SEARCH("R136",G349)),0)+IFERROR(--ISNUMBER(SEARCH("R137",G349)),0)+IFERROR(--ISNUMBER(SEARCH("R138",G349)),0)+IFERROR(--ISNUMBER(SEARCH("R139",G349)),0)+IFERROR(--ISNUMBER(SEARCH("R140",G349)),0)+IFERROR(--ISNUMBER(SEARCH("R141",G349)),0))</f>
        <v/>
      </c>
      <c r="T349" s="58">
        <f>IF(A349="","",IFERROR(--ISNUMBER(SEARCH("R28",G349)),0)+IFERROR(--ISNUMBER(SEARCH("R29",G349)),0)+IFERROR(--ISNUMBER(SEARCH("R30",G349)),0)+IFERROR(--ISNUMBER(SEARCH("R32",G349)),0)+IFERROR(--ISNUMBER(SEARCH("R33",G349)),0)+IFERROR(--ISNUMBER(SEARCH("R35",G349)),0)+IFERROR(--ISNUMBER(SEARCH("R36",G349)),0)+IFERROR(--ISNUMBER(SEARCH("R38",G349)),0)+IFERROR(--ISNUMBER(SEARCH("R39",G349)),0)+IFERROR(--ISNUMBER(SEARCH("R43",G349)),0)+IFERROR(--ISNUMBER(SEARCH("R44",G349)),0)+IFERROR(--ISNUMBER(SEARCH("R45",G349)),0)+IFERROR(--ISNUMBER(SEARCH("R47",G349)),0)+IFERROR(--ISNUMBER(SEARCH("R48",G349)),0)+IFERROR(--ISNUMBER(SEARCH("R50",G349)),0)+IFERROR(--ISNUMBER(SEARCH("R51",G349)),0)+IFERROR(--ISNUMBER(SEARCH("R56",G349)),0)+IFERROR(--ISNUMBER(SEARCH("R58",G349)),0)+IFERROR(--ISNUMBER(SEARCH("R59",G349)),0)+IFERROR(--ISNUMBER(SEARCH("R60",G349)),0)+IFERROR(--ISNUMBER(SEARCH("R62",G349)),0)+IFERROR(--ISNUMBER(SEARCH("R63",G349)),0)+IFERROR(--ISNUMBER(SEARCH("R64",G349)),0)+IFERROR(--ISNUMBER(SEARCH("R66",G349)),0)+IFERROR(--ISNUMBER(SEARCH("R67",G349)),0)+IFERROR(--ISNUMBER(SEARCH("R72",G349)),0)+IFERROR(--ISNUMBER(SEARCH("R74",G349)),0)+IFERROR(--ISNUMBER(SEARCH("R75",G349)),0)+IFERROR(--ISNUMBER(SEARCH("R76",G349)),0)+IFERROR(--ISNUMBER(SEARCH("R77",G349)),0)+IFERROR(--ISNUMBER(SEARCH("R79",G349)),0)+IFERROR(--ISNUMBER(SEARCH("R80",G349)),0)+IFERROR(--ISNUMBER(SEARCH("R81",G349)),0)+IFERROR(--ISNUMBER(SEARCH("R83",G349)),0)+IFERROR(--ISNUMBER(SEARCH("R84",G349)),0)+IFERROR(--ISNUMBER(SEARCH("R89",G349)),0)+IFERROR(--ISNUMBER(SEARCH("R94",G349)),0)+IFERROR(--ISNUMBER(SEARCH("R95",G349)),0)+IFERROR(--ISNUMBER(SEARCH("R96",G349)),0)+IFERROR(--ISNUMBER(SEARCH("R98",G349)),0)+IFERROR(--ISNUMBER(SEARCH("R99",G349)),0)+IFERROR(--ISNUMBER(SEARCH("R100",G349)),0)+IFERROR(--ISNUMBER(SEARCH("R104",G349)),0)+IFERROR(--ISNUMBER(SEARCH("R105",G349)),0)+IFERROR(--ISNUMBER(SEARCH("R107",G349)),0)+IFERROR(--ISNUMBER(SEARCH("R108",G349)),0)+IFERROR(--ISNUMBER(SEARCH("R109",G349)),0)+IFERROR(--ISNUMBER(SEARCH("R110",G349)),0)+IFERROR(--ISNUMBER(SEARCH("R112",G349)),0)+IFERROR(--ISNUMBER(SEARCH("R113",G349)),0)+IFERROR(--ISNUMBER(SEARCH("R114",G349)),0)+IFERROR(--ISNUMBER(SEARCH("R118",G349)),0)+IFERROR(--ISNUMBER(SEARCH("R119",G349)),0)+IFERROR(--ISNUMBER(SEARCH("R120",G349)),0)+IFERROR(--ISNUMBER(SEARCH("R122",G349)),0)+IFERROR(--ISNUMBER(SEARCH("R123",G349)),0)+IFERROR(--ISNUMBER(SEARCH("R124",G349)),0)+IFERROR(--ISNUMBER(SEARCH("R128",G349)),0)+IFERROR(--ISNUMBER(SEARCH("R130",G349)),0)+IFERROR(--ISNUMBER(SEARCH("R131",G349)),0)+IFERROR(--ISNUMBER(SEARCH("R132",G349)),0)+IFERROR(--ISNUMBER(SEARCH("R135",G349)),0)+IFERROR(--ISNUMBER(SEARCH("R138",G349)),0)+IFERROR(--ISNUMBER(SEARCH("R141",G349)),0))</f>
        <v/>
      </c>
      <c r="U349" s="58">
        <f>IF(A349="","",IFERROR(--ISNUMBER(SEARCH("R28",G349))*28,0)+IFERROR(--ISNUMBER(SEARCH("R29",G349))*29,0)+IFERROR(--ISNUMBER(SEARCH("R30",G349))*30,0)+IFERROR(--ISNUMBER(SEARCH("R31",G349))*31,0)+IFERROR(--ISNUMBER(SEARCH("R32",G349))*32,0)+IFERROR(--ISNUMBER(SEARCH("R33",G349))*33,0)+IFERROR(--ISNUMBER(SEARCH("R34",G349))*34,0)+IFERROR(--ISNUMBER(SEARCH("R35",G349))*35,0)+IFERROR(--ISNUMBER(SEARCH("R36",G349))*36,0)+IFERROR(--ISNUMBER(SEARCH("R37",G349))*37,0)+IFERROR(--ISNUMBER(SEARCH("R38",G349))*38,0)+IFERROR(--ISNUMBER(SEARCH("R39",G349))*39,0)+IFERROR(--ISNUMBER(SEARCH("R40",G349))*40,0)+IFERROR(--ISNUMBER(SEARCH("R41",G349))*41,0)+IFERROR(--ISNUMBER(SEARCH("R42",G349))*42,0)+IFERROR(--ISNUMBER(SEARCH("R43",G349))*43,0)+IFERROR(--ISNUMBER(SEARCH("R44",G349))*44,0)+IFERROR(--ISNUMBER(SEARCH("R45",G349))*45,0)+IFERROR(--ISNUMBER(SEARCH("R46",G349))*46,0)+IFERROR(--ISNUMBER(SEARCH("R47",G349))*47,0)+IFERROR(--ISNUMBER(SEARCH("R48",G349))*48,0)+IFERROR(--ISNUMBER(SEARCH("R49",G349))*49,0)+IFERROR(--ISNUMBER(SEARCH("R50",G349))*50,0)+IFERROR(--ISNUMBER(SEARCH("R51",G349))*51,0)+IFERROR(--ISNUMBER(SEARCH("R52",G349))*52,0)+IFERROR(--ISNUMBER(SEARCH("R53",G349))*53,0)+IFERROR(--ISNUMBER(SEARCH("R54",G349))*54,0)+IFERROR(--ISNUMBER(SEARCH("R55",G349))*55,0)+IFERROR(--ISNUMBER(SEARCH("R56",G349))*56,0)+IFERROR(--ISNUMBER(SEARCH("R57",G349))*57,0)+IFERROR(--ISNUMBER(SEARCH("R58",G349))*58,0)+IFERROR(--ISNUMBER(SEARCH("R59",G349))*59,0)+IFERROR(--ISNUMBER(SEARCH("R60",G349))*60,0)+IFERROR(--ISNUMBER(SEARCH("R61",G349))*61,0)+IFERROR(--ISNUMBER(SEARCH("R62",G349))*62,0)+IFERROR(--ISNUMBER(SEARCH("R63",G349))*63,0)+IFERROR(--ISNUMBER(SEARCH("R64",G349))*64,0)+IFERROR(--ISNUMBER(SEARCH("R65",G349))*65,0)+IFERROR(--ISNUMBER(SEARCH("R66",G349))*66,0)+IFERROR(--ISNUMBER(SEARCH("R67",G349))*67,0)+IFERROR(--ISNUMBER(SEARCH("R68",G349))*68,0)+IFERROR(--ISNUMBER(SEARCH("R69",G349))*69,0)+IFERROR(--ISNUMBER(SEARCH("R70",G349))*70,0)+IFERROR(--ISNUMBER(SEARCH("R71",G349))*71,0)+IFERROR(--ISNUMBER(SEARCH("R72",G349))*72,0)+IFERROR(--ISNUMBER(SEARCH("R73",G349))*73,0)+IFERROR(--ISNUMBER(SEARCH("R74",G349))*74,0)+IFERROR(--ISNUMBER(SEARCH("R75",G349))*75,0)+IFERROR(--ISNUMBER(SEARCH("R76",G349))*76,0)+IFERROR(--ISNUMBER(SEARCH("R77",G349))*77,0)+IFERROR(--ISNUMBER(SEARCH("R78",G349))*78,0)+IFERROR(--ISNUMBER(SEARCH("R79",G349))*79,0)+IFERROR(--ISNUMBER(SEARCH("R80",G349))*80,0)+IFERROR(--ISNUMBER(SEARCH("R81",G349))*81,0)+IFERROR(--ISNUMBER(SEARCH("R82",G349))*82,0)+IFERROR(--ISNUMBER(SEARCH("R83",G349))*83,0)+IFERROR(--ISNUMBER(SEARCH("R84",G349))*84,0)+IFERROR(--ISNUMBER(SEARCH("R85",G349))*85,0)+IFERROR(--ISNUMBER(SEARCH("R86",G349))*86,0)+IFERROR(--ISNUMBER(SEARCH("R87",G349))*87,0)+IFERROR(--ISNUMBER(SEARCH("R88",G349))*88,0)+IFERROR(--ISNUMBER(SEARCH("R89",G349))*89,0)+IFERROR(--ISNUMBER(SEARCH("R90",G349))*90,0)+IFERROR(--ISNUMBER(SEARCH("R91",G349))*91,0)+IFERROR(--ISNUMBER(SEARCH("R92",G349))*92,0)+IFERROR(--ISNUMBER(SEARCH("R93",G349))*93,0)+IFERROR(--ISNUMBER(SEARCH("R94",G349))*94,0)+IFERROR(--ISNUMBER(SEARCH("R95",G349))*95,0)+IFERROR(--ISNUMBER(SEARCH("R96",G349))*96,0)+IFERROR(--ISNUMBER(SEARCH("R97",G349))*97,0)+IFERROR(--ISNUMBER(SEARCH("R98",G349))*98,0)+IFERROR(--ISNUMBER(SEARCH("R99",G349))*99,0)+IFERROR(--ISNUMBER(SEARCH("R100",G349))*100,0)+IFERROR(--ISNUMBER(SEARCH("R101",G349))*101,0)+IFERROR(--ISNUMBER(SEARCH("R102",G349))*102,0)+IFERROR(--ISNUMBER(SEARCH("R103",G349))*103,0)+IFERROR(--ISNUMBER(SEARCH("R104",G349))*104,0)+IFERROR(--ISNUMBER(SEARCH("R105",G349))*105,0)+IFERROR(--ISNUMBER(SEARCH("R106",G349))*106,0)+IFERROR(--ISNUMBER(SEARCH("R107",G349))*107,0)+IFERROR(--ISNUMBER(SEARCH("R108",G349))*108,0)+IFERROR(--ISNUMBER(SEARCH("R109",G349))*109,0)+IFERROR(--ISNUMBER(SEARCH("R110",G349))*110,0)+IFERROR(--ISNUMBER(SEARCH("R111",G349))*111,0)+IFERROR(--ISNUMBER(SEARCH("R112",G349))*112,0)+IFERROR(--ISNUMBER(SEARCH("R113",G349))*113,0)+IFERROR(--ISNUMBER(SEARCH("R114",G349))*114,0)+IFERROR(--ISNUMBER(SEARCH("R115",G349))*115,0)+IFERROR(--ISNUMBER(SEARCH("R116",G349))*116,0)+IFERROR(--ISNUMBER(SEARCH("R117",G349))*117,0)+IFERROR(--ISNUMBER(SEARCH("R118",G349))*118,0)+IFERROR(--ISNUMBER(SEARCH("R119",G349))*119,0)+IFERROR(--ISNUMBER(SEARCH("R120",G349))*120,0)+IFERROR(--ISNUMBER(SEARCH("R121",G349))*121,0)+IFERROR(--ISNUMBER(SEARCH("R122",G349))*122,0)+IFERROR(--ISNUMBER(SEARCH("R123",G349))*123,0)+IFERROR(--ISNUMBER(SEARCH("R124",G349))*124,0)+IFERROR(--ISNUMBER(SEARCH("R125",G349))*125,0)+IFERROR(--ISNUMBER(SEARCH("R126",G349))*126,0)+IFERROR(--ISNUMBER(SEARCH("R127",G349))*127,0)+IFERROR(--ISNUMBER(SEARCH("R128",G349))*128,0)+IFERROR(--ISNUMBER(SEARCH("R129",G349))*129,0)+IFERROR(--ISNUMBER(SEARCH("R130",G349))*130,0)+IFERROR(--ISNUMBER(SEARCH("R131",G349))*131,0)+IFERROR(--ISNUMBER(SEARCH("R132",G349))*132,0)+IFERROR(--ISNUMBER(SEARCH("R133",G349))*133,0)+IFERROR(--ISNUMBER(SEARCH("R134",G349))*134,0)+IFERROR(--ISNUMBER(SEARCH("R135",G349))*135,0)+IFERROR(--ISNUMBER(SEARCH("R136",G349))*136,0)+IFERROR(--ISNUMBER(SEARCH("R137",G349))*137,0)+IFERROR(--ISNUMBER(SEARCH("R138",G349))*138,0)+IFERROR(--ISNUMBER(SEARCH("R139",G349))*139,0)+IFERROR(--ISNUMBER(SEARCH("R140",G349))*140,0)+IFERROR(--ISNUMBER(SEARCH("R141",G349))*141,0))</f>
        <v/>
      </c>
      <c r="V349" s="59">
        <f>IF(A349="","",IF(K349&lt;&gt;"",K349,J349))</f>
        <v/>
      </c>
      <c r="W349" s="59">
        <f>IF(A349="","",IF(AND(V349=29,O349&lt;&gt;"",COUNTIFS($V$6:$V$505,29,$F$6:$F$505,F349,$C$6:$C$505,C349,$O$6:$O$505,"&lt;&gt;")&gt;1),IF(COUNTIFS($V$6:V349,29,$F$6:F349,F349,$C$6:C349,C349,$O$6:O349,"&lt;&gt;")=1,"Esta es la fila que se debe CONSERVAR (aparición 1 de "&amp;COUNTIFS($V$6:$V$505,29,$F$6:$F$505,F349,$C$6:$C$505,C349,$O$6:$O$505,"&lt;&gt;")&amp;" con el mismo tercero y valor, casilla 29). Si hay más filas iguales, bórreles el valor a ELLAS, no a esta.","DUPLICADO — ya existe otra fila con el mismo tercero y valor para casilla 29 (aparición "&amp;COUNTIFS($V$6:V349,29,$F$6:F349,F349,$C$6:C349,C349,$O$6:O349,"&lt;&gt;")&amp;" de "&amp;COUNTIFS($V$6:$V$505,29,$F$6:$F$505,F349,$C$6:$C$505,C349,$O$6:$O$505,"&lt;&gt;")&amp;"). Para resolverlo: seleccione la celda O"&amp;ROW()&amp;" (columna Valor a declarar de ESTA fila) y presione Supr."),""))</f>
        <v/>
      </c>
      <c r="X349" s="463">
        <f>IF(A349="","",F349)</f>
        <v/>
      </c>
      <c r="Y349" s="463">
        <f>IF(A349="","",SUMIF(Entrada_Manual!$I$88:$I$187,A349,Entrada_Manual!$F$88:$F$187))</f>
        <v/>
      </c>
      <c r="Z349" s="463">
        <f>IF(A349="","",X349-Y349)</f>
        <v/>
      </c>
      <c r="AA349">
        <f>IF(A349="","",SUMPRODUCT((Entrada_Manual!$I$88:$I$187=A349)*1))</f>
        <v/>
      </c>
      <c r="AB349">
        <f>IF(A349="","",IF(S349&lt;=1,"",IF(AA349=0,"PENDIENTE — SIN ASIGNAR",IF(Z349=0,"RESUELTO","PARCIAL — DIFERENCIA "&amp;TEXT(Z349,"#,##0")))))</f>
        <v/>
      </c>
    </row>
    <row r="350" ht="14.25" customHeight="1" s="235">
      <c r="A350" s="47">
        <f>IF(Exogena_RAW!E359&lt;&gt;"",ROW()-5,"")</f>
        <v/>
      </c>
      <c r="B350" s="48">
        <f>IF(A350="","",359)</f>
        <v/>
      </c>
      <c r="C350" s="48">
        <f>IF(A350="","",IFERROR(Exogena_RAW!A359,""))</f>
        <v/>
      </c>
      <c r="D350" s="48">
        <f>IF(A350="","",IFERROR(Exogena_RAW!B359,""))</f>
        <v/>
      </c>
      <c r="E350" s="48">
        <f>IF(A350="","",Exogena_RAW!E359)</f>
        <v/>
      </c>
      <c r="F350" s="461">
        <f>IF(A350="","",Exogena_RAW!F359)</f>
        <v/>
      </c>
      <c r="G350" s="48">
        <f>IF(A350="","",IFERROR(Exogena_RAW!G359,""))</f>
        <v/>
      </c>
      <c r="H350" s="48">
        <f>IF(A350="","",IFERROR(Exogena_RAW!H359,""))</f>
        <v/>
      </c>
      <c r="I350" s="48">
        <f>IF(A350="","",IFERROR(IF(S350&gt;1,"VARIAS CASILLAS",IF(S350=1,IF(T350=1,"PROPUESTA DE CASILLA","REVISIÓN: CASILLA NO DIRECTA"),IF(OR(ISNUMBER(SEARCH("TOPE",UPPER(E350))),ISNUMBER(SEARCH("TOPE",UPPER(G350)))),"SOLO CONTROL",IF(ISNUMBER(SEARCH("RETEN",UPPER(E350))),"RETENCIÓN","REVISAR")))),"REVISAR"))</f>
        <v/>
      </c>
      <c r="J350" s="48">
        <f>IF(A350="","",IF(ISNUMBER(SEARCH("ingreso laboral promedio de los últimos seis meses",E350)),"",IFERROR(IF(AND(S350=1,T350=1),U350,""),"")))</f>
        <v/>
      </c>
      <c r="K350" s="216" t="n"/>
      <c r="L350" s="48">
        <f>IF(A350="","",IFERROR(IF(K350&lt;&gt;"","Casilla elegida por usuario",IF(S350&gt;1,"Varias casillas — elegir en K",IF(J350&lt;&gt;"","Sugerencia directa",IF(S350=1,"No trasladar directo — revisar",IF(OR(ISNUMBER(SEARCH("TOPE",UPPER(E350))),ISNUMBER(SEARCH("TOPE",UPPER(G350)))),"Solo control","Revisar manualmente"))))),"Revisar manualmente"))</f>
        <v/>
      </c>
      <c r="M350" s="461">
        <f>IF(A350="","",IF(IF(K350&lt;&gt;"",K350,J350)="",0,IF(COUNTIFS(Reglas!$I$5:$I$118,IF(K350&lt;&gt;"",K350,J350),Reglas!$J$5:$J$118,"Sí")=1,F350,0)))</f>
        <v/>
      </c>
      <c r="N350" s="56" t="n"/>
      <c r="O350" s="462">
        <f>IF(A350="","",IF(M350=0,"",M350))</f>
        <v/>
      </c>
      <c r="P350" s="461">
        <f>IF(A350="","",IF(O350="",0,IF(ISNUMBER(O350),O350,0)))</f>
        <v/>
      </c>
      <c r="Q350" s="48">
        <f>IF(A350="","",IF(Exogena_RAW!$C$4="","BLOQUEADO: FALTA AÑO",IF(Exogena_RAW!$K$10&lt;&gt;Reglas!$B$5,"BLOQUEADO: AÑO",IF(IF(K350&lt;&gt;"",K350,J350)="",IF(S350&gt;1,"REQUIERE ASIGNACIÓN MANUAL (VARIAS CASILLAS)","INFORMATIVO (sin casilla — no se declara)"),IF(COUNTIFS(Reglas!$I$5:$I$118,IF(K350&lt;&gt;"",K350,J350),Reglas!$J$5:$J$118,"Sí")=0,"BLOQUEADO: CASILLA NO DIRECTA",IF(O350="","EXCLUIDO (valor borrado por el usuario)",IF(_xlfn.ISFORMULA(O350),IF(W350&lt;&gt;"","BORRADOR — VALOR SUGERIDO DIAN ⚠ VER ALERTA","BORRADOR — VALOR SUGERIDO DIAN"),IF(W350&lt;&gt;"","ACEPTADO ⚠ VER ALERTA","ACEPTADO"))))))))</f>
        <v/>
      </c>
      <c r="R350" s="218" t="n"/>
      <c r="S350" s="58">
        <f>IF(A350="","",IFERROR(--ISNUMBER(SEARCH("R28",G350)),0)+IFERROR(--ISNUMBER(SEARCH("R29",G350)),0)+IFERROR(--ISNUMBER(SEARCH("R30",G350)),0)+IFERROR(--ISNUMBER(SEARCH("R31",G350)),0)+IFERROR(--ISNUMBER(SEARCH("R32",G350)),0)+IFERROR(--ISNUMBER(SEARCH("R33",G350)),0)+IFERROR(--ISNUMBER(SEARCH("R34",G350)),0)+IFERROR(--ISNUMBER(SEARCH("R35",G350)),0)+IFERROR(--ISNUMBER(SEARCH("R36",G350)),0)+IFERROR(--ISNUMBER(SEARCH("R37",G350)),0)+IFERROR(--ISNUMBER(SEARCH("R38",G350)),0)+IFERROR(--ISNUMBER(SEARCH("R39",G350)),0)+IFERROR(--ISNUMBER(SEARCH("R40",G350)),0)+IFERROR(--ISNUMBER(SEARCH("R41",G350)),0)+IFERROR(--ISNUMBER(SEARCH("R42",G350)),0)+IFERROR(--ISNUMBER(SEARCH("R43",G350)),0)+IFERROR(--ISNUMBER(SEARCH("R44",G350)),0)+IFERROR(--ISNUMBER(SEARCH("R45",G350)),0)+IFERROR(--ISNUMBER(SEARCH("R46",G350)),0)+IFERROR(--ISNUMBER(SEARCH("R47",G350)),0)+IFERROR(--ISNUMBER(SEARCH("R48",G350)),0)+IFERROR(--ISNUMBER(SEARCH("R49",G350)),0)+IFERROR(--ISNUMBER(SEARCH("R50",G350)),0)+IFERROR(--ISNUMBER(SEARCH("R51",G350)),0)+IFERROR(--ISNUMBER(SEARCH("R52",G350)),0)+IFERROR(--ISNUMBER(SEARCH("R53",G350)),0)+IFERROR(--ISNUMBER(SEARCH("R54",G350)),0)+IFERROR(--ISNUMBER(SEARCH("R55",G350)),0)+IFERROR(--ISNUMBER(SEARCH("R56",G350)),0)+IFERROR(--ISNUMBER(SEARCH("R57",G350)),0)+IFERROR(--ISNUMBER(SEARCH("R58",G350)),0)+IFERROR(--ISNUMBER(SEARCH("R59",G350)),0)+IFERROR(--ISNUMBER(SEARCH("R60",G350)),0)+IFERROR(--ISNUMBER(SEARCH("R61",G350)),0)+IFERROR(--ISNUMBER(SEARCH("R62",G350)),0)+IFERROR(--ISNUMBER(SEARCH("R63",G350)),0)+IFERROR(--ISNUMBER(SEARCH("R64",G350)),0)+IFERROR(--ISNUMBER(SEARCH("R65",G350)),0)+IFERROR(--ISNUMBER(SEARCH("R66",G350)),0)+IFERROR(--ISNUMBER(SEARCH("R67",G350)),0)+IFERROR(--ISNUMBER(SEARCH("R68",G350)),0)+IFERROR(--ISNUMBER(SEARCH("R69",G350)),0)+IFERROR(--ISNUMBER(SEARCH("R70",G350)),0)+IFERROR(--ISNUMBER(SEARCH("R71",G350)),0)+IFERROR(--ISNUMBER(SEARCH("R72",G350)),0)+IFERROR(--ISNUMBER(SEARCH("R73",G350)),0)+IFERROR(--ISNUMBER(SEARCH("R74",G350)),0)+IFERROR(--ISNUMBER(SEARCH("R75",G350)),0)+IFERROR(--ISNUMBER(SEARCH("R76",G350)),0)+IFERROR(--ISNUMBER(SEARCH("R77",G350)),0)+IFERROR(--ISNUMBER(SEARCH("R78",G350)),0)+IFERROR(--ISNUMBER(SEARCH("R79",G350)),0)+IFERROR(--ISNUMBER(SEARCH("R80",G350)),0)+IFERROR(--ISNUMBER(SEARCH("R81",G350)),0)+IFERROR(--ISNUMBER(SEARCH("R82",G350)),0)+IFERROR(--ISNUMBER(SEARCH("R83",G350)),0)+IFERROR(--ISNUMBER(SEARCH("R84",G350)),0)+IFERROR(--ISNUMBER(SEARCH("R85",G350)),0)+IFERROR(--ISNUMBER(SEARCH("R86",G350)),0)+IFERROR(--ISNUMBER(SEARCH("R87",G350)),0)+IFERROR(--ISNUMBER(SEARCH("R88",G350)),0)+IFERROR(--ISNUMBER(SEARCH("R89",G350)),0)+IFERROR(--ISNUMBER(SEARCH("R90",G350)),0)+IFERROR(--ISNUMBER(SEARCH("R91",G350)),0)+IFERROR(--ISNUMBER(SEARCH("R92",G350)),0)+IFERROR(--ISNUMBER(SEARCH("R93",G350)),0)+IFERROR(--ISNUMBER(SEARCH("R94",G350)),0)+IFERROR(--ISNUMBER(SEARCH("R95",G350)),0)+IFERROR(--ISNUMBER(SEARCH("R96",G350)),0)+IFERROR(--ISNUMBER(SEARCH("R97",G350)),0)+IFERROR(--ISNUMBER(SEARCH("R98",G350)),0)+IFERROR(--ISNUMBER(SEARCH("R99",G350)),0)+IFERROR(--ISNUMBER(SEARCH("R100",G350)),0)+IFERROR(--ISNUMBER(SEARCH("R101",G350)),0)+IFERROR(--ISNUMBER(SEARCH("R102",G350)),0)+IFERROR(--ISNUMBER(SEARCH("R103",G350)),0)+IFERROR(--ISNUMBER(SEARCH("R104",G350)),0)+IFERROR(--ISNUMBER(SEARCH("R105",G350)),0)+IFERROR(--ISNUMBER(SEARCH("R106",G350)),0)+IFERROR(--ISNUMBER(SEARCH("R107",G350)),0)+IFERROR(--ISNUMBER(SEARCH("R108",G350)),0)+IFERROR(--ISNUMBER(SEARCH("R109",G350)),0)+IFERROR(--ISNUMBER(SEARCH("R110",G350)),0)+IFERROR(--ISNUMBER(SEARCH("R111",G350)),0)+IFERROR(--ISNUMBER(SEARCH("R112",G350)),0)+IFERROR(--ISNUMBER(SEARCH("R113",G350)),0)+IFERROR(--ISNUMBER(SEARCH("R114",G350)),0)+IFERROR(--ISNUMBER(SEARCH("R115",G350)),0)+IFERROR(--ISNUMBER(SEARCH("R116",G350)),0)+IFERROR(--ISNUMBER(SEARCH("R117",G350)),0)+IFERROR(--ISNUMBER(SEARCH("R118",G350)),0)+IFERROR(--ISNUMBER(SEARCH("R119",G350)),0)+IFERROR(--ISNUMBER(SEARCH("R120",G350)),0)+IFERROR(--ISNUMBER(SEARCH("R121",G350)),0)+IFERROR(--ISNUMBER(SEARCH("R122",G350)),0)+IFERROR(--ISNUMBER(SEARCH("R123",G350)),0)+IFERROR(--ISNUMBER(SEARCH("R124",G350)),0)+IFERROR(--ISNUMBER(SEARCH("R125",G350)),0)+IFERROR(--ISNUMBER(SEARCH("R126",G350)),0)+IFERROR(--ISNUMBER(SEARCH("R127",G350)),0)+IFERROR(--ISNUMBER(SEARCH("R128",G350)),0)+IFERROR(--ISNUMBER(SEARCH("R129",G350)),0)+IFERROR(--ISNUMBER(SEARCH("R130",G350)),0)+IFERROR(--ISNUMBER(SEARCH("R131",G350)),0)+IFERROR(--ISNUMBER(SEARCH("R132",G350)),0)+IFERROR(--ISNUMBER(SEARCH("R133",G350)),0)+IFERROR(--ISNUMBER(SEARCH("R134",G350)),0)+IFERROR(--ISNUMBER(SEARCH("R135",G350)),0)+IFERROR(--ISNUMBER(SEARCH("R136",G350)),0)+IFERROR(--ISNUMBER(SEARCH("R137",G350)),0)+IFERROR(--ISNUMBER(SEARCH("R138",G350)),0)+IFERROR(--ISNUMBER(SEARCH("R139",G350)),0)+IFERROR(--ISNUMBER(SEARCH("R140",G350)),0)+IFERROR(--ISNUMBER(SEARCH("R141",G350)),0))</f>
        <v/>
      </c>
      <c r="T350" s="58">
        <f>IF(A350="","",IFERROR(--ISNUMBER(SEARCH("R28",G350)),0)+IFERROR(--ISNUMBER(SEARCH("R29",G350)),0)+IFERROR(--ISNUMBER(SEARCH("R30",G350)),0)+IFERROR(--ISNUMBER(SEARCH("R32",G350)),0)+IFERROR(--ISNUMBER(SEARCH("R33",G350)),0)+IFERROR(--ISNUMBER(SEARCH("R35",G350)),0)+IFERROR(--ISNUMBER(SEARCH("R36",G350)),0)+IFERROR(--ISNUMBER(SEARCH("R38",G350)),0)+IFERROR(--ISNUMBER(SEARCH("R39",G350)),0)+IFERROR(--ISNUMBER(SEARCH("R43",G350)),0)+IFERROR(--ISNUMBER(SEARCH("R44",G350)),0)+IFERROR(--ISNUMBER(SEARCH("R45",G350)),0)+IFERROR(--ISNUMBER(SEARCH("R47",G350)),0)+IFERROR(--ISNUMBER(SEARCH("R48",G350)),0)+IFERROR(--ISNUMBER(SEARCH("R50",G350)),0)+IFERROR(--ISNUMBER(SEARCH("R51",G350)),0)+IFERROR(--ISNUMBER(SEARCH("R56",G350)),0)+IFERROR(--ISNUMBER(SEARCH("R58",G350)),0)+IFERROR(--ISNUMBER(SEARCH("R59",G350)),0)+IFERROR(--ISNUMBER(SEARCH("R60",G350)),0)+IFERROR(--ISNUMBER(SEARCH("R62",G350)),0)+IFERROR(--ISNUMBER(SEARCH("R63",G350)),0)+IFERROR(--ISNUMBER(SEARCH("R64",G350)),0)+IFERROR(--ISNUMBER(SEARCH("R66",G350)),0)+IFERROR(--ISNUMBER(SEARCH("R67",G350)),0)+IFERROR(--ISNUMBER(SEARCH("R72",G350)),0)+IFERROR(--ISNUMBER(SEARCH("R74",G350)),0)+IFERROR(--ISNUMBER(SEARCH("R75",G350)),0)+IFERROR(--ISNUMBER(SEARCH("R76",G350)),0)+IFERROR(--ISNUMBER(SEARCH("R77",G350)),0)+IFERROR(--ISNUMBER(SEARCH("R79",G350)),0)+IFERROR(--ISNUMBER(SEARCH("R80",G350)),0)+IFERROR(--ISNUMBER(SEARCH("R81",G350)),0)+IFERROR(--ISNUMBER(SEARCH("R83",G350)),0)+IFERROR(--ISNUMBER(SEARCH("R84",G350)),0)+IFERROR(--ISNUMBER(SEARCH("R89",G350)),0)+IFERROR(--ISNUMBER(SEARCH("R94",G350)),0)+IFERROR(--ISNUMBER(SEARCH("R95",G350)),0)+IFERROR(--ISNUMBER(SEARCH("R96",G350)),0)+IFERROR(--ISNUMBER(SEARCH("R98",G350)),0)+IFERROR(--ISNUMBER(SEARCH("R99",G350)),0)+IFERROR(--ISNUMBER(SEARCH("R100",G350)),0)+IFERROR(--ISNUMBER(SEARCH("R104",G350)),0)+IFERROR(--ISNUMBER(SEARCH("R105",G350)),0)+IFERROR(--ISNUMBER(SEARCH("R107",G350)),0)+IFERROR(--ISNUMBER(SEARCH("R108",G350)),0)+IFERROR(--ISNUMBER(SEARCH("R109",G350)),0)+IFERROR(--ISNUMBER(SEARCH("R110",G350)),0)+IFERROR(--ISNUMBER(SEARCH("R112",G350)),0)+IFERROR(--ISNUMBER(SEARCH("R113",G350)),0)+IFERROR(--ISNUMBER(SEARCH("R114",G350)),0)+IFERROR(--ISNUMBER(SEARCH("R118",G350)),0)+IFERROR(--ISNUMBER(SEARCH("R119",G350)),0)+IFERROR(--ISNUMBER(SEARCH("R120",G350)),0)+IFERROR(--ISNUMBER(SEARCH("R122",G350)),0)+IFERROR(--ISNUMBER(SEARCH("R123",G350)),0)+IFERROR(--ISNUMBER(SEARCH("R124",G350)),0)+IFERROR(--ISNUMBER(SEARCH("R128",G350)),0)+IFERROR(--ISNUMBER(SEARCH("R130",G350)),0)+IFERROR(--ISNUMBER(SEARCH("R131",G350)),0)+IFERROR(--ISNUMBER(SEARCH("R132",G350)),0)+IFERROR(--ISNUMBER(SEARCH("R135",G350)),0)+IFERROR(--ISNUMBER(SEARCH("R138",G350)),0)+IFERROR(--ISNUMBER(SEARCH("R141",G350)),0))</f>
        <v/>
      </c>
      <c r="U350" s="58">
        <f>IF(A350="","",IFERROR(--ISNUMBER(SEARCH("R28",G350))*28,0)+IFERROR(--ISNUMBER(SEARCH("R29",G350))*29,0)+IFERROR(--ISNUMBER(SEARCH("R30",G350))*30,0)+IFERROR(--ISNUMBER(SEARCH("R31",G350))*31,0)+IFERROR(--ISNUMBER(SEARCH("R32",G350))*32,0)+IFERROR(--ISNUMBER(SEARCH("R33",G350))*33,0)+IFERROR(--ISNUMBER(SEARCH("R34",G350))*34,0)+IFERROR(--ISNUMBER(SEARCH("R35",G350))*35,0)+IFERROR(--ISNUMBER(SEARCH("R36",G350))*36,0)+IFERROR(--ISNUMBER(SEARCH("R37",G350))*37,0)+IFERROR(--ISNUMBER(SEARCH("R38",G350))*38,0)+IFERROR(--ISNUMBER(SEARCH("R39",G350))*39,0)+IFERROR(--ISNUMBER(SEARCH("R40",G350))*40,0)+IFERROR(--ISNUMBER(SEARCH("R41",G350))*41,0)+IFERROR(--ISNUMBER(SEARCH("R42",G350))*42,0)+IFERROR(--ISNUMBER(SEARCH("R43",G350))*43,0)+IFERROR(--ISNUMBER(SEARCH("R44",G350))*44,0)+IFERROR(--ISNUMBER(SEARCH("R45",G350))*45,0)+IFERROR(--ISNUMBER(SEARCH("R46",G350))*46,0)+IFERROR(--ISNUMBER(SEARCH("R47",G350))*47,0)+IFERROR(--ISNUMBER(SEARCH("R48",G350))*48,0)+IFERROR(--ISNUMBER(SEARCH("R49",G350))*49,0)+IFERROR(--ISNUMBER(SEARCH("R50",G350))*50,0)+IFERROR(--ISNUMBER(SEARCH("R51",G350))*51,0)+IFERROR(--ISNUMBER(SEARCH("R52",G350))*52,0)+IFERROR(--ISNUMBER(SEARCH("R53",G350))*53,0)+IFERROR(--ISNUMBER(SEARCH("R54",G350))*54,0)+IFERROR(--ISNUMBER(SEARCH("R55",G350))*55,0)+IFERROR(--ISNUMBER(SEARCH("R56",G350))*56,0)+IFERROR(--ISNUMBER(SEARCH("R57",G350))*57,0)+IFERROR(--ISNUMBER(SEARCH("R58",G350))*58,0)+IFERROR(--ISNUMBER(SEARCH("R59",G350))*59,0)+IFERROR(--ISNUMBER(SEARCH("R60",G350))*60,0)+IFERROR(--ISNUMBER(SEARCH("R61",G350))*61,0)+IFERROR(--ISNUMBER(SEARCH("R62",G350))*62,0)+IFERROR(--ISNUMBER(SEARCH("R63",G350))*63,0)+IFERROR(--ISNUMBER(SEARCH("R64",G350))*64,0)+IFERROR(--ISNUMBER(SEARCH("R65",G350))*65,0)+IFERROR(--ISNUMBER(SEARCH("R66",G350))*66,0)+IFERROR(--ISNUMBER(SEARCH("R67",G350))*67,0)+IFERROR(--ISNUMBER(SEARCH("R68",G350))*68,0)+IFERROR(--ISNUMBER(SEARCH("R69",G350))*69,0)+IFERROR(--ISNUMBER(SEARCH("R70",G350))*70,0)+IFERROR(--ISNUMBER(SEARCH("R71",G350))*71,0)+IFERROR(--ISNUMBER(SEARCH("R72",G350))*72,0)+IFERROR(--ISNUMBER(SEARCH("R73",G350))*73,0)+IFERROR(--ISNUMBER(SEARCH("R74",G350))*74,0)+IFERROR(--ISNUMBER(SEARCH("R75",G350))*75,0)+IFERROR(--ISNUMBER(SEARCH("R76",G350))*76,0)+IFERROR(--ISNUMBER(SEARCH("R77",G350))*77,0)+IFERROR(--ISNUMBER(SEARCH("R78",G350))*78,0)+IFERROR(--ISNUMBER(SEARCH("R79",G350))*79,0)+IFERROR(--ISNUMBER(SEARCH("R80",G350))*80,0)+IFERROR(--ISNUMBER(SEARCH("R81",G350))*81,0)+IFERROR(--ISNUMBER(SEARCH("R82",G350))*82,0)+IFERROR(--ISNUMBER(SEARCH("R83",G350))*83,0)+IFERROR(--ISNUMBER(SEARCH("R84",G350))*84,0)+IFERROR(--ISNUMBER(SEARCH("R85",G350))*85,0)+IFERROR(--ISNUMBER(SEARCH("R86",G350))*86,0)+IFERROR(--ISNUMBER(SEARCH("R87",G350))*87,0)+IFERROR(--ISNUMBER(SEARCH("R88",G350))*88,0)+IFERROR(--ISNUMBER(SEARCH("R89",G350))*89,0)+IFERROR(--ISNUMBER(SEARCH("R90",G350))*90,0)+IFERROR(--ISNUMBER(SEARCH("R91",G350))*91,0)+IFERROR(--ISNUMBER(SEARCH("R92",G350))*92,0)+IFERROR(--ISNUMBER(SEARCH("R93",G350))*93,0)+IFERROR(--ISNUMBER(SEARCH("R94",G350))*94,0)+IFERROR(--ISNUMBER(SEARCH("R95",G350))*95,0)+IFERROR(--ISNUMBER(SEARCH("R96",G350))*96,0)+IFERROR(--ISNUMBER(SEARCH("R97",G350))*97,0)+IFERROR(--ISNUMBER(SEARCH("R98",G350))*98,0)+IFERROR(--ISNUMBER(SEARCH("R99",G350))*99,0)+IFERROR(--ISNUMBER(SEARCH("R100",G350))*100,0)+IFERROR(--ISNUMBER(SEARCH("R101",G350))*101,0)+IFERROR(--ISNUMBER(SEARCH("R102",G350))*102,0)+IFERROR(--ISNUMBER(SEARCH("R103",G350))*103,0)+IFERROR(--ISNUMBER(SEARCH("R104",G350))*104,0)+IFERROR(--ISNUMBER(SEARCH("R105",G350))*105,0)+IFERROR(--ISNUMBER(SEARCH("R106",G350))*106,0)+IFERROR(--ISNUMBER(SEARCH("R107",G350))*107,0)+IFERROR(--ISNUMBER(SEARCH("R108",G350))*108,0)+IFERROR(--ISNUMBER(SEARCH("R109",G350))*109,0)+IFERROR(--ISNUMBER(SEARCH("R110",G350))*110,0)+IFERROR(--ISNUMBER(SEARCH("R111",G350))*111,0)+IFERROR(--ISNUMBER(SEARCH("R112",G350))*112,0)+IFERROR(--ISNUMBER(SEARCH("R113",G350))*113,0)+IFERROR(--ISNUMBER(SEARCH("R114",G350))*114,0)+IFERROR(--ISNUMBER(SEARCH("R115",G350))*115,0)+IFERROR(--ISNUMBER(SEARCH("R116",G350))*116,0)+IFERROR(--ISNUMBER(SEARCH("R117",G350))*117,0)+IFERROR(--ISNUMBER(SEARCH("R118",G350))*118,0)+IFERROR(--ISNUMBER(SEARCH("R119",G350))*119,0)+IFERROR(--ISNUMBER(SEARCH("R120",G350))*120,0)+IFERROR(--ISNUMBER(SEARCH("R121",G350))*121,0)+IFERROR(--ISNUMBER(SEARCH("R122",G350))*122,0)+IFERROR(--ISNUMBER(SEARCH("R123",G350))*123,0)+IFERROR(--ISNUMBER(SEARCH("R124",G350))*124,0)+IFERROR(--ISNUMBER(SEARCH("R125",G350))*125,0)+IFERROR(--ISNUMBER(SEARCH("R126",G350))*126,0)+IFERROR(--ISNUMBER(SEARCH("R127",G350))*127,0)+IFERROR(--ISNUMBER(SEARCH("R128",G350))*128,0)+IFERROR(--ISNUMBER(SEARCH("R129",G350))*129,0)+IFERROR(--ISNUMBER(SEARCH("R130",G350))*130,0)+IFERROR(--ISNUMBER(SEARCH("R131",G350))*131,0)+IFERROR(--ISNUMBER(SEARCH("R132",G350))*132,0)+IFERROR(--ISNUMBER(SEARCH("R133",G350))*133,0)+IFERROR(--ISNUMBER(SEARCH("R134",G350))*134,0)+IFERROR(--ISNUMBER(SEARCH("R135",G350))*135,0)+IFERROR(--ISNUMBER(SEARCH("R136",G350))*136,0)+IFERROR(--ISNUMBER(SEARCH("R137",G350))*137,0)+IFERROR(--ISNUMBER(SEARCH("R138",G350))*138,0)+IFERROR(--ISNUMBER(SEARCH("R139",G350))*139,0)+IFERROR(--ISNUMBER(SEARCH("R140",G350))*140,0)+IFERROR(--ISNUMBER(SEARCH("R141",G350))*141,0))</f>
        <v/>
      </c>
      <c r="V350" s="59">
        <f>IF(A350="","",IF(K350&lt;&gt;"",K350,J350))</f>
        <v/>
      </c>
      <c r="W350" s="59">
        <f>IF(A350="","",IF(AND(V350=29,O350&lt;&gt;"",COUNTIFS($V$6:$V$505,29,$F$6:$F$505,F350,$C$6:$C$505,C350,$O$6:$O$505,"&lt;&gt;")&gt;1),IF(COUNTIFS($V$6:V350,29,$F$6:F350,F350,$C$6:C350,C350,$O$6:O350,"&lt;&gt;")=1,"Esta es la fila que se debe CONSERVAR (aparición 1 de "&amp;COUNTIFS($V$6:$V$505,29,$F$6:$F$505,F350,$C$6:$C$505,C350,$O$6:$O$505,"&lt;&gt;")&amp;" con el mismo tercero y valor, casilla 29). Si hay más filas iguales, bórreles el valor a ELLAS, no a esta.","DUPLICADO — ya existe otra fila con el mismo tercero y valor para casilla 29 (aparición "&amp;COUNTIFS($V$6:V350,29,$F$6:F350,F350,$C$6:C350,C350,$O$6:O350,"&lt;&gt;")&amp;" de "&amp;COUNTIFS($V$6:$V$505,29,$F$6:$F$505,F350,$C$6:$C$505,C350,$O$6:$O$505,"&lt;&gt;")&amp;"). Para resolverlo: seleccione la celda O"&amp;ROW()&amp;" (columna Valor a declarar de ESTA fila) y presione Supr."),""))</f>
        <v/>
      </c>
      <c r="X350" s="463">
        <f>IF(A350="","",F350)</f>
        <v/>
      </c>
      <c r="Y350" s="463">
        <f>IF(A350="","",SUMIF(Entrada_Manual!$I$88:$I$187,A350,Entrada_Manual!$F$88:$F$187))</f>
        <v/>
      </c>
      <c r="Z350" s="463">
        <f>IF(A350="","",X350-Y350)</f>
        <v/>
      </c>
      <c r="AA350">
        <f>IF(A350="","",SUMPRODUCT((Entrada_Manual!$I$88:$I$187=A350)*1))</f>
        <v/>
      </c>
      <c r="AB350">
        <f>IF(A350="","",IF(S350&lt;=1,"",IF(AA350=0,"PENDIENTE — SIN ASIGNAR",IF(Z350=0,"RESUELTO","PARCIAL — DIFERENCIA "&amp;TEXT(Z350,"#,##0")))))</f>
        <v/>
      </c>
    </row>
    <row r="351" ht="14.25" customHeight="1" s="235">
      <c r="A351" s="47">
        <f>IF(Exogena_RAW!E360&lt;&gt;"",ROW()-5,"")</f>
        <v/>
      </c>
      <c r="B351" s="48">
        <f>IF(A351="","",360)</f>
        <v/>
      </c>
      <c r="C351" s="48">
        <f>IF(A351="","",IFERROR(Exogena_RAW!A360,""))</f>
        <v/>
      </c>
      <c r="D351" s="48">
        <f>IF(A351="","",IFERROR(Exogena_RAW!B360,""))</f>
        <v/>
      </c>
      <c r="E351" s="48">
        <f>IF(A351="","",Exogena_RAW!E360)</f>
        <v/>
      </c>
      <c r="F351" s="461">
        <f>IF(A351="","",Exogena_RAW!F360)</f>
        <v/>
      </c>
      <c r="G351" s="48">
        <f>IF(A351="","",IFERROR(Exogena_RAW!G360,""))</f>
        <v/>
      </c>
      <c r="H351" s="48">
        <f>IF(A351="","",IFERROR(Exogena_RAW!H360,""))</f>
        <v/>
      </c>
      <c r="I351" s="48">
        <f>IF(A351="","",IFERROR(IF(S351&gt;1,"VARIAS CASILLAS",IF(S351=1,IF(T351=1,"PROPUESTA DE CASILLA","REVISIÓN: CASILLA NO DIRECTA"),IF(OR(ISNUMBER(SEARCH("TOPE",UPPER(E351))),ISNUMBER(SEARCH("TOPE",UPPER(G351)))),"SOLO CONTROL",IF(ISNUMBER(SEARCH("RETEN",UPPER(E351))),"RETENCIÓN","REVISAR")))),"REVISAR"))</f>
        <v/>
      </c>
      <c r="J351" s="48">
        <f>IF(A351="","",IF(ISNUMBER(SEARCH("ingreso laboral promedio de los últimos seis meses",E351)),"",IFERROR(IF(AND(S351=1,T351=1),U351,""),"")))</f>
        <v/>
      </c>
      <c r="K351" s="216" t="n"/>
      <c r="L351" s="48">
        <f>IF(A351="","",IFERROR(IF(K351&lt;&gt;"","Casilla elegida por usuario",IF(S351&gt;1,"Varias casillas — elegir en K",IF(J351&lt;&gt;"","Sugerencia directa",IF(S351=1,"No trasladar directo — revisar",IF(OR(ISNUMBER(SEARCH("TOPE",UPPER(E351))),ISNUMBER(SEARCH("TOPE",UPPER(G351)))),"Solo control","Revisar manualmente"))))),"Revisar manualmente"))</f>
        <v/>
      </c>
      <c r="M351" s="461">
        <f>IF(A351="","",IF(IF(K351&lt;&gt;"",K351,J351)="",0,IF(COUNTIFS(Reglas!$I$5:$I$118,IF(K351&lt;&gt;"",K351,J351),Reglas!$J$5:$J$118,"Sí")=1,F351,0)))</f>
        <v/>
      </c>
      <c r="N351" s="56" t="n"/>
      <c r="O351" s="462">
        <f>IF(A351="","",IF(M351=0,"",M351))</f>
        <v/>
      </c>
      <c r="P351" s="461">
        <f>IF(A351="","",IF(O351="",0,IF(ISNUMBER(O351),O351,0)))</f>
        <v/>
      </c>
      <c r="Q351" s="48">
        <f>IF(A351="","",IF(Exogena_RAW!$C$4="","BLOQUEADO: FALTA AÑO",IF(Exogena_RAW!$K$10&lt;&gt;Reglas!$B$5,"BLOQUEADO: AÑO",IF(IF(K351&lt;&gt;"",K351,J351)="",IF(S351&gt;1,"REQUIERE ASIGNACIÓN MANUAL (VARIAS CASILLAS)","INFORMATIVO (sin casilla — no se declara)"),IF(COUNTIFS(Reglas!$I$5:$I$118,IF(K351&lt;&gt;"",K351,J351),Reglas!$J$5:$J$118,"Sí")=0,"BLOQUEADO: CASILLA NO DIRECTA",IF(O351="","EXCLUIDO (valor borrado por el usuario)",IF(_xlfn.ISFORMULA(O351),IF(W351&lt;&gt;"","BORRADOR — VALOR SUGERIDO DIAN ⚠ VER ALERTA","BORRADOR — VALOR SUGERIDO DIAN"),IF(W351&lt;&gt;"","ACEPTADO ⚠ VER ALERTA","ACEPTADO"))))))))</f>
        <v/>
      </c>
      <c r="R351" s="218" t="n"/>
      <c r="S351" s="58">
        <f>IF(A351="","",IFERROR(--ISNUMBER(SEARCH("R28",G351)),0)+IFERROR(--ISNUMBER(SEARCH("R29",G351)),0)+IFERROR(--ISNUMBER(SEARCH("R30",G351)),0)+IFERROR(--ISNUMBER(SEARCH("R31",G351)),0)+IFERROR(--ISNUMBER(SEARCH("R32",G351)),0)+IFERROR(--ISNUMBER(SEARCH("R33",G351)),0)+IFERROR(--ISNUMBER(SEARCH("R34",G351)),0)+IFERROR(--ISNUMBER(SEARCH("R35",G351)),0)+IFERROR(--ISNUMBER(SEARCH("R36",G351)),0)+IFERROR(--ISNUMBER(SEARCH("R37",G351)),0)+IFERROR(--ISNUMBER(SEARCH("R38",G351)),0)+IFERROR(--ISNUMBER(SEARCH("R39",G351)),0)+IFERROR(--ISNUMBER(SEARCH("R40",G351)),0)+IFERROR(--ISNUMBER(SEARCH("R41",G351)),0)+IFERROR(--ISNUMBER(SEARCH("R42",G351)),0)+IFERROR(--ISNUMBER(SEARCH("R43",G351)),0)+IFERROR(--ISNUMBER(SEARCH("R44",G351)),0)+IFERROR(--ISNUMBER(SEARCH("R45",G351)),0)+IFERROR(--ISNUMBER(SEARCH("R46",G351)),0)+IFERROR(--ISNUMBER(SEARCH("R47",G351)),0)+IFERROR(--ISNUMBER(SEARCH("R48",G351)),0)+IFERROR(--ISNUMBER(SEARCH("R49",G351)),0)+IFERROR(--ISNUMBER(SEARCH("R50",G351)),0)+IFERROR(--ISNUMBER(SEARCH("R51",G351)),0)+IFERROR(--ISNUMBER(SEARCH("R52",G351)),0)+IFERROR(--ISNUMBER(SEARCH("R53",G351)),0)+IFERROR(--ISNUMBER(SEARCH("R54",G351)),0)+IFERROR(--ISNUMBER(SEARCH("R55",G351)),0)+IFERROR(--ISNUMBER(SEARCH("R56",G351)),0)+IFERROR(--ISNUMBER(SEARCH("R57",G351)),0)+IFERROR(--ISNUMBER(SEARCH("R58",G351)),0)+IFERROR(--ISNUMBER(SEARCH("R59",G351)),0)+IFERROR(--ISNUMBER(SEARCH("R60",G351)),0)+IFERROR(--ISNUMBER(SEARCH("R61",G351)),0)+IFERROR(--ISNUMBER(SEARCH("R62",G351)),0)+IFERROR(--ISNUMBER(SEARCH("R63",G351)),0)+IFERROR(--ISNUMBER(SEARCH("R64",G351)),0)+IFERROR(--ISNUMBER(SEARCH("R65",G351)),0)+IFERROR(--ISNUMBER(SEARCH("R66",G351)),0)+IFERROR(--ISNUMBER(SEARCH("R67",G351)),0)+IFERROR(--ISNUMBER(SEARCH("R68",G351)),0)+IFERROR(--ISNUMBER(SEARCH("R69",G351)),0)+IFERROR(--ISNUMBER(SEARCH("R70",G351)),0)+IFERROR(--ISNUMBER(SEARCH("R71",G351)),0)+IFERROR(--ISNUMBER(SEARCH("R72",G351)),0)+IFERROR(--ISNUMBER(SEARCH("R73",G351)),0)+IFERROR(--ISNUMBER(SEARCH("R74",G351)),0)+IFERROR(--ISNUMBER(SEARCH("R75",G351)),0)+IFERROR(--ISNUMBER(SEARCH("R76",G351)),0)+IFERROR(--ISNUMBER(SEARCH("R77",G351)),0)+IFERROR(--ISNUMBER(SEARCH("R78",G351)),0)+IFERROR(--ISNUMBER(SEARCH("R79",G351)),0)+IFERROR(--ISNUMBER(SEARCH("R80",G351)),0)+IFERROR(--ISNUMBER(SEARCH("R81",G351)),0)+IFERROR(--ISNUMBER(SEARCH("R82",G351)),0)+IFERROR(--ISNUMBER(SEARCH("R83",G351)),0)+IFERROR(--ISNUMBER(SEARCH("R84",G351)),0)+IFERROR(--ISNUMBER(SEARCH("R85",G351)),0)+IFERROR(--ISNUMBER(SEARCH("R86",G351)),0)+IFERROR(--ISNUMBER(SEARCH("R87",G351)),0)+IFERROR(--ISNUMBER(SEARCH("R88",G351)),0)+IFERROR(--ISNUMBER(SEARCH("R89",G351)),0)+IFERROR(--ISNUMBER(SEARCH("R90",G351)),0)+IFERROR(--ISNUMBER(SEARCH("R91",G351)),0)+IFERROR(--ISNUMBER(SEARCH("R92",G351)),0)+IFERROR(--ISNUMBER(SEARCH("R93",G351)),0)+IFERROR(--ISNUMBER(SEARCH("R94",G351)),0)+IFERROR(--ISNUMBER(SEARCH("R95",G351)),0)+IFERROR(--ISNUMBER(SEARCH("R96",G351)),0)+IFERROR(--ISNUMBER(SEARCH("R97",G351)),0)+IFERROR(--ISNUMBER(SEARCH("R98",G351)),0)+IFERROR(--ISNUMBER(SEARCH("R99",G351)),0)+IFERROR(--ISNUMBER(SEARCH("R100",G351)),0)+IFERROR(--ISNUMBER(SEARCH("R101",G351)),0)+IFERROR(--ISNUMBER(SEARCH("R102",G351)),0)+IFERROR(--ISNUMBER(SEARCH("R103",G351)),0)+IFERROR(--ISNUMBER(SEARCH("R104",G351)),0)+IFERROR(--ISNUMBER(SEARCH("R105",G351)),0)+IFERROR(--ISNUMBER(SEARCH("R106",G351)),0)+IFERROR(--ISNUMBER(SEARCH("R107",G351)),0)+IFERROR(--ISNUMBER(SEARCH("R108",G351)),0)+IFERROR(--ISNUMBER(SEARCH("R109",G351)),0)+IFERROR(--ISNUMBER(SEARCH("R110",G351)),0)+IFERROR(--ISNUMBER(SEARCH("R111",G351)),0)+IFERROR(--ISNUMBER(SEARCH("R112",G351)),0)+IFERROR(--ISNUMBER(SEARCH("R113",G351)),0)+IFERROR(--ISNUMBER(SEARCH("R114",G351)),0)+IFERROR(--ISNUMBER(SEARCH("R115",G351)),0)+IFERROR(--ISNUMBER(SEARCH("R116",G351)),0)+IFERROR(--ISNUMBER(SEARCH("R117",G351)),0)+IFERROR(--ISNUMBER(SEARCH("R118",G351)),0)+IFERROR(--ISNUMBER(SEARCH("R119",G351)),0)+IFERROR(--ISNUMBER(SEARCH("R120",G351)),0)+IFERROR(--ISNUMBER(SEARCH("R121",G351)),0)+IFERROR(--ISNUMBER(SEARCH("R122",G351)),0)+IFERROR(--ISNUMBER(SEARCH("R123",G351)),0)+IFERROR(--ISNUMBER(SEARCH("R124",G351)),0)+IFERROR(--ISNUMBER(SEARCH("R125",G351)),0)+IFERROR(--ISNUMBER(SEARCH("R126",G351)),0)+IFERROR(--ISNUMBER(SEARCH("R127",G351)),0)+IFERROR(--ISNUMBER(SEARCH("R128",G351)),0)+IFERROR(--ISNUMBER(SEARCH("R129",G351)),0)+IFERROR(--ISNUMBER(SEARCH("R130",G351)),0)+IFERROR(--ISNUMBER(SEARCH("R131",G351)),0)+IFERROR(--ISNUMBER(SEARCH("R132",G351)),0)+IFERROR(--ISNUMBER(SEARCH("R133",G351)),0)+IFERROR(--ISNUMBER(SEARCH("R134",G351)),0)+IFERROR(--ISNUMBER(SEARCH("R135",G351)),0)+IFERROR(--ISNUMBER(SEARCH("R136",G351)),0)+IFERROR(--ISNUMBER(SEARCH("R137",G351)),0)+IFERROR(--ISNUMBER(SEARCH("R138",G351)),0)+IFERROR(--ISNUMBER(SEARCH("R139",G351)),0)+IFERROR(--ISNUMBER(SEARCH("R140",G351)),0)+IFERROR(--ISNUMBER(SEARCH("R141",G351)),0))</f>
        <v/>
      </c>
      <c r="T351" s="58">
        <f>IF(A351="","",IFERROR(--ISNUMBER(SEARCH("R28",G351)),0)+IFERROR(--ISNUMBER(SEARCH("R29",G351)),0)+IFERROR(--ISNUMBER(SEARCH("R30",G351)),0)+IFERROR(--ISNUMBER(SEARCH("R32",G351)),0)+IFERROR(--ISNUMBER(SEARCH("R33",G351)),0)+IFERROR(--ISNUMBER(SEARCH("R35",G351)),0)+IFERROR(--ISNUMBER(SEARCH("R36",G351)),0)+IFERROR(--ISNUMBER(SEARCH("R38",G351)),0)+IFERROR(--ISNUMBER(SEARCH("R39",G351)),0)+IFERROR(--ISNUMBER(SEARCH("R43",G351)),0)+IFERROR(--ISNUMBER(SEARCH("R44",G351)),0)+IFERROR(--ISNUMBER(SEARCH("R45",G351)),0)+IFERROR(--ISNUMBER(SEARCH("R47",G351)),0)+IFERROR(--ISNUMBER(SEARCH("R48",G351)),0)+IFERROR(--ISNUMBER(SEARCH("R50",G351)),0)+IFERROR(--ISNUMBER(SEARCH("R51",G351)),0)+IFERROR(--ISNUMBER(SEARCH("R56",G351)),0)+IFERROR(--ISNUMBER(SEARCH("R58",G351)),0)+IFERROR(--ISNUMBER(SEARCH("R59",G351)),0)+IFERROR(--ISNUMBER(SEARCH("R60",G351)),0)+IFERROR(--ISNUMBER(SEARCH("R62",G351)),0)+IFERROR(--ISNUMBER(SEARCH("R63",G351)),0)+IFERROR(--ISNUMBER(SEARCH("R64",G351)),0)+IFERROR(--ISNUMBER(SEARCH("R66",G351)),0)+IFERROR(--ISNUMBER(SEARCH("R67",G351)),0)+IFERROR(--ISNUMBER(SEARCH("R72",G351)),0)+IFERROR(--ISNUMBER(SEARCH("R74",G351)),0)+IFERROR(--ISNUMBER(SEARCH("R75",G351)),0)+IFERROR(--ISNUMBER(SEARCH("R76",G351)),0)+IFERROR(--ISNUMBER(SEARCH("R77",G351)),0)+IFERROR(--ISNUMBER(SEARCH("R79",G351)),0)+IFERROR(--ISNUMBER(SEARCH("R80",G351)),0)+IFERROR(--ISNUMBER(SEARCH("R81",G351)),0)+IFERROR(--ISNUMBER(SEARCH("R83",G351)),0)+IFERROR(--ISNUMBER(SEARCH("R84",G351)),0)+IFERROR(--ISNUMBER(SEARCH("R89",G351)),0)+IFERROR(--ISNUMBER(SEARCH("R94",G351)),0)+IFERROR(--ISNUMBER(SEARCH("R95",G351)),0)+IFERROR(--ISNUMBER(SEARCH("R96",G351)),0)+IFERROR(--ISNUMBER(SEARCH("R98",G351)),0)+IFERROR(--ISNUMBER(SEARCH("R99",G351)),0)+IFERROR(--ISNUMBER(SEARCH("R100",G351)),0)+IFERROR(--ISNUMBER(SEARCH("R104",G351)),0)+IFERROR(--ISNUMBER(SEARCH("R105",G351)),0)+IFERROR(--ISNUMBER(SEARCH("R107",G351)),0)+IFERROR(--ISNUMBER(SEARCH("R108",G351)),0)+IFERROR(--ISNUMBER(SEARCH("R109",G351)),0)+IFERROR(--ISNUMBER(SEARCH("R110",G351)),0)+IFERROR(--ISNUMBER(SEARCH("R112",G351)),0)+IFERROR(--ISNUMBER(SEARCH("R113",G351)),0)+IFERROR(--ISNUMBER(SEARCH("R114",G351)),0)+IFERROR(--ISNUMBER(SEARCH("R118",G351)),0)+IFERROR(--ISNUMBER(SEARCH("R119",G351)),0)+IFERROR(--ISNUMBER(SEARCH("R120",G351)),0)+IFERROR(--ISNUMBER(SEARCH("R122",G351)),0)+IFERROR(--ISNUMBER(SEARCH("R123",G351)),0)+IFERROR(--ISNUMBER(SEARCH("R124",G351)),0)+IFERROR(--ISNUMBER(SEARCH("R128",G351)),0)+IFERROR(--ISNUMBER(SEARCH("R130",G351)),0)+IFERROR(--ISNUMBER(SEARCH("R131",G351)),0)+IFERROR(--ISNUMBER(SEARCH("R132",G351)),0)+IFERROR(--ISNUMBER(SEARCH("R135",G351)),0)+IFERROR(--ISNUMBER(SEARCH("R138",G351)),0)+IFERROR(--ISNUMBER(SEARCH("R141",G351)),0))</f>
        <v/>
      </c>
      <c r="U351" s="58">
        <f>IF(A351="","",IFERROR(--ISNUMBER(SEARCH("R28",G351))*28,0)+IFERROR(--ISNUMBER(SEARCH("R29",G351))*29,0)+IFERROR(--ISNUMBER(SEARCH("R30",G351))*30,0)+IFERROR(--ISNUMBER(SEARCH("R31",G351))*31,0)+IFERROR(--ISNUMBER(SEARCH("R32",G351))*32,0)+IFERROR(--ISNUMBER(SEARCH("R33",G351))*33,0)+IFERROR(--ISNUMBER(SEARCH("R34",G351))*34,0)+IFERROR(--ISNUMBER(SEARCH("R35",G351))*35,0)+IFERROR(--ISNUMBER(SEARCH("R36",G351))*36,0)+IFERROR(--ISNUMBER(SEARCH("R37",G351))*37,0)+IFERROR(--ISNUMBER(SEARCH("R38",G351))*38,0)+IFERROR(--ISNUMBER(SEARCH("R39",G351))*39,0)+IFERROR(--ISNUMBER(SEARCH("R40",G351))*40,0)+IFERROR(--ISNUMBER(SEARCH("R41",G351))*41,0)+IFERROR(--ISNUMBER(SEARCH("R42",G351))*42,0)+IFERROR(--ISNUMBER(SEARCH("R43",G351))*43,0)+IFERROR(--ISNUMBER(SEARCH("R44",G351))*44,0)+IFERROR(--ISNUMBER(SEARCH("R45",G351))*45,0)+IFERROR(--ISNUMBER(SEARCH("R46",G351))*46,0)+IFERROR(--ISNUMBER(SEARCH("R47",G351))*47,0)+IFERROR(--ISNUMBER(SEARCH("R48",G351))*48,0)+IFERROR(--ISNUMBER(SEARCH("R49",G351))*49,0)+IFERROR(--ISNUMBER(SEARCH("R50",G351))*50,0)+IFERROR(--ISNUMBER(SEARCH("R51",G351))*51,0)+IFERROR(--ISNUMBER(SEARCH("R52",G351))*52,0)+IFERROR(--ISNUMBER(SEARCH("R53",G351))*53,0)+IFERROR(--ISNUMBER(SEARCH("R54",G351))*54,0)+IFERROR(--ISNUMBER(SEARCH("R55",G351))*55,0)+IFERROR(--ISNUMBER(SEARCH("R56",G351))*56,0)+IFERROR(--ISNUMBER(SEARCH("R57",G351))*57,0)+IFERROR(--ISNUMBER(SEARCH("R58",G351))*58,0)+IFERROR(--ISNUMBER(SEARCH("R59",G351))*59,0)+IFERROR(--ISNUMBER(SEARCH("R60",G351))*60,0)+IFERROR(--ISNUMBER(SEARCH("R61",G351))*61,0)+IFERROR(--ISNUMBER(SEARCH("R62",G351))*62,0)+IFERROR(--ISNUMBER(SEARCH("R63",G351))*63,0)+IFERROR(--ISNUMBER(SEARCH("R64",G351))*64,0)+IFERROR(--ISNUMBER(SEARCH("R65",G351))*65,0)+IFERROR(--ISNUMBER(SEARCH("R66",G351))*66,0)+IFERROR(--ISNUMBER(SEARCH("R67",G351))*67,0)+IFERROR(--ISNUMBER(SEARCH("R68",G351))*68,0)+IFERROR(--ISNUMBER(SEARCH("R69",G351))*69,0)+IFERROR(--ISNUMBER(SEARCH("R70",G351))*70,0)+IFERROR(--ISNUMBER(SEARCH("R71",G351))*71,0)+IFERROR(--ISNUMBER(SEARCH("R72",G351))*72,0)+IFERROR(--ISNUMBER(SEARCH("R73",G351))*73,0)+IFERROR(--ISNUMBER(SEARCH("R74",G351))*74,0)+IFERROR(--ISNUMBER(SEARCH("R75",G351))*75,0)+IFERROR(--ISNUMBER(SEARCH("R76",G351))*76,0)+IFERROR(--ISNUMBER(SEARCH("R77",G351))*77,0)+IFERROR(--ISNUMBER(SEARCH("R78",G351))*78,0)+IFERROR(--ISNUMBER(SEARCH("R79",G351))*79,0)+IFERROR(--ISNUMBER(SEARCH("R80",G351))*80,0)+IFERROR(--ISNUMBER(SEARCH("R81",G351))*81,0)+IFERROR(--ISNUMBER(SEARCH("R82",G351))*82,0)+IFERROR(--ISNUMBER(SEARCH("R83",G351))*83,0)+IFERROR(--ISNUMBER(SEARCH("R84",G351))*84,0)+IFERROR(--ISNUMBER(SEARCH("R85",G351))*85,0)+IFERROR(--ISNUMBER(SEARCH("R86",G351))*86,0)+IFERROR(--ISNUMBER(SEARCH("R87",G351))*87,0)+IFERROR(--ISNUMBER(SEARCH("R88",G351))*88,0)+IFERROR(--ISNUMBER(SEARCH("R89",G351))*89,0)+IFERROR(--ISNUMBER(SEARCH("R90",G351))*90,0)+IFERROR(--ISNUMBER(SEARCH("R91",G351))*91,0)+IFERROR(--ISNUMBER(SEARCH("R92",G351))*92,0)+IFERROR(--ISNUMBER(SEARCH("R93",G351))*93,0)+IFERROR(--ISNUMBER(SEARCH("R94",G351))*94,0)+IFERROR(--ISNUMBER(SEARCH("R95",G351))*95,0)+IFERROR(--ISNUMBER(SEARCH("R96",G351))*96,0)+IFERROR(--ISNUMBER(SEARCH("R97",G351))*97,0)+IFERROR(--ISNUMBER(SEARCH("R98",G351))*98,0)+IFERROR(--ISNUMBER(SEARCH("R99",G351))*99,0)+IFERROR(--ISNUMBER(SEARCH("R100",G351))*100,0)+IFERROR(--ISNUMBER(SEARCH("R101",G351))*101,0)+IFERROR(--ISNUMBER(SEARCH("R102",G351))*102,0)+IFERROR(--ISNUMBER(SEARCH("R103",G351))*103,0)+IFERROR(--ISNUMBER(SEARCH("R104",G351))*104,0)+IFERROR(--ISNUMBER(SEARCH("R105",G351))*105,0)+IFERROR(--ISNUMBER(SEARCH("R106",G351))*106,0)+IFERROR(--ISNUMBER(SEARCH("R107",G351))*107,0)+IFERROR(--ISNUMBER(SEARCH("R108",G351))*108,0)+IFERROR(--ISNUMBER(SEARCH("R109",G351))*109,0)+IFERROR(--ISNUMBER(SEARCH("R110",G351))*110,0)+IFERROR(--ISNUMBER(SEARCH("R111",G351))*111,0)+IFERROR(--ISNUMBER(SEARCH("R112",G351))*112,0)+IFERROR(--ISNUMBER(SEARCH("R113",G351))*113,0)+IFERROR(--ISNUMBER(SEARCH("R114",G351))*114,0)+IFERROR(--ISNUMBER(SEARCH("R115",G351))*115,0)+IFERROR(--ISNUMBER(SEARCH("R116",G351))*116,0)+IFERROR(--ISNUMBER(SEARCH("R117",G351))*117,0)+IFERROR(--ISNUMBER(SEARCH("R118",G351))*118,0)+IFERROR(--ISNUMBER(SEARCH("R119",G351))*119,0)+IFERROR(--ISNUMBER(SEARCH("R120",G351))*120,0)+IFERROR(--ISNUMBER(SEARCH("R121",G351))*121,0)+IFERROR(--ISNUMBER(SEARCH("R122",G351))*122,0)+IFERROR(--ISNUMBER(SEARCH("R123",G351))*123,0)+IFERROR(--ISNUMBER(SEARCH("R124",G351))*124,0)+IFERROR(--ISNUMBER(SEARCH("R125",G351))*125,0)+IFERROR(--ISNUMBER(SEARCH("R126",G351))*126,0)+IFERROR(--ISNUMBER(SEARCH("R127",G351))*127,0)+IFERROR(--ISNUMBER(SEARCH("R128",G351))*128,0)+IFERROR(--ISNUMBER(SEARCH("R129",G351))*129,0)+IFERROR(--ISNUMBER(SEARCH("R130",G351))*130,0)+IFERROR(--ISNUMBER(SEARCH("R131",G351))*131,0)+IFERROR(--ISNUMBER(SEARCH("R132",G351))*132,0)+IFERROR(--ISNUMBER(SEARCH("R133",G351))*133,0)+IFERROR(--ISNUMBER(SEARCH("R134",G351))*134,0)+IFERROR(--ISNUMBER(SEARCH("R135",G351))*135,0)+IFERROR(--ISNUMBER(SEARCH("R136",G351))*136,0)+IFERROR(--ISNUMBER(SEARCH("R137",G351))*137,0)+IFERROR(--ISNUMBER(SEARCH("R138",G351))*138,0)+IFERROR(--ISNUMBER(SEARCH("R139",G351))*139,0)+IFERROR(--ISNUMBER(SEARCH("R140",G351))*140,0)+IFERROR(--ISNUMBER(SEARCH("R141",G351))*141,0))</f>
        <v/>
      </c>
      <c r="V351" s="59">
        <f>IF(A351="","",IF(K351&lt;&gt;"",K351,J351))</f>
        <v/>
      </c>
      <c r="W351" s="59">
        <f>IF(A351="","",IF(AND(V351=29,O351&lt;&gt;"",COUNTIFS($V$6:$V$505,29,$F$6:$F$505,F351,$C$6:$C$505,C351,$O$6:$O$505,"&lt;&gt;")&gt;1),IF(COUNTIFS($V$6:V351,29,$F$6:F351,F351,$C$6:C351,C351,$O$6:O351,"&lt;&gt;")=1,"Esta es la fila que se debe CONSERVAR (aparición 1 de "&amp;COUNTIFS($V$6:$V$505,29,$F$6:$F$505,F351,$C$6:$C$505,C351,$O$6:$O$505,"&lt;&gt;")&amp;" con el mismo tercero y valor, casilla 29). Si hay más filas iguales, bórreles el valor a ELLAS, no a esta.","DUPLICADO — ya existe otra fila con el mismo tercero y valor para casilla 29 (aparición "&amp;COUNTIFS($V$6:V351,29,$F$6:F351,F351,$C$6:C351,C351,$O$6:O351,"&lt;&gt;")&amp;" de "&amp;COUNTIFS($V$6:$V$505,29,$F$6:$F$505,F351,$C$6:$C$505,C351,$O$6:$O$505,"&lt;&gt;")&amp;"). Para resolverlo: seleccione la celda O"&amp;ROW()&amp;" (columna Valor a declarar de ESTA fila) y presione Supr."),""))</f>
        <v/>
      </c>
      <c r="X351" s="463">
        <f>IF(A351="","",F351)</f>
        <v/>
      </c>
      <c r="Y351" s="463">
        <f>IF(A351="","",SUMIF(Entrada_Manual!$I$88:$I$187,A351,Entrada_Manual!$F$88:$F$187))</f>
        <v/>
      </c>
      <c r="Z351" s="463">
        <f>IF(A351="","",X351-Y351)</f>
        <v/>
      </c>
      <c r="AA351">
        <f>IF(A351="","",SUMPRODUCT((Entrada_Manual!$I$88:$I$187=A351)*1))</f>
        <v/>
      </c>
      <c r="AB351">
        <f>IF(A351="","",IF(S351&lt;=1,"",IF(AA351=0,"PENDIENTE — SIN ASIGNAR",IF(Z351=0,"RESUELTO","PARCIAL — DIFERENCIA "&amp;TEXT(Z351,"#,##0")))))</f>
        <v/>
      </c>
    </row>
    <row r="352" ht="14.25" customHeight="1" s="235">
      <c r="A352" s="47">
        <f>IF(Exogena_RAW!E361&lt;&gt;"",ROW()-5,"")</f>
        <v/>
      </c>
      <c r="B352" s="48">
        <f>IF(A352="","",361)</f>
        <v/>
      </c>
      <c r="C352" s="48">
        <f>IF(A352="","",IFERROR(Exogena_RAW!A361,""))</f>
        <v/>
      </c>
      <c r="D352" s="48">
        <f>IF(A352="","",IFERROR(Exogena_RAW!B361,""))</f>
        <v/>
      </c>
      <c r="E352" s="48">
        <f>IF(A352="","",Exogena_RAW!E361)</f>
        <v/>
      </c>
      <c r="F352" s="461">
        <f>IF(A352="","",Exogena_RAW!F361)</f>
        <v/>
      </c>
      <c r="G352" s="48">
        <f>IF(A352="","",IFERROR(Exogena_RAW!G361,""))</f>
        <v/>
      </c>
      <c r="H352" s="48">
        <f>IF(A352="","",IFERROR(Exogena_RAW!H361,""))</f>
        <v/>
      </c>
      <c r="I352" s="48">
        <f>IF(A352="","",IFERROR(IF(S352&gt;1,"VARIAS CASILLAS",IF(S352=1,IF(T352=1,"PROPUESTA DE CASILLA","REVISIÓN: CASILLA NO DIRECTA"),IF(OR(ISNUMBER(SEARCH("TOPE",UPPER(E352))),ISNUMBER(SEARCH("TOPE",UPPER(G352)))),"SOLO CONTROL",IF(ISNUMBER(SEARCH("RETEN",UPPER(E352))),"RETENCIÓN","REVISAR")))),"REVISAR"))</f>
        <v/>
      </c>
      <c r="J352" s="48">
        <f>IF(A352="","",IF(ISNUMBER(SEARCH("ingreso laboral promedio de los últimos seis meses",E352)),"",IFERROR(IF(AND(S352=1,T352=1),U352,""),"")))</f>
        <v/>
      </c>
      <c r="K352" s="216" t="n"/>
      <c r="L352" s="48">
        <f>IF(A352="","",IFERROR(IF(K352&lt;&gt;"","Casilla elegida por usuario",IF(S352&gt;1,"Varias casillas — elegir en K",IF(J352&lt;&gt;"","Sugerencia directa",IF(S352=1,"No trasladar directo — revisar",IF(OR(ISNUMBER(SEARCH("TOPE",UPPER(E352))),ISNUMBER(SEARCH("TOPE",UPPER(G352)))),"Solo control","Revisar manualmente"))))),"Revisar manualmente"))</f>
        <v/>
      </c>
      <c r="M352" s="461">
        <f>IF(A352="","",IF(IF(K352&lt;&gt;"",K352,J352)="",0,IF(COUNTIFS(Reglas!$I$5:$I$118,IF(K352&lt;&gt;"",K352,J352),Reglas!$J$5:$J$118,"Sí")=1,F352,0)))</f>
        <v/>
      </c>
      <c r="N352" s="56" t="n"/>
      <c r="O352" s="462">
        <f>IF(A352="","",IF(M352=0,"",M352))</f>
        <v/>
      </c>
      <c r="P352" s="461">
        <f>IF(A352="","",IF(O352="",0,IF(ISNUMBER(O352),O352,0)))</f>
        <v/>
      </c>
      <c r="Q352" s="48">
        <f>IF(A352="","",IF(Exogena_RAW!$C$4="","BLOQUEADO: FALTA AÑO",IF(Exogena_RAW!$K$10&lt;&gt;Reglas!$B$5,"BLOQUEADO: AÑO",IF(IF(K352&lt;&gt;"",K352,J352)="",IF(S352&gt;1,"REQUIERE ASIGNACIÓN MANUAL (VARIAS CASILLAS)","INFORMATIVO (sin casilla — no se declara)"),IF(COUNTIFS(Reglas!$I$5:$I$118,IF(K352&lt;&gt;"",K352,J352),Reglas!$J$5:$J$118,"Sí")=0,"BLOQUEADO: CASILLA NO DIRECTA",IF(O352="","EXCLUIDO (valor borrado por el usuario)",IF(_xlfn.ISFORMULA(O352),IF(W352&lt;&gt;"","BORRADOR — VALOR SUGERIDO DIAN ⚠ VER ALERTA","BORRADOR — VALOR SUGERIDO DIAN"),IF(W352&lt;&gt;"","ACEPTADO ⚠ VER ALERTA","ACEPTADO"))))))))</f>
        <v/>
      </c>
      <c r="R352" s="218" t="n"/>
      <c r="S352" s="58">
        <f>IF(A352="","",IFERROR(--ISNUMBER(SEARCH("R28",G352)),0)+IFERROR(--ISNUMBER(SEARCH("R29",G352)),0)+IFERROR(--ISNUMBER(SEARCH("R30",G352)),0)+IFERROR(--ISNUMBER(SEARCH("R31",G352)),0)+IFERROR(--ISNUMBER(SEARCH("R32",G352)),0)+IFERROR(--ISNUMBER(SEARCH("R33",G352)),0)+IFERROR(--ISNUMBER(SEARCH("R34",G352)),0)+IFERROR(--ISNUMBER(SEARCH("R35",G352)),0)+IFERROR(--ISNUMBER(SEARCH("R36",G352)),0)+IFERROR(--ISNUMBER(SEARCH("R37",G352)),0)+IFERROR(--ISNUMBER(SEARCH("R38",G352)),0)+IFERROR(--ISNUMBER(SEARCH("R39",G352)),0)+IFERROR(--ISNUMBER(SEARCH("R40",G352)),0)+IFERROR(--ISNUMBER(SEARCH("R41",G352)),0)+IFERROR(--ISNUMBER(SEARCH("R42",G352)),0)+IFERROR(--ISNUMBER(SEARCH("R43",G352)),0)+IFERROR(--ISNUMBER(SEARCH("R44",G352)),0)+IFERROR(--ISNUMBER(SEARCH("R45",G352)),0)+IFERROR(--ISNUMBER(SEARCH("R46",G352)),0)+IFERROR(--ISNUMBER(SEARCH("R47",G352)),0)+IFERROR(--ISNUMBER(SEARCH("R48",G352)),0)+IFERROR(--ISNUMBER(SEARCH("R49",G352)),0)+IFERROR(--ISNUMBER(SEARCH("R50",G352)),0)+IFERROR(--ISNUMBER(SEARCH("R51",G352)),0)+IFERROR(--ISNUMBER(SEARCH("R52",G352)),0)+IFERROR(--ISNUMBER(SEARCH("R53",G352)),0)+IFERROR(--ISNUMBER(SEARCH("R54",G352)),0)+IFERROR(--ISNUMBER(SEARCH("R55",G352)),0)+IFERROR(--ISNUMBER(SEARCH("R56",G352)),0)+IFERROR(--ISNUMBER(SEARCH("R57",G352)),0)+IFERROR(--ISNUMBER(SEARCH("R58",G352)),0)+IFERROR(--ISNUMBER(SEARCH("R59",G352)),0)+IFERROR(--ISNUMBER(SEARCH("R60",G352)),0)+IFERROR(--ISNUMBER(SEARCH("R61",G352)),0)+IFERROR(--ISNUMBER(SEARCH("R62",G352)),0)+IFERROR(--ISNUMBER(SEARCH("R63",G352)),0)+IFERROR(--ISNUMBER(SEARCH("R64",G352)),0)+IFERROR(--ISNUMBER(SEARCH("R65",G352)),0)+IFERROR(--ISNUMBER(SEARCH("R66",G352)),0)+IFERROR(--ISNUMBER(SEARCH("R67",G352)),0)+IFERROR(--ISNUMBER(SEARCH("R68",G352)),0)+IFERROR(--ISNUMBER(SEARCH("R69",G352)),0)+IFERROR(--ISNUMBER(SEARCH("R70",G352)),0)+IFERROR(--ISNUMBER(SEARCH("R71",G352)),0)+IFERROR(--ISNUMBER(SEARCH("R72",G352)),0)+IFERROR(--ISNUMBER(SEARCH("R73",G352)),0)+IFERROR(--ISNUMBER(SEARCH("R74",G352)),0)+IFERROR(--ISNUMBER(SEARCH("R75",G352)),0)+IFERROR(--ISNUMBER(SEARCH("R76",G352)),0)+IFERROR(--ISNUMBER(SEARCH("R77",G352)),0)+IFERROR(--ISNUMBER(SEARCH("R78",G352)),0)+IFERROR(--ISNUMBER(SEARCH("R79",G352)),0)+IFERROR(--ISNUMBER(SEARCH("R80",G352)),0)+IFERROR(--ISNUMBER(SEARCH("R81",G352)),0)+IFERROR(--ISNUMBER(SEARCH("R82",G352)),0)+IFERROR(--ISNUMBER(SEARCH("R83",G352)),0)+IFERROR(--ISNUMBER(SEARCH("R84",G352)),0)+IFERROR(--ISNUMBER(SEARCH("R85",G352)),0)+IFERROR(--ISNUMBER(SEARCH("R86",G352)),0)+IFERROR(--ISNUMBER(SEARCH("R87",G352)),0)+IFERROR(--ISNUMBER(SEARCH("R88",G352)),0)+IFERROR(--ISNUMBER(SEARCH("R89",G352)),0)+IFERROR(--ISNUMBER(SEARCH("R90",G352)),0)+IFERROR(--ISNUMBER(SEARCH("R91",G352)),0)+IFERROR(--ISNUMBER(SEARCH("R92",G352)),0)+IFERROR(--ISNUMBER(SEARCH("R93",G352)),0)+IFERROR(--ISNUMBER(SEARCH("R94",G352)),0)+IFERROR(--ISNUMBER(SEARCH("R95",G352)),0)+IFERROR(--ISNUMBER(SEARCH("R96",G352)),0)+IFERROR(--ISNUMBER(SEARCH("R97",G352)),0)+IFERROR(--ISNUMBER(SEARCH("R98",G352)),0)+IFERROR(--ISNUMBER(SEARCH("R99",G352)),0)+IFERROR(--ISNUMBER(SEARCH("R100",G352)),0)+IFERROR(--ISNUMBER(SEARCH("R101",G352)),0)+IFERROR(--ISNUMBER(SEARCH("R102",G352)),0)+IFERROR(--ISNUMBER(SEARCH("R103",G352)),0)+IFERROR(--ISNUMBER(SEARCH("R104",G352)),0)+IFERROR(--ISNUMBER(SEARCH("R105",G352)),0)+IFERROR(--ISNUMBER(SEARCH("R106",G352)),0)+IFERROR(--ISNUMBER(SEARCH("R107",G352)),0)+IFERROR(--ISNUMBER(SEARCH("R108",G352)),0)+IFERROR(--ISNUMBER(SEARCH("R109",G352)),0)+IFERROR(--ISNUMBER(SEARCH("R110",G352)),0)+IFERROR(--ISNUMBER(SEARCH("R111",G352)),0)+IFERROR(--ISNUMBER(SEARCH("R112",G352)),0)+IFERROR(--ISNUMBER(SEARCH("R113",G352)),0)+IFERROR(--ISNUMBER(SEARCH("R114",G352)),0)+IFERROR(--ISNUMBER(SEARCH("R115",G352)),0)+IFERROR(--ISNUMBER(SEARCH("R116",G352)),0)+IFERROR(--ISNUMBER(SEARCH("R117",G352)),0)+IFERROR(--ISNUMBER(SEARCH("R118",G352)),0)+IFERROR(--ISNUMBER(SEARCH("R119",G352)),0)+IFERROR(--ISNUMBER(SEARCH("R120",G352)),0)+IFERROR(--ISNUMBER(SEARCH("R121",G352)),0)+IFERROR(--ISNUMBER(SEARCH("R122",G352)),0)+IFERROR(--ISNUMBER(SEARCH("R123",G352)),0)+IFERROR(--ISNUMBER(SEARCH("R124",G352)),0)+IFERROR(--ISNUMBER(SEARCH("R125",G352)),0)+IFERROR(--ISNUMBER(SEARCH("R126",G352)),0)+IFERROR(--ISNUMBER(SEARCH("R127",G352)),0)+IFERROR(--ISNUMBER(SEARCH("R128",G352)),0)+IFERROR(--ISNUMBER(SEARCH("R129",G352)),0)+IFERROR(--ISNUMBER(SEARCH("R130",G352)),0)+IFERROR(--ISNUMBER(SEARCH("R131",G352)),0)+IFERROR(--ISNUMBER(SEARCH("R132",G352)),0)+IFERROR(--ISNUMBER(SEARCH("R133",G352)),0)+IFERROR(--ISNUMBER(SEARCH("R134",G352)),0)+IFERROR(--ISNUMBER(SEARCH("R135",G352)),0)+IFERROR(--ISNUMBER(SEARCH("R136",G352)),0)+IFERROR(--ISNUMBER(SEARCH("R137",G352)),0)+IFERROR(--ISNUMBER(SEARCH("R138",G352)),0)+IFERROR(--ISNUMBER(SEARCH("R139",G352)),0)+IFERROR(--ISNUMBER(SEARCH("R140",G352)),0)+IFERROR(--ISNUMBER(SEARCH("R141",G352)),0))</f>
        <v/>
      </c>
      <c r="T352" s="58">
        <f>IF(A352="","",IFERROR(--ISNUMBER(SEARCH("R28",G352)),0)+IFERROR(--ISNUMBER(SEARCH("R29",G352)),0)+IFERROR(--ISNUMBER(SEARCH("R30",G352)),0)+IFERROR(--ISNUMBER(SEARCH("R32",G352)),0)+IFERROR(--ISNUMBER(SEARCH("R33",G352)),0)+IFERROR(--ISNUMBER(SEARCH("R35",G352)),0)+IFERROR(--ISNUMBER(SEARCH("R36",G352)),0)+IFERROR(--ISNUMBER(SEARCH("R38",G352)),0)+IFERROR(--ISNUMBER(SEARCH("R39",G352)),0)+IFERROR(--ISNUMBER(SEARCH("R43",G352)),0)+IFERROR(--ISNUMBER(SEARCH("R44",G352)),0)+IFERROR(--ISNUMBER(SEARCH("R45",G352)),0)+IFERROR(--ISNUMBER(SEARCH("R47",G352)),0)+IFERROR(--ISNUMBER(SEARCH("R48",G352)),0)+IFERROR(--ISNUMBER(SEARCH("R50",G352)),0)+IFERROR(--ISNUMBER(SEARCH("R51",G352)),0)+IFERROR(--ISNUMBER(SEARCH("R56",G352)),0)+IFERROR(--ISNUMBER(SEARCH("R58",G352)),0)+IFERROR(--ISNUMBER(SEARCH("R59",G352)),0)+IFERROR(--ISNUMBER(SEARCH("R60",G352)),0)+IFERROR(--ISNUMBER(SEARCH("R62",G352)),0)+IFERROR(--ISNUMBER(SEARCH("R63",G352)),0)+IFERROR(--ISNUMBER(SEARCH("R64",G352)),0)+IFERROR(--ISNUMBER(SEARCH("R66",G352)),0)+IFERROR(--ISNUMBER(SEARCH("R67",G352)),0)+IFERROR(--ISNUMBER(SEARCH("R72",G352)),0)+IFERROR(--ISNUMBER(SEARCH("R74",G352)),0)+IFERROR(--ISNUMBER(SEARCH("R75",G352)),0)+IFERROR(--ISNUMBER(SEARCH("R76",G352)),0)+IFERROR(--ISNUMBER(SEARCH("R77",G352)),0)+IFERROR(--ISNUMBER(SEARCH("R79",G352)),0)+IFERROR(--ISNUMBER(SEARCH("R80",G352)),0)+IFERROR(--ISNUMBER(SEARCH("R81",G352)),0)+IFERROR(--ISNUMBER(SEARCH("R83",G352)),0)+IFERROR(--ISNUMBER(SEARCH("R84",G352)),0)+IFERROR(--ISNUMBER(SEARCH("R89",G352)),0)+IFERROR(--ISNUMBER(SEARCH("R94",G352)),0)+IFERROR(--ISNUMBER(SEARCH("R95",G352)),0)+IFERROR(--ISNUMBER(SEARCH("R96",G352)),0)+IFERROR(--ISNUMBER(SEARCH("R98",G352)),0)+IFERROR(--ISNUMBER(SEARCH("R99",G352)),0)+IFERROR(--ISNUMBER(SEARCH("R100",G352)),0)+IFERROR(--ISNUMBER(SEARCH("R104",G352)),0)+IFERROR(--ISNUMBER(SEARCH("R105",G352)),0)+IFERROR(--ISNUMBER(SEARCH("R107",G352)),0)+IFERROR(--ISNUMBER(SEARCH("R108",G352)),0)+IFERROR(--ISNUMBER(SEARCH("R109",G352)),0)+IFERROR(--ISNUMBER(SEARCH("R110",G352)),0)+IFERROR(--ISNUMBER(SEARCH("R112",G352)),0)+IFERROR(--ISNUMBER(SEARCH("R113",G352)),0)+IFERROR(--ISNUMBER(SEARCH("R114",G352)),0)+IFERROR(--ISNUMBER(SEARCH("R118",G352)),0)+IFERROR(--ISNUMBER(SEARCH("R119",G352)),0)+IFERROR(--ISNUMBER(SEARCH("R120",G352)),0)+IFERROR(--ISNUMBER(SEARCH("R122",G352)),0)+IFERROR(--ISNUMBER(SEARCH("R123",G352)),0)+IFERROR(--ISNUMBER(SEARCH("R124",G352)),0)+IFERROR(--ISNUMBER(SEARCH("R128",G352)),0)+IFERROR(--ISNUMBER(SEARCH("R130",G352)),0)+IFERROR(--ISNUMBER(SEARCH("R131",G352)),0)+IFERROR(--ISNUMBER(SEARCH("R132",G352)),0)+IFERROR(--ISNUMBER(SEARCH("R135",G352)),0)+IFERROR(--ISNUMBER(SEARCH("R138",G352)),0)+IFERROR(--ISNUMBER(SEARCH("R141",G352)),0))</f>
        <v/>
      </c>
      <c r="U352" s="58">
        <f>IF(A352="","",IFERROR(--ISNUMBER(SEARCH("R28",G352))*28,0)+IFERROR(--ISNUMBER(SEARCH("R29",G352))*29,0)+IFERROR(--ISNUMBER(SEARCH("R30",G352))*30,0)+IFERROR(--ISNUMBER(SEARCH("R31",G352))*31,0)+IFERROR(--ISNUMBER(SEARCH("R32",G352))*32,0)+IFERROR(--ISNUMBER(SEARCH("R33",G352))*33,0)+IFERROR(--ISNUMBER(SEARCH("R34",G352))*34,0)+IFERROR(--ISNUMBER(SEARCH("R35",G352))*35,0)+IFERROR(--ISNUMBER(SEARCH("R36",G352))*36,0)+IFERROR(--ISNUMBER(SEARCH("R37",G352))*37,0)+IFERROR(--ISNUMBER(SEARCH("R38",G352))*38,0)+IFERROR(--ISNUMBER(SEARCH("R39",G352))*39,0)+IFERROR(--ISNUMBER(SEARCH("R40",G352))*40,0)+IFERROR(--ISNUMBER(SEARCH("R41",G352))*41,0)+IFERROR(--ISNUMBER(SEARCH("R42",G352))*42,0)+IFERROR(--ISNUMBER(SEARCH("R43",G352))*43,0)+IFERROR(--ISNUMBER(SEARCH("R44",G352))*44,0)+IFERROR(--ISNUMBER(SEARCH("R45",G352))*45,0)+IFERROR(--ISNUMBER(SEARCH("R46",G352))*46,0)+IFERROR(--ISNUMBER(SEARCH("R47",G352))*47,0)+IFERROR(--ISNUMBER(SEARCH("R48",G352))*48,0)+IFERROR(--ISNUMBER(SEARCH("R49",G352))*49,0)+IFERROR(--ISNUMBER(SEARCH("R50",G352))*50,0)+IFERROR(--ISNUMBER(SEARCH("R51",G352))*51,0)+IFERROR(--ISNUMBER(SEARCH("R52",G352))*52,0)+IFERROR(--ISNUMBER(SEARCH("R53",G352))*53,0)+IFERROR(--ISNUMBER(SEARCH("R54",G352))*54,0)+IFERROR(--ISNUMBER(SEARCH("R55",G352))*55,0)+IFERROR(--ISNUMBER(SEARCH("R56",G352))*56,0)+IFERROR(--ISNUMBER(SEARCH("R57",G352))*57,0)+IFERROR(--ISNUMBER(SEARCH("R58",G352))*58,0)+IFERROR(--ISNUMBER(SEARCH("R59",G352))*59,0)+IFERROR(--ISNUMBER(SEARCH("R60",G352))*60,0)+IFERROR(--ISNUMBER(SEARCH("R61",G352))*61,0)+IFERROR(--ISNUMBER(SEARCH("R62",G352))*62,0)+IFERROR(--ISNUMBER(SEARCH("R63",G352))*63,0)+IFERROR(--ISNUMBER(SEARCH("R64",G352))*64,0)+IFERROR(--ISNUMBER(SEARCH("R65",G352))*65,0)+IFERROR(--ISNUMBER(SEARCH("R66",G352))*66,0)+IFERROR(--ISNUMBER(SEARCH("R67",G352))*67,0)+IFERROR(--ISNUMBER(SEARCH("R68",G352))*68,0)+IFERROR(--ISNUMBER(SEARCH("R69",G352))*69,0)+IFERROR(--ISNUMBER(SEARCH("R70",G352))*70,0)+IFERROR(--ISNUMBER(SEARCH("R71",G352))*71,0)+IFERROR(--ISNUMBER(SEARCH("R72",G352))*72,0)+IFERROR(--ISNUMBER(SEARCH("R73",G352))*73,0)+IFERROR(--ISNUMBER(SEARCH("R74",G352))*74,0)+IFERROR(--ISNUMBER(SEARCH("R75",G352))*75,0)+IFERROR(--ISNUMBER(SEARCH("R76",G352))*76,0)+IFERROR(--ISNUMBER(SEARCH("R77",G352))*77,0)+IFERROR(--ISNUMBER(SEARCH("R78",G352))*78,0)+IFERROR(--ISNUMBER(SEARCH("R79",G352))*79,0)+IFERROR(--ISNUMBER(SEARCH("R80",G352))*80,0)+IFERROR(--ISNUMBER(SEARCH("R81",G352))*81,0)+IFERROR(--ISNUMBER(SEARCH("R82",G352))*82,0)+IFERROR(--ISNUMBER(SEARCH("R83",G352))*83,0)+IFERROR(--ISNUMBER(SEARCH("R84",G352))*84,0)+IFERROR(--ISNUMBER(SEARCH("R85",G352))*85,0)+IFERROR(--ISNUMBER(SEARCH("R86",G352))*86,0)+IFERROR(--ISNUMBER(SEARCH("R87",G352))*87,0)+IFERROR(--ISNUMBER(SEARCH("R88",G352))*88,0)+IFERROR(--ISNUMBER(SEARCH("R89",G352))*89,0)+IFERROR(--ISNUMBER(SEARCH("R90",G352))*90,0)+IFERROR(--ISNUMBER(SEARCH("R91",G352))*91,0)+IFERROR(--ISNUMBER(SEARCH("R92",G352))*92,0)+IFERROR(--ISNUMBER(SEARCH("R93",G352))*93,0)+IFERROR(--ISNUMBER(SEARCH("R94",G352))*94,0)+IFERROR(--ISNUMBER(SEARCH("R95",G352))*95,0)+IFERROR(--ISNUMBER(SEARCH("R96",G352))*96,0)+IFERROR(--ISNUMBER(SEARCH("R97",G352))*97,0)+IFERROR(--ISNUMBER(SEARCH("R98",G352))*98,0)+IFERROR(--ISNUMBER(SEARCH("R99",G352))*99,0)+IFERROR(--ISNUMBER(SEARCH("R100",G352))*100,0)+IFERROR(--ISNUMBER(SEARCH("R101",G352))*101,0)+IFERROR(--ISNUMBER(SEARCH("R102",G352))*102,0)+IFERROR(--ISNUMBER(SEARCH("R103",G352))*103,0)+IFERROR(--ISNUMBER(SEARCH("R104",G352))*104,0)+IFERROR(--ISNUMBER(SEARCH("R105",G352))*105,0)+IFERROR(--ISNUMBER(SEARCH("R106",G352))*106,0)+IFERROR(--ISNUMBER(SEARCH("R107",G352))*107,0)+IFERROR(--ISNUMBER(SEARCH("R108",G352))*108,0)+IFERROR(--ISNUMBER(SEARCH("R109",G352))*109,0)+IFERROR(--ISNUMBER(SEARCH("R110",G352))*110,0)+IFERROR(--ISNUMBER(SEARCH("R111",G352))*111,0)+IFERROR(--ISNUMBER(SEARCH("R112",G352))*112,0)+IFERROR(--ISNUMBER(SEARCH("R113",G352))*113,0)+IFERROR(--ISNUMBER(SEARCH("R114",G352))*114,0)+IFERROR(--ISNUMBER(SEARCH("R115",G352))*115,0)+IFERROR(--ISNUMBER(SEARCH("R116",G352))*116,0)+IFERROR(--ISNUMBER(SEARCH("R117",G352))*117,0)+IFERROR(--ISNUMBER(SEARCH("R118",G352))*118,0)+IFERROR(--ISNUMBER(SEARCH("R119",G352))*119,0)+IFERROR(--ISNUMBER(SEARCH("R120",G352))*120,0)+IFERROR(--ISNUMBER(SEARCH("R121",G352))*121,0)+IFERROR(--ISNUMBER(SEARCH("R122",G352))*122,0)+IFERROR(--ISNUMBER(SEARCH("R123",G352))*123,0)+IFERROR(--ISNUMBER(SEARCH("R124",G352))*124,0)+IFERROR(--ISNUMBER(SEARCH("R125",G352))*125,0)+IFERROR(--ISNUMBER(SEARCH("R126",G352))*126,0)+IFERROR(--ISNUMBER(SEARCH("R127",G352))*127,0)+IFERROR(--ISNUMBER(SEARCH("R128",G352))*128,0)+IFERROR(--ISNUMBER(SEARCH("R129",G352))*129,0)+IFERROR(--ISNUMBER(SEARCH("R130",G352))*130,0)+IFERROR(--ISNUMBER(SEARCH("R131",G352))*131,0)+IFERROR(--ISNUMBER(SEARCH("R132",G352))*132,0)+IFERROR(--ISNUMBER(SEARCH("R133",G352))*133,0)+IFERROR(--ISNUMBER(SEARCH("R134",G352))*134,0)+IFERROR(--ISNUMBER(SEARCH("R135",G352))*135,0)+IFERROR(--ISNUMBER(SEARCH("R136",G352))*136,0)+IFERROR(--ISNUMBER(SEARCH("R137",G352))*137,0)+IFERROR(--ISNUMBER(SEARCH("R138",G352))*138,0)+IFERROR(--ISNUMBER(SEARCH("R139",G352))*139,0)+IFERROR(--ISNUMBER(SEARCH("R140",G352))*140,0)+IFERROR(--ISNUMBER(SEARCH("R141",G352))*141,0))</f>
        <v/>
      </c>
      <c r="V352" s="59">
        <f>IF(A352="","",IF(K352&lt;&gt;"",K352,J352))</f>
        <v/>
      </c>
      <c r="W352" s="59">
        <f>IF(A352="","",IF(AND(V352=29,O352&lt;&gt;"",COUNTIFS($V$6:$V$505,29,$F$6:$F$505,F352,$C$6:$C$505,C352,$O$6:$O$505,"&lt;&gt;")&gt;1),IF(COUNTIFS($V$6:V352,29,$F$6:F352,F352,$C$6:C352,C352,$O$6:O352,"&lt;&gt;")=1,"Esta es la fila que se debe CONSERVAR (aparición 1 de "&amp;COUNTIFS($V$6:$V$505,29,$F$6:$F$505,F352,$C$6:$C$505,C352,$O$6:$O$505,"&lt;&gt;")&amp;" con el mismo tercero y valor, casilla 29). Si hay más filas iguales, bórreles el valor a ELLAS, no a esta.","DUPLICADO — ya existe otra fila con el mismo tercero y valor para casilla 29 (aparición "&amp;COUNTIFS($V$6:V352,29,$F$6:F352,F352,$C$6:C352,C352,$O$6:O352,"&lt;&gt;")&amp;" de "&amp;COUNTIFS($V$6:$V$505,29,$F$6:$F$505,F352,$C$6:$C$505,C352,$O$6:$O$505,"&lt;&gt;")&amp;"). Para resolverlo: seleccione la celda O"&amp;ROW()&amp;" (columna Valor a declarar de ESTA fila) y presione Supr."),""))</f>
        <v/>
      </c>
      <c r="X352" s="463">
        <f>IF(A352="","",F352)</f>
        <v/>
      </c>
      <c r="Y352" s="463">
        <f>IF(A352="","",SUMIF(Entrada_Manual!$I$88:$I$187,A352,Entrada_Manual!$F$88:$F$187))</f>
        <v/>
      </c>
      <c r="Z352" s="463">
        <f>IF(A352="","",X352-Y352)</f>
        <v/>
      </c>
      <c r="AA352">
        <f>IF(A352="","",SUMPRODUCT((Entrada_Manual!$I$88:$I$187=A352)*1))</f>
        <v/>
      </c>
      <c r="AB352">
        <f>IF(A352="","",IF(S352&lt;=1,"",IF(AA352=0,"PENDIENTE — SIN ASIGNAR",IF(Z352=0,"RESUELTO","PARCIAL — DIFERENCIA "&amp;TEXT(Z352,"#,##0")))))</f>
        <v/>
      </c>
    </row>
    <row r="353" ht="14.25" customHeight="1" s="235">
      <c r="A353" s="47">
        <f>IF(Exogena_RAW!E362&lt;&gt;"",ROW()-5,"")</f>
        <v/>
      </c>
      <c r="B353" s="48">
        <f>IF(A353="","",362)</f>
        <v/>
      </c>
      <c r="C353" s="48">
        <f>IF(A353="","",IFERROR(Exogena_RAW!A362,""))</f>
        <v/>
      </c>
      <c r="D353" s="48">
        <f>IF(A353="","",IFERROR(Exogena_RAW!B362,""))</f>
        <v/>
      </c>
      <c r="E353" s="48">
        <f>IF(A353="","",Exogena_RAW!E362)</f>
        <v/>
      </c>
      <c r="F353" s="461">
        <f>IF(A353="","",Exogena_RAW!F362)</f>
        <v/>
      </c>
      <c r="G353" s="48">
        <f>IF(A353="","",IFERROR(Exogena_RAW!G362,""))</f>
        <v/>
      </c>
      <c r="H353" s="48">
        <f>IF(A353="","",IFERROR(Exogena_RAW!H362,""))</f>
        <v/>
      </c>
      <c r="I353" s="48">
        <f>IF(A353="","",IFERROR(IF(S353&gt;1,"VARIAS CASILLAS",IF(S353=1,IF(T353=1,"PROPUESTA DE CASILLA","REVISIÓN: CASILLA NO DIRECTA"),IF(OR(ISNUMBER(SEARCH("TOPE",UPPER(E353))),ISNUMBER(SEARCH("TOPE",UPPER(G353)))),"SOLO CONTROL",IF(ISNUMBER(SEARCH("RETEN",UPPER(E353))),"RETENCIÓN","REVISAR")))),"REVISAR"))</f>
        <v/>
      </c>
      <c r="J353" s="48">
        <f>IF(A353="","",IF(ISNUMBER(SEARCH("ingreso laboral promedio de los últimos seis meses",E353)),"",IFERROR(IF(AND(S353=1,T353=1),U353,""),"")))</f>
        <v/>
      </c>
      <c r="K353" s="216" t="n"/>
      <c r="L353" s="48">
        <f>IF(A353="","",IFERROR(IF(K353&lt;&gt;"","Casilla elegida por usuario",IF(S353&gt;1,"Varias casillas — elegir en K",IF(J353&lt;&gt;"","Sugerencia directa",IF(S353=1,"No trasladar directo — revisar",IF(OR(ISNUMBER(SEARCH("TOPE",UPPER(E353))),ISNUMBER(SEARCH("TOPE",UPPER(G353)))),"Solo control","Revisar manualmente"))))),"Revisar manualmente"))</f>
        <v/>
      </c>
      <c r="M353" s="461">
        <f>IF(A353="","",IF(IF(K353&lt;&gt;"",K353,J353)="",0,IF(COUNTIFS(Reglas!$I$5:$I$118,IF(K353&lt;&gt;"",K353,J353),Reglas!$J$5:$J$118,"Sí")=1,F353,0)))</f>
        <v/>
      </c>
      <c r="N353" s="56" t="n"/>
      <c r="O353" s="462">
        <f>IF(A353="","",IF(M353=0,"",M353))</f>
        <v/>
      </c>
      <c r="P353" s="461">
        <f>IF(A353="","",IF(O353="",0,IF(ISNUMBER(O353),O353,0)))</f>
        <v/>
      </c>
      <c r="Q353" s="48">
        <f>IF(A353="","",IF(Exogena_RAW!$C$4="","BLOQUEADO: FALTA AÑO",IF(Exogena_RAW!$K$10&lt;&gt;Reglas!$B$5,"BLOQUEADO: AÑO",IF(IF(K353&lt;&gt;"",K353,J353)="",IF(S353&gt;1,"REQUIERE ASIGNACIÓN MANUAL (VARIAS CASILLAS)","INFORMATIVO (sin casilla — no se declara)"),IF(COUNTIFS(Reglas!$I$5:$I$118,IF(K353&lt;&gt;"",K353,J353),Reglas!$J$5:$J$118,"Sí")=0,"BLOQUEADO: CASILLA NO DIRECTA",IF(O353="","EXCLUIDO (valor borrado por el usuario)",IF(_xlfn.ISFORMULA(O353),IF(W353&lt;&gt;"","BORRADOR — VALOR SUGERIDO DIAN ⚠ VER ALERTA","BORRADOR — VALOR SUGERIDO DIAN"),IF(W353&lt;&gt;"","ACEPTADO ⚠ VER ALERTA","ACEPTADO"))))))))</f>
        <v/>
      </c>
      <c r="R353" s="218" t="n"/>
      <c r="S353" s="58">
        <f>IF(A353="","",IFERROR(--ISNUMBER(SEARCH("R28",G353)),0)+IFERROR(--ISNUMBER(SEARCH("R29",G353)),0)+IFERROR(--ISNUMBER(SEARCH("R30",G353)),0)+IFERROR(--ISNUMBER(SEARCH("R31",G353)),0)+IFERROR(--ISNUMBER(SEARCH("R32",G353)),0)+IFERROR(--ISNUMBER(SEARCH("R33",G353)),0)+IFERROR(--ISNUMBER(SEARCH("R34",G353)),0)+IFERROR(--ISNUMBER(SEARCH("R35",G353)),0)+IFERROR(--ISNUMBER(SEARCH("R36",G353)),0)+IFERROR(--ISNUMBER(SEARCH("R37",G353)),0)+IFERROR(--ISNUMBER(SEARCH("R38",G353)),0)+IFERROR(--ISNUMBER(SEARCH("R39",G353)),0)+IFERROR(--ISNUMBER(SEARCH("R40",G353)),0)+IFERROR(--ISNUMBER(SEARCH("R41",G353)),0)+IFERROR(--ISNUMBER(SEARCH("R42",G353)),0)+IFERROR(--ISNUMBER(SEARCH("R43",G353)),0)+IFERROR(--ISNUMBER(SEARCH("R44",G353)),0)+IFERROR(--ISNUMBER(SEARCH("R45",G353)),0)+IFERROR(--ISNUMBER(SEARCH("R46",G353)),0)+IFERROR(--ISNUMBER(SEARCH("R47",G353)),0)+IFERROR(--ISNUMBER(SEARCH("R48",G353)),0)+IFERROR(--ISNUMBER(SEARCH("R49",G353)),0)+IFERROR(--ISNUMBER(SEARCH("R50",G353)),0)+IFERROR(--ISNUMBER(SEARCH("R51",G353)),0)+IFERROR(--ISNUMBER(SEARCH("R52",G353)),0)+IFERROR(--ISNUMBER(SEARCH("R53",G353)),0)+IFERROR(--ISNUMBER(SEARCH("R54",G353)),0)+IFERROR(--ISNUMBER(SEARCH("R55",G353)),0)+IFERROR(--ISNUMBER(SEARCH("R56",G353)),0)+IFERROR(--ISNUMBER(SEARCH("R57",G353)),0)+IFERROR(--ISNUMBER(SEARCH("R58",G353)),0)+IFERROR(--ISNUMBER(SEARCH("R59",G353)),0)+IFERROR(--ISNUMBER(SEARCH("R60",G353)),0)+IFERROR(--ISNUMBER(SEARCH("R61",G353)),0)+IFERROR(--ISNUMBER(SEARCH("R62",G353)),0)+IFERROR(--ISNUMBER(SEARCH("R63",G353)),0)+IFERROR(--ISNUMBER(SEARCH("R64",G353)),0)+IFERROR(--ISNUMBER(SEARCH("R65",G353)),0)+IFERROR(--ISNUMBER(SEARCH("R66",G353)),0)+IFERROR(--ISNUMBER(SEARCH("R67",G353)),0)+IFERROR(--ISNUMBER(SEARCH("R68",G353)),0)+IFERROR(--ISNUMBER(SEARCH("R69",G353)),0)+IFERROR(--ISNUMBER(SEARCH("R70",G353)),0)+IFERROR(--ISNUMBER(SEARCH("R71",G353)),0)+IFERROR(--ISNUMBER(SEARCH("R72",G353)),0)+IFERROR(--ISNUMBER(SEARCH("R73",G353)),0)+IFERROR(--ISNUMBER(SEARCH("R74",G353)),0)+IFERROR(--ISNUMBER(SEARCH("R75",G353)),0)+IFERROR(--ISNUMBER(SEARCH("R76",G353)),0)+IFERROR(--ISNUMBER(SEARCH("R77",G353)),0)+IFERROR(--ISNUMBER(SEARCH("R78",G353)),0)+IFERROR(--ISNUMBER(SEARCH("R79",G353)),0)+IFERROR(--ISNUMBER(SEARCH("R80",G353)),0)+IFERROR(--ISNUMBER(SEARCH("R81",G353)),0)+IFERROR(--ISNUMBER(SEARCH("R82",G353)),0)+IFERROR(--ISNUMBER(SEARCH("R83",G353)),0)+IFERROR(--ISNUMBER(SEARCH("R84",G353)),0)+IFERROR(--ISNUMBER(SEARCH("R85",G353)),0)+IFERROR(--ISNUMBER(SEARCH("R86",G353)),0)+IFERROR(--ISNUMBER(SEARCH("R87",G353)),0)+IFERROR(--ISNUMBER(SEARCH("R88",G353)),0)+IFERROR(--ISNUMBER(SEARCH("R89",G353)),0)+IFERROR(--ISNUMBER(SEARCH("R90",G353)),0)+IFERROR(--ISNUMBER(SEARCH("R91",G353)),0)+IFERROR(--ISNUMBER(SEARCH("R92",G353)),0)+IFERROR(--ISNUMBER(SEARCH("R93",G353)),0)+IFERROR(--ISNUMBER(SEARCH("R94",G353)),0)+IFERROR(--ISNUMBER(SEARCH("R95",G353)),0)+IFERROR(--ISNUMBER(SEARCH("R96",G353)),0)+IFERROR(--ISNUMBER(SEARCH("R97",G353)),0)+IFERROR(--ISNUMBER(SEARCH("R98",G353)),0)+IFERROR(--ISNUMBER(SEARCH("R99",G353)),0)+IFERROR(--ISNUMBER(SEARCH("R100",G353)),0)+IFERROR(--ISNUMBER(SEARCH("R101",G353)),0)+IFERROR(--ISNUMBER(SEARCH("R102",G353)),0)+IFERROR(--ISNUMBER(SEARCH("R103",G353)),0)+IFERROR(--ISNUMBER(SEARCH("R104",G353)),0)+IFERROR(--ISNUMBER(SEARCH("R105",G353)),0)+IFERROR(--ISNUMBER(SEARCH("R106",G353)),0)+IFERROR(--ISNUMBER(SEARCH("R107",G353)),0)+IFERROR(--ISNUMBER(SEARCH("R108",G353)),0)+IFERROR(--ISNUMBER(SEARCH("R109",G353)),0)+IFERROR(--ISNUMBER(SEARCH("R110",G353)),0)+IFERROR(--ISNUMBER(SEARCH("R111",G353)),0)+IFERROR(--ISNUMBER(SEARCH("R112",G353)),0)+IFERROR(--ISNUMBER(SEARCH("R113",G353)),0)+IFERROR(--ISNUMBER(SEARCH("R114",G353)),0)+IFERROR(--ISNUMBER(SEARCH("R115",G353)),0)+IFERROR(--ISNUMBER(SEARCH("R116",G353)),0)+IFERROR(--ISNUMBER(SEARCH("R117",G353)),0)+IFERROR(--ISNUMBER(SEARCH("R118",G353)),0)+IFERROR(--ISNUMBER(SEARCH("R119",G353)),0)+IFERROR(--ISNUMBER(SEARCH("R120",G353)),0)+IFERROR(--ISNUMBER(SEARCH("R121",G353)),0)+IFERROR(--ISNUMBER(SEARCH("R122",G353)),0)+IFERROR(--ISNUMBER(SEARCH("R123",G353)),0)+IFERROR(--ISNUMBER(SEARCH("R124",G353)),0)+IFERROR(--ISNUMBER(SEARCH("R125",G353)),0)+IFERROR(--ISNUMBER(SEARCH("R126",G353)),0)+IFERROR(--ISNUMBER(SEARCH("R127",G353)),0)+IFERROR(--ISNUMBER(SEARCH("R128",G353)),0)+IFERROR(--ISNUMBER(SEARCH("R129",G353)),0)+IFERROR(--ISNUMBER(SEARCH("R130",G353)),0)+IFERROR(--ISNUMBER(SEARCH("R131",G353)),0)+IFERROR(--ISNUMBER(SEARCH("R132",G353)),0)+IFERROR(--ISNUMBER(SEARCH("R133",G353)),0)+IFERROR(--ISNUMBER(SEARCH("R134",G353)),0)+IFERROR(--ISNUMBER(SEARCH("R135",G353)),0)+IFERROR(--ISNUMBER(SEARCH("R136",G353)),0)+IFERROR(--ISNUMBER(SEARCH("R137",G353)),0)+IFERROR(--ISNUMBER(SEARCH("R138",G353)),0)+IFERROR(--ISNUMBER(SEARCH("R139",G353)),0)+IFERROR(--ISNUMBER(SEARCH("R140",G353)),0)+IFERROR(--ISNUMBER(SEARCH("R141",G353)),0))</f>
        <v/>
      </c>
      <c r="T353" s="58">
        <f>IF(A353="","",IFERROR(--ISNUMBER(SEARCH("R28",G353)),0)+IFERROR(--ISNUMBER(SEARCH("R29",G353)),0)+IFERROR(--ISNUMBER(SEARCH("R30",G353)),0)+IFERROR(--ISNUMBER(SEARCH("R32",G353)),0)+IFERROR(--ISNUMBER(SEARCH("R33",G353)),0)+IFERROR(--ISNUMBER(SEARCH("R35",G353)),0)+IFERROR(--ISNUMBER(SEARCH("R36",G353)),0)+IFERROR(--ISNUMBER(SEARCH("R38",G353)),0)+IFERROR(--ISNUMBER(SEARCH("R39",G353)),0)+IFERROR(--ISNUMBER(SEARCH("R43",G353)),0)+IFERROR(--ISNUMBER(SEARCH("R44",G353)),0)+IFERROR(--ISNUMBER(SEARCH("R45",G353)),0)+IFERROR(--ISNUMBER(SEARCH("R47",G353)),0)+IFERROR(--ISNUMBER(SEARCH("R48",G353)),0)+IFERROR(--ISNUMBER(SEARCH("R50",G353)),0)+IFERROR(--ISNUMBER(SEARCH("R51",G353)),0)+IFERROR(--ISNUMBER(SEARCH("R56",G353)),0)+IFERROR(--ISNUMBER(SEARCH("R58",G353)),0)+IFERROR(--ISNUMBER(SEARCH("R59",G353)),0)+IFERROR(--ISNUMBER(SEARCH("R60",G353)),0)+IFERROR(--ISNUMBER(SEARCH("R62",G353)),0)+IFERROR(--ISNUMBER(SEARCH("R63",G353)),0)+IFERROR(--ISNUMBER(SEARCH("R64",G353)),0)+IFERROR(--ISNUMBER(SEARCH("R66",G353)),0)+IFERROR(--ISNUMBER(SEARCH("R67",G353)),0)+IFERROR(--ISNUMBER(SEARCH("R72",G353)),0)+IFERROR(--ISNUMBER(SEARCH("R74",G353)),0)+IFERROR(--ISNUMBER(SEARCH("R75",G353)),0)+IFERROR(--ISNUMBER(SEARCH("R76",G353)),0)+IFERROR(--ISNUMBER(SEARCH("R77",G353)),0)+IFERROR(--ISNUMBER(SEARCH("R79",G353)),0)+IFERROR(--ISNUMBER(SEARCH("R80",G353)),0)+IFERROR(--ISNUMBER(SEARCH("R81",G353)),0)+IFERROR(--ISNUMBER(SEARCH("R83",G353)),0)+IFERROR(--ISNUMBER(SEARCH("R84",G353)),0)+IFERROR(--ISNUMBER(SEARCH("R89",G353)),0)+IFERROR(--ISNUMBER(SEARCH("R94",G353)),0)+IFERROR(--ISNUMBER(SEARCH("R95",G353)),0)+IFERROR(--ISNUMBER(SEARCH("R96",G353)),0)+IFERROR(--ISNUMBER(SEARCH("R98",G353)),0)+IFERROR(--ISNUMBER(SEARCH("R99",G353)),0)+IFERROR(--ISNUMBER(SEARCH("R100",G353)),0)+IFERROR(--ISNUMBER(SEARCH("R104",G353)),0)+IFERROR(--ISNUMBER(SEARCH("R105",G353)),0)+IFERROR(--ISNUMBER(SEARCH("R107",G353)),0)+IFERROR(--ISNUMBER(SEARCH("R108",G353)),0)+IFERROR(--ISNUMBER(SEARCH("R109",G353)),0)+IFERROR(--ISNUMBER(SEARCH("R110",G353)),0)+IFERROR(--ISNUMBER(SEARCH("R112",G353)),0)+IFERROR(--ISNUMBER(SEARCH("R113",G353)),0)+IFERROR(--ISNUMBER(SEARCH("R114",G353)),0)+IFERROR(--ISNUMBER(SEARCH("R118",G353)),0)+IFERROR(--ISNUMBER(SEARCH("R119",G353)),0)+IFERROR(--ISNUMBER(SEARCH("R120",G353)),0)+IFERROR(--ISNUMBER(SEARCH("R122",G353)),0)+IFERROR(--ISNUMBER(SEARCH("R123",G353)),0)+IFERROR(--ISNUMBER(SEARCH("R124",G353)),0)+IFERROR(--ISNUMBER(SEARCH("R128",G353)),0)+IFERROR(--ISNUMBER(SEARCH("R130",G353)),0)+IFERROR(--ISNUMBER(SEARCH("R131",G353)),0)+IFERROR(--ISNUMBER(SEARCH("R132",G353)),0)+IFERROR(--ISNUMBER(SEARCH("R135",G353)),0)+IFERROR(--ISNUMBER(SEARCH("R138",G353)),0)+IFERROR(--ISNUMBER(SEARCH("R141",G353)),0))</f>
        <v/>
      </c>
      <c r="U353" s="58">
        <f>IF(A353="","",IFERROR(--ISNUMBER(SEARCH("R28",G353))*28,0)+IFERROR(--ISNUMBER(SEARCH("R29",G353))*29,0)+IFERROR(--ISNUMBER(SEARCH("R30",G353))*30,0)+IFERROR(--ISNUMBER(SEARCH("R31",G353))*31,0)+IFERROR(--ISNUMBER(SEARCH("R32",G353))*32,0)+IFERROR(--ISNUMBER(SEARCH("R33",G353))*33,0)+IFERROR(--ISNUMBER(SEARCH("R34",G353))*34,0)+IFERROR(--ISNUMBER(SEARCH("R35",G353))*35,0)+IFERROR(--ISNUMBER(SEARCH("R36",G353))*36,0)+IFERROR(--ISNUMBER(SEARCH("R37",G353))*37,0)+IFERROR(--ISNUMBER(SEARCH("R38",G353))*38,0)+IFERROR(--ISNUMBER(SEARCH("R39",G353))*39,0)+IFERROR(--ISNUMBER(SEARCH("R40",G353))*40,0)+IFERROR(--ISNUMBER(SEARCH("R41",G353))*41,0)+IFERROR(--ISNUMBER(SEARCH("R42",G353))*42,0)+IFERROR(--ISNUMBER(SEARCH("R43",G353))*43,0)+IFERROR(--ISNUMBER(SEARCH("R44",G353))*44,0)+IFERROR(--ISNUMBER(SEARCH("R45",G353))*45,0)+IFERROR(--ISNUMBER(SEARCH("R46",G353))*46,0)+IFERROR(--ISNUMBER(SEARCH("R47",G353))*47,0)+IFERROR(--ISNUMBER(SEARCH("R48",G353))*48,0)+IFERROR(--ISNUMBER(SEARCH("R49",G353))*49,0)+IFERROR(--ISNUMBER(SEARCH("R50",G353))*50,0)+IFERROR(--ISNUMBER(SEARCH("R51",G353))*51,0)+IFERROR(--ISNUMBER(SEARCH("R52",G353))*52,0)+IFERROR(--ISNUMBER(SEARCH("R53",G353))*53,0)+IFERROR(--ISNUMBER(SEARCH("R54",G353))*54,0)+IFERROR(--ISNUMBER(SEARCH("R55",G353))*55,0)+IFERROR(--ISNUMBER(SEARCH("R56",G353))*56,0)+IFERROR(--ISNUMBER(SEARCH("R57",G353))*57,0)+IFERROR(--ISNUMBER(SEARCH("R58",G353))*58,0)+IFERROR(--ISNUMBER(SEARCH("R59",G353))*59,0)+IFERROR(--ISNUMBER(SEARCH("R60",G353))*60,0)+IFERROR(--ISNUMBER(SEARCH("R61",G353))*61,0)+IFERROR(--ISNUMBER(SEARCH("R62",G353))*62,0)+IFERROR(--ISNUMBER(SEARCH("R63",G353))*63,0)+IFERROR(--ISNUMBER(SEARCH("R64",G353))*64,0)+IFERROR(--ISNUMBER(SEARCH("R65",G353))*65,0)+IFERROR(--ISNUMBER(SEARCH("R66",G353))*66,0)+IFERROR(--ISNUMBER(SEARCH("R67",G353))*67,0)+IFERROR(--ISNUMBER(SEARCH("R68",G353))*68,0)+IFERROR(--ISNUMBER(SEARCH("R69",G353))*69,0)+IFERROR(--ISNUMBER(SEARCH("R70",G353))*70,0)+IFERROR(--ISNUMBER(SEARCH("R71",G353))*71,0)+IFERROR(--ISNUMBER(SEARCH("R72",G353))*72,0)+IFERROR(--ISNUMBER(SEARCH("R73",G353))*73,0)+IFERROR(--ISNUMBER(SEARCH("R74",G353))*74,0)+IFERROR(--ISNUMBER(SEARCH("R75",G353))*75,0)+IFERROR(--ISNUMBER(SEARCH("R76",G353))*76,0)+IFERROR(--ISNUMBER(SEARCH("R77",G353))*77,0)+IFERROR(--ISNUMBER(SEARCH("R78",G353))*78,0)+IFERROR(--ISNUMBER(SEARCH("R79",G353))*79,0)+IFERROR(--ISNUMBER(SEARCH("R80",G353))*80,0)+IFERROR(--ISNUMBER(SEARCH("R81",G353))*81,0)+IFERROR(--ISNUMBER(SEARCH("R82",G353))*82,0)+IFERROR(--ISNUMBER(SEARCH("R83",G353))*83,0)+IFERROR(--ISNUMBER(SEARCH("R84",G353))*84,0)+IFERROR(--ISNUMBER(SEARCH("R85",G353))*85,0)+IFERROR(--ISNUMBER(SEARCH("R86",G353))*86,0)+IFERROR(--ISNUMBER(SEARCH("R87",G353))*87,0)+IFERROR(--ISNUMBER(SEARCH("R88",G353))*88,0)+IFERROR(--ISNUMBER(SEARCH("R89",G353))*89,0)+IFERROR(--ISNUMBER(SEARCH("R90",G353))*90,0)+IFERROR(--ISNUMBER(SEARCH("R91",G353))*91,0)+IFERROR(--ISNUMBER(SEARCH("R92",G353))*92,0)+IFERROR(--ISNUMBER(SEARCH("R93",G353))*93,0)+IFERROR(--ISNUMBER(SEARCH("R94",G353))*94,0)+IFERROR(--ISNUMBER(SEARCH("R95",G353))*95,0)+IFERROR(--ISNUMBER(SEARCH("R96",G353))*96,0)+IFERROR(--ISNUMBER(SEARCH("R97",G353))*97,0)+IFERROR(--ISNUMBER(SEARCH("R98",G353))*98,0)+IFERROR(--ISNUMBER(SEARCH("R99",G353))*99,0)+IFERROR(--ISNUMBER(SEARCH("R100",G353))*100,0)+IFERROR(--ISNUMBER(SEARCH("R101",G353))*101,0)+IFERROR(--ISNUMBER(SEARCH("R102",G353))*102,0)+IFERROR(--ISNUMBER(SEARCH("R103",G353))*103,0)+IFERROR(--ISNUMBER(SEARCH("R104",G353))*104,0)+IFERROR(--ISNUMBER(SEARCH("R105",G353))*105,0)+IFERROR(--ISNUMBER(SEARCH("R106",G353))*106,0)+IFERROR(--ISNUMBER(SEARCH("R107",G353))*107,0)+IFERROR(--ISNUMBER(SEARCH("R108",G353))*108,0)+IFERROR(--ISNUMBER(SEARCH("R109",G353))*109,0)+IFERROR(--ISNUMBER(SEARCH("R110",G353))*110,0)+IFERROR(--ISNUMBER(SEARCH("R111",G353))*111,0)+IFERROR(--ISNUMBER(SEARCH("R112",G353))*112,0)+IFERROR(--ISNUMBER(SEARCH("R113",G353))*113,0)+IFERROR(--ISNUMBER(SEARCH("R114",G353))*114,0)+IFERROR(--ISNUMBER(SEARCH("R115",G353))*115,0)+IFERROR(--ISNUMBER(SEARCH("R116",G353))*116,0)+IFERROR(--ISNUMBER(SEARCH("R117",G353))*117,0)+IFERROR(--ISNUMBER(SEARCH("R118",G353))*118,0)+IFERROR(--ISNUMBER(SEARCH("R119",G353))*119,0)+IFERROR(--ISNUMBER(SEARCH("R120",G353))*120,0)+IFERROR(--ISNUMBER(SEARCH("R121",G353))*121,0)+IFERROR(--ISNUMBER(SEARCH("R122",G353))*122,0)+IFERROR(--ISNUMBER(SEARCH("R123",G353))*123,0)+IFERROR(--ISNUMBER(SEARCH("R124",G353))*124,0)+IFERROR(--ISNUMBER(SEARCH("R125",G353))*125,0)+IFERROR(--ISNUMBER(SEARCH("R126",G353))*126,0)+IFERROR(--ISNUMBER(SEARCH("R127",G353))*127,0)+IFERROR(--ISNUMBER(SEARCH("R128",G353))*128,0)+IFERROR(--ISNUMBER(SEARCH("R129",G353))*129,0)+IFERROR(--ISNUMBER(SEARCH("R130",G353))*130,0)+IFERROR(--ISNUMBER(SEARCH("R131",G353))*131,0)+IFERROR(--ISNUMBER(SEARCH("R132",G353))*132,0)+IFERROR(--ISNUMBER(SEARCH("R133",G353))*133,0)+IFERROR(--ISNUMBER(SEARCH("R134",G353))*134,0)+IFERROR(--ISNUMBER(SEARCH("R135",G353))*135,0)+IFERROR(--ISNUMBER(SEARCH("R136",G353))*136,0)+IFERROR(--ISNUMBER(SEARCH("R137",G353))*137,0)+IFERROR(--ISNUMBER(SEARCH("R138",G353))*138,0)+IFERROR(--ISNUMBER(SEARCH("R139",G353))*139,0)+IFERROR(--ISNUMBER(SEARCH("R140",G353))*140,0)+IFERROR(--ISNUMBER(SEARCH("R141",G353))*141,0))</f>
        <v/>
      </c>
      <c r="V353" s="59">
        <f>IF(A353="","",IF(K353&lt;&gt;"",K353,J353))</f>
        <v/>
      </c>
      <c r="W353" s="59">
        <f>IF(A353="","",IF(AND(V353=29,O353&lt;&gt;"",COUNTIFS($V$6:$V$505,29,$F$6:$F$505,F353,$C$6:$C$505,C353,$O$6:$O$505,"&lt;&gt;")&gt;1),IF(COUNTIFS($V$6:V353,29,$F$6:F353,F353,$C$6:C353,C353,$O$6:O353,"&lt;&gt;")=1,"Esta es la fila que se debe CONSERVAR (aparición 1 de "&amp;COUNTIFS($V$6:$V$505,29,$F$6:$F$505,F353,$C$6:$C$505,C353,$O$6:$O$505,"&lt;&gt;")&amp;" con el mismo tercero y valor, casilla 29). Si hay más filas iguales, bórreles el valor a ELLAS, no a esta.","DUPLICADO — ya existe otra fila con el mismo tercero y valor para casilla 29 (aparición "&amp;COUNTIFS($V$6:V353,29,$F$6:F353,F353,$C$6:C353,C353,$O$6:O353,"&lt;&gt;")&amp;" de "&amp;COUNTIFS($V$6:$V$505,29,$F$6:$F$505,F353,$C$6:$C$505,C353,$O$6:$O$505,"&lt;&gt;")&amp;"). Para resolverlo: seleccione la celda O"&amp;ROW()&amp;" (columna Valor a declarar de ESTA fila) y presione Supr."),""))</f>
        <v/>
      </c>
      <c r="X353" s="463">
        <f>IF(A353="","",F353)</f>
        <v/>
      </c>
      <c r="Y353" s="463">
        <f>IF(A353="","",SUMIF(Entrada_Manual!$I$88:$I$187,A353,Entrada_Manual!$F$88:$F$187))</f>
        <v/>
      </c>
      <c r="Z353" s="463">
        <f>IF(A353="","",X353-Y353)</f>
        <v/>
      </c>
      <c r="AA353">
        <f>IF(A353="","",SUMPRODUCT((Entrada_Manual!$I$88:$I$187=A353)*1))</f>
        <v/>
      </c>
      <c r="AB353">
        <f>IF(A353="","",IF(S353&lt;=1,"",IF(AA353=0,"PENDIENTE — SIN ASIGNAR",IF(Z353=0,"RESUELTO","PARCIAL — DIFERENCIA "&amp;TEXT(Z353,"#,##0")))))</f>
        <v/>
      </c>
    </row>
    <row r="354" ht="14.25" customHeight="1" s="235">
      <c r="A354" s="47">
        <f>IF(Exogena_RAW!E363&lt;&gt;"",ROW()-5,"")</f>
        <v/>
      </c>
      <c r="B354" s="48">
        <f>IF(A354="","",363)</f>
        <v/>
      </c>
      <c r="C354" s="48">
        <f>IF(A354="","",IFERROR(Exogena_RAW!A363,""))</f>
        <v/>
      </c>
      <c r="D354" s="48">
        <f>IF(A354="","",IFERROR(Exogena_RAW!B363,""))</f>
        <v/>
      </c>
      <c r="E354" s="48">
        <f>IF(A354="","",Exogena_RAW!E363)</f>
        <v/>
      </c>
      <c r="F354" s="461">
        <f>IF(A354="","",Exogena_RAW!F363)</f>
        <v/>
      </c>
      <c r="G354" s="48">
        <f>IF(A354="","",IFERROR(Exogena_RAW!G363,""))</f>
        <v/>
      </c>
      <c r="H354" s="48">
        <f>IF(A354="","",IFERROR(Exogena_RAW!H363,""))</f>
        <v/>
      </c>
      <c r="I354" s="48">
        <f>IF(A354="","",IFERROR(IF(S354&gt;1,"VARIAS CASILLAS",IF(S354=1,IF(T354=1,"PROPUESTA DE CASILLA","REVISIÓN: CASILLA NO DIRECTA"),IF(OR(ISNUMBER(SEARCH("TOPE",UPPER(E354))),ISNUMBER(SEARCH("TOPE",UPPER(G354)))),"SOLO CONTROL",IF(ISNUMBER(SEARCH("RETEN",UPPER(E354))),"RETENCIÓN","REVISAR")))),"REVISAR"))</f>
        <v/>
      </c>
      <c r="J354" s="48">
        <f>IF(A354="","",IF(ISNUMBER(SEARCH("ingreso laboral promedio de los últimos seis meses",E354)),"",IFERROR(IF(AND(S354=1,T354=1),U354,""),"")))</f>
        <v/>
      </c>
      <c r="K354" s="216" t="n"/>
      <c r="L354" s="48">
        <f>IF(A354="","",IFERROR(IF(K354&lt;&gt;"","Casilla elegida por usuario",IF(S354&gt;1,"Varias casillas — elegir en K",IF(J354&lt;&gt;"","Sugerencia directa",IF(S354=1,"No trasladar directo — revisar",IF(OR(ISNUMBER(SEARCH("TOPE",UPPER(E354))),ISNUMBER(SEARCH("TOPE",UPPER(G354)))),"Solo control","Revisar manualmente"))))),"Revisar manualmente"))</f>
        <v/>
      </c>
      <c r="M354" s="461">
        <f>IF(A354="","",IF(IF(K354&lt;&gt;"",K354,J354)="",0,IF(COUNTIFS(Reglas!$I$5:$I$118,IF(K354&lt;&gt;"",K354,J354),Reglas!$J$5:$J$118,"Sí")=1,F354,0)))</f>
        <v/>
      </c>
      <c r="N354" s="56" t="n"/>
      <c r="O354" s="462">
        <f>IF(A354="","",IF(M354=0,"",M354))</f>
        <v/>
      </c>
      <c r="P354" s="461">
        <f>IF(A354="","",IF(O354="",0,IF(ISNUMBER(O354),O354,0)))</f>
        <v/>
      </c>
      <c r="Q354" s="48">
        <f>IF(A354="","",IF(Exogena_RAW!$C$4="","BLOQUEADO: FALTA AÑO",IF(Exogena_RAW!$K$10&lt;&gt;Reglas!$B$5,"BLOQUEADO: AÑO",IF(IF(K354&lt;&gt;"",K354,J354)="",IF(S354&gt;1,"REQUIERE ASIGNACIÓN MANUAL (VARIAS CASILLAS)","INFORMATIVO (sin casilla — no se declara)"),IF(COUNTIFS(Reglas!$I$5:$I$118,IF(K354&lt;&gt;"",K354,J354),Reglas!$J$5:$J$118,"Sí")=0,"BLOQUEADO: CASILLA NO DIRECTA",IF(O354="","EXCLUIDO (valor borrado por el usuario)",IF(_xlfn.ISFORMULA(O354),IF(W354&lt;&gt;"","BORRADOR — VALOR SUGERIDO DIAN ⚠ VER ALERTA","BORRADOR — VALOR SUGERIDO DIAN"),IF(W354&lt;&gt;"","ACEPTADO ⚠ VER ALERTA","ACEPTADO"))))))))</f>
        <v/>
      </c>
      <c r="R354" s="218" t="n"/>
      <c r="S354" s="58">
        <f>IF(A354="","",IFERROR(--ISNUMBER(SEARCH("R28",G354)),0)+IFERROR(--ISNUMBER(SEARCH("R29",G354)),0)+IFERROR(--ISNUMBER(SEARCH("R30",G354)),0)+IFERROR(--ISNUMBER(SEARCH("R31",G354)),0)+IFERROR(--ISNUMBER(SEARCH("R32",G354)),0)+IFERROR(--ISNUMBER(SEARCH("R33",G354)),0)+IFERROR(--ISNUMBER(SEARCH("R34",G354)),0)+IFERROR(--ISNUMBER(SEARCH("R35",G354)),0)+IFERROR(--ISNUMBER(SEARCH("R36",G354)),0)+IFERROR(--ISNUMBER(SEARCH("R37",G354)),0)+IFERROR(--ISNUMBER(SEARCH("R38",G354)),0)+IFERROR(--ISNUMBER(SEARCH("R39",G354)),0)+IFERROR(--ISNUMBER(SEARCH("R40",G354)),0)+IFERROR(--ISNUMBER(SEARCH("R41",G354)),0)+IFERROR(--ISNUMBER(SEARCH("R42",G354)),0)+IFERROR(--ISNUMBER(SEARCH("R43",G354)),0)+IFERROR(--ISNUMBER(SEARCH("R44",G354)),0)+IFERROR(--ISNUMBER(SEARCH("R45",G354)),0)+IFERROR(--ISNUMBER(SEARCH("R46",G354)),0)+IFERROR(--ISNUMBER(SEARCH("R47",G354)),0)+IFERROR(--ISNUMBER(SEARCH("R48",G354)),0)+IFERROR(--ISNUMBER(SEARCH("R49",G354)),0)+IFERROR(--ISNUMBER(SEARCH("R50",G354)),0)+IFERROR(--ISNUMBER(SEARCH("R51",G354)),0)+IFERROR(--ISNUMBER(SEARCH("R52",G354)),0)+IFERROR(--ISNUMBER(SEARCH("R53",G354)),0)+IFERROR(--ISNUMBER(SEARCH("R54",G354)),0)+IFERROR(--ISNUMBER(SEARCH("R55",G354)),0)+IFERROR(--ISNUMBER(SEARCH("R56",G354)),0)+IFERROR(--ISNUMBER(SEARCH("R57",G354)),0)+IFERROR(--ISNUMBER(SEARCH("R58",G354)),0)+IFERROR(--ISNUMBER(SEARCH("R59",G354)),0)+IFERROR(--ISNUMBER(SEARCH("R60",G354)),0)+IFERROR(--ISNUMBER(SEARCH("R61",G354)),0)+IFERROR(--ISNUMBER(SEARCH("R62",G354)),0)+IFERROR(--ISNUMBER(SEARCH("R63",G354)),0)+IFERROR(--ISNUMBER(SEARCH("R64",G354)),0)+IFERROR(--ISNUMBER(SEARCH("R65",G354)),0)+IFERROR(--ISNUMBER(SEARCH("R66",G354)),0)+IFERROR(--ISNUMBER(SEARCH("R67",G354)),0)+IFERROR(--ISNUMBER(SEARCH("R68",G354)),0)+IFERROR(--ISNUMBER(SEARCH("R69",G354)),0)+IFERROR(--ISNUMBER(SEARCH("R70",G354)),0)+IFERROR(--ISNUMBER(SEARCH("R71",G354)),0)+IFERROR(--ISNUMBER(SEARCH("R72",G354)),0)+IFERROR(--ISNUMBER(SEARCH("R73",G354)),0)+IFERROR(--ISNUMBER(SEARCH("R74",G354)),0)+IFERROR(--ISNUMBER(SEARCH("R75",G354)),0)+IFERROR(--ISNUMBER(SEARCH("R76",G354)),0)+IFERROR(--ISNUMBER(SEARCH("R77",G354)),0)+IFERROR(--ISNUMBER(SEARCH("R78",G354)),0)+IFERROR(--ISNUMBER(SEARCH("R79",G354)),0)+IFERROR(--ISNUMBER(SEARCH("R80",G354)),0)+IFERROR(--ISNUMBER(SEARCH("R81",G354)),0)+IFERROR(--ISNUMBER(SEARCH("R82",G354)),0)+IFERROR(--ISNUMBER(SEARCH("R83",G354)),0)+IFERROR(--ISNUMBER(SEARCH("R84",G354)),0)+IFERROR(--ISNUMBER(SEARCH("R85",G354)),0)+IFERROR(--ISNUMBER(SEARCH("R86",G354)),0)+IFERROR(--ISNUMBER(SEARCH("R87",G354)),0)+IFERROR(--ISNUMBER(SEARCH("R88",G354)),0)+IFERROR(--ISNUMBER(SEARCH("R89",G354)),0)+IFERROR(--ISNUMBER(SEARCH("R90",G354)),0)+IFERROR(--ISNUMBER(SEARCH("R91",G354)),0)+IFERROR(--ISNUMBER(SEARCH("R92",G354)),0)+IFERROR(--ISNUMBER(SEARCH("R93",G354)),0)+IFERROR(--ISNUMBER(SEARCH("R94",G354)),0)+IFERROR(--ISNUMBER(SEARCH("R95",G354)),0)+IFERROR(--ISNUMBER(SEARCH("R96",G354)),0)+IFERROR(--ISNUMBER(SEARCH("R97",G354)),0)+IFERROR(--ISNUMBER(SEARCH("R98",G354)),0)+IFERROR(--ISNUMBER(SEARCH("R99",G354)),0)+IFERROR(--ISNUMBER(SEARCH("R100",G354)),0)+IFERROR(--ISNUMBER(SEARCH("R101",G354)),0)+IFERROR(--ISNUMBER(SEARCH("R102",G354)),0)+IFERROR(--ISNUMBER(SEARCH("R103",G354)),0)+IFERROR(--ISNUMBER(SEARCH("R104",G354)),0)+IFERROR(--ISNUMBER(SEARCH("R105",G354)),0)+IFERROR(--ISNUMBER(SEARCH("R106",G354)),0)+IFERROR(--ISNUMBER(SEARCH("R107",G354)),0)+IFERROR(--ISNUMBER(SEARCH("R108",G354)),0)+IFERROR(--ISNUMBER(SEARCH("R109",G354)),0)+IFERROR(--ISNUMBER(SEARCH("R110",G354)),0)+IFERROR(--ISNUMBER(SEARCH("R111",G354)),0)+IFERROR(--ISNUMBER(SEARCH("R112",G354)),0)+IFERROR(--ISNUMBER(SEARCH("R113",G354)),0)+IFERROR(--ISNUMBER(SEARCH("R114",G354)),0)+IFERROR(--ISNUMBER(SEARCH("R115",G354)),0)+IFERROR(--ISNUMBER(SEARCH("R116",G354)),0)+IFERROR(--ISNUMBER(SEARCH("R117",G354)),0)+IFERROR(--ISNUMBER(SEARCH("R118",G354)),0)+IFERROR(--ISNUMBER(SEARCH("R119",G354)),0)+IFERROR(--ISNUMBER(SEARCH("R120",G354)),0)+IFERROR(--ISNUMBER(SEARCH("R121",G354)),0)+IFERROR(--ISNUMBER(SEARCH("R122",G354)),0)+IFERROR(--ISNUMBER(SEARCH("R123",G354)),0)+IFERROR(--ISNUMBER(SEARCH("R124",G354)),0)+IFERROR(--ISNUMBER(SEARCH("R125",G354)),0)+IFERROR(--ISNUMBER(SEARCH("R126",G354)),0)+IFERROR(--ISNUMBER(SEARCH("R127",G354)),0)+IFERROR(--ISNUMBER(SEARCH("R128",G354)),0)+IFERROR(--ISNUMBER(SEARCH("R129",G354)),0)+IFERROR(--ISNUMBER(SEARCH("R130",G354)),0)+IFERROR(--ISNUMBER(SEARCH("R131",G354)),0)+IFERROR(--ISNUMBER(SEARCH("R132",G354)),0)+IFERROR(--ISNUMBER(SEARCH("R133",G354)),0)+IFERROR(--ISNUMBER(SEARCH("R134",G354)),0)+IFERROR(--ISNUMBER(SEARCH("R135",G354)),0)+IFERROR(--ISNUMBER(SEARCH("R136",G354)),0)+IFERROR(--ISNUMBER(SEARCH("R137",G354)),0)+IFERROR(--ISNUMBER(SEARCH("R138",G354)),0)+IFERROR(--ISNUMBER(SEARCH("R139",G354)),0)+IFERROR(--ISNUMBER(SEARCH("R140",G354)),0)+IFERROR(--ISNUMBER(SEARCH("R141",G354)),0))</f>
        <v/>
      </c>
      <c r="T354" s="58">
        <f>IF(A354="","",IFERROR(--ISNUMBER(SEARCH("R28",G354)),0)+IFERROR(--ISNUMBER(SEARCH("R29",G354)),0)+IFERROR(--ISNUMBER(SEARCH("R30",G354)),0)+IFERROR(--ISNUMBER(SEARCH("R32",G354)),0)+IFERROR(--ISNUMBER(SEARCH("R33",G354)),0)+IFERROR(--ISNUMBER(SEARCH("R35",G354)),0)+IFERROR(--ISNUMBER(SEARCH("R36",G354)),0)+IFERROR(--ISNUMBER(SEARCH("R38",G354)),0)+IFERROR(--ISNUMBER(SEARCH("R39",G354)),0)+IFERROR(--ISNUMBER(SEARCH("R43",G354)),0)+IFERROR(--ISNUMBER(SEARCH("R44",G354)),0)+IFERROR(--ISNUMBER(SEARCH("R45",G354)),0)+IFERROR(--ISNUMBER(SEARCH("R47",G354)),0)+IFERROR(--ISNUMBER(SEARCH("R48",G354)),0)+IFERROR(--ISNUMBER(SEARCH("R50",G354)),0)+IFERROR(--ISNUMBER(SEARCH("R51",G354)),0)+IFERROR(--ISNUMBER(SEARCH("R56",G354)),0)+IFERROR(--ISNUMBER(SEARCH("R58",G354)),0)+IFERROR(--ISNUMBER(SEARCH("R59",G354)),0)+IFERROR(--ISNUMBER(SEARCH("R60",G354)),0)+IFERROR(--ISNUMBER(SEARCH("R62",G354)),0)+IFERROR(--ISNUMBER(SEARCH("R63",G354)),0)+IFERROR(--ISNUMBER(SEARCH("R64",G354)),0)+IFERROR(--ISNUMBER(SEARCH("R66",G354)),0)+IFERROR(--ISNUMBER(SEARCH("R67",G354)),0)+IFERROR(--ISNUMBER(SEARCH("R72",G354)),0)+IFERROR(--ISNUMBER(SEARCH("R74",G354)),0)+IFERROR(--ISNUMBER(SEARCH("R75",G354)),0)+IFERROR(--ISNUMBER(SEARCH("R76",G354)),0)+IFERROR(--ISNUMBER(SEARCH("R77",G354)),0)+IFERROR(--ISNUMBER(SEARCH("R79",G354)),0)+IFERROR(--ISNUMBER(SEARCH("R80",G354)),0)+IFERROR(--ISNUMBER(SEARCH("R81",G354)),0)+IFERROR(--ISNUMBER(SEARCH("R83",G354)),0)+IFERROR(--ISNUMBER(SEARCH("R84",G354)),0)+IFERROR(--ISNUMBER(SEARCH("R89",G354)),0)+IFERROR(--ISNUMBER(SEARCH("R94",G354)),0)+IFERROR(--ISNUMBER(SEARCH("R95",G354)),0)+IFERROR(--ISNUMBER(SEARCH("R96",G354)),0)+IFERROR(--ISNUMBER(SEARCH("R98",G354)),0)+IFERROR(--ISNUMBER(SEARCH("R99",G354)),0)+IFERROR(--ISNUMBER(SEARCH("R100",G354)),0)+IFERROR(--ISNUMBER(SEARCH("R104",G354)),0)+IFERROR(--ISNUMBER(SEARCH("R105",G354)),0)+IFERROR(--ISNUMBER(SEARCH("R107",G354)),0)+IFERROR(--ISNUMBER(SEARCH("R108",G354)),0)+IFERROR(--ISNUMBER(SEARCH("R109",G354)),0)+IFERROR(--ISNUMBER(SEARCH("R110",G354)),0)+IFERROR(--ISNUMBER(SEARCH("R112",G354)),0)+IFERROR(--ISNUMBER(SEARCH("R113",G354)),0)+IFERROR(--ISNUMBER(SEARCH("R114",G354)),0)+IFERROR(--ISNUMBER(SEARCH("R118",G354)),0)+IFERROR(--ISNUMBER(SEARCH("R119",G354)),0)+IFERROR(--ISNUMBER(SEARCH("R120",G354)),0)+IFERROR(--ISNUMBER(SEARCH("R122",G354)),0)+IFERROR(--ISNUMBER(SEARCH("R123",G354)),0)+IFERROR(--ISNUMBER(SEARCH("R124",G354)),0)+IFERROR(--ISNUMBER(SEARCH("R128",G354)),0)+IFERROR(--ISNUMBER(SEARCH("R130",G354)),0)+IFERROR(--ISNUMBER(SEARCH("R131",G354)),0)+IFERROR(--ISNUMBER(SEARCH("R132",G354)),0)+IFERROR(--ISNUMBER(SEARCH("R135",G354)),0)+IFERROR(--ISNUMBER(SEARCH("R138",G354)),0)+IFERROR(--ISNUMBER(SEARCH("R141",G354)),0))</f>
        <v/>
      </c>
      <c r="U354" s="58">
        <f>IF(A354="","",IFERROR(--ISNUMBER(SEARCH("R28",G354))*28,0)+IFERROR(--ISNUMBER(SEARCH("R29",G354))*29,0)+IFERROR(--ISNUMBER(SEARCH("R30",G354))*30,0)+IFERROR(--ISNUMBER(SEARCH("R31",G354))*31,0)+IFERROR(--ISNUMBER(SEARCH("R32",G354))*32,0)+IFERROR(--ISNUMBER(SEARCH("R33",G354))*33,0)+IFERROR(--ISNUMBER(SEARCH("R34",G354))*34,0)+IFERROR(--ISNUMBER(SEARCH("R35",G354))*35,0)+IFERROR(--ISNUMBER(SEARCH("R36",G354))*36,0)+IFERROR(--ISNUMBER(SEARCH("R37",G354))*37,0)+IFERROR(--ISNUMBER(SEARCH("R38",G354))*38,0)+IFERROR(--ISNUMBER(SEARCH("R39",G354))*39,0)+IFERROR(--ISNUMBER(SEARCH("R40",G354))*40,0)+IFERROR(--ISNUMBER(SEARCH("R41",G354))*41,0)+IFERROR(--ISNUMBER(SEARCH("R42",G354))*42,0)+IFERROR(--ISNUMBER(SEARCH("R43",G354))*43,0)+IFERROR(--ISNUMBER(SEARCH("R44",G354))*44,0)+IFERROR(--ISNUMBER(SEARCH("R45",G354))*45,0)+IFERROR(--ISNUMBER(SEARCH("R46",G354))*46,0)+IFERROR(--ISNUMBER(SEARCH("R47",G354))*47,0)+IFERROR(--ISNUMBER(SEARCH("R48",G354))*48,0)+IFERROR(--ISNUMBER(SEARCH("R49",G354))*49,0)+IFERROR(--ISNUMBER(SEARCH("R50",G354))*50,0)+IFERROR(--ISNUMBER(SEARCH("R51",G354))*51,0)+IFERROR(--ISNUMBER(SEARCH("R52",G354))*52,0)+IFERROR(--ISNUMBER(SEARCH("R53",G354))*53,0)+IFERROR(--ISNUMBER(SEARCH("R54",G354))*54,0)+IFERROR(--ISNUMBER(SEARCH("R55",G354))*55,0)+IFERROR(--ISNUMBER(SEARCH("R56",G354))*56,0)+IFERROR(--ISNUMBER(SEARCH("R57",G354))*57,0)+IFERROR(--ISNUMBER(SEARCH("R58",G354))*58,0)+IFERROR(--ISNUMBER(SEARCH("R59",G354))*59,0)+IFERROR(--ISNUMBER(SEARCH("R60",G354))*60,0)+IFERROR(--ISNUMBER(SEARCH("R61",G354))*61,0)+IFERROR(--ISNUMBER(SEARCH("R62",G354))*62,0)+IFERROR(--ISNUMBER(SEARCH("R63",G354))*63,0)+IFERROR(--ISNUMBER(SEARCH("R64",G354))*64,0)+IFERROR(--ISNUMBER(SEARCH("R65",G354))*65,0)+IFERROR(--ISNUMBER(SEARCH("R66",G354))*66,0)+IFERROR(--ISNUMBER(SEARCH("R67",G354))*67,0)+IFERROR(--ISNUMBER(SEARCH("R68",G354))*68,0)+IFERROR(--ISNUMBER(SEARCH("R69",G354))*69,0)+IFERROR(--ISNUMBER(SEARCH("R70",G354))*70,0)+IFERROR(--ISNUMBER(SEARCH("R71",G354))*71,0)+IFERROR(--ISNUMBER(SEARCH("R72",G354))*72,0)+IFERROR(--ISNUMBER(SEARCH("R73",G354))*73,0)+IFERROR(--ISNUMBER(SEARCH("R74",G354))*74,0)+IFERROR(--ISNUMBER(SEARCH("R75",G354))*75,0)+IFERROR(--ISNUMBER(SEARCH("R76",G354))*76,0)+IFERROR(--ISNUMBER(SEARCH("R77",G354))*77,0)+IFERROR(--ISNUMBER(SEARCH("R78",G354))*78,0)+IFERROR(--ISNUMBER(SEARCH("R79",G354))*79,0)+IFERROR(--ISNUMBER(SEARCH("R80",G354))*80,0)+IFERROR(--ISNUMBER(SEARCH("R81",G354))*81,0)+IFERROR(--ISNUMBER(SEARCH("R82",G354))*82,0)+IFERROR(--ISNUMBER(SEARCH("R83",G354))*83,0)+IFERROR(--ISNUMBER(SEARCH("R84",G354))*84,0)+IFERROR(--ISNUMBER(SEARCH("R85",G354))*85,0)+IFERROR(--ISNUMBER(SEARCH("R86",G354))*86,0)+IFERROR(--ISNUMBER(SEARCH("R87",G354))*87,0)+IFERROR(--ISNUMBER(SEARCH("R88",G354))*88,0)+IFERROR(--ISNUMBER(SEARCH("R89",G354))*89,0)+IFERROR(--ISNUMBER(SEARCH("R90",G354))*90,0)+IFERROR(--ISNUMBER(SEARCH("R91",G354))*91,0)+IFERROR(--ISNUMBER(SEARCH("R92",G354))*92,0)+IFERROR(--ISNUMBER(SEARCH("R93",G354))*93,0)+IFERROR(--ISNUMBER(SEARCH("R94",G354))*94,0)+IFERROR(--ISNUMBER(SEARCH("R95",G354))*95,0)+IFERROR(--ISNUMBER(SEARCH("R96",G354))*96,0)+IFERROR(--ISNUMBER(SEARCH("R97",G354))*97,0)+IFERROR(--ISNUMBER(SEARCH("R98",G354))*98,0)+IFERROR(--ISNUMBER(SEARCH("R99",G354))*99,0)+IFERROR(--ISNUMBER(SEARCH("R100",G354))*100,0)+IFERROR(--ISNUMBER(SEARCH("R101",G354))*101,0)+IFERROR(--ISNUMBER(SEARCH("R102",G354))*102,0)+IFERROR(--ISNUMBER(SEARCH("R103",G354))*103,0)+IFERROR(--ISNUMBER(SEARCH("R104",G354))*104,0)+IFERROR(--ISNUMBER(SEARCH("R105",G354))*105,0)+IFERROR(--ISNUMBER(SEARCH("R106",G354))*106,0)+IFERROR(--ISNUMBER(SEARCH("R107",G354))*107,0)+IFERROR(--ISNUMBER(SEARCH("R108",G354))*108,0)+IFERROR(--ISNUMBER(SEARCH("R109",G354))*109,0)+IFERROR(--ISNUMBER(SEARCH("R110",G354))*110,0)+IFERROR(--ISNUMBER(SEARCH("R111",G354))*111,0)+IFERROR(--ISNUMBER(SEARCH("R112",G354))*112,0)+IFERROR(--ISNUMBER(SEARCH("R113",G354))*113,0)+IFERROR(--ISNUMBER(SEARCH("R114",G354))*114,0)+IFERROR(--ISNUMBER(SEARCH("R115",G354))*115,0)+IFERROR(--ISNUMBER(SEARCH("R116",G354))*116,0)+IFERROR(--ISNUMBER(SEARCH("R117",G354))*117,0)+IFERROR(--ISNUMBER(SEARCH("R118",G354))*118,0)+IFERROR(--ISNUMBER(SEARCH("R119",G354))*119,0)+IFERROR(--ISNUMBER(SEARCH("R120",G354))*120,0)+IFERROR(--ISNUMBER(SEARCH("R121",G354))*121,0)+IFERROR(--ISNUMBER(SEARCH("R122",G354))*122,0)+IFERROR(--ISNUMBER(SEARCH("R123",G354))*123,0)+IFERROR(--ISNUMBER(SEARCH("R124",G354))*124,0)+IFERROR(--ISNUMBER(SEARCH("R125",G354))*125,0)+IFERROR(--ISNUMBER(SEARCH("R126",G354))*126,0)+IFERROR(--ISNUMBER(SEARCH("R127",G354))*127,0)+IFERROR(--ISNUMBER(SEARCH("R128",G354))*128,0)+IFERROR(--ISNUMBER(SEARCH("R129",G354))*129,0)+IFERROR(--ISNUMBER(SEARCH("R130",G354))*130,0)+IFERROR(--ISNUMBER(SEARCH("R131",G354))*131,0)+IFERROR(--ISNUMBER(SEARCH("R132",G354))*132,0)+IFERROR(--ISNUMBER(SEARCH("R133",G354))*133,0)+IFERROR(--ISNUMBER(SEARCH("R134",G354))*134,0)+IFERROR(--ISNUMBER(SEARCH("R135",G354))*135,0)+IFERROR(--ISNUMBER(SEARCH("R136",G354))*136,0)+IFERROR(--ISNUMBER(SEARCH("R137",G354))*137,0)+IFERROR(--ISNUMBER(SEARCH("R138",G354))*138,0)+IFERROR(--ISNUMBER(SEARCH("R139",G354))*139,0)+IFERROR(--ISNUMBER(SEARCH("R140",G354))*140,0)+IFERROR(--ISNUMBER(SEARCH("R141",G354))*141,0))</f>
        <v/>
      </c>
      <c r="V354" s="59">
        <f>IF(A354="","",IF(K354&lt;&gt;"",K354,J354))</f>
        <v/>
      </c>
      <c r="W354" s="59">
        <f>IF(A354="","",IF(AND(V354=29,O354&lt;&gt;"",COUNTIFS($V$6:$V$505,29,$F$6:$F$505,F354,$C$6:$C$505,C354,$O$6:$O$505,"&lt;&gt;")&gt;1),IF(COUNTIFS($V$6:V354,29,$F$6:F354,F354,$C$6:C354,C354,$O$6:O354,"&lt;&gt;")=1,"Esta es la fila que se debe CONSERVAR (aparición 1 de "&amp;COUNTIFS($V$6:$V$505,29,$F$6:$F$505,F354,$C$6:$C$505,C354,$O$6:$O$505,"&lt;&gt;")&amp;" con el mismo tercero y valor, casilla 29). Si hay más filas iguales, bórreles el valor a ELLAS, no a esta.","DUPLICADO — ya existe otra fila con el mismo tercero y valor para casilla 29 (aparición "&amp;COUNTIFS($V$6:V354,29,$F$6:F354,F354,$C$6:C354,C354,$O$6:O354,"&lt;&gt;")&amp;" de "&amp;COUNTIFS($V$6:$V$505,29,$F$6:$F$505,F354,$C$6:$C$505,C354,$O$6:$O$505,"&lt;&gt;")&amp;"). Para resolverlo: seleccione la celda O"&amp;ROW()&amp;" (columna Valor a declarar de ESTA fila) y presione Supr."),""))</f>
        <v/>
      </c>
      <c r="X354" s="463">
        <f>IF(A354="","",F354)</f>
        <v/>
      </c>
      <c r="Y354" s="463">
        <f>IF(A354="","",SUMIF(Entrada_Manual!$I$88:$I$187,A354,Entrada_Manual!$F$88:$F$187))</f>
        <v/>
      </c>
      <c r="Z354" s="463">
        <f>IF(A354="","",X354-Y354)</f>
        <v/>
      </c>
      <c r="AA354">
        <f>IF(A354="","",SUMPRODUCT((Entrada_Manual!$I$88:$I$187=A354)*1))</f>
        <v/>
      </c>
      <c r="AB354">
        <f>IF(A354="","",IF(S354&lt;=1,"",IF(AA354=0,"PENDIENTE — SIN ASIGNAR",IF(Z354=0,"RESUELTO","PARCIAL — DIFERENCIA "&amp;TEXT(Z354,"#,##0")))))</f>
        <v/>
      </c>
    </row>
    <row r="355" ht="14.25" customHeight="1" s="235">
      <c r="A355" s="47">
        <f>IF(Exogena_RAW!E364&lt;&gt;"",ROW()-5,"")</f>
        <v/>
      </c>
      <c r="B355" s="48">
        <f>IF(A355="","",364)</f>
        <v/>
      </c>
      <c r="C355" s="48">
        <f>IF(A355="","",IFERROR(Exogena_RAW!A364,""))</f>
        <v/>
      </c>
      <c r="D355" s="48">
        <f>IF(A355="","",IFERROR(Exogena_RAW!B364,""))</f>
        <v/>
      </c>
      <c r="E355" s="48">
        <f>IF(A355="","",Exogena_RAW!E364)</f>
        <v/>
      </c>
      <c r="F355" s="461">
        <f>IF(A355="","",Exogena_RAW!F364)</f>
        <v/>
      </c>
      <c r="G355" s="48">
        <f>IF(A355="","",IFERROR(Exogena_RAW!G364,""))</f>
        <v/>
      </c>
      <c r="H355" s="48">
        <f>IF(A355="","",IFERROR(Exogena_RAW!H364,""))</f>
        <v/>
      </c>
      <c r="I355" s="48">
        <f>IF(A355="","",IFERROR(IF(S355&gt;1,"VARIAS CASILLAS",IF(S355=1,IF(T355=1,"PROPUESTA DE CASILLA","REVISIÓN: CASILLA NO DIRECTA"),IF(OR(ISNUMBER(SEARCH("TOPE",UPPER(E355))),ISNUMBER(SEARCH("TOPE",UPPER(G355)))),"SOLO CONTROL",IF(ISNUMBER(SEARCH("RETEN",UPPER(E355))),"RETENCIÓN","REVISAR")))),"REVISAR"))</f>
        <v/>
      </c>
      <c r="J355" s="48">
        <f>IF(A355="","",IF(ISNUMBER(SEARCH("ingreso laboral promedio de los últimos seis meses",E355)),"",IFERROR(IF(AND(S355=1,T355=1),U355,""),"")))</f>
        <v/>
      </c>
      <c r="K355" s="216" t="n"/>
      <c r="L355" s="48">
        <f>IF(A355="","",IFERROR(IF(K355&lt;&gt;"","Casilla elegida por usuario",IF(S355&gt;1,"Varias casillas — elegir en K",IF(J355&lt;&gt;"","Sugerencia directa",IF(S355=1,"No trasladar directo — revisar",IF(OR(ISNUMBER(SEARCH("TOPE",UPPER(E355))),ISNUMBER(SEARCH("TOPE",UPPER(G355)))),"Solo control","Revisar manualmente"))))),"Revisar manualmente"))</f>
        <v/>
      </c>
      <c r="M355" s="461">
        <f>IF(A355="","",IF(IF(K355&lt;&gt;"",K355,J355)="",0,IF(COUNTIFS(Reglas!$I$5:$I$118,IF(K355&lt;&gt;"",K355,J355),Reglas!$J$5:$J$118,"Sí")=1,F355,0)))</f>
        <v/>
      </c>
      <c r="N355" s="56" t="n"/>
      <c r="O355" s="462">
        <f>IF(A355="","",IF(M355=0,"",M355))</f>
        <v/>
      </c>
      <c r="P355" s="461">
        <f>IF(A355="","",IF(O355="",0,IF(ISNUMBER(O355),O355,0)))</f>
        <v/>
      </c>
      <c r="Q355" s="48">
        <f>IF(A355="","",IF(Exogena_RAW!$C$4="","BLOQUEADO: FALTA AÑO",IF(Exogena_RAW!$K$10&lt;&gt;Reglas!$B$5,"BLOQUEADO: AÑO",IF(IF(K355&lt;&gt;"",K355,J355)="",IF(S355&gt;1,"REQUIERE ASIGNACIÓN MANUAL (VARIAS CASILLAS)","INFORMATIVO (sin casilla — no se declara)"),IF(COUNTIFS(Reglas!$I$5:$I$118,IF(K355&lt;&gt;"",K355,J355),Reglas!$J$5:$J$118,"Sí")=0,"BLOQUEADO: CASILLA NO DIRECTA",IF(O355="","EXCLUIDO (valor borrado por el usuario)",IF(_xlfn.ISFORMULA(O355),IF(W355&lt;&gt;"","BORRADOR — VALOR SUGERIDO DIAN ⚠ VER ALERTA","BORRADOR — VALOR SUGERIDO DIAN"),IF(W355&lt;&gt;"","ACEPTADO ⚠ VER ALERTA","ACEPTADO"))))))))</f>
        <v/>
      </c>
      <c r="R355" s="218" t="n"/>
      <c r="S355" s="58">
        <f>IF(A355="","",IFERROR(--ISNUMBER(SEARCH("R28",G355)),0)+IFERROR(--ISNUMBER(SEARCH("R29",G355)),0)+IFERROR(--ISNUMBER(SEARCH("R30",G355)),0)+IFERROR(--ISNUMBER(SEARCH("R31",G355)),0)+IFERROR(--ISNUMBER(SEARCH("R32",G355)),0)+IFERROR(--ISNUMBER(SEARCH("R33",G355)),0)+IFERROR(--ISNUMBER(SEARCH("R34",G355)),0)+IFERROR(--ISNUMBER(SEARCH("R35",G355)),0)+IFERROR(--ISNUMBER(SEARCH("R36",G355)),0)+IFERROR(--ISNUMBER(SEARCH("R37",G355)),0)+IFERROR(--ISNUMBER(SEARCH("R38",G355)),0)+IFERROR(--ISNUMBER(SEARCH("R39",G355)),0)+IFERROR(--ISNUMBER(SEARCH("R40",G355)),0)+IFERROR(--ISNUMBER(SEARCH("R41",G355)),0)+IFERROR(--ISNUMBER(SEARCH("R42",G355)),0)+IFERROR(--ISNUMBER(SEARCH("R43",G355)),0)+IFERROR(--ISNUMBER(SEARCH("R44",G355)),0)+IFERROR(--ISNUMBER(SEARCH("R45",G355)),0)+IFERROR(--ISNUMBER(SEARCH("R46",G355)),0)+IFERROR(--ISNUMBER(SEARCH("R47",G355)),0)+IFERROR(--ISNUMBER(SEARCH("R48",G355)),0)+IFERROR(--ISNUMBER(SEARCH("R49",G355)),0)+IFERROR(--ISNUMBER(SEARCH("R50",G355)),0)+IFERROR(--ISNUMBER(SEARCH("R51",G355)),0)+IFERROR(--ISNUMBER(SEARCH("R52",G355)),0)+IFERROR(--ISNUMBER(SEARCH("R53",G355)),0)+IFERROR(--ISNUMBER(SEARCH("R54",G355)),0)+IFERROR(--ISNUMBER(SEARCH("R55",G355)),0)+IFERROR(--ISNUMBER(SEARCH("R56",G355)),0)+IFERROR(--ISNUMBER(SEARCH("R57",G355)),0)+IFERROR(--ISNUMBER(SEARCH("R58",G355)),0)+IFERROR(--ISNUMBER(SEARCH("R59",G355)),0)+IFERROR(--ISNUMBER(SEARCH("R60",G355)),0)+IFERROR(--ISNUMBER(SEARCH("R61",G355)),0)+IFERROR(--ISNUMBER(SEARCH("R62",G355)),0)+IFERROR(--ISNUMBER(SEARCH("R63",G355)),0)+IFERROR(--ISNUMBER(SEARCH("R64",G355)),0)+IFERROR(--ISNUMBER(SEARCH("R65",G355)),0)+IFERROR(--ISNUMBER(SEARCH("R66",G355)),0)+IFERROR(--ISNUMBER(SEARCH("R67",G355)),0)+IFERROR(--ISNUMBER(SEARCH("R68",G355)),0)+IFERROR(--ISNUMBER(SEARCH("R69",G355)),0)+IFERROR(--ISNUMBER(SEARCH("R70",G355)),0)+IFERROR(--ISNUMBER(SEARCH("R71",G355)),0)+IFERROR(--ISNUMBER(SEARCH("R72",G355)),0)+IFERROR(--ISNUMBER(SEARCH("R73",G355)),0)+IFERROR(--ISNUMBER(SEARCH("R74",G355)),0)+IFERROR(--ISNUMBER(SEARCH("R75",G355)),0)+IFERROR(--ISNUMBER(SEARCH("R76",G355)),0)+IFERROR(--ISNUMBER(SEARCH("R77",G355)),0)+IFERROR(--ISNUMBER(SEARCH("R78",G355)),0)+IFERROR(--ISNUMBER(SEARCH("R79",G355)),0)+IFERROR(--ISNUMBER(SEARCH("R80",G355)),0)+IFERROR(--ISNUMBER(SEARCH("R81",G355)),0)+IFERROR(--ISNUMBER(SEARCH("R82",G355)),0)+IFERROR(--ISNUMBER(SEARCH("R83",G355)),0)+IFERROR(--ISNUMBER(SEARCH("R84",G355)),0)+IFERROR(--ISNUMBER(SEARCH("R85",G355)),0)+IFERROR(--ISNUMBER(SEARCH("R86",G355)),0)+IFERROR(--ISNUMBER(SEARCH("R87",G355)),0)+IFERROR(--ISNUMBER(SEARCH("R88",G355)),0)+IFERROR(--ISNUMBER(SEARCH("R89",G355)),0)+IFERROR(--ISNUMBER(SEARCH("R90",G355)),0)+IFERROR(--ISNUMBER(SEARCH("R91",G355)),0)+IFERROR(--ISNUMBER(SEARCH("R92",G355)),0)+IFERROR(--ISNUMBER(SEARCH("R93",G355)),0)+IFERROR(--ISNUMBER(SEARCH("R94",G355)),0)+IFERROR(--ISNUMBER(SEARCH("R95",G355)),0)+IFERROR(--ISNUMBER(SEARCH("R96",G355)),0)+IFERROR(--ISNUMBER(SEARCH("R97",G355)),0)+IFERROR(--ISNUMBER(SEARCH("R98",G355)),0)+IFERROR(--ISNUMBER(SEARCH("R99",G355)),0)+IFERROR(--ISNUMBER(SEARCH("R100",G355)),0)+IFERROR(--ISNUMBER(SEARCH("R101",G355)),0)+IFERROR(--ISNUMBER(SEARCH("R102",G355)),0)+IFERROR(--ISNUMBER(SEARCH("R103",G355)),0)+IFERROR(--ISNUMBER(SEARCH("R104",G355)),0)+IFERROR(--ISNUMBER(SEARCH("R105",G355)),0)+IFERROR(--ISNUMBER(SEARCH("R106",G355)),0)+IFERROR(--ISNUMBER(SEARCH("R107",G355)),0)+IFERROR(--ISNUMBER(SEARCH("R108",G355)),0)+IFERROR(--ISNUMBER(SEARCH("R109",G355)),0)+IFERROR(--ISNUMBER(SEARCH("R110",G355)),0)+IFERROR(--ISNUMBER(SEARCH("R111",G355)),0)+IFERROR(--ISNUMBER(SEARCH("R112",G355)),0)+IFERROR(--ISNUMBER(SEARCH("R113",G355)),0)+IFERROR(--ISNUMBER(SEARCH("R114",G355)),0)+IFERROR(--ISNUMBER(SEARCH("R115",G355)),0)+IFERROR(--ISNUMBER(SEARCH("R116",G355)),0)+IFERROR(--ISNUMBER(SEARCH("R117",G355)),0)+IFERROR(--ISNUMBER(SEARCH("R118",G355)),0)+IFERROR(--ISNUMBER(SEARCH("R119",G355)),0)+IFERROR(--ISNUMBER(SEARCH("R120",G355)),0)+IFERROR(--ISNUMBER(SEARCH("R121",G355)),0)+IFERROR(--ISNUMBER(SEARCH("R122",G355)),0)+IFERROR(--ISNUMBER(SEARCH("R123",G355)),0)+IFERROR(--ISNUMBER(SEARCH("R124",G355)),0)+IFERROR(--ISNUMBER(SEARCH("R125",G355)),0)+IFERROR(--ISNUMBER(SEARCH("R126",G355)),0)+IFERROR(--ISNUMBER(SEARCH("R127",G355)),0)+IFERROR(--ISNUMBER(SEARCH("R128",G355)),0)+IFERROR(--ISNUMBER(SEARCH("R129",G355)),0)+IFERROR(--ISNUMBER(SEARCH("R130",G355)),0)+IFERROR(--ISNUMBER(SEARCH("R131",G355)),0)+IFERROR(--ISNUMBER(SEARCH("R132",G355)),0)+IFERROR(--ISNUMBER(SEARCH("R133",G355)),0)+IFERROR(--ISNUMBER(SEARCH("R134",G355)),0)+IFERROR(--ISNUMBER(SEARCH("R135",G355)),0)+IFERROR(--ISNUMBER(SEARCH("R136",G355)),0)+IFERROR(--ISNUMBER(SEARCH("R137",G355)),0)+IFERROR(--ISNUMBER(SEARCH("R138",G355)),0)+IFERROR(--ISNUMBER(SEARCH("R139",G355)),0)+IFERROR(--ISNUMBER(SEARCH("R140",G355)),0)+IFERROR(--ISNUMBER(SEARCH("R141",G355)),0))</f>
        <v/>
      </c>
      <c r="T355" s="58">
        <f>IF(A355="","",IFERROR(--ISNUMBER(SEARCH("R28",G355)),0)+IFERROR(--ISNUMBER(SEARCH("R29",G355)),0)+IFERROR(--ISNUMBER(SEARCH("R30",G355)),0)+IFERROR(--ISNUMBER(SEARCH("R32",G355)),0)+IFERROR(--ISNUMBER(SEARCH("R33",G355)),0)+IFERROR(--ISNUMBER(SEARCH("R35",G355)),0)+IFERROR(--ISNUMBER(SEARCH("R36",G355)),0)+IFERROR(--ISNUMBER(SEARCH("R38",G355)),0)+IFERROR(--ISNUMBER(SEARCH("R39",G355)),0)+IFERROR(--ISNUMBER(SEARCH("R43",G355)),0)+IFERROR(--ISNUMBER(SEARCH("R44",G355)),0)+IFERROR(--ISNUMBER(SEARCH("R45",G355)),0)+IFERROR(--ISNUMBER(SEARCH("R47",G355)),0)+IFERROR(--ISNUMBER(SEARCH("R48",G355)),0)+IFERROR(--ISNUMBER(SEARCH("R50",G355)),0)+IFERROR(--ISNUMBER(SEARCH("R51",G355)),0)+IFERROR(--ISNUMBER(SEARCH("R56",G355)),0)+IFERROR(--ISNUMBER(SEARCH("R58",G355)),0)+IFERROR(--ISNUMBER(SEARCH("R59",G355)),0)+IFERROR(--ISNUMBER(SEARCH("R60",G355)),0)+IFERROR(--ISNUMBER(SEARCH("R62",G355)),0)+IFERROR(--ISNUMBER(SEARCH("R63",G355)),0)+IFERROR(--ISNUMBER(SEARCH("R64",G355)),0)+IFERROR(--ISNUMBER(SEARCH("R66",G355)),0)+IFERROR(--ISNUMBER(SEARCH("R67",G355)),0)+IFERROR(--ISNUMBER(SEARCH("R72",G355)),0)+IFERROR(--ISNUMBER(SEARCH("R74",G355)),0)+IFERROR(--ISNUMBER(SEARCH("R75",G355)),0)+IFERROR(--ISNUMBER(SEARCH("R76",G355)),0)+IFERROR(--ISNUMBER(SEARCH("R77",G355)),0)+IFERROR(--ISNUMBER(SEARCH("R79",G355)),0)+IFERROR(--ISNUMBER(SEARCH("R80",G355)),0)+IFERROR(--ISNUMBER(SEARCH("R81",G355)),0)+IFERROR(--ISNUMBER(SEARCH("R83",G355)),0)+IFERROR(--ISNUMBER(SEARCH("R84",G355)),0)+IFERROR(--ISNUMBER(SEARCH("R89",G355)),0)+IFERROR(--ISNUMBER(SEARCH("R94",G355)),0)+IFERROR(--ISNUMBER(SEARCH("R95",G355)),0)+IFERROR(--ISNUMBER(SEARCH("R96",G355)),0)+IFERROR(--ISNUMBER(SEARCH("R98",G355)),0)+IFERROR(--ISNUMBER(SEARCH("R99",G355)),0)+IFERROR(--ISNUMBER(SEARCH("R100",G355)),0)+IFERROR(--ISNUMBER(SEARCH("R104",G355)),0)+IFERROR(--ISNUMBER(SEARCH("R105",G355)),0)+IFERROR(--ISNUMBER(SEARCH("R107",G355)),0)+IFERROR(--ISNUMBER(SEARCH("R108",G355)),0)+IFERROR(--ISNUMBER(SEARCH("R109",G355)),0)+IFERROR(--ISNUMBER(SEARCH("R110",G355)),0)+IFERROR(--ISNUMBER(SEARCH("R112",G355)),0)+IFERROR(--ISNUMBER(SEARCH("R113",G355)),0)+IFERROR(--ISNUMBER(SEARCH("R114",G355)),0)+IFERROR(--ISNUMBER(SEARCH("R118",G355)),0)+IFERROR(--ISNUMBER(SEARCH("R119",G355)),0)+IFERROR(--ISNUMBER(SEARCH("R120",G355)),0)+IFERROR(--ISNUMBER(SEARCH("R122",G355)),0)+IFERROR(--ISNUMBER(SEARCH("R123",G355)),0)+IFERROR(--ISNUMBER(SEARCH("R124",G355)),0)+IFERROR(--ISNUMBER(SEARCH("R128",G355)),0)+IFERROR(--ISNUMBER(SEARCH("R130",G355)),0)+IFERROR(--ISNUMBER(SEARCH("R131",G355)),0)+IFERROR(--ISNUMBER(SEARCH("R132",G355)),0)+IFERROR(--ISNUMBER(SEARCH("R135",G355)),0)+IFERROR(--ISNUMBER(SEARCH("R138",G355)),0)+IFERROR(--ISNUMBER(SEARCH("R141",G355)),0))</f>
        <v/>
      </c>
      <c r="U355" s="58">
        <f>IF(A355="","",IFERROR(--ISNUMBER(SEARCH("R28",G355))*28,0)+IFERROR(--ISNUMBER(SEARCH("R29",G355))*29,0)+IFERROR(--ISNUMBER(SEARCH("R30",G355))*30,0)+IFERROR(--ISNUMBER(SEARCH("R31",G355))*31,0)+IFERROR(--ISNUMBER(SEARCH("R32",G355))*32,0)+IFERROR(--ISNUMBER(SEARCH("R33",G355))*33,0)+IFERROR(--ISNUMBER(SEARCH("R34",G355))*34,0)+IFERROR(--ISNUMBER(SEARCH("R35",G355))*35,0)+IFERROR(--ISNUMBER(SEARCH("R36",G355))*36,0)+IFERROR(--ISNUMBER(SEARCH("R37",G355))*37,0)+IFERROR(--ISNUMBER(SEARCH("R38",G355))*38,0)+IFERROR(--ISNUMBER(SEARCH("R39",G355))*39,0)+IFERROR(--ISNUMBER(SEARCH("R40",G355))*40,0)+IFERROR(--ISNUMBER(SEARCH("R41",G355))*41,0)+IFERROR(--ISNUMBER(SEARCH("R42",G355))*42,0)+IFERROR(--ISNUMBER(SEARCH("R43",G355))*43,0)+IFERROR(--ISNUMBER(SEARCH("R44",G355))*44,0)+IFERROR(--ISNUMBER(SEARCH("R45",G355))*45,0)+IFERROR(--ISNUMBER(SEARCH("R46",G355))*46,0)+IFERROR(--ISNUMBER(SEARCH("R47",G355))*47,0)+IFERROR(--ISNUMBER(SEARCH("R48",G355))*48,0)+IFERROR(--ISNUMBER(SEARCH("R49",G355))*49,0)+IFERROR(--ISNUMBER(SEARCH("R50",G355))*50,0)+IFERROR(--ISNUMBER(SEARCH("R51",G355))*51,0)+IFERROR(--ISNUMBER(SEARCH("R52",G355))*52,0)+IFERROR(--ISNUMBER(SEARCH("R53",G355))*53,0)+IFERROR(--ISNUMBER(SEARCH("R54",G355))*54,0)+IFERROR(--ISNUMBER(SEARCH("R55",G355))*55,0)+IFERROR(--ISNUMBER(SEARCH("R56",G355))*56,0)+IFERROR(--ISNUMBER(SEARCH("R57",G355))*57,0)+IFERROR(--ISNUMBER(SEARCH("R58",G355))*58,0)+IFERROR(--ISNUMBER(SEARCH("R59",G355))*59,0)+IFERROR(--ISNUMBER(SEARCH("R60",G355))*60,0)+IFERROR(--ISNUMBER(SEARCH("R61",G355))*61,0)+IFERROR(--ISNUMBER(SEARCH("R62",G355))*62,0)+IFERROR(--ISNUMBER(SEARCH("R63",G355))*63,0)+IFERROR(--ISNUMBER(SEARCH("R64",G355))*64,0)+IFERROR(--ISNUMBER(SEARCH("R65",G355))*65,0)+IFERROR(--ISNUMBER(SEARCH("R66",G355))*66,0)+IFERROR(--ISNUMBER(SEARCH("R67",G355))*67,0)+IFERROR(--ISNUMBER(SEARCH("R68",G355))*68,0)+IFERROR(--ISNUMBER(SEARCH("R69",G355))*69,0)+IFERROR(--ISNUMBER(SEARCH("R70",G355))*70,0)+IFERROR(--ISNUMBER(SEARCH("R71",G355))*71,0)+IFERROR(--ISNUMBER(SEARCH("R72",G355))*72,0)+IFERROR(--ISNUMBER(SEARCH("R73",G355))*73,0)+IFERROR(--ISNUMBER(SEARCH("R74",G355))*74,0)+IFERROR(--ISNUMBER(SEARCH("R75",G355))*75,0)+IFERROR(--ISNUMBER(SEARCH("R76",G355))*76,0)+IFERROR(--ISNUMBER(SEARCH("R77",G355))*77,0)+IFERROR(--ISNUMBER(SEARCH("R78",G355))*78,0)+IFERROR(--ISNUMBER(SEARCH("R79",G355))*79,0)+IFERROR(--ISNUMBER(SEARCH("R80",G355))*80,0)+IFERROR(--ISNUMBER(SEARCH("R81",G355))*81,0)+IFERROR(--ISNUMBER(SEARCH("R82",G355))*82,0)+IFERROR(--ISNUMBER(SEARCH("R83",G355))*83,0)+IFERROR(--ISNUMBER(SEARCH("R84",G355))*84,0)+IFERROR(--ISNUMBER(SEARCH("R85",G355))*85,0)+IFERROR(--ISNUMBER(SEARCH("R86",G355))*86,0)+IFERROR(--ISNUMBER(SEARCH("R87",G355))*87,0)+IFERROR(--ISNUMBER(SEARCH("R88",G355))*88,0)+IFERROR(--ISNUMBER(SEARCH("R89",G355))*89,0)+IFERROR(--ISNUMBER(SEARCH("R90",G355))*90,0)+IFERROR(--ISNUMBER(SEARCH("R91",G355))*91,0)+IFERROR(--ISNUMBER(SEARCH("R92",G355))*92,0)+IFERROR(--ISNUMBER(SEARCH("R93",G355))*93,0)+IFERROR(--ISNUMBER(SEARCH("R94",G355))*94,0)+IFERROR(--ISNUMBER(SEARCH("R95",G355))*95,0)+IFERROR(--ISNUMBER(SEARCH("R96",G355))*96,0)+IFERROR(--ISNUMBER(SEARCH("R97",G355))*97,0)+IFERROR(--ISNUMBER(SEARCH("R98",G355))*98,0)+IFERROR(--ISNUMBER(SEARCH("R99",G355))*99,0)+IFERROR(--ISNUMBER(SEARCH("R100",G355))*100,0)+IFERROR(--ISNUMBER(SEARCH("R101",G355))*101,0)+IFERROR(--ISNUMBER(SEARCH("R102",G355))*102,0)+IFERROR(--ISNUMBER(SEARCH("R103",G355))*103,0)+IFERROR(--ISNUMBER(SEARCH("R104",G355))*104,0)+IFERROR(--ISNUMBER(SEARCH("R105",G355))*105,0)+IFERROR(--ISNUMBER(SEARCH("R106",G355))*106,0)+IFERROR(--ISNUMBER(SEARCH("R107",G355))*107,0)+IFERROR(--ISNUMBER(SEARCH("R108",G355))*108,0)+IFERROR(--ISNUMBER(SEARCH("R109",G355))*109,0)+IFERROR(--ISNUMBER(SEARCH("R110",G355))*110,0)+IFERROR(--ISNUMBER(SEARCH("R111",G355))*111,0)+IFERROR(--ISNUMBER(SEARCH("R112",G355))*112,0)+IFERROR(--ISNUMBER(SEARCH("R113",G355))*113,0)+IFERROR(--ISNUMBER(SEARCH("R114",G355))*114,0)+IFERROR(--ISNUMBER(SEARCH("R115",G355))*115,0)+IFERROR(--ISNUMBER(SEARCH("R116",G355))*116,0)+IFERROR(--ISNUMBER(SEARCH("R117",G355))*117,0)+IFERROR(--ISNUMBER(SEARCH("R118",G355))*118,0)+IFERROR(--ISNUMBER(SEARCH("R119",G355))*119,0)+IFERROR(--ISNUMBER(SEARCH("R120",G355))*120,0)+IFERROR(--ISNUMBER(SEARCH("R121",G355))*121,0)+IFERROR(--ISNUMBER(SEARCH("R122",G355))*122,0)+IFERROR(--ISNUMBER(SEARCH("R123",G355))*123,0)+IFERROR(--ISNUMBER(SEARCH("R124",G355))*124,0)+IFERROR(--ISNUMBER(SEARCH("R125",G355))*125,0)+IFERROR(--ISNUMBER(SEARCH("R126",G355))*126,0)+IFERROR(--ISNUMBER(SEARCH("R127",G355))*127,0)+IFERROR(--ISNUMBER(SEARCH("R128",G355))*128,0)+IFERROR(--ISNUMBER(SEARCH("R129",G355))*129,0)+IFERROR(--ISNUMBER(SEARCH("R130",G355))*130,0)+IFERROR(--ISNUMBER(SEARCH("R131",G355))*131,0)+IFERROR(--ISNUMBER(SEARCH("R132",G355))*132,0)+IFERROR(--ISNUMBER(SEARCH("R133",G355))*133,0)+IFERROR(--ISNUMBER(SEARCH("R134",G355))*134,0)+IFERROR(--ISNUMBER(SEARCH("R135",G355))*135,0)+IFERROR(--ISNUMBER(SEARCH("R136",G355))*136,0)+IFERROR(--ISNUMBER(SEARCH("R137",G355))*137,0)+IFERROR(--ISNUMBER(SEARCH("R138",G355))*138,0)+IFERROR(--ISNUMBER(SEARCH("R139",G355))*139,0)+IFERROR(--ISNUMBER(SEARCH("R140",G355))*140,0)+IFERROR(--ISNUMBER(SEARCH("R141",G355))*141,0))</f>
        <v/>
      </c>
      <c r="V355" s="59">
        <f>IF(A355="","",IF(K355&lt;&gt;"",K355,J355))</f>
        <v/>
      </c>
      <c r="W355" s="59">
        <f>IF(A355="","",IF(AND(V355=29,O355&lt;&gt;"",COUNTIFS($V$6:$V$505,29,$F$6:$F$505,F355,$C$6:$C$505,C355,$O$6:$O$505,"&lt;&gt;")&gt;1),IF(COUNTIFS($V$6:V355,29,$F$6:F355,F355,$C$6:C355,C355,$O$6:O355,"&lt;&gt;")=1,"Esta es la fila que se debe CONSERVAR (aparición 1 de "&amp;COUNTIFS($V$6:$V$505,29,$F$6:$F$505,F355,$C$6:$C$505,C355,$O$6:$O$505,"&lt;&gt;")&amp;" con el mismo tercero y valor, casilla 29). Si hay más filas iguales, bórreles el valor a ELLAS, no a esta.","DUPLICADO — ya existe otra fila con el mismo tercero y valor para casilla 29 (aparición "&amp;COUNTIFS($V$6:V355,29,$F$6:F355,F355,$C$6:C355,C355,$O$6:O355,"&lt;&gt;")&amp;" de "&amp;COUNTIFS($V$6:$V$505,29,$F$6:$F$505,F355,$C$6:$C$505,C355,$O$6:$O$505,"&lt;&gt;")&amp;"). Para resolverlo: seleccione la celda O"&amp;ROW()&amp;" (columna Valor a declarar de ESTA fila) y presione Supr."),""))</f>
        <v/>
      </c>
      <c r="X355" s="463">
        <f>IF(A355="","",F355)</f>
        <v/>
      </c>
      <c r="Y355" s="463">
        <f>IF(A355="","",SUMIF(Entrada_Manual!$I$88:$I$187,A355,Entrada_Manual!$F$88:$F$187))</f>
        <v/>
      </c>
      <c r="Z355" s="463">
        <f>IF(A355="","",X355-Y355)</f>
        <v/>
      </c>
      <c r="AA355">
        <f>IF(A355="","",SUMPRODUCT((Entrada_Manual!$I$88:$I$187=A355)*1))</f>
        <v/>
      </c>
      <c r="AB355">
        <f>IF(A355="","",IF(S355&lt;=1,"",IF(AA355=0,"PENDIENTE — SIN ASIGNAR",IF(Z355=0,"RESUELTO","PARCIAL — DIFERENCIA "&amp;TEXT(Z355,"#,##0")))))</f>
        <v/>
      </c>
    </row>
    <row r="356" ht="14.25" customHeight="1" s="235">
      <c r="A356" s="47">
        <f>IF(Exogena_RAW!E365&lt;&gt;"",ROW()-5,"")</f>
        <v/>
      </c>
      <c r="B356" s="48">
        <f>IF(A356="","",365)</f>
        <v/>
      </c>
      <c r="C356" s="48">
        <f>IF(A356="","",IFERROR(Exogena_RAW!A365,""))</f>
        <v/>
      </c>
      <c r="D356" s="48">
        <f>IF(A356="","",IFERROR(Exogena_RAW!B365,""))</f>
        <v/>
      </c>
      <c r="E356" s="48">
        <f>IF(A356="","",Exogena_RAW!E365)</f>
        <v/>
      </c>
      <c r="F356" s="461">
        <f>IF(A356="","",Exogena_RAW!F365)</f>
        <v/>
      </c>
      <c r="G356" s="48">
        <f>IF(A356="","",IFERROR(Exogena_RAW!G365,""))</f>
        <v/>
      </c>
      <c r="H356" s="48">
        <f>IF(A356="","",IFERROR(Exogena_RAW!H365,""))</f>
        <v/>
      </c>
      <c r="I356" s="48">
        <f>IF(A356="","",IFERROR(IF(S356&gt;1,"VARIAS CASILLAS",IF(S356=1,IF(T356=1,"PROPUESTA DE CASILLA","REVISIÓN: CASILLA NO DIRECTA"),IF(OR(ISNUMBER(SEARCH("TOPE",UPPER(E356))),ISNUMBER(SEARCH("TOPE",UPPER(G356)))),"SOLO CONTROL",IF(ISNUMBER(SEARCH("RETEN",UPPER(E356))),"RETENCIÓN","REVISAR")))),"REVISAR"))</f>
        <v/>
      </c>
      <c r="J356" s="48">
        <f>IF(A356="","",IF(ISNUMBER(SEARCH("ingreso laboral promedio de los últimos seis meses",E356)),"",IFERROR(IF(AND(S356=1,T356=1),U356,""),"")))</f>
        <v/>
      </c>
      <c r="K356" s="216" t="n"/>
      <c r="L356" s="48">
        <f>IF(A356="","",IFERROR(IF(K356&lt;&gt;"","Casilla elegida por usuario",IF(S356&gt;1,"Varias casillas — elegir en K",IF(J356&lt;&gt;"","Sugerencia directa",IF(S356=1,"No trasladar directo — revisar",IF(OR(ISNUMBER(SEARCH("TOPE",UPPER(E356))),ISNUMBER(SEARCH("TOPE",UPPER(G356)))),"Solo control","Revisar manualmente"))))),"Revisar manualmente"))</f>
        <v/>
      </c>
      <c r="M356" s="461">
        <f>IF(A356="","",IF(IF(K356&lt;&gt;"",K356,J356)="",0,IF(COUNTIFS(Reglas!$I$5:$I$118,IF(K356&lt;&gt;"",K356,J356),Reglas!$J$5:$J$118,"Sí")=1,F356,0)))</f>
        <v/>
      </c>
      <c r="N356" s="56" t="n"/>
      <c r="O356" s="462">
        <f>IF(A356="","",IF(M356=0,"",M356))</f>
        <v/>
      </c>
      <c r="P356" s="461">
        <f>IF(A356="","",IF(O356="",0,IF(ISNUMBER(O356),O356,0)))</f>
        <v/>
      </c>
      <c r="Q356" s="48">
        <f>IF(A356="","",IF(Exogena_RAW!$C$4="","BLOQUEADO: FALTA AÑO",IF(Exogena_RAW!$K$10&lt;&gt;Reglas!$B$5,"BLOQUEADO: AÑO",IF(IF(K356&lt;&gt;"",K356,J356)="",IF(S356&gt;1,"REQUIERE ASIGNACIÓN MANUAL (VARIAS CASILLAS)","INFORMATIVO (sin casilla — no se declara)"),IF(COUNTIFS(Reglas!$I$5:$I$118,IF(K356&lt;&gt;"",K356,J356),Reglas!$J$5:$J$118,"Sí")=0,"BLOQUEADO: CASILLA NO DIRECTA",IF(O356="","EXCLUIDO (valor borrado por el usuario)",IF(_xlfn.ISFORMULA(O356),IF(W356&lt;&gt;"","BORRADOR — VALOR SUGERIDO DIAN ⚠ VER ALERTA","BORRADOR — VALOR SUGERIDO DIAN"),IF(W356&lt;&gt;"","ACEPTADO ⚠ VER ALERTA","ACEPTADO"))))))))</f>
        <v/>
      </c>
      <c r="R356" s="218" t="n"/>
      <c r="S356" s="58">
        <f>IF(A356="","",IFERROR(--ISNUMBER(SEARCH("R28",G356)),0)+IFERROR(--ISNUMBER(SEARCH("R29",G356)),0)+IFERROR(--ISNUMBER(SEARCH("R30",G356)),0)+IFERROR(--ISNUMBER(SEARCH("R31",G356)),0)+IFERROR(--ISNUMBER(SEARCH("R32",G356)),0)+IFERROR(--ISNUMBER(SEARCH("R33",G356)),0)+IFERROR(--ISNUMBER(SEARCH("R34",G356)),0)+IFERROR(--ISNUMBER(SEARCH("R35",G356)),0)+IFERROR(--ISNUMBER(SEARCH("R36",G356)),0)+IFERROR(--ISNUMBER(SEARCH("R37",G356)),0)+IFERROR(--ISNUMBER(SEARCH("R38",G356)),0)+IFERROR(--ISNUMBER(SEARCH("R39",G356)),0)+IFERROR(--ISNUMBER(SEARCH("R40",G356)),0)+IFERROR(--ISNUMBER(SEARCH("R41",G356)),0)+IFERROR(--ISNUMBER(SEARCH("R42",G356)),0)+IFERROR(--ISNUMBER(SEARCH("R43",G356)),0)+IFERROR(--ISNUMBER(SEARCH("R44",G356)),0)+IFERROR(--ISNUMBER(SEARCH("R45",G356)),0)+IFERROR(--ISNUMBER(SEARCH("R46",G356)),0)+IFERROR(--ISNUMBER(SEARCH("R47",G356)),0)+IFERROR(--ISNUMBER(SEARCH("R48",G356)),0)+IFERROR(--ISNUMBER(SEARCH("R49",G356)),0)+IFERROR(--ISNUMBER(SEARCH("R50",G356)),0)+IFERROR(--ISNUMBER(SEARCH("R51",G356)),0)+IFERROR(--ISNUMBER(SEARCH("R52",G356)),0)+IFERROR(--ISNUMBER(SEARCH("R53",G356)),0)+IFERROR(--ISNUMBER(SEARCH("R54",G356)),0)+IFERROR(--ISNUMBER(SEARCH("R55",G356)),0)+IFERROR(--ISNUMBER(SEARCH("R56",G356)),0)+IFERROR(--ISNUMBER(SEARCH("R57",G356)),0)+IFERROR(--ISNUMBER(SEARCH("R58",G356)),0)+IFERROR(--ISNUMBER(SEARCH("R59",G356)),0)+IFERROR(--ISNUMBER(SEARCH("R60",G356)),0)+IFERROR(--ISNUMBER(SEARCH("R61",G356)),0)+IFERROR(--ISNUMBER(SEARCH("R62",G356)),0)+IFERROR(--ISNUMBER(SEARCH("R63",G356)),0)+IFERROR(--ISNUMBER(SEARCH("R64",G356)),0)+IFERROR(--ISNUMBER(SEARCH("R65",G356)),0)+IFERROR(--ISNUMBER(SEARCH("R66",G356)),0)+IFERROR(--ISNUMBER(SEARCH("R67",G356)),0)+IFERROR(--ISNUMBER(SEARCH("R68",G356)),0)+IFERROR(--ISNUMBER(SEARCH("R69",G356)),0)+IFERROR(--ISNUMBER(SEARCH("R70",G356)),0)+IFERROR(--ISNUMBER(SEARCH("R71",G356)),0)+IFERROR(--ISNUMBER(SEARCH("R72",G356)),0)+IFERROR(--ISNUMBER(SEARCH("R73",G356)),0)+IFERROR(--ISNUMBER(SEARCH("R74",G356)),0)+IFERROR(--ISNUMBER(SEARCH("R75",G356)),0)+IFERROR(--ISNUMBER(SEARCH("R76",G356)),0)+IFERROR(--ISNUMBER(SEARCH("R77",G356)),0)+IFERROR(--ISNUMBER(SEARCH("R78",G356)),0)+IFERROR(--ISNUMBER(SEARCH("R79",G356)),0)+IFERROR(--ISNUMBER(SEARCH("R80",G356)),0)+IFERROR(--ISNUMBER(SEARCH("R81",G356)),0)+IFERROR(--ISNUMBER(SEARCH("R82",G356)),0)+IFERROR(--ISNUMBER(SEARCH("R83",G356)),0)+IFERROR(--ISNUMBER(SEARCH("R84",G356)),0)+IFERROR(--ISNUMBER(SEARCH("R85",G356)),0)+IFERROR(--ISNUMBER(SEARCH("R86",G356)),0)+IFERROR(--ISNUMBER(SEARCH("R87",G356)),0)+IFERROR(--ISNUMBER(SEARCH("R88",G356)),0)+IFERROR(--ISNUMBER(SEARCH("R89",G356)),0)+IFERROR(--ISNUMBER(SEARCH("R90",G356)),0)+IFERROR(--ISNUMBER(SEARCH("R91",G356)),0)+IFERROR(--ISNUMBER(SEARCH("R92",G356)),0)+IFERROR(--ISNUMBER(SEARCH("R93",G356)),0)+IFERROR(--ISNUMBER(SEARCH("R94",G356)),0)+IFERROR(--ISNUMBER(SEARCH("R95",G356)),0)+IFERROR(--ISNUMBER(SEARCH("R96",G356)),0)+IFERROR(--ISNUMBER(SEARCH("R97",G356)),0)+IFERROR(--ISNUMBER(SEARCH("R98",G356)),0)+IFERROR(--ISNUMBER(SEARCH("R99",G356)),0)+IFERROR(--ISNUMBER(SEARCH("R100",G356)),0)+IFERROR(--ISNUMBER(SEARCH("R101",G356)),0)+IFERROR(--ISNUMBER(SEARCH("R102",G356)),0)+IFERROR(--ISNUMBER(SEARCH("R103",G356)),0)+IFERROR(--ISNUMBER(SEARCH("R104",G356)),0)+IFERROR(--ISNUMBER(SEARCH("R105",G356)),0)+IFERROR(--ISNUMBER(SEARCH("R106",G356)),0)+IFERROR(--ISNUMBER(SEARCH("R107",G356)),0)+IFERROR(--ISNUMBER(SEARCH("R108",G356)),0)+IFERROR(--ISNUMBER(SEARCH("R109",G356)),0)+IFERROR(--ISNUMBER(SEARCH("R110",G356)),0)+IFERROR(--ISNUMBER(SEARCH("R111",G356)),0)+IFERROR(--ISNUMBER(SEARCH("R112",G356)),0)+IFERROR(--ISNUMBER(SEARCH("R113",G356)),0)+IFERROR(--ISNUMBER(SEARCH("R114",G356)),0)+IFERROR(--ISNUMBER(SEARCH("R115",G356)),0)+IFERROR(--ISNUMBER(SEARCH("R116",G356)),0)+IFERROR(--ISNUMBER(SEARCH("R117",G356)),0)+IFERROR(--ISNUMBER(SEARCH("R118",G356)),0)+IFERROR(--ISNUMBER(SEARCH("R119",G356)),0)+IFERROR(--ISNUMBER(SEARCH("R120",G356)),0)+IFERROR(--ISNUMBER(SEARCH("R121",G356)),0)+IFERROR(--ISNUMBER(SEARCH("R122",G356)),0)+IFERROR(--ISNUMBER(SEARCH("R123",G356)),0)+IFERROR(--ISNUMBER(SEARCH("R124",G356)),0)+IFERROR(--ISNUMBER(SEARCH("R125",G356)),0)+IFERROR(--ISNUMBER(SEARCH("R126",G356)),0)+IFERROR(--ISNUMBER(SEARCH("R127",G356)),0)+IFERROR(--ISNUMBER(SEARCH("R128",G356)),0)+IFERROR(--ISNUMBER(SEARCH("R129",G356)),0)+IFERROR(--ISNUMBER(SEARCH("R130",G356)),0)+IFERROR(--ISNUMBER(SEARCH("R131",G356)),0)+IFERROR(--ISNUMBER(SEARCH("R132",G356)),0)+IFERROR(--ISNUMBER(SEARCH("R133",G356)),0)+IFERROR(--ISNUMBER(SEARCH("R134",G356)),0)+IFERROR(--ISNUMBER(SEARCH("R135",G356)),0)+IFERROR(--ISNUMBER(SEARCH("R136",G356)),0)+IFERROR(--ISNUMBER(SEARCH("R137",G356)),0)+IFERROR(--ISNUMBER(SEARCH("R138",G356)),0)+IFERROR(--ISNUMBER(SEARCH("R139",G356)),0)+IFERROR(--ISNUMBER(SEARCH("R140",G356)),0)+IFERROR(--ISNUMBER(SEARCH("R141",G356)),0))</f>
        <v/>
      </c>
      <c r="T356" s="58">
        <f>IF(A356="","",IFERROR(--ISNUMBER(SEARCH("R28",G356)),0)+IFERROR(--ISNUMBER(SEARCH("R29",G356)),0)+IFERROR(--ISNUMBER(SEARCH("R30",G356)),0)+IFERROR(--ISNUMBER(SEARCH("R32",G356)),0)+IFERROR(--ISNUMBER(SEARCH("R33",G356)),0)+IFERROR(--ISNUMBER(SEARCH("R35",G356)),0)+IFERROR(--ISNUMBER(SEARCH("R36",G356)),0)+IFERROR(--ISNUMBER(SEARCH("R38",G356)),0)+IFERROR(--ISNUMBER(SEARCH("R39",G356)),0)+IFERROR(--ISNUMBER(SEARCH("R43",G356)),0)+IFERROR(--ISNUMBER(SEARCH("R44",G356)),0)+IFERROR(--ISNUMBER(SEARCH("R45",G356)),0)+IFERROR(--ISNUMBER(SEARCH("R47",G356)),0)+IFERROR(--ISNUMBER(SEARCH("R48",G356)),0)+IFERROR(--ISNUMBER(SEARCH("R50",G356)),0)+IFERROR(--ISNUMBER(SEARCH("R51",G356)),0)+IFERROR(--ISNUMBER(SEARCH("R56",G356)),0)+IFERROR(--ISNUMBER(SEARCH("R58",G356)),0)+IFERROR(--ISNUMBER(SEARCH("R59",G356)),0)+IFERROR(--ISNUMBER(SEARCH("R60",G356)),0)+IFERROR(--ISNUMBER(SEARCH("R62",G356)),0)+IFERROR(--ISNUMBER(SEARCH("R63",G356)),0)+IFERROR(--ISNUMBER(SEARCH("R64",G356)),0)+IFERROR(--ISNUMBER(SEARCH("R66",G356)),0)+IFERROR(--ISNUMBER(SEARCH("R67",G356)),0)+IFERROR(--ISNUMBER(SEARCH("R72",G356)),0)+IFERROR(--ISNUMBER(SEARCH("R74",G356)),0)+IFERROR(--ISNUMBER(SEARCH("R75",G356)),0)+IFERROR(--ISNUMBER(SEARCH("R76",G356)),0)+IFERROR(--ISNUMBER(SEARCH("R77",G356)),0)+IFERROR(--ISNUMBER(SEARCH("R79",G356)),0)+IFERROR(--ISNUMBER(SEARCH("R80",G356)),0)+IFERROR(--ISNUMBER(SEARCH("R81",G356)),0)+IFERROR(--ISNUMBER(SEARCH("R83",G356)),0)+IFERROR(--ISNUMBER(SEARCH("R84",G356)),0)+IFERROR(--ISNUMBER(SEARCH("R89",G356)),0)+IFERROR(--ISNUMBER(SEARCH("R94",G356)),0)+IFERROR(--ISNUMBER(SEARCH("R95",G356)),0)+IFERROR(--ISNUMBER(SEARCH("R96",G356)),0)+IFERROR(--ISNUMBER(SEARCH("R98",G356)),0)+IFERROR(--ISNUMBER(SEARCH("R99",G356)),0)+IFERROR(--ISNUMBER(SEARCH("R100",G356)),0)+IFERROR(--ISNUMBER(SEARCH("R104",G356)),0)+IFERROR(--ISNUMBER(SEARCH("R105",G356)),0)+IFERROR(--ISNUMBER(SEARCH("R107",G356)),0)+IFERROR(--ISNUMBER(SEARCH("R108",G356)),0)+IFERROR(--ISNUMBER(SEARCH("R109",G356)),0)+IFERROR(--ISNUMBER(SEARCH("R110",G356)),0)+IFERROR(--ISNUMBER(SEARCH("R112",G356)),0)+IFERROR(--ISNUMBER(SEARCH("R113",G356)),0)+IFERROR(--ISNUMBER(SEARCH("R114",G356)),0)+IFERROR(--ISNUMBER(SEARCH("R118",G356)),0)+IFERROR(--ISNUMBER(SEARCH("R119",G356)),0)+IFERROR(--ISNUMBER(SEARCH("R120",G356)),0)+IFERROR(--ISNUMBER(SEARCH("R122",G356)),0)+IFERROR(--ISNUMBER(SEARCH("R123",G356)),0)+IFERROR(--ISNUMBER(SEARCH("R124",G356)),0)+IFERROR(--ISNUMBER(SEARCH("R128",G356)),0)+IFERROR(--ISNUMBER(SEARCH("R130",G356)),0)+IFERROR(--ISNUMBER(SEARCH("R131",G356)),0)+IFERROR(--ISNUMBER(SEARCH("R132",G356)),0)+IFERROR(--ISNUMBER(SEARCH("R135",G356)),0)+IFERROR(--ISNUMBER(SEARCH("R138",G356)),0)+IFERROR(--ISNUMBER(SEARCH("R141",G356)),0))</f>
        <v/>
      </c>
      <c r="U356" s="58">
        <f>IF(A356="","",IFERROR(--ISNUMBER(SEARCH("R28",G356))*28,0)+IFERROR(--ISNUMBER(SEARCH("R29",G356))*29,0)+IFERROR(--ISNUMBER(SEARCH("R30",G356))*30,0)+IFERROR(--ISNUMBER(SEARCH("R31",G356))*31,0)+IFERROR(--ISNUMBER(SEARCH("R32",G356))*32,0)+IFERROR(--ISNUMBER(SEARCH("R33",G356))*33,0)+IFERROR(--ISNUMBER(SEARCH("R34",G356))*34,0)+IFERROR(--ISNUMBER(SEARCH("R35",G356))*35,0)+IFERROR(--ISNUMBER(SEARCH("R36",G356))*36,0)+IFERROR(--ISNUMBER(SEARCH("R37",G356))*37,0)+IFERROR(--ISNUMBER(SEARCH("R38",G356))*38,0)+IFERROR(--ISNUMBER(SEARCH("R39",G356))*39,0)+IFERROR(--ISNUMBER(SEARCH("R40",G356))*40,0)+IFERROR(--ISNUMBER(SEARCH("R41",G356))*41,0)+IFERROR(--ISNUMBER(SEARCH("R42",G356))*42,0)+IFERROR(--ISNUMBER(SEARCH("R43",G356))*43,0)+IFERROR(--ISNUMBER(SEARCH("R44",G356))*44,0)+IFERROR(--ISNUMBER(SEARCH("R45",G356))*45,0)+IFERROR(--ISNUMBER(SEARCH("R46",G356))*46,0)+IFERROR(--ISNUMBER(SEARCH("R47",G356))*47,0)+IFERROR(--ISNUMBER(SEARCH("R48",G356))*48,0)+IFERROR(--ISNUMBER(SEARCH("R49",G356))*49,0)+IFERROR(--ISNUMBER(SEARCH("R50",G356))*50,0)+IFERROR(--ISNUMBER(SEARCH("R51",G356))*51,0)+IFERROR(--ISNUMBER(SEARCH("R52",G356))*52,0)+IFERROR(--ISNUMBER(SEARCH("R53",G356))*53,0)+IFERROR(--ISNUMBER(SEARCH("R54",G356))*54,0)+IFERROR(--ISNUMBER(SEARCH("R55",G356))*55,0)+IFERROR(--ISNUMBER(SEARCH("R56",G356))*56,0)+IFERROR(--ISNUMBER(SEARCH("R57",G356))*57,0)+IFERROR(--ISNUMBER(SEARCH("R58",G356))*58,0)+IFERROR(--ISNUMBER(SEARCH("R59",G356))*59,0)+IFERROR(--ISNUMBER(SEARCH("R60",G356))*60,0)+IFERROR(--ISNUMBER(SEARCH("R61",G356))*61,0)+IFERROR(--ISNUMBER(SEARCH("R62",G356))*62,0)+IFERROR(--ISNUMBER(SEARCH("R63",G356))*63,0)+IFERROR(--ISNUMBER(SEARCH("R64",G356))*64,0)+IFERROR(--ISNUMBER(SEARCH("R65",G356))*65,0)+IFERROR(--ISNUMBER(SEARCH("R66",G356))*66,0)+IFERROR(--ISNUMBER(SEARCH("R67",G356))*67,0)+IFERROR(--ISNUMBER(SEARCH("R68",G356))*68,0)+IFERROR(--ISNUMBER(SEARCH("R69",G356))*69,0)+IFERROR(--ISNUMBER(SEARCH("R70",G356))*70,0)+IFERROR(--ISNUMBER(SEARCH("R71",G356))*71,0)+IFERROR(--ISNUMBER(SEARCH("R72",G356))*72,0)+IFERROR(--ISNUMBER(SEARCH("R73",G356))*73,0)+IFERROR(--ISNUMBER(SEARCH("R74",G356))*74,0)+IFERROR(--ISNUMBER(SEARCH("R75",G356))*75,0)+IFERROR(--ISNUMBER(SEARCH("R76",G356))*76,0)+IFERROR(--ISNUMBER(SEARCH("R77",G356))*77,0)+IFERROR(--ISNUMBER(SEARCH("R78",G356))*78,0)+IFERROR(--ISNUMBER(SEARCH("R79",G356))*79,0)+IFERROR(--ISNUMBER(SEARCH("R80",G356))*80,0)+IFERROR(--ISNUMBER(SEARCH("R81",G356))*81,0)+IFERROR(--ISNUMBER(SEARCH("R82",G356))*82,0)+IFERROR(--ISNUMBER(SEARCH("R83",G356))*83,0)+IFERROR(--ISNUMBER(SEARCH("R84",G356))*84,0)+IFERROR(--ISNUMBER(SEARCH("R85",G356))*85,0)+IFERROR(--ISNUMBER(SEARCH("R86",G356))*86,0)+IFERROR(--ISNUMBER(SEARCH("R87",G356))*87,0)+IFERROR(--ISNUMBER(SEARCH("R88",G356))*88,0)+IFERROR(--ISNUMBER(SEARCH("R89",G356))*89,0)+IFERROR(--ISNUMBER(SEARCH("R90",G356))*90,0)+IFERROR(--ISNUMBER(SEARCH("R91",G356))*91,0)+IFERROR(--ISNUMBER(SEARCH("R92",G356))*92,0)+IFERROR(--ISNUMBER(SEARCH("R93",G356))*93,0)+IFERROR(--ISNUMBER(SEARCH("R94",G356))*94,0)+IFERROR(--ISNUMBER(SEARCH("R95",G356))*95,0)+IFERROR(--ISNUMBER(SEARCH("R96",G356))*96,0)+IFERROR(--ISNUMBER(SEARCH("R97",G356))*97,0)+IFERROR(--ISNUMBER(SEARCH("R98",G356))*98,0)+IFERROR(--ISNUMBER(SEARCH("R99",G356))*99,0)+IFERROR(--ISNUMBER(SEARCH("R100",G356))*100,0)+IFERROR(--ISNUMBER(SEARCH("R101",G356))*101,0)+IFERROR(--ISNUMBER(SEARCH("R102",G356))*102,0)+IFERROR(--ISNUMBER(SEARCH("R103",G356))*103,0)+IFERROR(--ISNUMBER(SEARCH("R104",G356))*104,0)+IFERROR(--ISNUMBER(SEARCH("R105",G356))*105,0)+IFERROR(--ISNUMBER(SEARCH("R106",G356))*106,0)+IFERROR(--ISNUMBER(SEARCH("R107",G356))*107,0)+IFERROR(--ISNUMBER(SEARCH("R108",G356))*108,0)+IFERROR(--ISNUMBER(SEARCH("R109",G356))*109,0)+IFERROR(--ISNUMBER(SEARCH("R110",G356))*110,0)+IFERROR(--ISNUMBER(SEARCH("R111",G356))*111,0)+IFERROR(--ISNUMBER(SEARCH("R112",G356))*112,0)+IFERROR(--ISNUMBER(SEARCH("R113",G356))*113,0)+IFERROR(--ISNUMBER(SEARCH("R114",G356))*114,0)+IFERROR(--ISNUMBER(SEARCH("R115",G356))*115,0)+IFERROR(--ISNUMBER(SEARCH("R116",G356))*116,0)+IFERROR(--ISNUMBER(SEARCH("R117",G356))*117,0)+IFERROR(--ISNUMBER(SEARCH("R118",G356))*118,0)+IFERROR(--ISNUMBER(SEARCH("R119",G356))*119,0)+IFERROR(--ISNUMBER(SEARCH("R120",G356))*120,0)+IFERROR(--ISNUMBER(SEARCH("R121",G356))*121,0)+IFERROR(--ISNUMBER(SEARCH("R122",G356))*122,0)+IFERROR(--ISNUMBER(SEARCH("R123",G356))*123,0)+IFERROR(--ISNUMBER(SEARCH("R124",G356))*124,0)+IFERROR(--ISNUMBER(SEARCH("R125",G356))*125,0)+IFERROR(--ISNUMBER(SEARCH("R126",G356))*126,0)+IFERROR(--ISNUMBER(SEARCH("R127",G356))*127,0)+IFERROR(--ISNUMBER(SEARCH("R128",G356))*128,0)+IFERROR(--ISNUMBER(SEARCH("R129",G356))*129,0)+IFERROR(--ISNUMBER(SEARCH("R130",G356))*130,0)+IFERROR(--ISNUMBER(SEARCH("R131",G356))*131,0)+IFERROR(--ISNUMBER(SEARCH("R132",G356))*132,0)+IFERROR(--ISNUMBER(SEARCH("R133",G356))*133,0)+IFERROR(--ISNUMBER(SEARCH("R134",G356))*134,0)+IFERROR(--ISNUMBER(SEARCH("R135",G356))*135,0)+IFERROR(--ISNUMBER(SEARCH("R136",G356))*136,0)+IFERROR(--ISNUMBER(SEARCH("R137",G356))*137,0)+IFERROR(--ISNUMBER(SEARCH("R138",G356))*138,0)+IFERROR(--ISNUMBER(SEARCH("R139",G356))*139,0)+IFERROR(--ISNUMBER(SEARCH("R140",G356))*140,0)+IFERROR(--ISNUMBER(SEARCH("R141",G356))*141,0))</f>
        <v/>
      </c>
      <c r="V356" s="59">
        <f>IF(A356="","",IF(K356&lt;&gt;"",K356,J356))</f>
        <v/>
      </c>
      <c r="W356" s="59">
        <f>IF(A356="","",IF(AND(V356=29,O356&lt;&gt;"",COUNTIFS($V$6:$V$505,29,$F$6:$F$505,F356,$C$6:$C$505,C356,$O$6:$O$505,"&lt;&gt;")&gt;1),IF(COUNTIFS($V$6:V356,29,$F$6:F356,F356,$C$6:C356,C356,$O$6:O356,"&lt;&gt;")=1,"Esta es la fila que se debe CONSERVAR (aparición 1 de "&amp;COUNTIFS($V$6:$V$505,29,$F$6:$F$505,F356,$C$6:$C$505,C356,$O$6:$O$505,"&lt;&gt;")&amp;" con el mismo tercero y valor, casilla 29). Si hay más filas iguales, bórreles el valor a ELLAS, no a esta.","DUPLICADO — ya existe otra fila con el mismo tercero y valor para casilla 29 (aparición "&amp;COUNTIFS($V$6:V356,29,$F$6:F356,F356,$C$6:C356,C356,$O$6:O356,"&lt;&gt;")&amp;" de "&amp;COUNTIFS($V$6:$V$505,29,$F$6:$F$505,F356,$C$6:$C$505,C356,$O$6:$O$505,"&lt;&gt;")&amp;"). Para resolverlo: seleccione la celda O"&amp;ROW()&amp;" (columna Valor a declarar de ESTA fila) y presione Supr."),""))</f>
        <v/>
      </c>
      <c r="X356" s="463">
        <f>IF(A356="","",F356)</f>
        <v/>
      </c>
      <c r="Y356" s="463">
        <f>IF(A356="","",SUMIF(Entrada_Manual!$I$88:$I$187,A356,Entrada_Manual!$F$88:$F$187))</f>
        <v/>
      </c>
      <c r="Z356" s="463">
        <f>IF(A356="","",X356-Y356)</f>
        <v/>
      </c>
      <c r="AA356">
        <f>IF(A356="","",SUMPRODUCT((Entrada_Manual!$I$88:$I$187=A356)*1))</f>
        <v/>
      </c>
      <c r="AB356">
        <f>IF(A356="","",IF(S356&lt;=1,"",IF(AA356=0,"PENDIENTE — SIN ASIGNAR",IF(Z356=0,"RESUELTO","PARCIAL — DIFERENCIA "&amp;TEXT(Z356,"#,##0")))))</f>
        <v/>
      </c>
    </row>
    <row r="357" ht="14.25" customHeight="1" s="235">
      <c r="A357" s="47">
        <f>IF(Exogena_RAW!E366&lt;&gt;"",ROW()-5,"")</f>
        <v/>
      </c>
      <c r="B357" s="48">
        <f>IF(A357="","",366)</f>
        <v/>
      </c>
      <c r="C357" s="48">
        <f>IF(A357="","",IFERROR(Exogena_RAW!A366,""))</f>
        <v/>
      </c>
      <c r="D357" s="48">
        <f>IF(A357="","",IFERROR(Exogena_RAW!B366,""))</f>
        <v/>
      </c>
      <c r="E357" s="48">
        <f>IF(A357="","",Exogena_RAW!E366)</f>
        <v/>
      </c>
      <c r="F357" s="461">
        <f>IF(A357="","",Exogena_RAW!F366)</f>
        <v/>
      </c>
      <c r="G357" s="48">
        <f>IF(A357="","",IFERROR(Exogena_RAW!G366,""))</f>
        <v/>
      </c>
      <c r="H357" s="48">
        <f>IF(A357="","",IFERROR(Exogena_RAW!H366,""))</f>
        <v/>
      </c>
      <c r="I357" s="48">
        <f>IF(A357="","",IFERROR(IF(S357&gt;1,"VARIAS CASILLAS",IF(S357=1,IF(T357=1,"PROPUESTA DE CASILLA","REVISIÓN: CASILLA NO DIRECTA"),IF(OR(ISNUMBER(SEARCH("TOPE",UPPER(E357))),ISNUMBER(SEARCH("TOPE",UPPER(G357)))),"SOLO CONTROL",IF(ISNUMBER(SEARCH("RETEN",UPPER(E357))),"RETENCIÓN","REVISAR")))),"REVISAR"))</f>
        <v/>
      </c>
      <c r="J357" s="48">
        <f>IF(A357="","",IF(ISNUMBER(SEARCH("ingreso laboral promedio de los últimos seis meses",E357)),"",IFERROR(IF(AND(S357=1,T357=1),U357,""),"")))</f>
        <v/>
      </c>
      <c r="K357" s="216" t="n"/>
      <c r="L357" s="48">
        <f>IF(A357="","",IFERROR(IF(K357&lt;&gt;"","Casilla elegida por usuario",IF(S357&gt;1,"Varias casillas — elegir en K",IF(J357&lt;&gt;"","Sugerencia directa",IF(S357=1,"No trasladar directo — revisar",IF(OR(ISNUMBER(SEARCH("TOPE",UPPER(E357))),ISNUMBER(SEARCH("TOPE",UPPER(G357)))),"Solo control","Revisar manualmente"))))),"Revisar manualmente"))</f>
        <v/>
      </c>
      <c r="M357" s="461">
        <f>IF(A357="","",IF(IF(K357&lt;&gt;"",K357,J357)="",0,IF(COUNTIFS(Reglas!$I$5:$I$118,IF(K357&lt;&gt;"",K357,J357),Reglas!$J$5:$J$118,"Sí")=1,F357,0)))</f>
        <v/>
      </c>
      <c r="N357" s="56" t="n"/>
      <c r="O357" s="462">
        <f>IF(A357="","",IF(M357=0,"",M357))</f>
        <v/>
      </c>
      <c r="P357" s="461">
        <f>IF(A357="","",IF(O357="",0,IF(ISNUMBER(O357),O357,0)))</f>
        <v/>
      </c>
      <c r="Q357" s="48">
        <f>IF(A357="","",IF(Exogena_RAW!$C$4="","BLOQUEADO: FALTA AÑO",IF(Exogena_RAW!$K$10&lt;&gt;Reglas!$B$5,"BLOQUEADO: AÑO",IF(IF(K357&lt;&gt;"",K357,J357)="",IF(S357&gt;1,"REQUIERE ASIGNACIÓN MANUAL (VARIAS CASILLAS)","INFORMATIVO (sin casilla — no se declara)"),IF(COUNTIFS(Reglas!$I$5:$I$118,IF(K357&lt;&gt;"",K357,J357),Reglas!$J$5:$J$118,"Sí")=0,"BLOQUEADO: CASILLA NO DIRECTA",IF(O357="","EXCLUIDO (valor borrado por el usuario)",IF(_xlfn.ISFORMULA(O357),IF(W357&lt;&gt;"","BORRADOR — VALOR SUGERIDO DIAN ⚠ VER ALERTA","BORRADOR — VALOR SUGERIDO DIAN"),IF(W357&lt;&gt;"","ACEPTADO ⚠ VER ALERTA","ACEPTADO"))))))))</f>
        <v/>
      </c>
      <c r="R357" s="218" t="n"/>
      <c r="S357" s="58">
        <f>IF(A357="","",IFERROR(--ISNUMBER(SEARCH("R28",G357)),0)+IFERROR(--ISNUMBER(SEARCH("R29",G357)),0)+IFERROR(--ISNUMBER(SEARCH("R30",G357)),0)+IFERROR(--ISNUMBER(SEARCH("R31",G357)),0)+IFERROR(--ISNUMBER(SEARCH("R32",G357)),0)+IFERROR(--ISNUMBER(SEARCH("R33",G357)),0)+IFERROR(--ISNUMBER(SEARCH("R34",G357)),0)+IFERROR(--ISNUMBER(SEARCH("R35",G357)),0)+IFERROR(--ISNUMBER(SEARCH("R36",G357)),0)+IFERROR(--ISNUMBER(SEARCH("R37",G357)),0)+IFERROR(--ISNUMBER(SEARCH("R38",G357)),0)+IFERROR(--ISNUMBER(SEARCH("R39",G357)),0)+IFERROR(--ISNUMBER(SEARCH("R40",G357)),0)+IFERROR(--ISNUMBER(SEARCH("R41",G357)),0)+IFERROR(--ISNUMBER(SEARCH("R42",G357)),0)+IFERROR(--ISNUMBER(SEARCH("R43",G357)),0)+IFERROR(--ISNUMBER(SEARCH("R44",G357)),0)+IFERROR(--ISNUMBER(SEARCH("R45",G357)),0)+IFERROR(--ISNUMBER(SEARCH("R46",G357)),0)+IFERROR(--ISNUMBER(SEARCH("R47",G357)),0)+IFERROR(--ISNUMBER(SEARCH("R48",G357)),0)+IFERROR(--ISNUMBER(SEARCH("R49",G357)),0)+IFERROR(--ISNUMBER(SEARCH("R50",G357)),0)+IFERROR(--ISNUMBER(SEARCH("R51",G357)),0)+IFERROR(--ISNUMBER(SEARCH("R52",G357)),0)+IFERROR(--ISNUMBER(SEARCH("R53",G357)),0)+IFERROR(--ISNUMBER(SEARCH("R54",G357)),0)+IFERROR(--ISNUMBER(SEARCH("R55",G357)),0)+IFERROR(--ISNUMBER(SEARCH("R56",G357)),0)+IFERROR(--ISNUMBER(SEARCH("R57",G357)),0)+IFERROR(--ISNUMBER(SEARCH("R58",G357)),0)+IFERROR(--ISNUMBER(SEARCH("R59",G357)),0)+IFERROR(--ISNUMBER(SEARCH("R60",G357)),0)+IFERROR(--ISNUMBER(SEARCH("R61",G357)),0)+IFERROR(--ISNUMBER(SEARCH("R62",G357)),0)+IFERROR(--ISNUMBER(SEARCH("R63",G357)),0)+IFERROR(--ISNUMBER(SEARCH("R64",G357)),0)+IFERROR(--ISNUMBER(SEARCH("R65",G357)),0)+IFERROR(--ISNUMBER(SEARCH("R66",G357)),0)+IFERROR(--ISNUMBER(SEARCH("R67",G357)),0)+IFERROR(--ISNUMBER(SEARCH("R68",G357)),0)+IFERROR(--ISNUMBER(SEARCH("R69",G357)),0)+IFERROR(--ISNUMBER(SEARCH("R70",G357)),0)+IFERROR(--ISNUMBER(SEARCH("R71",G357)),0)+IFERROR(--ISNUMBER(SEARCH("R72",G357)),0)+IFERROR(--ISNUMBER(SEARCH("R73",G357)),0)+IFERROR(--ISNUMBER(SEARCH("R74",G357)),0)+IFERROR(--ISNUMBER(SEARCH("R75",G357)),0)+IFERROR(--ISNUMBER(SEARCH("R76",G357)),0)+IFERROR(--ISNUMBER(SEARCH("R77",G357)),0)+IFERROR(--ISNUMBER(SEARCH("R78",G357)),0)+IFERROR(--ISNUMBER(SEARCH("R79",G357)),0)+IFERROR(--ISNUMBER(SEARCH("R80",G357)),0)+IFERROR(--ISNUMBER(SEARCH("R81",G357)),0)+IFERROR(--ISNUMBER(SEARCH("R82",G357)),0)+IFERROR(--ISNUMBER(SEARCH("R83",G357)),0)+IFERROR(--ISNUMBER(SEARCH("R84",G357)),0)+IFERROR(--ISNUMBER(SEARCH("R85",G357)),0)+IFERROR(--ISNUMBER(SEARCH("R86",G357)),0)+IFERROR(--ISNUMBER(SEARCH("R87",G357)),0)+IFERROR(--ISNUMBER(SEARCH("R88",G357)),0)+IFERROR(--ISNUMBER(SEARCH("R89",G357)),0)+IFERROR(--ISNUMBER(SEARCH("R90",G357)),0)+IFERROR(--ISNUMBER(SEARCH("R91",G357)),0)+IFERROR(--ISNUMBER(SEARCH("R92",G357)),0)+IFERROR(--ISNUMBER(SEARCH("R93",G357)),0)+IFERROR(--ISNUMBER(SEARCH("R94",G357)),0)+IFERROR(--ISNUMBER(SEARCH("R95",G357)),0)+IFERROR(--ISNUMBER(SEARCH("R96",G357)),0)+IFERROR(--ISNUMBER(SEARCH("R97",G357)),0)+IFERROR(--ISNUMBER(SEARCH("R98",G357)),0)+IFERROR(--ISNUMBER(SEARCH("R99",G357)),0)+IFERROR(--ISNUMBER(SEARCH("R100",G357)),0)+IFERROR(--ISNUMBER(SEARCH("R101",G357)),0)+IFERROR(--ISNUMBER(SEARCH("R102",G357)),0)+IFERROR(--ISNUMBER(SEARCH("R103",G357)),0)+IFERROR(--ISNUMBER(SEARCH("R104",G357)),0)+IFERROR(--ISNUMBER(SEARCH("R105",G357)),0)+IFERROR(--ISNUMBER(SEARCH("R106",G357)),0)+IFERROR(--ISNUMBER(SEARCH("R107",G357)),0)+IFERROR(--ISNUMBER(SEARCH("R108",G357)),0)+IFERROR(--ISNUMBER(SEARCH("R109",G357)),0)+IFERROR(--ISNUMBER(SEARCH("R110",G357)),0)+IFERROR(--ISNUMBER(SEARCH("R111",G357)),0)+IFERROR(--ISNUMBER(SEARCH("R112",G357)),0)+IFERROR(--ISNUMBER(SEARCH("R113",G357)),0)+IFERROR(--ISNUMBER(SEARCH("R114",G357)),0)+IFERROR(--ISNUMBER(SEARCH("R115",G357)),0)+IFERROR(--ISNUMBER(SEARCH("R116",G357)),0)+IFERROR(--ISNUMBER(SEARCH("R117",G357)),0)+IFERROR(--ISNUMBER(SEARCH("R118",G357)),0)+IFERROR(--ISNUMBER(SEARCH("R119",G357)),0)+IFERROR(--ISNUMBER(SEARCH("R120",G357)),0)+IFERROR(--ISNUMBER(SEARCH("R121",G357)),0)+IFERROR(--ISNUMBER(SEARCH("R122",G357)),0)+IFERROR(--ISNUMBER(SEARCH("R123",G357)),0)+IFERROR(--ISNUMBER(SEARCH("R124",G357)),0)+IFERROR(--ISNUMBER(SEARCH("R125",G357)),0)+IFERROR(--ISNUMBER(SEARCH("R126",G357)),0)+IFERROR(--ISNUMBER(SEARCH("R127",G357)),0)+IFERROR(--ISNUMBER(SEARCH("R128",G357)),0)+IFERROR(--ISNUMBER(SEARCH("R129",G357)),0)+IFERROR(--ISNUMBER(SEARCH("R130",G357)),0)+IFERROR(--ISNUMBER(SEARCH("R131",G357)),0)+IFERROR(--ISNUMBER(SEARCH("R132",G357)),0)+IFERROR(--ISNUMBER(SEARCH("R133",G357)),0)+IFERROR(--ISNUMBER(SEARCH("R134",G357)),0)+IFERROR(--ISNUMBER(SEARCH("R135",G357)),0)+IFERROR(--ISNUMBER(SEARCH("R136",G357)),0)+IFERROR(--ISNUMBER(SEARCH("R137",G357)),0)+IFERROR(--ISNUMBER(SEARCH("R138",G357)),0)+IFERROR(--ISNUMBER(SEARCH("R139",G357)),0)+IFERROR(--ISNUMBER(SEARCH("R140",G357)),0)+IFERROR(--ISNUMBER(SEARCH("R141",G357)),0))</f>
        <v/>
      </c>
      <c r="T357" s="58">
        <f>IF(A357="","",IFERROR(--ISNUMBER(SEARCH("R28",G357)),0)+IFERROR(--ISNUMBER(SEARCH("R29",G357)),0)+IFERROR(--ISNUMBER(SEARCH("R30",G357)),0)+IFERROR(--ISNUMBER(SEARCH("R32",G357)),0)+IFERROR(--ISNUMBER(SEARCH("R33",G357)),0)+IFERROR(--ISNUMBER(SEARCH("R35",G357)),0)+IFERROR(--ISNUMBER(SEARCH("R36",G357)),0)+IFERROR(--ISNUMBER(SEARCH("R38",G357)),0)+IFERROR(--ISNUMBER(SEARCH("R39",G357)),0)+IFERROR(--ISNUMBER(SEARCH("R43",G357)),0)+IFERROR(--ISNUMBER(SEARCH("R44",G357)),0)+IFERROR(--ISNUMBER(SEARCH("R45",G357)),0)+IFERROR(--ISNUMBER(SEARCH("R47",G357)),0)+IFERROR(--ISNUMBER(SEARCH("R48",G357)),0)+IFERROR(--ISNUMBER(SEARCH("R50",G357)),0)+IFERROR(--ISNUMBER(SEARCH("R51",G357)),0)+IFERROR(--ISNUMBER(SEARCH("R56",G357)),0)+IFERROR(--ISNUMBER(SEARCH("R58",G357)),0)+IFERROR(--ISNUMBER(SEARCH("R59",G357)),0)+IFERROR(--ISNUMBER(SEARCH("R60",G357)),0)+IFERROR(--ISNUMBER(SEARCH("R62",G357)),0)+IFERROR(--ISNUMBER(SEARCH("R63",G357)),0)+IFERROR(--ISNUMBER(SEARCH("R64",G357)),0)+IFERROR(--ISNUMBER(SEARCH("R66",G357)),0)+IFERROR(--ISNUMBER(SEARCH("R67",G357)),0)+IFERROR(--ISNUMBER(SEARCH("R72",G357)),0)+IFERROR(--ISNUMBER(SEARCH("R74",G357)),0)+IFERROR(--ISNUMBER(SEARCH("R75",G357)),0)+IFERROR(--ISNUMBER(SEARCH("R76",G357)),0)+IFERROR(--ISNUMBER(SEARCH("R77",G357)),0)+IFERROR(--ISNUMBER(SEARCH("R79",G357)),0)+IFERROR(--ISNUMBER(SEARCH("R80",G357)),0)+IFERROR(--ISNUMBER(SEARCH("R81",G357)),0)+IFERROR(--ISNUMBER(SEARCH("R83",G357)),0)+IFERROR(--ISNUMBER(SEARCH("R84",G357)),0)+IFERROR(--ISNUMBER(SEARCH("R89",G357)),0)+IFERROR(--ISNUMBER(SEARCH("R94",G357)),0)+IFERROR(--ISNUMBER(SEARCH("R95",G357)),0)+IFERROR(--ISNUMBER(SEARCH("R96",G357)),0)+IFERROR(--ISNUMBER(SEARCH("R98",G357)),0)+IFERROR(--ISNUMBER(SEARCH("R99",G357)),0)+IFERROR(--ISNUMBER(SEARCH("R100",G357)),0)+IFERROR(--ISNUMBER(SEARCH("R104",G357)),0)+IFERROR(--ISNUMBER(SEARCH("R105",G357)),0)+IFERROR(--ISNUMBER(SEARCH("R107",G357)),0)+IFERROR(--ISNUMBER(SEARCH("R108",G357)),0)+IFERROR(--ISNUMBER(SEARCH("R109",G357)),0)+IFERROR(--ISNUMBER(SEARCH("R110",G357)),0)+IFERROR(--ISNUMBER(SEARCH("R112",G357)),0)+IFERROR(--ISNUMBER(SEARCH("R113",G357)),0)+IFERROR(--ISNUMBER(SEARCH("R114",G357)),0)+IFERROR(--ISNUMBER(SEARCH("R118",G357)),0)+IFERROR(--ISNUMBER(SEARCH("R119",G357)),0)+IFERROR(--ISNUMBER(SEARCH("R120",G357)),0)+IFERROR(--ISNUMBER(SEARCH("R122",G357)),0)+IFERROR(--ISNUMBER(SEARCH("R123",G357)),0)+IFERROR(--ISNUMBER(SEARCH("R124",G357)),0)+IFERROR(--ISNUMBER(SEARCH("R128",G357)),0)+IFERROR(--ISNUMBER(SEARCH("R130",G357)),0)+IFERROR(--ISNUMBER(SEARCH("R131",G357)),0)+IFERROR(--ISNUMBER(SEARCH("R132",G357)),0)+IFERROR(--ISNUMBER(SEARCH("R135",G357)),0)+IFERROR(--ISNUMBER(SEARCH("R138",G357)),0)+IFERROR(--ISNUMBER(SEARCH("R141",G357)),0))</f>
        <v/>
      </c>
      <c r="U357" s="58">
        <f>IF(A357="","",IFERROR(--ISNUMBER(SEARCH("R28",G357))*28,0)+IFERROR(--ISNUMBER(SEARCH("R29",G357))*29,0)+IFERROR(--ISNUMBER(SEARCH("R30",G357))*30,0)+IFERROR(--ISNUMBER(SEARCH("R31",G357))*31,0)+IFERROR(--ISNUMBER(SEARCH("R32",G357))*32,0)+IFERROR(--ISNUMBER(SEARCH("R33",G357))*33,0)+IFERROR(--ISNUMBER(SEARCH("R34",G357))*34,0)+IFERROR(--ISNUMBER(SEARCH("R35",G357))*35,0)+IFERROR(--ISNUMBER(SEARCH("R36",G357))*36,0)+IFERROR(--ISNUMBER(SEARCH("R37",G357))*37,0)+IFERROR(--ISNUMBER(SEARCH("R38",G357))*38,0)+IFERROR(--ISNUMBER(SEARCH("R39",G357))*39,0)+IFERROR(--ISNUMBER(SEARCH("R40",G357))*40,0)+IFERROR(--ISNUMBER(SEARCH("R41",G357))*41,0)+IFERROR(--ISNUMBER(SEARCH("R42",G357))*42,0)+IFERROR(--ISNUMBER(SEARCH("R43",G357))*43,0)+IFERROR(--ISNUMBER(SEARCH("R44",G357))*44,0)+IFERROR(--ISNUMBER(SEARCH("R45",G357))*45,0)+IFERROR(--ISNUMBER(SEARCH("R46",G357))*46,0)+IFERROR(--ISNUMBER(SEARCH("R47",G357))*47,0)+IFERROR(--ISNUMBER(SEARCH("R48",G357))*48,0)+IFERROR(--ISNUMBER(SEARCH("R49",G357))*49,0)+IFERROR(--ISNUMBER(SEARCH("R50",G357))*50,0)+IFERROR(--ISNUMBER(SEARCH("R51",G357))*51,0)+IFERROR(--ISNUMBER(SEARCH("R52",G357))*52,0)+IFERROR(--ISNUMBER(SEARCH("R53",G357))*53,0)+IFERROR(--ISNUMBER(SEARCH("R54",G357))*54,0)+IFERROR(--ISNUMBER(SEARCH("R55",G357))*55,0)+IFERROR(--ISNUMBER(SEARCH("R56",G357))*56,0)+IFERROR(--ISNUMBER(SEARCH("R57",G357))*57,0)+IFERROR(--ISNUMBER(SEARCH("R58",G357))*58,0)+IFERROR(--ISNUMBER(SEARCH("R59",G357))*59,0)+IFERROR(--ISNUMBER(SEARCH("R60",G357))*60,0)+IFERROR(--ISNUMBER(SEARCH("R61",G357))*61,0)+IFERROR(--ISNUMBER(SEARCH("R62",G357))*62,0)+IFERROR(--ISNUMBER(SEARCH("R63",G357))*63,0)+IFERROR(--ISNUMBER(SEARCH("R64",G357))*64,0)+IFERROR(--ISNUMBER(SEARCH("R65",G357))*65,0)+IFERROR(--ISNUMBER(SEARCH("R66",G357))*66,0)+IFERROR(--ISNUMBER(SEARCH("R67",G357))*67,0)+IFERROR(--ISNUMBER(SEARCH("R68",G357))*68,0)+IFERROR(--ISNUMBER(SEARCH("R69",G357))*69,0)+IFERROR(--ISNUMBER(SEARCH("R70",G357))*70,0)+IFERROR(--ISNUMBER(SEARCH("R71",G357))*71,0)+IFERROR(--ISNUMBER(SEARCH("R72",G357))*72,0)+IFERROR(--ISNUMBER(SEARCH("R73",G357))*73,0)+IFERROR(--ISNUMBER(SEARCH("R74",G357))*74,0)+IFERROR(--ISNUMBER(SEARCH("R75",G357))*75,0)+IFERROR(--ISNUMBER(SEARCH("R76",G357))*76,0)+IFERROR(--ISNUMBER(SEARCH("R77",G357))*77,0)+IFERROR(--ISNUMBER(SEARCH("R78",G357))*78,0)+IFERROR(--ISNUMBER(SEARCH("R79",G357))*79,0)+IFERROR(--ISNUMBER(SEARCH("R80",G357))*80,0)+IFERROR(--ISNUMBER(SEARCH("R81",G357))*81,0)+IFERROR(--ISNUMBER(SEARCH("R82",G357))*82,0)+IFERROR(--ISNUMBER(SEARCH("R83",G357))*83,0)+IFERROR(--ISNUMBER(SEARCH("R84",G357))*84,0)+IFERROR(--ISNUMBER(SEARCH("R85",G357))*85,0)+IFERROR(--ISNUMBER(SEARCH("R86",G357))*86,0)+IFERROR(--ISNUMBER(SEARCH("R87",G357))*87,0)+IFERROR(--ISNUMBER(SEARCH("R88",G357))*88,0)+IFERROR(--ISNUMBER(SEARCH("R89",G357))*89,0)+IFERROR(--ISNUMBER(SEARCH("R90",G357))*90,0)+IFERROR(--ISNUMBER(SEARCH("R91",G357))*91,0)+IFERROR(--ISNUMBER(SEARCH("R92",G357))*92,0)+IFERROR(--ISNUMBER(SEARCH("R93",G357))*93,0)+IFERROR(--ISNUMBER(SEARCH("R94",G357))*94,0)+IFERROR(--ISNUMBER(SEARCH("R95",G357))*95,0)+IFERROR(--ISNUMBER(SEARCH("R96",G357))*96,0)+IFERROR(--ISNUMBER(SEARCH("R97",G357))*97,0)+IFERROR(--ISNUMBER(SEARCH("R98",G357))*98,0)+IFERROR(--ISNUMBER(SEARCH("R99",G357))*99,0)+IFERROR(--ISNUMBER(SEARCH("R100",G357))*100,0)+IFERROR(--ISNUMBER(SEARCH("R101",G357))*101,0)+IFERROR(--ISNUMBER(SEARCH("R102",G357))*102,0)+IFERROR(--ISNUMBER(SEARCH("R103",G357))*103,0)+IFERROR(--ISNUMBER(SEARCH("R104",G357))*104,0)+IFERROR(--ISNUMBER(SEARCH("R105",G357))*105,0)+IFERROR(--ISNUMBER(SEARCH("R106",G357))*106,0)+IFERROR(--ISNUMBER(SEARCH("R107",G357))*107,0)+IFERROR(--ISNUMBER(SEARCH("R108",G357))*108,0)+IFERROR(--ISNUMBER(SEARCH("R109",G357))*109,0)+IFERROR(--ISNUMBER(SEARCH("R110",G357))*110,0)+IFERROR(--ISNUMBER(SEARCH("R111",G357))*111,0)+IFERROR(--ISNUMBER(SEARCH("R112",G357))*112,0)+IFERROR(--ISNUMBER(SEARCH("R113",G357))*113,0)+IFERROR(--ISNUMBER(SEARCH("R114",G357))*114,0)+IFERROR(--ISNUMBER(SEARCH("R115",G357))*115,0)+IFERROR(--ISNUMBER(SEARCH("R116",G357))*116,0)+IFERROR(--ISNUMBER(SEARCH("R117",G357))*117,0)+IFERROR(--ISNUMBER(SEARCH("R118",G357))*118,0)+IFERROR(--ISNUMBER(SEARCH("R119",G357))*119,0)+IFERROR(--ISNUMBER(SEARCH("R120",G357))*120,0)+IFERROR(--ISNUMBER(SEARCH("R121",G357))*121,0)+IFERROR(--ISNUMBER(SEARCH("R122",G357))*122,0)+IFERROR(--ISNUMBER(SEARCH("R123",G357))*123,0)+IFERROR(--ISNUMBER(SEARCH("R124",G357))*124,0)+IFERROR(--ISNUMBER(SEARCH("R125",G357))*125,0)+IFERROR(--ISNUMBER(SEARCH("R126",G357))*126,0)+IFERROR(--ISNUMBER(SEARCH("R127",G357))*127,0)+IFERROR(--ISNUMBER(SEARCH("R128",G357))*128,0)+IFERROR(--ISNUMBER(SEARCH("R129",G357))*129,0)+IFERROR(--ISNUMBER(SEARCH("R130",G357))*130,0)+IFERROR(--ISNUMBER(SEARCH("R131",G357))*131,0)+IFERROR(--ISNUMBER(SEARCH("R132",G357))*132,0)+IFERROR(--ISNUMBER(SEARCH("R133",G357))*133,0)+IFERROR(--ISNUMBER(SEARCH("R134",G357))*134,0)+IFERROR(--ISNUMBER(SEARCH("R135",G357))*135,0)+IFERROR(--ISNUMBER(SEARCH("R136",G357))*136,0)+IFERROR(--ISNUMBER(SEARCH("R137",G357))*137,0)+IFERROR(--ISNUMBER(SEARCH("R138",G357))*138,0)+IFERROR(--ISNUMBER(SEARCH("R139",G357))*139,0)+IFERROR(--ISNUMBER(SEARCH("R140",G357))*140,0)+IFERROR(--ISNUMBER(SEARCH("R141",G357))*141,0))</f>
        <v/>
      </c>
      <c r="V357" s="59">
        <f>IF(A357="","",IF(K357&lt;&gt;"",K357,J357))</f>
        <v/>
      </c>
      <c r="W357" s="59">
        <f>IF(A357="","",IF(AND(V357=29,O357&lt;&gt;"",COUNTIFS($V$6:$V$505,29,$F$6:$F$505,F357,$C$6:$C$505,C357,$O$6:$O$505,"&lt;&gt;")&gt;1),IF(COUNTIFS($V$6:V357,29,$F$6:F357,F357,$C$6:C357,C357,$O$6:O357,"&lt;&gt;")=1,"Esta es la fila que se debe CONSERVAR (aparición 1 de "&amp;COUNTIFS($V$6:$V$505,29,$F$6:$F$505,F357,$C$6:$C$505,C357,$O$6:$O$505,"&lt;&gt;")&amp;" con el mismo tercero y valor, casilla 29). Si hay más filas iguales, bórreles el valor a ELLAS, no a esta.","DUPLICADO — ya existe otra fila con el mismo tercero y valor para casilla 29 (aparición "&amp;COUNTIFS($V$6:V357,29,$F$6:F357,F357,$C$6:C357,C357,$O$6:O357,"&lt;&gt;")&amp;" de "&amp;COUNTIFS($V$6:$V$505,29,$F$6:$F$505,F357,$C$6:$C$505,C357,$O$6:$O$505,"&lt;&gt;")&amp;"). Para resolverlo: seleccione la celda O"&amp;ROW()&amp;" (columna Valor a declarar de ESTA fila) y presione Supr."),""))</f>
        <v/>
      </c>
      <c r="X357" s="463">
        <f>IF(A357="","",F357)</f>
        <v/>
      </c>
      <c r="Y357" s="463">
        <f>IF(A357="","",SUMIF(Entrada_Manual!$I$88:$I$187,A357,Entrada_Manual!$F$88:$F$187))</f>
        <v/>
      </c>
      <c r="Z357" s="463">
        <f>IF(A357="","",X357-Y357)</f>
        <v/>
      </c>
      <c r="AA357">
        <f>IF(A357="","",SUMPRODUCT((Entrada_Manual!$I$88:$I$187=A357)*1))</f>
        <v/>
      </c>
      <c r="AB357">
        <f>IF(A357="","",IF(S357&lt;=1,"",IF(AA357=0,"PENDIENTE — SIN ASIGNAR",IF(Z357=0,"RESUELTO","PARCIAL — DIFERENCIA "&amp;TEXT(Z357,"#,##0")))))</f>
        <v/>
      </c>
    </row>
    <row r="358" ht="14.25" customHeight="1" s="235">
      <c r="A358" s="47">
        <f>IF(Exogena_RAW!E367&lt;&gt;"",ROW()-5,"")</f>
        <v/>
      </c>
      <c r="B358" s="48">
        <f>IF(A358="","",367)</f>
        <v/>
      </c>
      <c r="C358" s="48">
        <f>IF(A358="","",IFERROR(Exogena_RAW!A367,""))</f>
        <v/>
      </c>
      <c r="D358" s="48">
        <f>IF(A358="","",IFERROR(Exogena_RAW!B367,""))</f>
        <v/>
      </c>
      <c r="E358" s="48">
        <f>IF(A358="","",Exogena_RAW!E367)</f>
        <v/>
      </c>
      <c r="F358" s="461">
        <f>IF(A358="","",Exogena_RAW!F367)</f>
        <v/>
      </c>
      <c r="G358" s="48">
        <f>IF(A358="","",IFERROR(Exogena_RAW!G367,""))</f>
        <v/>
      </c>
      <c r="H358" s="48">
        <f>IF(A358="","",IFERROR(Exogena_RAW!H367,""))</f>
        <v/>
      </c>
      <c r="I358" s="48">
        <f>IF(A358="","",IFERROR(IF(S358&gt;1,"VARIAS CASILLAS",IF(S358=1,IF(T358=1,"PROPUESTA DE CASILLA","REVISIÓN: CASILLA NO DIRECTA"),IF(OR(ISNUMBER(SEARCH("TOPE",UPPER(E358))),ISNUMBER(SEARCH("TOPE",UPPER(G358)))),"SOLO CONTROL",IF(ISNUMBER(SEARCH("RETEN",UPPER(E358))),"RETENCIÓN","REVISAR")))),"REVISAR"))</f>
        <v/>
      </c>
      <c r="J358" s="48">
        <f>IF(A358="","",IF(ISNUMBER(SEARCH("ingreso laboral promedio de los últimos seis meses",E358)),"",IFERROR(IF(AND(S358=1,T358=1),U358,""),"")))</f>
        <v/>
      </c>
      <c r="K358" s="216" t="n"/>
      <c r="L358" s="48">
        <f>IF(A358="","",IFERROR(IF(K358&lt;&gt;"","Casilla elegida por usuario",IF(S358&gt;1,"Varias casillas — elegir en K",IF(J358&lt;&gt;"","Sugerencia directa",IF(S358=1,"No trasladar directo — revisar",IF(OR(ISNUMBER(SEARCH("TOPE",UPPER(E358))),ISNUMBER(SEARCH("TOPE",UPPER(G358)))),"Solo control","Revisar manualmente"))))),"Revisar manualmente"))</f>
        <v/>
      </c>
      <c r="M358" s="461">
        <f>IF(A358="","",IF(IF(K358&lt;&gt;"",K358,J358)="",0,IF(COUNTIFS(Reglas!$I$5:$I$118,IF(K358&lt;&gt;"",K358,J358),Reglas!$J$5:$J$118,"Sí")=1,F358,0)))</f>
        <v/>
      </c>
      <c r="N358" s="56" t="n"/>
      <c r="O358" s="462">
        <f>IF(A358="","",IF(M358=0,"",M358))</f>
        <v/>
      </c>
      <c r="P358" s="461">
        <f>IF(A358="","",IF(O358="",0,IF(ISNUMBER(O358),O358,0)))</f>
        <v/>
      </c>
      <c r="Q358" s="48">
        <f>IF(A358="","",IF(Exogena_RAW!$C$4="","BLOQUEADO: FALTA AÑO",IF(Exogena_RAW!$K$10&lt;&gt;Reglas!$B$5,"BLOQUEADO: AÑO",IF(IF(K358&lt;&gt;"",K358,J358)="",IF(S358&gt;1,"REQUIERE ASIGNACIÓN MANUAL (VARIAS CASILLAS)","INFORMATIVO (sin casilla — no se declara)"),IF(COUNTIFS(Reglas!$I$5:$I$118,IF(K358&lt;&gt;"",K358,J358),Reglas!$J$5:$J$118,"Sí")=0,"BLOQUEADO: CASILLA NO DIRECTA",IF(O358="","EXCLUIDO (valor borrado por el usuario)",IF(_xlfn.ISFORMULA(O358),IF(W358&lt;&gt;"","BORRADOR — VALOR SUGERIDO DIAN ⚠ VER ALERTA","BORRADOR — VALOR SUGERIDO DIAN"),IF(W358&lt;&gt;"","ACEPTADO ⚠ VER ALERTA","ACEPTADO"))))))))</f>
        <v/>
      </c>
      <c r="R358" s="218" t="n"/>
      <c r="S358" s="58">
        <f>IF(A358="","",IFERROR(--ISNUMBER(SEARCH("R28",G358)),0)+IFERROR(--ISNUMBER(SEARCH("R29",G358)),0)+IFERROR(--ISNUMBER(SEARCH("R30",G358)),0)+IFERROR(--ISNUMBER(SEARCH("R31",G358)),0)+IFERROR(--ISNUMBER(SEARCH("R32",G358)),0)+IFERROR(--ISNUMBER(SEARCH("R33",G358)),0)+IFERROR(--ISNUMBER(SEARCH("R34",G358)),0)+IFERROR(--ISNUMBER(SEARCH("R35",G358)),0)+IFERROR(--ISNUMBER(SEARCH("R36",G358)),0)+IFERROR(--ISNUMBER(SEARCH("R37",G358)),0)+IFERROR(--ISNUMBER(SEARCH("R38",G358)),0)+IFERROR(--ISNUMBER(SEARCH("R39",G358)),0)+IFERROR(--ISNUMBER(SEARCH("R40",G358)),0)+IFERROR(--ISNUMBER(SEARCH("R41",G358)),0)+IFERROR(--ISNUMBER(SEARCH("R42",G358)),0)+IFERROR(--ISNUMBER(SEARCH("R43",G358)),0)+IFERROR(--ISNUMBER(SEARCH("R44",G358)),0)+IFERROR(--ISNUMBER(SEARCH("R45",G358)),0)+IFERROR(--ISNUMBER(SEARCH("R46",G358)),0)+IFERROR(--ISNUMBER(SEARCH("R47",G358)),0)+IFERROR(--ISNUMBER(SEARCH("R48",G358)),0)+IFERROR(--ISNUMBER(SEARCH("R49",G358)),0)+IFERROR(--ISNUMBER(SEARCH("R50",G358)),0)+IFERROR(--ISNUMBER(SEARCH("R51",G358)),0)+IFERROR(--ISNUMBER(SEARCH("R52",G358)),0)+IFERROR(--ISNUMBER(SEARCH("R53",G358)),0)+IFERROR(--ISNUMBER(SEARCH("R54",G358)),0)+IFERROR(--ISNUMBER(SEARCH("R55",G358)),0)+IFERROR(--ISNUMBER(SEARCH("R56",G358)),0)+IFERROR(--ISNUMBER(SEARCH("R57",G358)),0)+IFERROR(--ISNUMBER(SEARCH("R58",G358)),0)+IFERROR(--ISNUMBER(SEARCH("R59",G358)),0)+IFERROR(--ISNUMBER(SEARCH("R60",G358)),0)+IFERROR(--ISNUMBER(SEARCH("R61",G358)),0)+IFERROR(--ISNUMBER(SEARCH("R62",G358)),0)+IFERROR(--ISNUMBER(SEARCH("R63",G358)),0)+IFERROR(--ISNUMBER(SEARCH("R64",G358)),0)+IFERROR(--ISNUMBER(SEARCH("R65",G358)),0)+IFERROR(--ISNUMBER(SEARCH("R66",G358)),0)+IFERROR(--ISNUMBER(SEARCH("R67",G358)),0)+IFERROR(--ISNUMBER(SEARCH("R68",G358)),0)+IFERROR(--ISNUMBER(SEARCH("R69",G358)),0)+IFERROR(--ISNUMBER(SEARCH("R70",G358)),0)+IFERROR(--ISNUMBER(SEARCH("R71",G358)),0)+IFERROR(--ISNUMBER(SEARCH("R72",G358)),0)+IFERROR(--ISNUMBER(SEARCH("R73",G358)),0)+IFERROR(--ISNUMBER(SEARCH("R74",G358)),0)+IFERROR(--ISNUMBER(SEARCH("R75",G358)),0)+IFERROR(--ISNUMBER(SEARCH("R76",G358)),0)+IFERROR(--ISNUMBER(SEARCH("R77",G358)),0)+IFERROR(--ISNUMBER(SEARCH("R78",G358)),0)+IFERROR(--ISNUMBER(SEARCH("R79",G358)),0)+IFERROR(--ISNUMBER(SEARCH("R80",G358)),0)+IFERROR(--ISNUMBER(SEARCH("R81",G358)),0)+IFERROR(--ISNUMBER(SEARCH("R82",G358)),0)+IFERROR(--ISNUMBER(SEARCH("R83",G358)),0)+IFERROR(--ISNUMBER(SEARCH("R84",G358)),0)+IFERROR(--ISNUMBER(SEARCH("R85",G358)),0)+IFERROR(--ISNUMBER(SEARCH("R86",G358)),0)+IFERROR(--ISNUMBER(SEARCH("R87",G358)),0)+IFERROR(--ISNUMBER(SEARCH("R88",G358)),0)+IFERROR(--ISNUMBER(SEARCH("R89",G358)),0)+IFERROR(--ISNUMBER(SEARCH("R90",G358)),0)+IFERROR(--ISNUMBER(SEARCH("R91",G358)),0)+IFERROR(--ISNUMBER(SEARCH("R92",G358)),0)+IFERROR(--ISNUMBER(SEARCH("R93",G358)),0)+IFERROR(--ISNUMBER(SEARCH("R94",G358)),0)+IFERROR(--ISNUMBER(SEARCH("R95",G358)),0)+IFERROR(--ISNUMBER(SEARCH("R96",G358)),0)+IFERROR(--ISNUMBER(SEARCH("R97",G358)),0)+IFERROR(--ISNUMBER(SEARCH("R98",G358)),0)+IFERROR(--ISNUMBER(SEARCH("R99",G358)),0)+IFERROR(--ISNUMBER(SEARCH("R100",G358)),0)+IFERROR(--ISNUMBER(SEARCH("R101",G358)),0)+IFERROR(--ISNUMBER(SEARCH("R102",G358)),0)+IFERROR(--ISNUMBER(SEARCH("R103",G358)),0)+IFERROR(--ISNUMBER(SEARCH("R104",G358)),0)+IFERROR(--ISNUMBER(SEARCH("R105",G358)),0)+IFERROR(--ISNUMBER(SEARCH("R106",G358)),0)+IFERROR(--ISNUMBER(SEARCH("R107",G358)),0)+IFERROR(--ISNUMBER(SEARCH("R108",G358)),0)+IFERROR(--ISNUMBER(SEARCH("R109",G358)),0)+IFERROR(--ISNUMBER(SEARCH("R110",G358)),0)+IFERROR(--ISNUMBER(SEARCH("R111",G358)),0)+IFERROR(--ISNUMBER(SEARCH("R112",G358)),0)+IFERROR(--ISNUMBER(SEARCH("R113",G358)),0)+IFERROR(--ISNUMBER(SEARCH("R114",G358)),0)+IFERROR(--ISNUMBER(SEARCH("R115",G358)),0)+IFERROR(--ISNUMBER(SEARCH("R116",G358)),0)+IFERROR(--ISNUMBER(SEARCH("R117",G358)),0)+IFERROR(--ISNUMBER(SEARCH("R118",G358)),0)+IFERROR(--ISNUMBER(SEARCH("R119",G358)),0)+IFERROR(--ISNUMBER(SEARCH("R120",G358)),0)+IFERROR(--ISNUMBER(SEARCH("R121",G358)),0)+IFERROR(--ISNUMBER(SEARCH("R122",G358)),0)+IFERROR(--ISNUMBER(SEARCH("R123",G358)),0)+IFERROR(--ISNUMBER(SEARCH("R124",G358)),0)+IFERROR(--ISNUMBER(SEARCH("R125",G358)),0)+IFERROR(--ISNUMBER(SEARCH("R126",G358)),0)+IFERROR(--ISNUMBER(SEARCH("R127",G358)),0)+IFERROR(--ISNUMBER(SEARCH("R128",G358)),0)+IFERROR(--ISNUMBER(SEARCH("R129",G358)),0)+IFERROR(--ISNUMBER(SEARCH("R130",G358)),0)+IFERROR(--ISNUMBER(SEARCH("R131",G358)),0)+IFERROR(--ISNUMBER(SEARCH("R132",G358)),0)+IFERROR(--ISNUMBER(SEARCH("R133",G358)),0)+IFERROR(--ISNUMBER(SEARCH("R134",G358)),0)+IFERROR(--ISNUMBER(SEARCH("R135",G358)),0)+IFERROR(--ISNUMBER(SEARCH("R136",G358)),0)+IFERROR(--ISNUMBER(SEARCH("R137",G358)),0)+IFERROR(--ISNUMBER(SEARCH("R138",G358)),0)+IFERROR(--ISNUMBER(SEARCH("R139",G358)),0)+IFERROR(--ISNUMBER(SEARCH("R140",G358)),0)+IFERROR(--ISNUMBER(SEARCH("R141",G358)),0))</f>
        <v/>
      </c>
      <c r="T358" s="58">
        <f>IF(A358="","",IFERROR(--ISNUMBER(SEARCH("R28",G358)),0)+IFERROR(--ISNUMBER(SEARCH("R29",G358)),0)+IFERROR(--ISNUMBER(SEARCH("R30",G358)),0)+IFERROR(--ISNUMBER(SEARCH("R32",G358)),0)+IFERROR(--ISNUMBER(SEARCH("R33",G358)),0)+IFERROR(--ISNUMBER(SEARCH("R35",G358)),0)+IFERROR(--ISNUMBER(SEARCH("R36",G358)),0)+IFERROR(--ISNUMBER(SEARCH("R38",G358)),0)+IFERROR(--ISNUMBER(SEARCH("R39",G358)),0)+IFERROR(--ISNUMBER(SEARCH("R43",G358)),0)+IFERROR(--ISNUMBER(SEARCH("R44",G358)),0)+IFERROR(--ISNUMBER(SEARCH("R45",G358)),0)+IFERROR(--ISNUMBER(SEARCH("R47",G358)),0)+IFERROR(--ISNUMBER(SEARCH("R48",G358)),0)+IFERROR(--ISNUMBER(SEARCH("R50",G358)),0)+IFERROR(--ISNUMBER(SEARCH("R51",G358)),0)+IFERROR(--ISNUMBER(SEARCH("R56",G358)),0)+IFERROR(--ISNUMBER(SEARCH("R58",G358)),0)+IFERROR(--ISNUMBER(SEARCH("R59",G358)),0)+IFERROR(--ISNUMBER(SEARCH("R60",G358)),0)+IFERROR(--ISNUMBER(SEARCH("R62",G358)),0)+IFERROR(--ISNUMBER(SEARCH("R63",G358)),0)+IFERROR(--ISNUMBER(SEARCH("R64",G358)),0)+IFERROR(--ISNUMBER(SEARCH("R66",G358)),0)+IFERROR(--ISNUMBER(SEARCH("R67",G358)),0)+IFERROR(--ISNUMBER(SEARCH("R72",G358)),0)+IFERROR(--ISNUMBER(SEARCH("R74",G358)),0)+IFERROR(--ISNUMBER(SEARCH("R75",G358)),0)+IFERROR(--ISNUMBER(SEARCH("R76",G358)),0)+IFERROR(--ISNUMBER(SEARCH("R77",G358)),0)+IFERROR(--ISNUMBER(SEARCH("R79",G358)),0)+IFERROR(--ISNUMBER(SEARCH("R80",G358)),0)+IFERROR(--ISNUMBER(SEARCH("R81",G358)),0)+IFERROR(--ISNUMBER(SEARCH("R83",G358)),0)+IFERROR(--ISNUMBER(SEARCH("R84",G358)),0)+IFERROR(--ISNUMBER(SEARCH("R89",G358)),0)+IFERROR(--ISNUMBER(SEARCH("R94",G358)),0)+IFERROR(--ISNUMBER(SEARCH("R95",G358)),0)+IFERROR(--ISNUMBER(SEARCH("R96",G358)),0)+IFERROR(--ISNUMBER(SEARCH("R98",G358)),0)+IFERROR(--ISNUMBER(SEARCH("R99",G358)),0)+IFERROR(--ISNUMBER(SEARCH("R100",G358)),0)+IFERROR(--ISNUMBER(SEARCH("R104",G358)),0)+IFERROR(--ISNUMBER(SEARCH("R105",G358)),0)+IFERROR(--ISNUMBER(SEARCH("R107",G358)),0)+IFERROR(--ISNUMBER(SEARCH("R108",G358)),0)+IFERROR(--ISNUMBER(SEARCH("R109",G358)),0)+IFERROR(--ISNUMBER(SEARCH("R110",G358)),0)+IFERROR(--ISNUMBER(SEARCH("R112",G358)),0)+IFERROR(--ISNUMBER(SEARCH("R113",G358)),0)+IFERROR(--ISNUMBER(SEARCH("R114",G358)),0)+IFERROR(--ISNUMBER(SEARCH("R118",G358)),0)+IFERROR(--ISNUMBER(SEARCH("R119",G358)),0)+IFERROR(--ISNUMBER(SEARCH("R120",G358)),0)+IFERROR(--ISNUMBER(SEARCH("R122",G358)),0)+IFERROR(--ISNUMBER(SEARCH("R123",G358)),0)+IFERROR(--ISNUMBER(SEARCH("R124",G358)),0)+IFERROR(--ISNUMBER(SEARCH("R128",G358)),0)+IFERROR(--ISNUMBER(SEARCH("R130",G358)),0)+IFERROR(--ISNUMBER(SEARCH("R131",G358)),0)+IFERROR(--ISNUMBER(SEARCH("R132",G358)),0)+IFERROR(--ISNUMBER(SEARCH("R135",G358)),0)+IFERROR(--ISNUMBER(SEARCH("R138",G358)),0)+IFERROR(--ISNUMBER(SEARCH("R141",G358)),0))</f>
        <v/>
      </c>
      <c r="U358" s="58">
        <f>IF(A358="","",IFERROR(--ISNUMBER(SEARCH("R28",G358))*28,0)+IFERROR(--ISNUMBER(SEARCH("R29",G358))*29,0)+IFERROR(--ISNUMBER(SEARCH("R30",G358))*30,0)+IFERROR(--ISNUMBER(SEARCH("R31",G358))*31,0)+IFERROR(--ISNUMBER(SEARCH("R32",G358))*32,0)+IFERROR(--ISNUMBER(SEARCH("R33",G358))*33,0)+IFERROR(--ISNUMBER(SEARCH("R34",G358))*34,0)+IFERROR(--ISNUMBER(SEARCH("R35",G358))*35,0)+IFERROR(--ISNUMBER(SEARCH("R36",G358))*36,0)+IFERROR(--ISNUMBER(SEARCH("R37",G358))*37,0)+IFERROR(--ISNUMBER(SEARCH("R38",G358))*38,0)+IFERROR(--ISNUMBER(SEARCH("R39",G358))*39,0)+IFERROR(--ISNUMBER(SEARCH("R40",G358))*40,0)+IFERROR(--ISNUMBER(SEARCH("R41",G358))*41,0)+IFERROR(--ISNUMBER(SEARCH("R42",G358))*42,0)+IFERROR(--ISNUMBER(SEARCH("R43",G358))*43,0)+IFERROR(--ISNUMBER(SEARCH("R44",G358))*44,0)+IFERROR(--ISNUMBER(SEARCH("R45",G358))*45,0)+IFERROR(--ISNUMBER(SEARCH("R46",G358))*46,0)+IFERROR(--ISNUMBER(SEARCH("R47",G358))*47,0)+IFERROR(--ISNUMBER(SEARCH("R48",G358))*48,0)+IFERROR(--ISNUMBER(SEARCH("R49",G358))*49,0)+IFERROR(--ISNUMBER(SEARCH("R50",G358))*50,0)+IFERROR(--ISNUMBER(SEARCH("R51",G358))*51,0)+IFERROR(--ISNUMBER(SEARCH("R52",G358))*52,0)+IFERROR(--ISNUMBER(SEARCH("R53",G358))*53,0)+IFERROR(--ISNUMBER(SEARCH("R54",G358))*54,0)+IFERROR(--ISNUMBER(SEARCH("R55",G358))*55,0)+IFERROR(--ISNUMBER(SEARCH("R56",G358))*56,0)+IFERROR(--ISNUMBER(SEARCH("R57",G358))*57,0)+IFERROR(--ISNUMBER(SEARCH("R58",G358))*58,0)+IFERROR(--ISNUMBER(SEARCH("R59",G358))*59,0)+IFERROR(--ISNUMBER(SEARCH("R60",G358))*60,0)+IFERROR(--ISNUMBER(SEARCH("R61",G358))*61,0)+IFERROR(--ISNUMBER(SEARCH("R62",G358))*62,0)+IFERROR(--ISNUMBER(SEARCH("R63",G358))*63,0)+IFERROR(--ISNUMBER(SEARCH("R64",G358))*64,0)+IFERROR(--ISNUMBER(SEARCH("R65",G358))*65,0)+IFERROR(--ISNUMBER(SEARCH("R66",G358))*66,0)+IFERROR(--ISNUMBER(SEARCH("R67",G358))*67,0)+IFERROR(--ISNUMBER(SEARCH("R68",G358))*68,0)+IFERROR(--ISNUMBER(SEARCH("R69",G358))*69,0)+IFERROR(--ISNUMBER(SEARCH("R70",G358))*70,0)+IFERROR(--ISNUMBER(SEARCH("R71",G358))*71,0)+IFERROR(--ISNUMBER(SEARCH("R72",G358))*72,0)+IFERROR(--ISNUMBER(SEARCH("R73",G358))*73,0)+IFERROR(--ISNUMBER(SEARCH("R74",G358))*74,0)+IFERROR(--ISNUMBER(SEARCH("R75",G358))*75,0)+IFERROR(--ISNUMBER(SEARCH("R76",G358))*76,0)+IFERROR(--ISNUMBER(SEARCH("R77",G358))*77,0)+IFERROR(--ISNUMBER(SEARCH("R78",G358))*78,0)+IFERROR(--ISNUMBER(SEARCH("R79",G358))*79,0)+IFERROR(--ISNUMBER(SEARCH("R80",G358))*80,0)+IFERROR(--ISNUMBER(SEARCH("R81",G358))*81,0)+IFERROR(--ISNUMBER(SEARCH("R82",G358))*82,0)+IFERROR(--ISNUMBER(SEARCH("R83",G358))*83,0)+IFERROR(--ISNUMBER(SEARCH("R84",G358))*84,0)+IFERROR(--ISNUMBER(SEARCH("R85",G358))*85,0)+IFERROR(--ISNUMBER(SEARCH("R86",G358))*86,0)+IFERROR(--ISNUMBER(SEARCH("R87",G358))*87,0)+IFERROR(--ISNUMBER(SEARCH("R88",G358))*88,0)+IFERROR(--ISNUMBER(SEARCH("R89",G358))*89,0)+IFERROR(--ISNUMBER(SEARCH("R90",G358))*90,0)+IFERROR(--ISNUMBER(SEARCH("R91",G358))*91,0)+IFERROR(--ISNUMBER(SEARCH("R92",G358))*92,0)+IFERROR(--ISNUMBER(SEARCH("R93",G358))*93,0)+IFERROR(--ISNUMBER(SEARCH("R94",G358))*94,0)+IFERROR(--ISNUMBER(SEARCH("R95",G358))*95,0)+IFERROR(--ISNUMBER(SEARCH("R96",G358))*96,0)+IFERROR(--ISNUMBER(SEARCH("R97",G358))*97,0)+IFERROR(--ISNUMBER(SEARCH("R98",G358))*98,0)+IFERROR(--ISNUMBER(SEARCH("R99",G358))*99,0)+IFERROR(--ISNUMBER(SEARCH("R100",G358))*100,0)+IFERROR(--ISNUMBER(SEARCH("R101",G358))*101,0)+IFERROR(--ISNUMBER(SEARCH("R102",G358))*102,0)+IFERROR(--ISNUMBER(SEARCH("R103",G358))*103,0)+IFERROR(--ISNUMBER(SEARCH("R104",G358))*104,0)+IFERROR(--ISNUMBER(SEARCH("R105",G358))*105,0)+IFERROR(--ISNUMBER(SEARCH("R106",G358))*106,0)+IFERROR(--ISNUMBER(SEARCH("R107",G358))*107,0)+IFERROR(--ISNUMBER(SEARCH("R108",G358))*108,0)+IFERROR(--ISNUMBER(SEARCH("R109",G358))*109,0)+IFERROR(--ISNUMBER(SEARCH("R110",G358))*110,0)+IFERROR(--ISNUMBER(SEARCH("R111",G358))*111,0)+IFERROR(--ISNUMBER(SEARCH("R112",G358))*112,0)+IFERROR(--ISNUMBER(SEARCH("R113",G358))*113,0)+IFERROR(--ISNUMBER(SEARCH("R114",G358))*114,0)+IFERROR(--ISNUMBER(SEARCH("R115",G358))*115,0)+IFERROR(--ISNUMBER(SEARCH("R116",G358))*116,0)+IFERROR(--ISNUMBER(SEARCH("R117",G358))*117,0)+IFERROR(--ISNUMBER(SEARCH("R118",G358))*118,0)+IFERROR(--ISNUMBER(SEARCH("R119",G358))*119,0)+IFERROR(--ISNUMBER(SEARCH("R120",G358))*120,0)+IFERROR(--ISNUMBER(SEARCH("R121",G358))*121,0)+IFERROR(--ISNUMBER(SEARCH("R122",G358))*122,0)+IFERROR(--ISNUMBER(SEARCH("R123",G358))*123,0)+IFERROR(--ISNUMBER(SEARCH("R124",G358))*124,0)+IFERROR(--ISNUMBER(SEARCH("R125",G358))*125,0)+IFERROR(--ISNUMBER(SEARCH("R126",G358))*126,0)+IFERROR(--ISNUMBER(SEARCH("R127",G358))*127,0)+IFERROR(--ISNUMBER(SEARCH("R128",G358))*128,0)+IFERROR(--ISNUMBER(SEARCH("R129",G358))*129,0)+IFERROR(--ISNUMBER(SEARCH("R130",G358))*130,0)+IFERROR(--ISNUMBER(SEARCH("R131",G358))*131,0)+IFERROR(--ISNUMBER(SEARCH("R132",G358))*132,0)+IFERROR(--ISNUMBER(SEARCH("R133",G358))*133,0)+IFERROR(--ISNUMBER(SEARCH("R134",G358))*134,0)+IFERROR(--ISNUMBER(SEARCH("R135",G358))*135,0)+IFERROR(--ISNUMBER(SEARCH("R136",G358))*136,0)+IFERROR(--ISNUMBER(SEARCH("R137",G358))*137,0)+IFERROR(--ISNUMBER(SEARCH("R138",G358))*138,0)+IFERROR(--ISNUMBER(SEARCH("R139",G358))*139,0)+IFERROR(--ISNUMBER(SEARCH("R140",G358))*140,0)+IFERROR(--ISNUMBER(SEARCH("R141",G358))*141,0))</f>
        <v/>
      </c>
      <c r="V358" s="59">
        <f>IF(A358="","",IF(K358&lt;&gt;"",K358,J358))</f>
        <v/>
      </c>
      <c r="W358" s="59">
        <f>IF(A358="","",IF(AND(V358=29,O358&lt;&gt;"",COUNTIFS($V$6:$V$505,29,$F$6:$F$505,F358,$C$6:$C$505,C358,$O$6:$O$505,"&lt;&gt;")&gt;1),IF(COUNTIFS($V$6:V358,29,$F$6:F358,F358,$C$6:C358,C358,$O$6:O358,"&lt;&gt;")=1,"Esta es la fila que se debe CONSERVAR (aparición 1 de "&amp;COUNTIFS($V$6:$V$505,29,$F$6:$F$505,F358,$C$6:$C$505,C358,$O$6:$O$505,"&lt;&gt;")&amp;" con el mismo tercero y valor, casilla 29). Si hay más filas iguales, bórreles el valor a ELLAS, no a esta.","DUPLICADO — ya existe otra fila con el mismo tercero y valor para casilla 29 (aparición "&amp;COUNTIFS($V$6:V358,29,$F$6:F358,F358,$C$6:C358,C358,$O$6:O358,"&lt;&gt;")&amp;" de "&amp;COUNTIFS($V$6:$V$505,29,$F$6:$F$505,F358,$C$6:$C$505,C358,$O$6:$O$505,"&lt;&gt;")&amp;"). Para resolverlo: seleccione la celda O"&amp;ROW()&amp;" (columna Valor a declarar de ESTA fila) y presione Supr."),""))</f>
        <v/>
      </c>
      <c r="X358" s="463">
        <f>IF(A358="","",F358)</f>
        <v/>
      </c>
      <c r="Y358" s="463">
        <f>IF(A358="","",SUMIF(Entrada_Manual!$I$88:$I$187,A358,Entrada_Manual!$F$88:$F$187))</f>
        <v/>
      </c>
      <c r="Z358" s="463">
        <f>IF(A358="","",X358-Y358)</f>
        <v/>
      </c>
      <c r="AA358">
        <f>IF(A358="","",SUMPRODUCT((Entrada_Manual!$I$88:$I$187=A358)*1))</f>
        <v/>
      </c>
      <c r="AB358">
        <f>IF(A358="","",IF(S358&lt;=1,"",IF(AA358=0,"PENDIENTE — SIN ASIGNAR",IF(Z358=0,"RESUELTO","PARCIAL — DIFERENCIA "&amp;TEXT(Z358,"#,##0")))))</f>
        <v/>
      </c>
    </row>
    <row r="359" ht="14.25" customHeight="1" s="235">
      <c r="A359" s="47">
        <f>IF(Exogena_RAW!E368&lt;&gt;"",ROW()-5,"")</f>
        <v/>
      </c>
      <c r="B359" s="48">
        <f>IF(A359="","",368)</f>
        <v/>
      </c>
      <c r="C359" s="48">
        <f>IF(A359="","",IFERROR(Exogena_RAW!A368,""))</f>
        <v/>
      </c>
      <c r="D359" s="48">
        <f>IF(A359="","",IFERROR(Exogena_RAW!B368,""))</f>
        <v/>
      </c>
      <c r="E359" s="48">
        <f>IF(A359="","",Exogena_RAW!E368)</f>
        <v/>
      </c>
      <c r="F359" s="461">
        <f>IF(A359="","",Exogena_RAW!F368)</f>
        <v/>
      </c>
      <c r="G359" s="48">
        <f>IF(A359="","",IFERROR(Exogena_RAW!G368,""))</f>
        <v/>
      </c>
      <c r="H359" s="48">
        <f>IF(A359="","",IFERROR(Exogena_RAW!H368,""))</f>
        <v/>
      </c>
      <c r="I359" s="48">
        <f>IF(A359="","",IFERROR(IF(S359&gt;1,"VARIAS CASILLAS",IF(S359=1,IF(T359=1,"PROPUESTA DE CASILLA","REVISIÓN: CASILLA NO DIRECTA"),IF(OR(ISNUMBER(SEARCH("TOPE",UPPER(E359))),ISNUMBER(SEARCH("TOPE",UPPER(G359)))),"SOLO CONTROL",IF(ISNUMBER(SEARCH("RETEN",UPPER(E359))),"RETENCIÓN","REVISAR")))),"REVISAR"))</f>
        <v/>
      </c>
      <c r="J359" s="48">
        <f>IF(A359="","",IF(ISNUMBER(SEARCH("ingreso laboral promedio de los últimos seis meses",E359)),"",IFERROR(IF(AND(S359=1,T359=1),U359,""),"")))</f>
        <v/>
      </c>
      <c r="K359" s="216" t="n"/>
      <c r="L359" s="48">
        <f>IF(A359="","",IFERROR(IF(K359&lt;&gt;"","Casilla elegida por usuario",IF(S359&gt;1,"Varias casillas — elegir en K",IF(J359&lt;&gt;"","Sugerencia directa",IF(S359=1,"No trasladar directo — revisar",IF(OR(ISNUMBER(SEARCH("TOPE",UPPER(E359))),ISNUMBER(SEARCH("TOPE",UPPER(G359)))),"Solo control","Revisar manualmente"))))),"Revisar manualmente"))</f>
        <v/>
      </c>
      <c r="M359" s="461">
        <f>IF(A359="","",IF(IF(K359&lt;&gt;"",K359,J359)="",0,IF(COUNTIFS(Reglas!$I$5:$I$118,IF(K359&lt;&gt;"",K359,J359),Reglas!$J$5:$J$118,"Sí")=1,F359,0)))</f>
        <v/>
      </c>
      <c r="N359" s="56" t="n"/>
      <c r="O359" s="462">
        <f>IF(A359="","",IF(M359=0,"",M359))</f>
        <v/>
      </c>
      <c r="P359" s="461">
        <f>IF(A359="","",IF(O359="",0,IF(ISNUMBER(O359),O359,0)))</f>
        <v/>
      </c>
      <c r="Q359" s="48">
        <f>IF(A359="","",IF(Exogena_RAW!$C$4="","BLOQUEADO: FALTA AÑO",IF(Exogena_RAW!$K$10&lt;&gt;Reglas!$B$5,"BLOQUEADO: AÑO",IF(IF(K359&lt;&gt;"",K359,J359)="",IF(S359&gt;1,"REQUIERE ASIGNACIÓN MANUAL (VARIAS CASILLAS)","INFORMATIVO (sin casilla — no se declara)"),IF(COUNTIFS(Reglas!$I$5:$I$118,IF(K359&lt;&gt;"",K359,J359),Reglas!$J$5:$J$118,"Sí")=0,"BLOQUEADO: CASILLA NO DIRECTA",IF(O359="","EXCLUIDO (valor borrado por el usuario)",IF(_xlfn.ISFORMULA(O359),IF(W359&lt;&gt;"","BORRADOR — VALOR SUGERIDO DIAN ⚠ VER ALERTA","BORRADOR — VALOR SUGERIDO DIAN"),IF(W359&lt;&gt;"","ACEPTADO ⚠ VER ALERTA","ACEPTADO"))))))))</f>
        <v/>
      </c>
      <c r="R359" s="218" t="n"/>
      <c r="S359" s="58">
        <f>IF(A359="","",IFERROR(--ISNUMBER(SEARCH("R28",G359)),0)+IFERROR(--ISNUMBER(SEARCH("R29",G359)),0)+IFERROR(--ISNUMBER(SEARCH("R30",G359)),0)+IFERROR(--ISNUMBER(SEARCH("R31",G359)),0)+IFERROR(--ISNUMBER(SEARCH("R32",G359)),0)+IFERROR(--ISNUMBER(SEARCH("R33",G359)),0)+IFERROR(--ISNUMBER(SEARCH("R34",G359)),0)+IFERROR(--ISNUMBER(SEARCH("R35",G359)),0)+IFERROR(--ISNUMBER(SEARCH("R36",G359)),0)+IFERROR(--ISNUMBER(SEARCH("R37",G359)),0)+IFERROR(--ISNUMBER(SEARCH("R38",G359)),0)+IFERROR(--ISNUMBER(SEARCH("R39",G359)),0)+IFERROR(--ISNUMBER(SEARCH("R40",G359)),0)+IFERROR(--ISNUMBER(SEARCH("R41",G359)),0)+IFERROR(--ISNUMBER(SEARCH("R42",G359)),0)+IFERROR(--ISNUMBER(SEARCH("R43",G359)),0)+IFERROR(--ISNUMBER(SEARCH("R44",G359)),0)+IFERROR(--ISNUMBER(SEARCH("R45",G359)),0)+IFERROR(--ISNUMBER(SEARCH("R46",G359)),0)+IFERROR(--ISNUMBER(SEARCH("R47",G359)),0)+IFERROR(--ISNUMBER(SEARCH("R48",G359)),0)+IFERROR(--ISNUMBER(SEARCH("R49",G359)),0)+IFERROR(--ISNUMBER(SEARCH("R50",G359)),0)+IFERROR(--ISNUMBER(SEARCH("R51",G359)),0)+IFERROR(--ISNUMBER(SEARCH("R52",G359)),0)+IFERROR(--ISNUMBER(SEARCH("R53",G359)),0)+IFERROR(--ISNUMBER(SEARCH("R54",G359)),0)+IFERROR(--ISNUMBER(SEARCH("R55",G359)),0)+IFERROR(--ISNUMBER(SEARCH("R56",G359)),0)+IFERROR(--ISNUMBER(SEARCH("R57",G359)),0)+IFERROR(--ISNUMBER(SEARCH("R58",G359)),0)+IFERROR(--ISNUMBER(SEARCH("R59",G359)),0)+IFERROR(--ISNUMBER(SEARCH("R60",G359)),0)+IFERROR(--ISNUMBER(SEARCH("R61",G359)),0)+IFERROR(--ISNUMBER(SEARCH("R62",G359)),0)+IFERROR(--ISNUMBER(SEARCH("R63",G359)),0)+IFERROR(--ISNUMBER(SEARCH("R64",G359)),0)+IFERROR(--ISNUMBER(SEARCH("R65",G359)),0)+IFERROR(--ISNUMBER(SEARCH("R66",G359)),0)+IFERROR(--ISNUMBER(SEARCH("R67",G359)),0)+IFERROR(--ISNUMBER(SEARCH("R68",G359)),0)+IFERROR(--ISNUMBER(SEARCH("R69",G359)),0)+IFERROR(--ISNUMBER(SEARCH("R70",G359)),0)+IFERROR(--ISNUMBER(SEARCH("R71",G359)),0)+IFERROR(--ISNUMBER(SEARCH("R72",G359)),0)+IFERROR(--ISNUMBER(SEARCH("R73",G359)),0)+IFERROR(--ISNUMBER(SEARCH("R74",G359)),0)+IFERROR(--ISNUMBER(SEARCH("R75",G359)),0)+IFERROR(--ISNUMBER(SEARCH("R76",G359)),0)+IFERROR(--ISNUMBER(SEARCH("R77",G359)),0)+IFERROR(--ISNUMBER(SEARCH("R78",G359)),0)+IFERROR(--ISNUMBER(SEARCH("R79",G359)),0)+IFERROR(--ISNUMBER(SEARCH("R80",G359)),0)+IFERROR(--ISNUMBER(SEARCH("R81",G359)),0)+IFERROR(--ISNUMBER(SEARCH("R82",G359)),0)+IFERROR(--ISNUMBER(SEARCH("R83",G359)),0)+IFERROR(--ISNUMBER(SEARCH("R84",G359)),0)+IFERROR(--ISNUMBER(SEARCH("R85",G359)),0)+IFERROR(--ISNUMBER(SEARCH("R86",G359)),0)+IFERROR(--ISNUMBER(SEARCH("R87",G359)),0)+IFERROR(--ISNUMBER(SEARCH("R88",G359)),0)+IFERROR(--ISNUMBER(SEARCH("R89",G359)),0)+IFERROR(--ISNUMBER(SEARCH("R90",G359)),0)+IFERROR(--ISNUMBER(SEARCH("R91",G359)),0)+IFERROR(--ISNUMBER(SEARCH("R92",G359)),0)+IFERROR(--ISNUMBER(SEARCH("R93",G359)),0)+IFERROR(--ISNUMBER(SEARCH("R94",G359)),0)+IFERROR(--ISNUMBER(SEARCH("R95",G359)),0)+IFERROR(--ISNUMBER(SEARCH("R96",G359)),0)+IFERROR(--ISNUMBER(SEARCH("R97",G359)),0)+IFERROR(--ISNUMBER(SEARCH("R98",G359)),0)+IFERROR(--ISNUMBER(SEARCH("R99",G359)),0)+IFERROR(--ISNUMBER(SEARCH("R100",G359)),0)+IFERROR(--ISNUMBER(SEARCH("R101",G359)),0)+IFERROR(--ISNUMBER(SEARCH("R102",G359)),0)+IFERROR(--ISNUMBER(SEARCH("R103",G359)),0)+IFERROR(--ISNUMBER(SEARCH("R104",G359)),0)+IFERROR(--ISNUMBER(SEARCH("R105",G359)),0)+IFERROR(--ISNUMBER(SEARCH("R106",G359)),0)+IFERROR(--ISNUMBER(SEARCH("R107",G359)),0)+IFERROR(--ISNUMBER(SEARCH("R108",G359)),0)+IFERROR(--ISNUMBER(SEARCH("R109",G359)),0)+IFERROR(--ISNUMBER(SEARCH("R110",G359)),0)+IFERROR(--ISNUMBER(SEARCH("R111",G359)),0)+IFERROR(--ISNUMBER(SEARCH("R112",G359)),0)+IFERROR(--ISNUMBER(SEARCH("R113",G359)),0)+IFERROR(--ISNUMBER(SEARCH("R114",G359)),0)+IFERROR(--ISNUMBER(SEARCH("R115",G359)),0)+IFERROR(--ISNUMBER(SEARCH("R116",G359)),0)+IFERROR(--ISNUMBER(SEARCH("R117",G359)),0)+IFERROR(--ISNUMBER(SEARCH("R118",G359)),0)+IFERROR(--ISNUMBER(SEARCH("R119",G359)),0)+IFERROR(--ISNUMBER(SEARCH("R120",G359)),0)+IFERROR(--ISNUMBER(SEARCH("R121",G359)),0)+IFERROR(--ISNUMBER(SEARCH("R122",G359)),0)+IFERROR(--ISNUMBER(SEARCH("R123",G359)),0)+IFERROR(--ISNUMBER(SEARCH("R124",G359)),0)+IFERROR(--ISNUMBER(SEARCH("R125",G359)),0)+IFERROR(--ISNUMBER(SEARCH("R126",G359)),0)+IFERROR(--ISNUMBER(SEARCH("R127",G359)),0)+IFERROR(--ISNUMBER(SEARCH("R128",G359)),0)+IFERROR(--ISNUMBER(SEARCH("R129",G359)),0)+IFERROR(--ISNUMBER(SEARCH("R130",G359)),0)+IFERROR(--ISNUMBER(SEARCH("R131",G359)),0)+IFERROR(--ISNUMBER(SEARCH("R132",G359)),0)+IFERROR(--ISNUMBER(SEARCH("R133",G359)),0)+IFERROR(--ISNUMBER(SEARCH("R134",G359)),0)+IFERROR(--ISNUMBER(SEARCH("R135",G359)),0)+IFERROR(--ISNUMBER(SEARCH("R136",G359)),0)+IFERROR(--ISNUMBER(SEARCH("R137",G359)),0)+IFERROR(--ISNUMBER(SEARCH("R138",G359)),0)+IFERROR(--ISNUMBER(SEARCH("R139",G359)),0)+IFERROR(--ISNUMBER(SEARCH("R140",G359)),0)+IFERROR(--ISNUMBER(SEARCH("R141",G359)),0))</f>
        <v/>
      </c>
      <c r="T359" s="58">
        <f>IF(A359="","",IFERROR(--ISNUMBER(SEARCH("R28",G359)),0)+IFERROR(--ISNUMBER(SEARCH("R29",G359)),0)+IFERROR(--ISNUMBER(SEARCH("R30",G359)),0)+IFERROR(--ISNUMBER(SEARCH("R32",G359)),0)+IFERROR(--ISNUMBER(SEARCH("R33",G359)),0)+IFERROR(--ISNUMBER(SEARCH("R35",G359)),0)+IFERROR(--ISNUMBER(SEARCH("R36",G359)),0)+IFERROR(--ISNUMBER(SEARCH("R38",G359)),0)+IFERROR(--ISNUMBER(SEARCH("R39",G359)),0)+IFERROR(--ISNUMBER(SEARCH("R43",G359)),0)+IFERROR(--ISNUMBER(SEARCH("R44",G359)),0)+IFERROR(--ISNUMBER(SEARCH("R45",G359)),0)+IFERROR(--ISNUMBER(SEARCH("R47",G359)),0)+IFERROR(--ISNUMBER(SEARCH("R48",G359)),0)+IFERROR(--ISNUMBER(SEARCH("R50",G359)),0)+IFERROR(--ISNUMBER(SEARCH("R51",G359)),0)+IFERROR(--ISNUMBER(SEARCH("R56",G359)),0)+IFERROR(--ISNUMBER(SEARCH("R58",G359)),0)+IFERROR(--ISNUMBER(SEARCH("R59",G359)),0)+IFERROR(--ISNUMBER(SEARCH("R60",G359)),0)+IFERROR(--ISNUMBER(SEARCH("R62",G359)),0)+IFERROR(--ISNUMBER(SEARCH("R63",G359)),0)+IFERROR(--ISNUMBER(SEARCH("R64",G359)),0)+IFERROR(--ISNUMBER(SEARCH("R66",G359)),0)+IFERROR(--ISNUMBER(SEARCH("R67",G359)),0)+IFERROR(--ISNUMBER(SEARCH("R72",G359)),0)+IFERROR(--ISNUMBER(SEARCH("R74",G359)),0)+IFERROR(--ISNUMBER(SEARCH("R75",G359)),0)+IFERROR(--ISNUMBER(SEARCH("R76",G359)),0)+IFERROR(--ISNUMBER(SEARCH("R77",G359)),0)+IFERROR(--ISNUMBER(SEARCH("R79",G359)),0)+IFERROR(--ISNUMBER(SEARCH("R80",G359)),0)+IFERROR(--ISNUMBER(SEARCH("R81",G359)),0)+IFERROR(--ISNUMBER(SEARCH("R83",G359)),0)+IFERROR(--ISNUMBER(SEARCH("R84",G359)),0)+IFERROR(--ISNUMBER(SEARCH("R89",G359)),0)+IFERROR(--ISNUMBER(SEARCH("R94",G359)),0)+IFERROR(--ISNUMBER(SEARCH("R95",G359)),0)+IFERROR(--ISNUMBER(SEARCH("R96",G359)),0)+IFERROR(--ISNUMBER(SEARCH("R98",G359)),0)+IFERROR(--ISNUMBER(SEARCH("R99",G359)),0)+IFERROR(--ISNUMBER(SEARCH("R100",G359)),0)+IFERROR(--ISNUMBER(SEARCH("R104",G359)),0)+IFERROR(--ISNUMBER(SEARCH("R105",G359)),0)+IFERROR(--ISNUMBER(SEARCH("R107",G359)),0)+IFERROR(--ISNUMBER(SEARCH("R108",G359)),0)+IFERROR(--ISNUMBER(SEARCH("R109",G359)),0)+IFERROR(--ISNUMBER(SEARCH("R110",G359)),0)+IFERROR(--ISNUMBER(SEARCH("R112",G359)),0)+IFERROR(--ISNUMBER(SEARCH("R113",G359)),0)+IFERROR(--ISNUMBER(SEARCH("R114",G359)),0)+IFERROR(--ISNUMBER(SEARCH("R118",G359)),0)+IFERROR(--ISNUMBER(SEARCH("R119",G359)),0)+IFERROR(--ISNUMBER(SEARCH("R120",G359)),0)+IFERROR(--ISNUMBER(SEARCH("R122",G359)),0)+IFERROR(--ISNUMBER(SEARCH("R123",G359)),0)+IFERROR(--ISNUMBER(SEARCH("R124",G359)),0)+IFERROR(--ISNUMBER(SEARCH("R128",G359)),0)+IFERROR(--ISNUMBER(SEARCH("R130",G359)),0)+IFERROR(--ISNUMBER(SEARCH("R131",G359)),0)+IFERROR(--ISNUMBER(SEARCH("R132",G359)),0)+IFERROR(--ISNUMBER(SEARCH("R135",G359)),0)+IFERROR(--ISNUMBER(SEARCH("R138",G359)),0)+IFERROR(--ISNUMBER(SEARCH("R141",G359)),0))</f>
        <v/>
      </c>
      <c r="U359" s="58">
        <f>IF(A359="","",IFERROR(--ISNUMBER(SEARCH("R28",G359))*28,0)+IFERROR(--ISNUMBER(SEARCH("R29",G359))*29,0)+IFERROR(--ISNUMBER(SEARCH("R30",G359))*30,0)+IFERROR(--ISNUMBER(SEARCH("R31",G359))*31,0)+IFERROR(--ISNUMBER(SEARCH("R32",G359))*32,0)+IFERROR(--ISNUMBER(SEARCH("R33",G359))*33,0)+IFERROR(--ISNUMBER(SEARCH("R34",G359))*34,0)+IFERROR(--ISNUMBER(SEARCH("R35",G359))*35,0)+IFERROR(--ISNUMBER(SEARCH("R36",G359))*36,0)+IFERROR(--ISNUMBER(SEARCH("R37",G359))*37,0)+IFERROR(--ISNUMBER(SEARCH("R38",G359))*38,0)+IFERROR(--ISNUMBER(SEARCH("R39",G359))*39,0)+IFERROR(--ISNUMBER(SEARCH("R40",G359))*40,0)+IFERROR(--ISNUMBER(SEARCH("R41",G359))*41,0)+IFERROR(--ISNUMBER(SEARCH("R42",G359))*42,0)+IFERROR(--ISNUMBER(SEARCH("R43",G359))*43,0)+IFERROR(--ISNUMBER(SEARCH("R44",G359))*44,0)+IFERROR(--ISNUMBER(SEARCH("R45",G359))*45,0)+IFERROR(--ISNUMBER(SEARCH("R46",G359))*46,0)+IFERROR(--ISNUMBER(SEARCH("R47",G359))*47,0)+IFERROR(--ISNUMBER(SEARCH("R48",G359))*48,0)+IFERROR(--ISNUMBER(SEARCH("R49",G359))*49,0)+IFERROR(--ISNUMBER(SEARCH("R50",G359))*50,0)+IFERROR(--ISNUMBER(SEARCH("R51",G359))*51,0)+IFERROR(--ISNUMBER(SEARCH("R52",G359))*52,0)+IFERROR(--ISNUMBER(SEARCH("R53",G359))*53,0)+IFERROR(--ISNUMBER(SEARCH("R54",G359))*54,0)+IFERROR(--ISNUMBER(SEARCH("R55",G359))*55,0)+IFERROR(--ISNUMBER(SEARCH("R56",G359))*56,0)+IFERROR(--ISNUMBER(SEARCH("R57",G359))*57,0)+IFERROR(--ISNUMBER(SEARCH("R58",G359))*58,0)+IFERROR(--ISNUMBER(SEARCH("R59",G359))*59,0)+IFERROR(--ISNUMBER(SEARCH("R60",G359))*60,0)+IFERROR(--ISNUMBER(SEARCH("R61",G359))*61,0)+IFERROR(--ISNUMBER(SEARCH("R62",G359))*62,0)+IFERROR(--ISNUMBER(SEARCH("R63",G359))*63,0)+IFERROR(--ISNUMBER(SEARCH("R64",G359))*64,0)+IFERROR(--ISNUMBER(SEARCH("R65",G359))*65,0)+IFERROR(--ISNUMBER(SEARCH("R66",G359))*66,0)+IFERROR(--ISNUMBER(SEARCH("R67",G359))*67,0)+IFERROR(--ISNUMBER(SEARCH("R68",G359))*68,0)+IFERROR(--ISNUMBER(SEARCH("R69",G359))*69,0)+IFERROR(--ISNUMBER(SEARCH("R70",G359))*70,0)+IFERROR(--ISNUMBER(SEARCH("R71",G359))*71,0)+IFERROR(--ISNUMBER(SEARCH("R72",G359))*72,0)+IFERROR(--ISNUMBER(SEARCH("R73",G359))*73,0)+IFERROR(--ISNUMBER(SEARCH("R74",G359))*74,0)+IFERROR(--ISNUMBER(SEARCH("R75",G359))*75,0)+IFERROR(--ISNUMBER(SEARCH("R76",G359))*76,0)+IFERROR(--ISNUMBER(SEARCH("R77",G359))*77,0)+IFERROR(--ISNUMBER(SEARCH("R78",G359))*78,0)+IFERROR(--ISNUMBER(SEARCH("R79",G359))*79,0)+IFERROR(--ISNUMBER(SEARCH("R80",G359))*80,0)+IFERROR(--ISNUMBER(SEARCH("R81",G359))*81,0)+IFERROR(--ISNUMBER(SEARCH("R82",G359))*82,0)+IFERROR(--ISNUMBER(SEARCH("R83",G359))*83,0)+IFERROR(--ISNUMBER(SEARCH("R84",G359))*84,0)+IFERROR(--ISNUMBER(SEARCH("R85",G359))*85,0)+IFERROR(--ISNUMBER(SEARCH("R86",G359))*86,0)+IFERROR(--ISNUMBER(SEARCH("R87",G359))*87,0)+IFERROR(--ISNUMBER(SEARCH("R88",G359))*88,0)+IFERROR(--ISNUMBER(SEARCH("R89",G359))*89,0)+IFERROR(--ISNUMBER(SEARCH("R90",G359))*90,0)+IFERROR(--ISNUMBER(SEARCH("R91",G359))*91,0)+IFERROR(--ISNUMBER(SEARCH("R92",G359))*92,0)+IFERROR(--ISNUMBER(SEARCH("R93",G359))*93,0)+IFERROR(--ISNUMBER(SEARCH("R94",G359))*94,0)+IFERROR(--ISNUMBER(SEARCH("R95",G359))*95,0)+IFERROR(--ISNUMBER(SEARCH("R96",G359))*96,0)+IFERROR(--ISNUMBER(SEARCH("R97",G359))*97,0)+IFERROR(--ISNUMBER(SEARCH("R98",G359))*98,0)+IFERROR(--ISNUMBER(SEARCH("R99",G359))*99,0)+IFERROR(--ISNUMBER(SEARCH("R100",G359))*100,0)+IFERROR(--ISNUMBER(SEARCH("R101",G359))*101,0)+IFERROR(--ISNUMBER(SEARCH("R102",G359))*102,0)+IFERROR(--ISNUMBER(SEARCH("R103",G359))*103,0)+IFERROR(--ISNUMBER(SEARCH("R104",G359))*104,0)+IFERROR(--ISNUMBER(SEARCH("R105",G359))*105,0)+IFERROR(--ISNUMBER(SEARCH("R106",G359))*106,0)+IFERROR(--ISNUMBER(SEARCH("R107",G359))*107,0)+IFERROR(--ISNUMBER(SEARCH("R108",G359))*108,0)+IFERROR(--ISNUMBER(SEARCH("R109",G359))*109,0)+IFERROR(--ISNUMBER(SEARCH("R110",G359))*110,0)+IFERROR(--ISNUMBER(SEARCH("R111",G359))*111,0)+IFERROR(--ISNUMBER(SEARCH("R112",G359))*112,0)+IFERROR(--ISNUMBER(SEARCH("R113",G359))*113,0)+IFERROR(--ISNUMBER(SEARCH("R114",G359))*114,0)+IFERROR(--ISNUMBER(SEARCH("R115",G359))*115,0)+IFERROR(--ISNUMBER(SEARCH("R116",G359))*116,0)+IFERROR(--ISNUMBER(SEARCH("R117",G359))*117,0)+IFERROR(--ISNUMBER(SEARCH("R118",G359))*118,0)+IFERROR(--ISNUMBER(SEARCH("R119",G359))*119,0)+IFERROR(--ISNUMBER(SEARCH("R120",G359))*120,0)+IFERROR(--ISNUMBER(SEARCH("R121",G359))*121,0)+IFERROR(--ISNUMBER(SEARCH("R122",G359))*122,0)+IFERROR(--ISNUMBER(SEARCH("R123",G359))*123,0)+IFERROR(--ISNUMBER(SEARCH("R124",G359))*124,0)+IFERROR(--ISNUMBER(SEARCH("R125",G359))*125,0)+IFERROR(--ISNUMBER(SEARCH("R126",G359))*126,0)+IFERROR(--ISNUMBER(SEARCH("R127",G359))*127,0)+IFERROR(--ISNUMBER(SEARCH("R128",G359))*128,0)+IFERROR(--ISNUMBER(SEARCH("R129",G359))*129,0)+IFERROR(--ISNUMBER(SEARCH("R130",G359))*130,0)+IFERROR(--ISNUMBER(SEARCH("R131",G359))*131,0)+IFERROR(--ISNUMBER(SEARCH("R132",G359))*132,0)+IFERROR(--ISNUMBER(SEARCH("R133",G359))*133,0)+IFERROR(--ISNUMBER(SEARCH("R134",G359))*134,0)+IFERROR(--ISNUMBER(SEARCH("R135",G359))*135,0)+IFERROR(--ISNUMBER(SEARCH("R136",G359))*136,0)+IFERROR(--ISNUMBER(SEARCH("R137",G359))*137,0)+IFERROR(--ISNUMBER(SEARCH("R138",G359))*138,0)+IFERROR(--ISNUMBER(SEARCH("R139",G359))*139,0)+IFERROR(--ISNUMBER(SEARCH("R140",G359))*140,0)+IFERROR(--ISNUMBER(SEARCH("R141",G359))*141,0))</f>
        <v/>
      </c>
      <c r="V359" s="59">
        <f>IF(A359="","",IF(K359&lt;&gt;"",K359,J359))</f>
        <v/>
      </c>
      <c r="W359" s="59">
        <f>IF(A359="","",IF(AND(V359=29,O359&lt;&gt;"",COUNTIFS($V$6:$V$505,29,$F$6:$F$505,F359,$C$6:$C$505,C359,$O$6:$O$505,"&lt;&gt;")&gt;1),IF(COUNTIFS($V$6:V359,29,$F$6:F359,F359,$C$6:C359,C359,$O$6:O359,"&lt;&gt;")=1,"Esta es la fila que se debe CONSERVAR (aparición 1 de "&amp;COUNTIFS($V$6:$V$505,29,$F$6:$F$505,F359,$C$6:$C$505,C359,$O$6:$O$505,"&lt;&gt;")&amp;" con el mismo tercero y valor, casilla 29). Si hay más filas iguales, bórreles el valor a ELLAS, no a esta.","DUPLICADO — ya existe otra fila con el mismo tercero y valor para casilla 29 (aparición "&amp;COUNTIFS($V$6:V359,29,$F$6:F359,F359,$C$6:C359,C359,$O$6:O359,"&lt;&gt;")&amp;" de "&amp;COUNTIFS($V$6:$V$505,29,$F$6:$F$505,F359,$C$6:$C$505,C359,$O$6:$O$505,"&lt;&gt;")&amp;"). Para resolverlo: seleccione la celda O"&amp;ROW()&amp;" (columna Valor a declarar de ESTA fila) y presione Supr."),""))</f>
        <v/>
      </c>
      <c r="X359" s="463">
        <f>IF(A359="","",F359)</f>
        <v/>
      </c>
      <c r="Y359" s="463">
        <f>IF(A359="","",SUMIF(Entrada_Manual!$I$88:$I$187,A359,Entrada_Manual!$F$88:$F$187))</f>
        <v/>
      </c>
      <c r="Z359" s="463">
        <f>IF(A359="","",X359-Y359)</f>
        <v/>
      </c>
      <c r="AA359">
        <f>IF(A359="","",SUMPRODUCT((Entrada_Manual!$I$88:$I$187=A359)*1))</f>
        <v/>
      </c>
      <c r="AB359">
        <f>IF(A359="","",IF(S359&lt;=1,"",IF(AA359=0,"PENDIENTE — SIN ASIGNAR",IF(Z359=0,"RESUELTO","PARCIAL — DIFERENCIA "&amp;TEXT(Z359,"#,##0")))))</f>
        <v/>
      </c>
    </row>
    <row r="360" ht="14.25" customHeight="1" s="235">
      <c r="A360" s="47">
        <f>IF(Exogena_RAW!E369&lt;&gt;"",ROW()-5,"")</f>
        <v/>
      </c>
      <c r="B360" s="48">
        <f>IF(A360="","",369)</f>
        <v/>
      </c>
      <c r="C360" s="48">
        <f>IF(A360="","",IFERROR(Exogena_RAW!A369,""))</f>
        <v/>
      </c>
      <c r="D360" s="48">
        <f>IF(A360="","",IFERROR(Exogena_RAW!B369,""))</f>
        <v/>
      </c>
      <c r="E360" s="48">
        <f>IF(A360="","",Exogena_RAW!E369)</f>
        <v/>
      </c>
      <c r="F360" s="461">
        <f>IF(A360="","",Exogena_RAW!F369)</f>
        <v/>
      </c>
      <c r="G360" s="48">
        <f>IF(A360="","",IFERROR(Exogena_RAW!G369,""))</f>
        <v/>
      </c>
      <c r="H360" s="48">
        <f>IF(A360="","",IFERROR(Exogena_RAW!H369,""))</f>
        <v/>
      </c>
      <c r="I360" s="48">
        <f>IF(A360="","",IFERROR(IF(S360&gt;1,"VARIAS CASILLAS",IF(S360=1,IF(T360=1,"PROPUESTA DE CASILLA","REVISIÓN: CASILLA NO DIRECTA"),IF(OR(ISNUMBER(SEARCH("TOPE",UPPER(E360))),ISNUMBER(SEARCH("TOPE",UPPER(G360)))),"SOLO CONTROL",IF(ISNUMBER(SEARCH("RETEN",UPPER(E360))),"RETENCIÓN","REVISAR")))),"REVISAR"))</f>
        <v/>
      </c>
      <c r="J360" s="48">
        <f>IF(A360="","",IF(ISNUMBER(SEARCH("ingreso laboral promedio de los últimos seis meses",E360)),"",IFERROR(IF(AND(S360=1,T360=1),U360,""),"")))</f>
        <v/>
      </c>
      <c r="K360" s="216" t="n"/>
      <c r="L360" s="48">
        <f>IF(A360="","",IFERROR(IF(K360&lt;&gt;"","Casilla elegida por usuario",IF(S360&gt;1,"Varias casillas — elegir en K",IF(J360&lt;&gt;"","Sugerencia directa",IF(S360=1,"No trasladar directo — revisar",IF(OR(ISNUMBER(SEARCH("TOPE",UPPER(E360))),ISNUMBER(SEARCH("TOPE",UPPER(G360)))),"Solo control","Revisar manualmente"))))),"Revisar manualmente"))</f>
        <v/>
      </c>
      <c r="M360" s="461">
        <f>IF(A360="","",IF(IF(K360&lt;&gt;"",K360,J360)="",0,IF(COUNTIFS(Reglas!$I$5:$I$118,IF(K360&lt;&gt;"",K360,J360),Reglas!$J$5:$J$118,"Sí")=1,F360,0)))</f>
        <v/>
      </c>
      <c r="N360" s="56" t="n"/>
      <c r="O360" s="462">
        <f>IF(A360="","",IF(M360=0,"",M360))</f>
        <v/>
      </c>
      <c r="P360" s="461">
        <f>IF(A360="","",IF(O360="",0,IF(ISNUMBER(O360),O360,0)))</f>
        <v/>
      </c>
      <c r="Q360" s="48">
        <f>IF(A360="","",IF(Exogena_RAW!$C$4="","BLOQUEADO: FALTA AÑO",IF(Exogena_RAW!$K$10&lt;&gt;Reglas!$B$5,"BLOQUEADO: AÑO",IF(IF(K360&lt;&gt;"",K360,J360)="",IF(S360&gt;1,"REQUIERE ASIGNACIÓN MANUAL (VARIAS CASILLAS)","INFORMATIVO (sin casilla — no se declara)"),IF(COUNTIFS(Reglas!$I$5:$I$118,IF(K360&lt;&gt;"",K360,J360),Reglas!$J$5:$J$118,"Sí")=0,"BLOQUEADO: CASILLA NO DIRECTA",IF(O360="","EXCLUIDO (valor borrado por el usuario)",IF(_xlfn.ISFORMULA(O360),IF(W360&lt;&gt;"","BORRADOR — VALOR SUGERIDO DIAN ⚠ VER ALERTA","BORRADOR — VALOR SUGERIDO DIAN"),IF(W360&lt;&gt;"","ACEPTADO ⚠ VER ALERTA","ACEPTADO"))))))))</f>
        <v/>
      </c>
      <c r="R360" s="218" t="n"/>
      <c r="S360" s="58">
        <f>IF(A360="","",IFERROR(--ISNUMBER(SEARCH("R28",G360)),0)+IFERROR(--ISNUMBER(SEARCH("R29",G360)),0)+IFERROR(--ISNUMBER(SEARCH("R30",G360)),0)+IFERROR(--ISNUMBER(SEARCH("R31",G360)),0)+IFERROR(--ISNUMBER(SEARCH("R32",G360)),0)+IFERROR(--ISNUMBER(SEARCH("R33",G360)),0)+IFERROR(--ISNUMBER(SEARCH("R34",G360)),0)+IFERROR(--ISNUMBER(SEARCH("R35",G360)),0)+IFERROR(--ISNUMBER(SEARCH("R36",G360)),0)+IFERROR(--ISNUMBER(SEARCH("R37",G360)),0)+IFERROR(--ISNUMBER(SEARCH("R38",G360)),0)+IFERROR(--ISNUMBER(SEARCH("R39",G360)),0)+IFERROR(--ISNUMBER(SEARCH("R40",G360)),0)+IFERROR(--ISNUMBER(SEARCH("R41",G360)),0)+IFERROR(--ISNUMBER(SEARCH("R42",G360)),0)+IFERROR(--ISNUMBER(SEARCH("R43",G360)),0)+IFERROR(--ISNUMBER(SEARCH("R44",G360)),0)+IFERROR(--ISNUMBER(SEARCH("R45",G360)),0)+IFERROR(--ISNUMBER(SEARCH("R46",G360)),0)+IFERROR(--ISNUMBER(SEARCH("R47",G360)),0)+IFERROR(--ISNUMBER(SEARCH("R48",G360)),0)+IFERROR(--ISNUMBER(SEARCH("R49",G360)),0)+IFERROR(--ISNUMBER(SEARCH("R50",G360)),0)+IFERROR(--ISNUMBER(SEARCH("R51",G360)),0)+IFERROR(--ISNUMBER(SEARCH("R52",G360)),0)+IFERROR(--ISNUMBER(SEARCH("R53",G360)),0)+IFERROR(--ISNUMBER(SEARCH("R54",G360)),0)+IFERROR(--ISNUMBER(SEARCH("R55",G360)),0)+IFERROR(--ISNUMBER(SEARCH("R56",G360)),0)+IFERROR(--ISNUMBER(SEARCH("R57",G360)),0)+IFERROR(--ISNUMBER(SEARCH("R58",G360)),0)+IFERROR(--ISNUMBER(SEARCH("R59",G360)),0)+IFERROR(--ISNUMBER(SEARCH("R60",G360)),0)+IFERROR(--ISNUMBER(SEARCH("R61",G360)),0)+IFERROR(--ISNUMBER(SEARCH("R62",G360)),0)+IFERROR(--ISNUMBER(SEARCH("R63",G360)),0)+IFERROR(--ISNUMBER(SEARCH("R64",G360)),0)+IFERROR(--ISNUMBER(SEARCH("R65",G360)),0)+IFERROR(--ISNUMBER(SEARCH("R66",G360)),0)+IFERROR(--ISNUMBER(SEARCH("R67",G360)),0)+IFERROR(--ISNUMBER(SEARCH("R68",G360)),0)+IFERROR(--ISNUMBER(SEARCH("R69",G360)),0)+IFERROR(--ISNUMBER(SEARCH("R70",G360)),0)+IFERROR(--ISNUMBER(SEARCH("R71",G360)),0)+IFERROR(--ISNUMBER(SEARCH("R72",G360)),0)+IFERROR(--ISNUMBER(SEARCH("R73",G360)),0)+IFERROR(--ISNUMBER(SEARCH("R74",G360)),0)+IFERROR(--ISNUMBER(SEARCH("R75",G360)),0)+IFERROR(--ISNUMBER(SEARCH("R76",G360)),0)+IFERROR(--ISNUMBER(SEARCH("R77",G360)),0)+IFERROR(--ISNUMBER(SEARCH("R78",G360)),0)+IFERROR(--ISNUMBER(SEARCH("R79",G360)),0)+IFERROR(--ISNUMBER(SEARCH("R80",G360)),0)+IFERROR(--ISNUMBER(SEARCH("R81",G360)),0)+IFERROR(--ISNUMBER(SEARCH("R82",G360)),0)+IFERROR(--ISNUMBER(SEARCH("R83",G360)),0)+IFERROR(--ISNUMBER(SEARCH("R84",G360)),0)+IFERROR(--ISNUMBER(SEARCH("R85",G360)),0)+IFERROR(--ISNUMBER(SEARCH("R86",G360)),0)+IFERROR(--ISNUMBER(SEARCH("R87",G360)),0)+IFERROR(--ISNUMBER(SEARCH("R88",G360)),0)+IFERROR(--ISNUMBER(SEARCH("R89",G360)),0)+IFERROR(--ISNUMBER(SEARCH("R90",G360)),0)+IFERROR(--ISNUMBER(SEARCH("R91",G360)),0)+IFERROR(--ISNUMBER(SEARCH("R92",G360)),0)+IFERROR(--ISNUMBER(SEARCH("R93",G360)),0)+IFERROR(--ISNUMBER(SEARCH("R94",G360)),0)+IFERROR(--ISNUMBER(SEARCH("R95",G360)),0)+IFERROR(--ISNUMBER(SEARCH("R96",G360)),0)+IFERROR(--ISNUMBER(SEARCH("R97",G360)),0)+IFERROR(--ISNUMBER(SEARCH("R98",G360)),0)+IFERROR(--ISNUMBER(SEARCH("R99",G360)),0)+IFERROR(--ISNUMBER(SEARCH("R100",G360)),0)+IFERROR(--ISNUMBER(SEARCH("R101",G360)),0)+IFERROR(--ISNUMBER(SEARCH("R102",G360)),0)+IFERROR(--ISNUMBER(SEARCH("R103",G360)),0)+IFERROR(--ISNUMBER(SEARCH("R104",G360)),0)+IFERROR(--ISNUMBER(SEARCH("R105",G360)),0)+IFERROR(--ISNUMBER(SEARCH("R106",G360)),0)+IFERROR(--ISNUMBER(SEARCH("R107",G360)),0)+IFERROR(--ISNUMBER(SEARCH("R108",G360)),0)+IFERROR(--ISNUMBER(SEARCH("R109",G360)),0)+IFERROR(--ISNUMBER(SEARCH("R110",G360)),0)+IFERROR(--ISNUMBER(SEARCH("R111",G360)),0)+IFERROR(--ISNUMBER(SEARCH("R112",G360)),0)+IFERROR(--ISNUMBER(SEARCH("R113",G360)),0)+IFERROR(--ISNUMBER(SEARCH("R114",G360)),0)+IFERROR(--ISNUMBER(SEARCH("R115",G360)),0)+IFERROR(--ISNUMBER(SEARCH("R116",G360)),0)+IFERROR(--ISNUMBER(SEARCH("R117",G360)),0)+IFERROR(--ISNUMBER(SEARCH("R118",G360)),0)+IFERROR(--ISNUMBER(SEARCH("R119",G360)),0)+IFERROR(--ISNUMBER(SEARCH("R120",G360)),0)+IFERROR(--ISNUMBER(SEARCH("R121",G360)),0)+IFERROR(--ISNUMBER(SEARCH("R122",G360)),0)+IFERROR(--ISNUMBER(SEARCH("R123",G360)),0)+IFERROR(--ISNUMBER(SEARCH("R124",G360)),0)+IFERROR(--ISNUMBER(SEARCH("R125",G360)),0)+IFERROR(--ISNUMBER(SEARCH("R126",G360)),0)+IFERROR(--ISNUMBER(SEARCH("R127",G360)),0)+IFERROR(--ISNUMBER(SEARCH("R128",G360)),0)+IFERROR(--ISNUMBER(SEARCH("R129",G360)),0)+IFERROR(--ISNUMBER(SEARCH("R130",G360)),0)+IFERROR(--ISNUMBER(SEARCH("R131",G360)),0)+IFERROR(--ISNUMBER(SEARCH("R132",G360)),0)+IFERROR(--ISNUMBER(SEARCH("R133",G360)),0)+IFERROR(--ISNUMBER(SEARCH("R134",G360)),0)+IFERROR(--ISNUMBER(SEARCH("R135",G360)),0)+IFERROR(--ISNUMBER(SEARCH("R136",G360)),0)+IFERROR(--ISNUMBER(SEARCH("R137",G360)),0)+IFERROR(--ISNUMBER(SEARCH("R138",G360)),0)+IFERROR(--ISNUMBER(SEARCH("R139",G360)),0)+IFERROR(--ISNUMBER(SEARCH("R140",G360)),0)+IFERROR(--ISNUMBER(SEARCH("R141",G360)),0))</f>
        <v/>
      </c>
      <c r="T360" s="58">
        <f>IF(A360="","",IFERROR(--ISNUMBER(SEARCH("R28",G360)),0)+IFERROR(--ISNUMBER(SEARCH("R29",G360)),0)+IFERROR(--ISNUMBER(SEARCH("R30",G360)),0)+IFERROR(--ISNUMBER(SEARCH("R32",G360)),0)+IFERROR(--ISNUMBER(SEARCH("R33",G360)),0)+IFERROR(--ISNUMBER(SEARCH("R35",G360)),0)+IFERROR(--ISNUMBER(SEARCH("R36",G360)),0)+IFERROR(--ISNUMBER(SEARCH("R38",G360)),0)+IFERROR(--ISNUMBER(SEARCH("R39",G360)),0)+IFERROR(--ISNUMBER(SEARCH("R43",G360)),0)+IFERROR(--ISNUMBER(SEARCH("R44",G360)),0)+IFERROR(--ISNUMBER(SEARCH("R45",G360)),0)+IFERROR(--ISNUMBER(SEARCH("R47",G360)),0)+IFERROR(--ISNUMBER(SEARCH("R48",G360)),0)+IFERROR(--ISNUMBER(SEARCH("R50",G360)),0)+IFERROR(--ISNUMBER(SEARCH("R51",G360)),0)+IFERROR(--ISNUMBER(SEARCH("R56",G360)),0)+IFERROR(--ISNUMBER(SEARCH("R58",G360)),0)+IFERROR(--ISNUMBER(SEARCH("R59",G360)),0)+IFERROR(--ISNUMBER(SEARCH("R60",G360)),0)+IFERROR(--ISNUMBER(SEARCH("R62",G360)),0)+IFERROR(--ISNUMBER(SEARCH("R63",G360)),0)+IFERROR(--ISNUMBER(SEARCH("R64",G360)),0)+IFERROR(--ISNUMBER(SEARCH("R66",G360)),0)+IFERROR(--ISNUMBER(SEARCH("R67",G360)),0)+IFERROR(--ISNUMBER(SEARCH("R72",G360)),0)+IFERROR(--ISNUMBER(SEARCH("R74",G360)),0)+IFERROR(--ISNUMBER(SEARCH("R75",G360)),0)+IFERROR(--ISNUMBER(SEARCH("R76",G360)),0)+IFERROR(--ISNUMBER(SEARCH("R77",G360)),0)+IFERROR(--ISNUMBER(SEARCH("R79",G360)),0)+IFERROR(--ISNUMBER(SEARCH("R80",G360)),0)+IFERROR(--ISNUMBER(SEARCH("R81",G360)),0)+IFERROR(--ISNUMBER(SEARCH("R83",G360)),0)+IFERROR(--ISNUMBER(SEARCH("R84",G360)),0)+IFERROR(--ISNUMBER(SEARCH("R89",G360)),0)+IFERROR(--ISNUMBER(SEARCH("R94",G360)),0)+IFERROR(--ISNUMBER(SEARCH("R95",G360)),0)+IFERROR(--ISNUMBER(SEARCH("R96",G360)),0)+IFERROR(--ISNUMBER(SEARCH("R98",G360)),0)+IFERROR(--ISNUMBER(SEARCH("R99",G360)),0)+IFERROR(--ISNUMBER(SEARCH("R100",G360)),0)+IFERROR(--ISNUMBER(SEARCH("R104",G360)),0)+IFERROR(--ISNUMBER(SEARCH("R105",G360)),0)+IFERROR(--ISNUMBER(SEARCH("R107",G360)),0)+IFERROR(--ISNUMBER(SEARCH("R108",G360)),0)+IFERROR(--ISNUMBER(SEARCH("R109",G360)),0)+IFERROR(--ISNUMBER(SEARCH("R110",G360)),0)+IFERROR(--ISNUMBER(SEARCH("R112",G360)),0)+IFERROR(--ISNUMBER(SEARCH("R113",G360)),0)+IFERROR(--ISNUMBER(SEARCH("R114",G360)),0)+IFERROR(--ISNUMBER(SEARCH("R118",G360)),0)+IFERROR(--ISNUMBER(SEARCH("R119",G360)),0)+IFERROR(--ISNUMBER(SEARCH("R120",G360)),0)+IFERROR(--ISNUMBER(SEARCH("R122",G360)),0)+IFERROR(--ISNUMBER(SEARCH("R123",G360)),0)+IFERROR(--ISNUMBER(SEARCH("R124",G360)),0)+IFERROR(--ISNUMBER(SEARCH("R128",G360)),0)+IFERROR(--ISNUMBER(SEARCH("R130",G360)),0)+IFERROR(--ISNUMBER(SEARCH("R131",G360)),0)+IFERROR(--ISNUMBER(SEARCH("R132",G360)),0)+IFERROR(--ISNUMBER(SEARCH("R135",G360)),0)+IFERROR(--ISNUMBER(SEARCH("R138",G360)),0)+IFERROR(--ISNUMBER(SEARCH("R141",G360)),0))</f>
        <v/>
      </c>
      <c r="U360" s="58">
        <f>IF(A360="","",IFERROR(--ISNUMBER(SEARCH("R28",G360))*28,0)+IFERROR(--ISNUMBER(SEARCH("R29",G360))*29,0)+IFERROR(--ISNUMBER(SEARCH("R30",G360))*30,0)+IFERROR(--ISNUMBER(SEARCH("R31",G360))*31,0)+IFERROR(--ISNUMBER(SEARCH("R32",G360))*32,0)+IFERROR(--ISNUMBER(SEARCH("R33",G360))*33,0)+IFERROR(--ISNUMBER(SEARCH("R34",G360))*34,0)+IFERROR(--ISNUMBER(SEARCH("R35",G360))*35,0)+IFERROR(--ISNUMBER(SEARCH("R36",G360))*36,0)+IFERROR(--ISNUMBER(SEARCH("R37",G360))*37,0)+IFERROR(--ISNUMBER(SEARCH("R38",G360))*38,0)+IFERROR(--ISNUMBER(SEARCH("R39",G360))*39,0)+IFERROR(--ISNUMBER(SEARCH("R40",G360))*40,0)+IFERROR(--ISNUMBER(SEARCH("R41",G360))*41,0)+IFERROR(--ISNUMBER(SEARCH("R42",G360))*42,0)+IFERROR(--ISNUMBER(SEARCH("R43",G360))*43,0)+IFERROR(--ISNUMBER(SEARCH("R44",G360))*44,0)+IFERROR(--ISNUMBER(SEARCH("R45",G360))*45,0)+IFERROR(--ISNUMBER(SEARCH("R46",G360))*46,0)+IFERROR(--ISNUMBER(SEARCH("R47",G360))*47,0)+IFERROR(--ISNUMBER(SEARCH("R48",G360))*48,0)+IFERROR(--ISNUMBER(SEARCH("R49",G360))*49,0)+IFERROR(--ISNUMBER(SEARCH("R50",G360))*50,0)+IFERROR(--ISNUMBER(SEARCH("R51",G360))*51,0)+IFERROR(--ISNUMBER(SEARCH("R52",G360))*52,0)+IFERROR(--ISNUMBER(SEARCH("R53",G360))*53,0)+IFERROR(--ISNUMBER(SEARCH("R54",G360))*54,0)+IFERROR(--ISNUMBER(SEARCH("R55",G360))*55,0)+IFERROR(--ISNUMBER(SEARCH("R56",G360))*56,0)+IFERROR(--ISNUMBER(SEARCH("R57",G360))*57,0)+IFERROR(--ISNUMBER(SEARCH("R58",G360))*58,0)+IFERROR(--ISNUMBER(SEARCH("R59",G360))*59,0)+IFERROR(--ISNUMBER(SEARCH("R60",G360))*60,0)+IFERROR(--ISNUMBER(SEARCH("R61",G360))*61,0)+IFERROR(--ISNUMBER(SEARCH("R62",G360))*62,0)+IFERROR(--ISNUMBER(SEARCH("R63",G360))*63,0)+IFERROR(--ISNUMBER(SEARCH("R64",G360))*64,0)+IFERROR(--ISNUMBER(SEARCH("R65",G360))*65,0)+IFERROR(--ISNUMBER(SEARCH("R66",G360))*66,0)+IFERROR(--ISNUMBER(SEARCH("R67",G360))*67,0)+IFERROR(--ISNUMBER(SEARCH("R68",G360))*68,0)+IFERROR(--ISNUMBER(SEARCH("R69",G360))*69,0)+IFERROR(--ISNUMBER(SEARCH("R70",G360))*70,0)+IFERROR(--ISNUMBER(SEARCH("R71",G360))*71,0)+IFERROR(--ISNUMBER(SEARCH("R72",G360))*72,0)+IFERROR(--ISNUMBER(SEARCH("R73",G360))*73,0)+IFERROR(--ISNUMBER(SEARCH("R74",G360))*74,0)+IFERROR(--ISNUMBER(SEARCH("R75",G360))*75,0)+IFERROR(--ISNUMBER(SEARCH("R76",G360))*76,0)+IFERROR(--ISNUMBER(SEARCH("R77",G360))*77,0)+IFERROR(--ISNUMBER(SEARCH("R78",G360))*78,0)+IFERROR(--ISNUMBER(SEARCH("R79",G360))*79,0)+IFERROR(--ISNUMBER(SEARCH("R80",G360))*80,0)+IFERROR(--ISNUMBER(SEARCH("R81",G360))*81,0)+IFERROR(--ISNUMBER(SEARCH("R82",G360))*82,0)+IFERROR(--ISNUMBER(SEARCH("R83",G360))*83,0)+IFERROR(--ISNUMBER(SEARCH("R84",G360))*84,0)+IFERROR(--ISNUMBER(SEARCH("R85",G360))*85,0)+IFERROR(--ISNUMBER(SEARCH("R86",G360))*86,0)+IFERROR(--ISNUMBER(SEARCH("R87",G360))*87,0)+IFERROR(--ISNUMBER(SEARCH("R88",G360))*88,0)+IFERROR(--ISNUMBER(SEARCH("R89",G360))*89,0)+IFERROR(--ISNUMBER(SEARCH("R90",G360))*90,0)+IFERROR(--ISNUMBER(SEARCH("R91",G360))*91,0)+IFERROR(--ISNUMBER(SEARCH("R92",G360))*92,0)+IFERROR(--ISNUMBER(SEARCH("R93",G360))*93,0)+IFERROR(--ISNUMBER(SEARCH("R94",G360))*94,0)+IFERROR(--ISNUMBER(SEARCH("R95",G360))*95,0)+IFERROR(--ISNUMBER(SEARCH("R96",G360))*96,0)+IFERROR(--ISNUMBER(SEARCH("R97",G360))*97,0)+IFERROR(--ISNUMBER(SEARCH("R98",G360))*98,0)+IFERROR(--ISNUMBER(SEARCH("R99",G360))*99,0)+IFERROR(--ISNUMBER(SEARCH("R100",G360))*100,0)+IFERROR(--ISNUMBER(SEARCH("R101",G360))*101,0)+IFERROR(--ISNUMBER(SEARCH("R102",G360))*102,0)+IFERROR(--ISNUMBER(SEARCH("R103",G360))*103,0)+IFERROR(--ISNUMBER(SEARCH("R104",G360))*104,0)+IFERROR(--ISNUMBER(SEARCH("R105",G360))*105,0)+IFERROR(--ISNUMBER(SEARCH("R106",G360))*106,0)+IFERROR(--ISNUMBER(SEARCH("R107",G360))*107,0)+IFERROR(--ISNUMBER(SEARCH("R108",G360))*108,0)+IFERROR(--ISNUMBER(SEARCH("R109",G360))*109,0)+IFERROR(--ISNUMBER(SEARCH("R110",G360))*110,0)+IFERROR(--ISNUMBER(SEARCH("R111",G360))*111,0)+IFERROR(--ISNUMBER(SEARCH("R112",G360))*112,0)+IFERROR(--ISNUMBER(SEARCH("R113",G360))*113,0)+IFERROR(--ISNUMBER(SEARCH("R114",G360))*114,0)+IFERROR(--ISNUMBER(SEARCH("R115",G360))*115,0)+IFERROR(--ISNUMBER(SEARCH("R116",G360))*116,0)+IFERROR(--ISNUMBER(SEARCH("R117",G360))*117,0)+IFERROR(--ISNUMBER(SEARCH("R118",G360))*118,0)+IFERROR(--ISNUMBER(SEARCH("R119",G360))*119,0)+IFERROR(--ISNUMBER(SEARCH("R120",G360))*120,0)+IFERROR(--ISNUMBER(SEARCH("R121",G360))*121,0)+IFERROR(--ISNUMBER(SEARCH("R122",G360))*122,0)+IFERROR(--ISNUMBER(SEARCH("R123",G360))*123,0)+IFERROR(--ISNUMBER(SEARCH("R124",G360))*124,0)+IFERROR(--ISNUMBER(SEARCH("R125",G360))*125,0)+IFERROR(--ISNUMBER(SEARCH("R126",G360))*126,0)+IFERROR(--ISNUMBER(SEARCH("R127",G360))*127,0)+IFERROR(--ISNUMBER(SEARCH("R128",G360))*128,0)+IFERROR(--ISNUMBER(SEARCH("R129",G360))*129,0)+IFERROR(--ISNUMBER(SEARCH("R130",G360))*130,0)+IFERROR(--ISNUMBER(SEARCH("R131",G360))*131,0)+IFERROR(--ISNUMBER(SEARCH("R132",G360))*132,0)+IFERROR(--ISNUMBER(SEARCH("R133",G360))*133,0)+IFERROR(--ISNUMBER(SEARCH("R134",G360))*134,0)+IFERROR(--ISNUMBER(SEARCH("R135",G360))*135,0)+IFERROR(--ISNUMBER(SEARCH("R136",G360))*136,0)+IFERROR(--ISNUMBER(SEARCH("R137",G360))*137,0)+IFERROR(--ISNUMBER(SEARCH("R138",G360))*138,0)+IFERROR(--ISNUMBER(SEARCH("R139",G360))*139,0)+IFERROR(--ISNUMBER(SEARCH("R140",G360))*140,0)+IFERROR(--ISNUMBER(SEARCH("R141",G360))*141,0))</f>
        <v/>
      </c>
      <c r="V360" s="59">
        <f>IF(A360="","",IF(K360&lt;&gt;"",K360,J360))</f>
        <v/>
      </c>
      <c r="W360" s="59">
        <f>IF(A360="","",IF(AND(V360=29,O360&lt;&gt;"",COUNTIFS($V$6:$V$505,29,$F$6:$F$505,F360,$C$6:$C$505,C360,$O$6:$O$505,"&lt;&gt;")&gt;1),IF(COUNTIFS($V$6:V360,29,$F$6:F360,F360,$C$6:C360,C360,$O$6:O360,"&lt;&gt;")=1,"Esta es la fila que se debe CONSERVAR (aparición 1 de "&amp;COUNTIFS($V$6:$V$505,29,$F$6:$F$505,F360,$C$6:$C$505,C360,$O$6:$O$505,"&lt;&gt;")&amp;" con el mismo tercero y valor, casilla 29). Si hay más filas iguales, bórreles el valor a ELLAS, no a esta.","DUPLICADO — ya existe otra fila con el mismo tercero y valor para casilla 29 (aparición "&amp;COUNTIFS($V$6:V360,29,$F$6:F360,F360,$C$6:C360,C360,$O$6:O360,"&lt;&gt;")&amp;" de "&amp;COUNTIFS($V$6:$V$505,29,$F$6:$F$505,F360,$C$6:$C$505,C360,$O$6:$O$505,"&lt;&gt;")&amp;"). Para resolverlo: seleccione la celda O"&amp;ROW()&amp;" (columna Valor a declarar de ESTA fila) y presione Supr."),""))</f>
        <v/>
      </c>
      <c r="X360" s="463">
        <f>IF(A360="","",F360)</f>
        <v/>
      </c>
      <c r="Y360" s="463">
        <f>IF(A360="","",SUMIF(Entrada_Manual!$I$88:$I$187,A360,Entrada_Manual!$F$88:$F$187))</f>
        <v/>
      </c>
      <c r="Z360" s="463">
        <f>IF(A360="","",X360-Y360)</f>
        <v/>
      </c>
      <c r="AA360">
        <f>IF(A360="","",SUMPRODUCT((Entrada_Manual!$I$88:$I$187=A360)*1))</f>
        <v/>
      </c>
      <c r="AB360">
        <f>IF(A360="","",IF(S360&lt;=1,"",IF(AA360=0,"PENDIENTE — SIN ASIGNAR",IF(Z360=0,"RESUELTO","PARCIAL — DIFERENCIA "&amp;TEXT(Z360,"#,##0")))))</f>
        <v/>
      </c>
    </row>
    <row r="361" ht="14.25" customHeight="1" s="235">
      <c r="A361" s="47">
        <f>IF(Exogena_RAW!E370&lt;&gt;"",ROW()-5,"")</f>
        <v/>
      </c>
      <c r="B361" s="48">
        <f>IF(A361="","",370)</f>
        <v/>
      </c>
      <c r="C361" s="48">
        <f>IF(A361="","",IFERROR(Exogena_RAW!A370,""))</f>
        <v/>
      </c>
      <c r="D361" s="48">
        <f>IF(A361="","",IFERROR(Exogena_RAW!B370,""))</f>
        <v/>
      </c>
      <c r="E361" s="48">
        <f>IF(A361="","",Exogena_RAW!E370)</f>
        <v/>
      </c>
      <c r="F361" s="461">
        <f>IF(A361="","",Exogena_RAW!F370)</f>
        <v/>
      </c>
      <c r="G361" s="48">
        <f>IF(A361="","",IFERROR(Exogena_RAW!G370,""))</f>
        <v/>
      </c>
      <c r="H361" s="48">
        <f>IF(A361="","",IFERROR(Exogena_RAW!H370,""))</f>
        <v/>
      </c>
      <c r="I361" s="48">
        <f>IF(A361="","",IFERROR(IF(S361&gt;1,"VARIAS CASILLAS",IF(S361=1,IF(T361=1,"PROPUESTA DE CASILLA","REVISIÓN: CASILLA NO DIRECTA"),IF(OR(ISNUMBER(SEARCH("TOPE",UPPER(E361))),ISNUMBER(SEARCH("TOPE",UPPER(G361)))),"SOLO CONTROL",IF(ISNUMBER(SEARCH("RETEN",UPPER(E361))),"RETENCIÓN","REVISAR")))),"REVISAR"))</f>
        <v/>
      </c>
      <c r="J361" s="48">
        <f>IF(A361="","",IF(ISNUMBER(SEARCH("ingreso laboral promedio de los últimos seis meses",E361)),"",IFERROR(IF(AND(S361=1,T361=1),U361,""),"")))</f>
        <v/>
      </c>
      <c r="K361" s="216" t="n"/>
      <c r="L361" s="48">
        <f>IF(A361="","",IFERROR(IF(K361&lt;&gt;"","Casilla elegida por usuario",IF(S361&gt;1,"Varias casillas — elegir en K",IF(J361&lt;&gt;"","Sugerencia directa",IF(S361=1,"No trasladar directo — revisar",IF(OR(ISNUMBER(SEARCH("TOPE",UPPER(E361))),ISNUMBER(SEARCH("TOPE",UPPER(G361)))),"Solo control","Revisar manualmente"))))),"Revisar manualmente"))</f>
        <v/>
      </c>
      <c r="M361" s="461">
        <f>IF(A361="","",IF(IF(K361&lt;&gt;"",K361,J361)="",0,IF(COUNTIFS(Reglas!$I$5:$I$118,IF(K361&lt;&gt;"",K361,J361),Reglas!$J$5:$J$118,"Sí")=1,F361,0)))</f>
        <v/>
      </c>
      <c r="N361" s="56" t="n"/>
      <c r="O361" s="462">
        <f>IF(A361="","",IF(M361=0,"",M361))</f>
        <v/>
      </c>
      <c r="P361" s="461">
        <f>IF(A361="","",IF(O361="",0,IF(ISNUMBER(O361),O361,0)))</f>
        <v/>
      </c>
      <c r="Q361" s="48">
        <f>IF(A361="","",IF(Exogena_RAW!$C$4="","BLOQUEADO: FALTA AÑO",IF(Exogena_RAW!$K$10&lt;&gt;Reglas!$B$5,"BLOQUEADO: AÑO",IF(IF(K361&lt;&gt;"",K361,J361)="",IF(S361&gt;1,"REQUIERE ASIGNACIÓN MANUAL (VARIAS CASILLAS)","INFORMATIVO (sin casilla — no se declara)"),IF(COUNTIFS(Reglas!$I$5:$I$118,IF(K361&lt;&gt;"",K361,J361),Reglas!$J$5:$J$118,"Sí")=0,"BLOQUEADO: CASILLA NO DIRECTA",IF(O361="","EXCLUIDO (valor borrado por el usuario)",IF(_xlfn.ISFORMULA(O361),IF(W361&lt;&gt;"","BORRADOR — VALOR SUGERIDO DIAN ⚠ VER ALERTA","BORRADOR — VALOR SUGERIDO DIAN"),IF(W361&lt;&gt;"","ACEPTADO ⚠ VER ALERTA","ACEPTADO"))))))))</f>
        <v/>
      </c>
      <c r="R361" s="218" t="n"/>
      <c r="S361" s="58">
        <f>IF(A361="","",IFERROR(--ISNUMBER(SEARCH("R28",G361)),0)+IFERROR(--ISNUMBER(SEARCH("R29",G361)),0)+IFERROR(--ISNUMBER(SEARCH("R30",G361)),0)+IFERROR(--ISNUMBER(SEARCH("R31",G361)),0)+IFERROR(--ISNUMBER(SEARCH("R32",G361)),0)+IFERROR(--ISNUMBER(SEARCH("R33",G361)),0)+IFERROR(--ISNUMBER(SEARCH("R34",G361)),0)+IFERROR(--ISNUMBER(SEARCH("R35",G361)),0)+IFERROR(--ISNUMBER(SEARCH("R36",G361)),0)+IFERROR(--ISNUMBER(SEARCH("R37",G361)),0)+IFERROR(--ISNUMBER(SEARCH("R38",G361)),0)+IFERROR(--ISNUMBER(SEARCH("R39",G361)),0)+IFERROR(--ISNUMBER(SEARCH("R40",G361)),0)+IFERROR(--ISNUMBER(SEARCH("R41",G361)),0)+IFERROR(--ISNUMBER(SEARCH("R42",G361)),0)+IFERROR(--ISNUMBER(SEARCH("R43",G361)),0)+IFERROR(--ISNUMBER(SEARCH("R44",G361)),0)+IFERROR(--ISNUMBER(SEARCH("R45",G361)),0)+IFERROR(--ISNUMBER(SEARCH("R46",G361)),0)+IFERROR(--ISNUMBER(SEARCH("R47",G361)),0)+IFERROR(--ISNUMBER(SEARCH("R48",G361)),0)+IFERROR(--ISNUMBER(SEARCH("R49",G361)),0)+IFERROR(--ISNUMBER(SEARCH("R50",G361)),0)+IFERROR(--ISNUMBER(SEARCH("R51",G361)),0)+IFERROR(--ISNUMBER(SEARCH("R52",G361)),0)+IFERROR(--ISNUMBER(SEARCH("R53",G361)),0)+IFERROR(--ISNUMBER(SEARCH("R54",G361)),0)+IFERROR(--ISNUMBER(SEARCH("R55",G361)),0)+IFERROR(--ISNUMBER(SEARCH("R56",G361)),0)+IFERROR(--ISNUMBER(SEARCH("R57",G361)),0)+IFERROR(--ISNUMBER(SEARCH("R58",G361)),0)+IFERROR(--ISNUMBER(SEARCH("R59",G361)),0)+IFERROR(--ISNUMBER(SEARCH("R60",G361)),0)+IFERROR(--ISNUMBER(SEARCH("R61",G361)),0)+IFERROR(--ISNUMBER(SEARCH("R62",G361)),0)+IFERROR(--ISNUMBER(SEARCH("R63",G361)),0)+IFERROR(--ISNUMBER(SEARCH("R64",G361)),0)+IFERROR(--ISNUMBER(SEARCH("R65",G361)),0)+IFERROR(--ISNUMBER(SEARCH("R66",G361)),0)+IFERROR(--ISNUMBER(SEARCH("R67",G361)),0)+IFERROR(--ISNUMBER(SEARCH("R68",G361)),0)+IFERROR(--ISNUMBER(SEARCH("R69",G361)),0)+IFERROR(--ISNUMBER(SEARCH("R70",G361)),0)+IFERROR(--ISNUMBER(SEARCH("R71",G361)),0)+IFERROR(--ISNUMBER(SEARCH("R72",G361)),0)+IFERROR(--ISNUMBER(SEARCH("R73",G361)),0)+IFERROR(--ISNUMBER(SEARCH("R74",G361)),0)+IFERROR(--ISNUMBER(SEARCH("R75",G361)),0)+IFERROR(--ISNUMBER(SEARCH("R76",G361)),0)+IFERROR(--ISNUMBER(SEARCH("R77",G361)),0)+IFERROR(--ISNUMBER(SEARCH("R78",G361)),0)+IFERROR(--ISNUMBER(SEARCH("R79",G361)),0)+IFERROR(--ISNUMBER(SEARCH("R80",G361)),0)+IFERROR(--ISNUMBER(SEARCH("R81",G361)),0)+IFERROR(--ISNUMBER(SEARCH("R82",G361)),0)+IFERROR(--ISNUMBER(SEARCH("R83",G361)),0)+IFERROR(--ISNUMBER(SEARCH("R84",G361)),0)+IFERROR(--ISNUMBER(SEARCH("R85",G361)),0)+IFERROR(--ISNUMBER(SEARCH("R86",G361)),0)+IFERROR(--ISNUMBER(SEARCH("R87",G361)),0)+IFERROR(--ISNUMBER(SEARCH("R88",G361)),0)+IFERROR(--ISNUMBER(SEARCH("R89",G361)),0)+IFERROR(--ISNUMBER(SEARCH("R90",G361)),0)+IFERROR(--ISNUMBER(SEARCH("R91",G361)),0)+IFERROR(--ISNUMBER(SEARCH("R92",G361)),0)+IFERROR(--ISNUMBER(SEARCH("R93",G361)),0)+IFERROR(--ISNUMBER(SEARCH("R94",G361)),0)+IFERROR(--ISNUMBER(SEARCH("R95",G361)),0)+IFERROR(--ISNUMBER(SEARCH("R96",G361)),0)+IFERROR(--ISNUMBER(SEARCH("R97",G361)),0)+IFERROR(--ISNUMBER(SEARCH("R98",G361)),0)+IFERROR(--ISNUMBER(SEARCH("R99",G361)),0)+IFERROR(--ISNUMBER(SEARCH("R100",G361)),0)+IFERROR(--ISNUMBER(SEARCH("R101",G361)),0)+IFERROR(--ISNUMBER(SEARCH("R102",G361)),0)+IFERROR(--ISNUMBER(SEARCH("R103",G361)),0)+IFERROR(--ISNUMBER(SEARCH("R104",G361)),0)+IFERROR(--ISNUMBER(SEARCH("R105",G361)),0)+IFERROR(--ISNUMBER(SEARCH("R106",G361)),0)+IFERROR(--ISNUMBER(SEARCH("R107",G361)),0)+IFERROR(--ISNUMBER(SEARCH("R108",G361)),0)+IFERROR(--ISNUMBER(SEARCH("R109",G361)),0)+IFERROR(--ISNUMBER(SEARCH("R110",G361)),0)+IFERROR(--ISNUMBER(SEARCH("R111",G361)),0)+IFERROR(--ISNUMBER(SEARCH("R112",G361)),0)+IFERROR(--ISNUMBER(SEARCH("R113",G361)),0)+IFERROR(--ISNUMBER(SEARCH("R114",G361)),0)+IFERROR(--ISNUMBER(SEARCH("R115",G361)),0)+IFERROR(--ISNUMBER(SEARCH("R116",G361)),0)+IFERROR(--ISNUMBER(SEARCH("R117",G361)),0)+IFERROR(--ISNUMBER(SEARCH("R118",G361)),0)+IFERROR(--ISNUMBER(SEARCH("R119",G361)),0)+IFERROR(--ISNUMBER(SEARCH("R120",G361)),0)+IFERROR(--ISNUMBER(SEARCH("R121",G361)),0)+IFERROR(--ISNUMBER(SEARCH("R122",G361)),0)+IFERROR(--ISNUMBER(SEARCH("R123",G361)),0)+IFERROR(--ISNUMBER(SEARCH("R124",G361)),0)+IFERROR(--ISNUMBER(SEARCH("R125",G361)),0)+IFERROR(--ISNUMBER(SEARCH("R126",G361)),0)+IFERROR(--ISNUMBER(SEARCH("R127",G361)),0)+IFERROR(--ISNUMBER(SEARCH("R128",G361)),0)+IFERROR(--ISNUMBER(SEARCH("R129",G361)),0)+IFERROR(--ISNUMBER(SEARCH("R130",G361)),0)+IFERROR(--ISNUMBER(SEARCH("R131",G361)),0)+IFERROR(--ISNUMBER(SEARCH("R132",G361)),0)+IFERROR(--ISNUMBER(SEARCH("R133",G361)),0)+IFERROR(--ISNUMBER(SEARCH("R134",G361)),0)+IFERROR(--ISNUMBER(SEARCH("R135",G361)),0)+IFERROR(--ISNUMBER(SEARCH("R136",G361)),0)+IFERROR(--ISNUMBER(SEARCH("R137",G361)),0)+IFERROR(--ISNUMBER(SEARCH("R138",G361)),0)+IFERROR(--ISNUMBER(SEARCH("R139",G361)),0)+IFERROR(--ISNUMBER(SEARCH("R140",G361)),0)+IFERROR(--ISNUMBER(SEARCH("R141",G361)),0))</f>
        <v/>
      </c>
      <c r="T361" s="58">
        <f>IF(A361="","",IFERROR(--ISNUMBER(SEARCH("R28",G361)),0)+IFERROR(--ISNUMBER(SEARCH("R29",G361)),0)+IFERROR(--ISNUMBER(SEARCH("R30",G361)),0)+IFERROR(--ISNUMBER(SEARCH("R32",G361)),0)+IFERROR(--ISNUMBER(SEARCH("R33",G361)),0)+IFERROR(--ISNUMBER(SEARCH("R35",G361)),0)+IFERROR(--ISNUMBER(SEARCH("R36",G361)),0)+IFERROR(--ISNUMBER(SEARCH("R38",G361)),0)+IFERROR(--ISNUMBER(SEARCH("R39",G361)),0)+IFERROR(--ISNUMBER(SEARCH("R43",G361)),0)+IFERROR(--ISNUMBER(SEARCH("R44",G361)),0)+IFERROR(--ISNUMBER(SEARCH("R45",G361)),0)+IFERROR(--ISNUMBER(SEARCH("R47",G361)),0)+IFERROR(--ISNUMBER(SEARCH("R48",G361)),0)+IFERROR(--ISNUMBER(SEARCH("R50",G361)),0)+IFERROR(--ISNUMBER(SEARCH("R51",G361)),0)+IFERROR(--ISNUMBER(SEARCH("R56",G361)),0)+IFERROR(--ISNUMBER(SEARCH("R58",G361)),0)+IFERROR(--ISNUMBER(SEARCH("R59",G361)),0)+IFERROR(--ISNUMBER(SEARCH("R60",G361)),0)+IFERROR(--ISNUMBER(SEARCH("R62",G361)),0)+IFERROR(--ISNUMBER(SEARCH("R63",G361)),0)+IFERROR(--ISNUMBER(SEARCH("R64",G361)),0)+IFERROR(--ISNUMBER(SEARCH("R66",G361)),0)+IFERROR(--ISNUMBER(SEARCH("R67",G361)),0)+IFERROR(--ISNUMBER(SEARCH("R72",G361)),0)+IFERROR(--ISNUMBER(SEARCH("R74",G361)),0)+IFERROR(--ISNUMBER(SEARCH("R75",G361)),0)+IFERROR(--ISNUMBER(SEARCH("R76",G361)),0)+IFERROR(--ISNUMBER(SEARCH("R77",G361)),0)+IFERROR(--ISNUMBER(SEARCH("R79",G361)),0)+IFERROR(--ISNUMBER(SEARCH("R80",G361)),0)+IFERROR(--ISNUMBER(SEARCH("R81",G361)),0)+IFERROR(--ISNUMBER(SEARCH("R83",G361)),0)+IFERROR(--ISNUMBER(SEARCH("R84",G361)),0)+IFERROR(--ISNUMBER(SEARCH("R89",G361)),0)+IFERROR(--ISNUMBER(SEARCH("R94",G361)),0)+IFERROR(--ISNUMBER(SEARCH("R95",G361)),0)+IFERROR(--ISNUMBER(SEARCH("R96",G361)),0)+IFERROR(--ISNUMBER(SEARCH("R98",G361)),0)+IFERROR(--ISNUMBER(SEARCH("R99",G361)),0)+IFERROR(--ISNUMBER(SEARCH("R100",G361)),0)+IFERROR(--ISNUMBER(SEARCH("R104",G361)),0)+IFERROR(--ISNUMBER(SEARCH("R105",G361)),0)+IFERROR(--ISNUMBER(SEARCH("R107",G361)),0)+IFERROR(--ISNUMBER(SEARCH("R108",G361)),0)+IFERROR(--ISNUMBER(SEARCH("R109",G361)),0)+IFERROR(--ISNUMBER(SEARCH("R110",G361)),0)+IFERROR(--ISNUMBER(SEARCH("R112",G361)),0)+IFERROR(--ISNUMBER(SEARCH("R113",G361)),0)+IFERROR(--ISNUMBER(SEARCH("R114",G361)),0)+IFERROR(--ISNUMBER(SEARCH("R118",G361)),0)+IFERROR(--ISNUMBER(SEARCH("R119",G361)),0)+IFERROR(--ISNUMBER(SEARCH("R120",G361)),0)+IFERROR(--ISNUMBER(SEARCH("R122",G361)),0)+IFERROR(--ISNUMBER(SEARCH("R123",G361)),0)+IFERROR(--ISNUMBER(SEARCH("R124",G361)),0)+IFERROR(--ISNUMBER(SEARCH("R128",G361)),0)+IFERROR(--ISNUMBER(SEARCH("R130",G361)),0)+IFERROR(--ISNUMBER(SEARCH("R131",G361)),0)+IFERROR(--ISNUMBER(SEARCH("R132",G361)),0)+IFERROR(--ISNUMBER(SEARCH("R135",G361)),0)+IFERROR(--ISNUMBER(SEARCH("R138",G361)),0)+IFERROR(--ISNUMBER(SEARCH("R141",G361)),0))</f>
        <v/>
      </c>
      <c r="U361" s="58">
        <f>IF(A361="","",IFERROR(--ISNUMBER(SEARCH("R28",G361))*28,0)+IFERROR(--ISNUMBER(SEARCH("R29",G361))*29,0)+IFERROR(--ISNUMBER(SEARCH("R30",G361))*30,0)+IFERROR(--ISNUMBER(SEARCH("R31",G361))*31,0)+IFERROR(--ISNUMBER(SEARCH("R32",G361))*32,0)+IFERROR(--ISNUMBER(SEARCH("R33",G361))*33,0)+IFERROR(--ISNUMBER(SEARCH("R34",G361))*34,0)+IFERROR(--ISNUMBER(SEARCH("R35",G361))*35,0)+IFERROR(--ISNUMBER(SEARCH("R36",G361))*36,0)+IFERROR(--ISNUMBER(SEARCH("R37",G361))*37,0)+IFERROR(--ISNUMBER(SEARCH("R38",G361))*38,0)+IFERROR(--ISNUMBER(SEARCH("R39",G361))*39,0)+IFERROR(--ISNUMBER(SEARCH("R40",G361))*40,0)+IFERROR(--ISNUMBER(SEARCH("R41",G361))*41,0)+IFERROR(--ISNUMBER(SEARCH("R42",G361))*42,0)+IFERROR(--ISNUMBER(SEARCH("R43",G361))*43,0)+IFERROR(--ISNUMBER(SEARCH("R44",G361))*44,0)+IFERROR(--ISNUMBER(SEARCH("R45",G361))*45,0)+IFERROR(--ISNUMBER(SEARCH("R46",G361))*46,0)+IFERROR(--ISNUMBER(SEARCH("R47",G361))*47,0)+IFERROR(--ISNUMBER(SEARCH("R48",G361))*48,0)+IFERROR(--ISNUMBER(SEARCH("R49",G361))*49,0)+IFERROR(--ISNUMBER(SEARCH("R50",G361))*50,0)+IFERROR(--ISNUMBER(SEARCH("R51",G361))*51,0)+IFERROR(--ISNUMBER(SEARCH("R52",G361))*52,0)+IFERROR(--ISNUMBER(SEARCH("R53",G361))*53,0)+IFERROR(--ISNUMBER(SEARCH("R54",G361))*54,0)+IFERROR(--ISNUMBER(SEARCH("R55",G361))*55,0)+IFERROR(--ISNUMBER(SEARCH("R56",G361))*56,0)+IFERROR(--ISNUMBER(SEARCH("R57",G361))*57,0)+IFERROR(--ISNUMBER(SEARCH("R58",G361))*58,0)+IFERROR(--ISNUMBER(SEARCH("R59",G361))*59,0)+IFERROR(--ISNUMBER(SEARCH("R60",G361))*60,0)+IFERROR(--ISNUMBER(SEARCH("R61",G361))*61,0)+IFERROR(--ISNUMBER(SEARCH("R62",G361))*62,0)+IFERROR(--ISNUMBER(SEARCH("R63",G361))*63,0)+IFERROR(--ISNUMBER(SEARCH("R64",G361))*64,0)+IFERROR(--ISNUMBER(SEARCH("R65",G361))*65,0)+IFERROR(--ISNUMBER(SEARCH("R66",G361))*66,0)+IFERROR(--ISNUMBER(SEARCH("R67",G361))*67,0)+IFERROR(--ISNUMBER(SEARCH("R68",G361))*68,0)+IFERROR(--ISNUMBER(SEARCH("R69",G361))*69,0)+IFERROR(--ISNUMBER(SEARCH("R70",G361))*70,0)+IFERROR(--ISNUMBER(SEARCH("R71",G361))*71,0)+IFERROR(--ISNUMBER(SEARCH("R72",G361))*72,0)+IFERROR(--ISNUMBER(SEARCH("R73",G361))*73,0)+IFERROR(--ISNUMBER(SEARCH("R74",G361))*74,0)+IFERROR(--ISNUMBER(SEARCH("R75",G361))*75,0)+IFERROR(--ISNUMBER(SEARCH("R76",G361))*76,0)+IFERROR(--ISNUMBER(SEARCH("R77",G361))*77,0)+IFERROR(--ISNUMBER(SEARCH("R78",G361))*78,0)+IFERROR(--ISNUMBER(SEARCH("R79",G361))*79,0)+IFERROR(--ISNUMBER(SEARCH("R80",G361))*80,0)+IFERROR(--ISNUMBER(SEARCH("R81",G361))*81,0)+IFERROR(--ISNUMBER(SEARCH("R82",G361))*82,0)+IFERROR(--ISNUMBER(SEARCH("R83",G361))*83,0)+IFERROR(--ISNUMBER(SEARCH("R84",G361))*84,0)+IFERROR(--ISNUMBER(SEARCH("R85",G361))*85,0)+IFERROR(--ISNUMBER(SEARCH("R86",G361))*86,0)+IFERROR(--ISNUMBER(SEARCH("R87",G361))*87,0)+IFERROR(--ISNUMBER(SEARCH("R88",G361))*88,0)+IFERROR(--ISNUMBER(SEARCH("R89",G361))*89,0)+IFERROR(--ISNUMBER(SEARCH("R90",G361))*90,0)+IFERROR(--ISNUMBER(SEARCH("R91",G361))*91,0)+IFERROR(--ISNUMBER(SEARCH("R92",G361))*92,0)+IFERROR(--ISNUMBER(SEARCH("R93",G361))*93,0)+IFERROR(--ISNUMBER(SEARCH("R94",G361))*94,0)+IFERROR(--ISNUMBER(SEARCH("R95",G361))*95,0)+IFERROR(--ISNUMBER(SEARCH("R96",G361))*96,0)+IFERROR(--ISNUMBER(SEARCH("R97",G361))*97,0)+IFERROR(--ISNUMBER(SEARCH("R98",G361))*98,0)+IFERROR(--ISNUMBER(SEARCH("R99",G361))*99,0)+IFERROR(--ISNUMBER(SEARCH("R100",G361))*100,0)+IFERROR(--ISNUMBER(SEARCH("R101",G361))*101,0)+IFERROR(--ISNUMBER(SEARCH("R102",G361))*102,0)+IFERROR(--ISNUMBER(SEARCH("R103",G361))*103,0)+IFERROR(--ISNUMBER(SEARCH("R104",G361))*104,0)+IFERROR(--ISNUMBER(SEARCH("R105",G361))*105,0)+IFERROR(--ISNUMBER(SEARCH("R106",G361))*106,0)+IFERROR(--ISNUMBER(SEARCH("R107",G361))*107,0)+IFERROR(--ISNUMBER(SEARCH("R108",G361))*108,0)+IFERROR(--ISNUMBER(SEARCH("R109",G361))*109,0)+IFERROR(--ISNUMBER(SEARCH("R110",G361))*110,0)+IFERROR(--ISNUMBER(SEARCH("R111",G361))*111,0)+IFERROR(--ISNUMBER(SEARCH("R112",G361))*112,0)+IFERROR(--ISNUMBER(SEARCH("R113",G361))*113,0)+IFERROR(--ISNUMBER(SEARCH("R114",G361))*114,0)+IFERROR(--ISNUMBER(SEARCH("R115",G361))*115,0)+IFERROR(--ISNUMBER(SEARCH("R116",G361))*116,0)+IFERROR(--ISNUMBER(SEARCH("R117",G361))*117,0)+IFERROR(--ISNUMBER(SEARCH("R118",G361))*118,0)+IFERROR(--ISNUMBER(SEARCH("R119",G361))*119,0)+IFERROR(--ISNUMBER(SEARCH("R120",G361))*120,0)+IFERROR(--ISNUMBER(SEARCH("R121",G361))*121,0)+IFERROR(--ISNUMBER(SEARCH("R122",G361))*122,0)+IFERROR(--ISNUMBER(SEARCH("R123",G361))*123,0)+IFERROR(--ISNUMBER(SEARCH("R124",G361))*124,0)+IFERROR(--ISNUMBER(SEARCH("R125",G361))*125,0)+IFERROR(--ISNUMBER(SEARCH("R126",G361))*126,0)+IFERROR(--ISNUMBER(SEARCH("R127",G361))*127,0)+IFERROR(--ISNUMBER(SEARCH("R128",G361))*128,0)+IFERROR(--ISNUMBER(SEARCH("R129",G361))*129,0)+IFERROR(--ISNUMBER(SEARCH("R130",G361))*130,0)+IFERROR(--ISNUMBER(SEARCH("R131",G361))*131,0)+IFERROR(--ISNUMBER(SEARCH("R132",G361))*132,0)+IFERROR(--ISNUMBER(SEARCH("R133",G361))*133,0)+IFERROR(--ISNUMBER(SEARCH("R134",G361))*134,0)+IFERROR(--ISNUMBER(SEARCH("R135",G361))*135,0)+IFERROR(--ISNUMBER(SEARCH("R136",G361))*136,0)+IFERROR(--ISNUMBER(SEARCH("R137",G361))*137,0)+IFERROR(--ISNUMBER(SEARCH("R138",G361))*138,0)+IFERROR(--ISNUMBER(SEARCH("R139",G361))*139,0)+IFERROR(--ISNUMBER(SEARCH("R140",G361))*140,0)+IFERROR(--ISNUMBER(SEARCH("R141",G361))*141,0))</f>
        <v/>
      </c>
      <c r="V361" s="59">
        <f>IF(A361="","",IF(K361&lt;&gt;"",K361,J361))</f>
        <v/>
      </c>
      <c r="W361" s="59">
        <f>IF(A361="","",IF(AND(V361=29,O361&lt;&gt;"",COUNTIFS($V$6:$V$505,29,$F$6:$F$505,F361,$C$6:$C$505,C361,$O$6:$O$505,"&lt;&gt;")&gt;1),IF(COUNTIFS($V$6:V361,29,$F$6:F361,F361,$C$6:C361,C361,$O$6:O361,"&lt;&gt;")=1,"Esta es la fila que se debe CONSERVAR (aparición 1 de "&amp;COUNTIFS($V$6:$V$505,29,$F$6:$F$505,F361,$C$6:$C$505,C361,$O$6:$O$505,"&lt;&gt;")&amp;" con el mismo tercero y valor, casilla 29). Si hay más filas iguales, bórreles el valor a ELLAS, no a esta.","DUPLICADO — ya existe otra fila con el mismo tercero y valor para casilla 29 (aparición "&amp;COUNTIFS($V$6:V361,29,$F$6:F361,F361,$C$6:C361,C361,$O$6:O361,"&lt;&gt;")&amp;" de "&amp;COUNTIFS($V$6:$V$505,29,$F$6:$F$505,F361,$C$6:$C$505,C361,$O$6:$O$505,"&lt;&gt;")&amp;"). Para resolverlo: seleccione la celda O"&amp;ROW()&amp;" (columna Valor a declarar de ESTA fila) y presione Supr."),""))</f>
        <v/>
      </c>
      <c r="X361" s="463">
        <f>IF(A361="","",F361)</f>
        <v/>
      </c>
      <c r="Y361" s="463">
        <f>IF(A361="","",SUMIF(Entrada_Manual!$I$88:$I$187,A361,Entrada_Manual!$F$88:$F$187))</f>
        <v/>
      </c>
      <c r="Z361" s="463">
        <f>IF(A361="","",X361-Y361)</f>
        <v/>
      </c>
      <c r="AA361">
        <f>IF(A361="","",SUMPRODUCT((Entrada_Manual!$I$88:$I$187=A361)*1))</f>
        <v/>
      </c>
      <c r="AB361">
        <f>IF(A361="","",IF(S361&lt;=1,"",IF(AA361=0,"PENDIENTE — SIN ASIGNAR",IF(Z361=0,"RESUELTO","PARCIAL — DIFERENCIA "&amp;TEXT(Z361,"#,##0")))))</f>
        <v/>
      </c>
    </row>
    <row r="362" ht="14.25" customHeight="1" s="235">
      <c r="A362" s="47">
        <f>IF(Exogena_RAW!E371&lt;&gt;"",ROW()-5,"")</f>
        <v/>
      </c>
      <c r="B362" s="48">
        <f>IF(A362="","",371)</f>
        <v/>
      </c>
      <c r="C362" s="48">
        <f>IF(A362="","",IFERROR(Exogena_RAW!A371,""))</f>
        <v/>
      </c>
      <c r="D362" s="48">
        <f>IF(A362="","",IFERROR(Exogena_RAW!B371,""))</f>
        <v/>
      </c>
      <c r="E362" s="48">
        <f>IF(A362="","",Exogena_RAW!E371)</f>
        <v/>
      </c>
      <c r="F362" s="461">
        <f>IF(A362="","",Exogena_RAW!F371)</f>
        <v/>
      </c>
      <c r="G362" s="48">
        <f>IF(A362="","",IFERROR(Exogena_RAW!G371,""))</f>
        <v/>
      </c>
      <c r="H362" s="48">
        <f>IF(A362="","",IFERROR(Exogena_RAW!H371,""))</f>
        <v/>
      </c>
      <c r="I362" s="48">
        <f>IF(A362="","",IFERROR(IF(S362&gt;1,"VARIAS CASILLAS",IF(S362=1,IF(T362=1,"PROPUESTA DE CASILLA","REVISIÓN: CASILLA NO DIRECTA"),IF(OR(ISNUMBER(SEARCH("TOPE",UPPER(E362))),ISNUMBER(SEARCH("TOPE",UPPER(G362)))),"SOLO CONTROL",IF(ISNUMBER(SEARCH("RETEN",UPPER(E362))),"RETENCIÓN","REVISAR")))),"REVISAR"))</f>
        <v/>
      </c>
      <c r="J362" s="48">
        <f>IF(A362="","",IF(ISNUMBER(SEARCH("ingreso laboral promedio de los últimos seis meses",E362)),"",IFERROR(IF(AND(S362=1,T362=1),U362,""),"")))</f>
        <v/>
      </c>
      <c r="K362" s="216" t="n"/>
      <c r="L362" s="48">
        <f>IF(A362="","",IFERROR(IF(K362&lt;&gt;"","Casilla elegida por usuario",IF(S362&gt;1,"Varias casillas — elegir en K",IF(J362&lt;&gt;"","Sugerencia directa",IF(S362=1,"No trasladar directo — revisar",IF(OR(ISNUMBER(SEARCH("TOPE",UPPER(E362))),ISNUMBER(SEARCH("TOPE",UPPER(G362)))),"Solo control","Revisar manualmente"))))),"Revisar manualmente"))</f>
        <v/>
      </c>
      <c r="M362" s="461">
        <f>IF(A362="","",IF(IF(K362&lt;&gt;"",K362,J362)="",0,IF(COUNTIFS(Reglas!$I$5:$I$118,IF(K362&lt;&gt;"",K362,J362),Reglas!$J$5:$J$118,"Sí")=1,F362,0)))</f>
        <v/>
      </c>
      <c r="N362" s="56" t="n"/>
      <c r="O362" s="462">
        <f>IF(A362="","",IF(M362=0,"",M362))</f>
        <v/>
      </c>
      <c r="P362" s="461">
        <f>IF(A362="","",IF(O362="",0,IF(ISNUMBER(O362),O362,0)))</f>
        <v/>
      </c>
      <c r="Q362" s="48">
        <f>IF(A362="","",IF(Exogena_RAW!$C$4="","BLOQUEADO: FALTA AÑO",IF(Exogena_RAW!$K$10&lt;&gt;Reglas!$B$5,"BLOQUEADO: AÑO",IF(IF(K362&lt;&gt;"",K362,J362)="",IF(S362&gt;1,"REQUIERE ASIGNACIÓN MANUAL (VARIAS CASILLAS)","INFORMATIVO (sin casilla — no se declara)"),IF(COUNTIFS(Reglas!$I$5:$I$118,IF(K362&lt;&gt;"",K362,J362),Reglas!$J$5:$J$118,"Sí")=0,"BLOQUEADO: CASILLA NO DIRECTA",IF(O362="","EXCLUIDO (valor borrado por el usuario)",IF(_xlfn.ISFORMULA(O362),IF(W362&lt;&gt;"","BORRADOR — VALOR SUGERIDO DIAN ⚠ VER ALERTA","BORRADOR — VALOR SUGERIDO DIAN"),IF(W362&lt;&gt;"","ACEPTADO ⚠ VER ALERTA","ACEPTADO"))))))))</f>
        <v/>
      </c>
      <c r="R362" s="218" t="n"/>
      <c r="S362" s="58">
        <f>IF(A362="","",IFERROR(--ISNUMBER(SEARCH("R28",G362)),0)+IFERROR(--ISNUMBER(SEARCH("R29",G362)),0)+IFERROR(--ISNUMBER(SEARCH("R30",G362)),0)+IFERROR(--ISNUMBER(SEARCH("R31",G362)),0)+IFERROR(--ISNUMBER(SEARCH("R32",G362)),0)+IFERROR(--ISNUMBER(SEARCH("R33",G362)),0)+IFERROR(--ISNUMBER(SEARCH("R34",G362)),0)+IFERROR(--ISNUMBER(SEARCH("R35",G362)),0)+IFERROR(--ISNUMBER(SEARCH("R36",G362)),0)+IFERROR(--ISNUMBER(SEARCH("R37",G362)),0)+IFERROR(--ISNUMBER(SEARCH("R38",G362)),0)+IFERROR(--ISNUMBER(SEARCH("R39",G362)),0)+IFERROR(--ISNUMBER(SEARCH("R40",G362)),0)+IFERROR(--ISNUMBER(SEARCH("R41",G362)),0)+IFERROR(--ISNUMBER(SEARCH("R42",G362)),0)+IFERROR(--ISNUMBER(SEARCH("R43",G362)),0)+IFERROR(--ISNUMBER(SEARCH("R44",G362)),0)+IFERROR(--ISNUMBER(SEARCH("R45",G362)),0)+IFERROR(--ISNUMBER(SEARCH("R46",G362)),0)+IFERROR(--ISNUMBER(SEARCH("R47",G362)),0)+IFERROR(--ISNUMBER(SEARCH("R48",G362)),0)+IFERROR(--ISNUMBER(SEARCH("R49",G362)),0)+IFERROR(--ISNUMBER(SEARCH("R50",G362)),0)+IFERROR(--ISNUMBER(SEARCH("R51",G362)),0)+IFERROR(--ISNUMBER(SEARCH("R52",G362)),0)+IFERROR(--ISNUMBER(SEARCH("R53",G362)),0)+IFERROR(--ISNUMBER(SEARCH("R54",G362)),0)+IFERROR(--ISNUMBER(SEARCH("R55",G362)),0)+IFERROR(--ISNUMBER(SEARCH("R56",G362)),0)+IFERROR(--ISNUMBER(SEARCH("R57",G362)),0)+IFERROR(--ISNUMBER(SEARCH("R58",G362)),0)+IFERROR(--ISNUMBER(SEARCH("R59",G362)),0)+IFERROR(--ISNUMBER(SEARCH("R60",G362)),0)+IFERROR(--ISNUMBER(SEARCH("R61",G362)),0)+IFERROR(--ISNUMBER(SEARCH("R62",G362)),0)+IFERROR(--ISNUMBER(SEARCH("R63",G362)),0)+IFERROR(--ISNUMBER(SEARCH("R64",G362)),0)+IFERROR(--ISNUMBER(SEARCH("R65",G362)),0)+IFERROR(--ISNUMBER(SEARCH("R66",G362)),0)+IFERROR(--ISNUMBER(SEARCH("R67",G362)),0)+IFERROR(--ISNUMBER(SEARCH("R68",G362)),0)+IFERROR(--ISNUMBER(SEARCH("R69",G362)),0)+IFERROR(--ISNUMBER(SEARCH("R70",G362)),0)+IFERROR(--ISNUMBER(SEARCH("R71",G362)),0)+IFERROR(--ISNUMBER(SEARCH("R72",G362)),0)+IFERROR(--ISNUMBER(SEARCH("R73",G362)),0)+IFERROR(--ISNUMBER(SEARCH("R74",G362)),0)+IFERROR(--ISNUMBER(SEARCH("R75",G362)),0)+IFERROR(--ISNUMBER(SEARCH("R76",G362)),0)+IFERROR(--ISNUMBER(SEARCH("R77",G362)),0)+IFERROR(--ISNUMBER(SEARCH("R78",G362)),0)+IFERROR(--ISNUMBER(SEARCH("R79",G362)),0)+IFERROR(--ISNUMBER(SEARCH("R80",G362)),0)+IFERROR(--ISNUMBER(SEARCH("R81",G362)),0)+IFERROR(--ISNUMBER(SEARCH("R82",G362)),0)+IFERROR(--ISNUMBER(SEARCH("R83",G362)),0)+IFERROR(--ISNUMBER(SEARCH("R84",G362)),0)+IFERROR(--ISNUMBER(SEARCH("R85",G362)),0)+IFERROR(--ISNUMBER(SEARCH("R86",G362)),0)+IFERROR(--ISNUMBER(SEARCH("R87",G362)),0)+IFERROR(--ISNUMBER(SEARCH("R88",G362)),0)+IFERROR(--ISNUMBER(SEARCH("R89",G362)),0)+IFERROR(--ISNUMBER(SEARCH("R90",G362)),0)+IFERROR(--ISNUMBER(SEARCH("R91",G362)),0)+IFERROR(--ISNUMBER(SEARCH("R92",G362)),0)+IFERROR(--ISNUMBER(SEARCH("R93",G362)),0)+IFERROR(--ISNUMBER(SEARCH("R94",G362)),0)+IFERROR(--ISNUMBER(SEARCH("R95",G362)),0)+IFERROR(--ISNUMBER(SEARCH("R96",G362)),0)+IFERROR(--ISNUMBER(SEARCH("R97",G362)),0)+IFERROR(--ISNUMBER(SEARCH("R98",G362)),0)+IFERROR(--ISNUMBER(SEARCH("R99",G362)),0)+IFERROR(--ISNUMBER(SEARCH("R100",G362)),0)+IFERROR(--ISNUMBER(SEARCH("R101",G362)),0)+IFERROR(--ISNUMBER(SEARCH("R102",G362)),0)+IFERROR(--ISNUMBER(SEARCH("R103",G362)),0)+IFERROR(--ISNUMBER(SEARCH("R104",G362)),0)+IFERROR(--ISNUMBER(SEARCH("R105",G362)),0)+IFERROR(--ISNUMBER(SEARCH("R106",G362)),0)+IFERROR(--ISNUMBER(SEARCH("R107",G362)),0)+IFERROR(--ISNUMBER(SEARCH("R108",G362)),0)+IFERROR(--ISNUMBER(SEARCH("R109",G362)),0)+IFERROR(--ISNUMBER(SEARCH("R110",G362)),0)+IFERROR(--ISNUMBER(SEARCH("R111",G362)),0)+IFERROR(--ISNUMBER(SEARCH("R112",G362)),0)+IFERROR(--ISNUMBER(SEARCH("R113",G362)),0)+IFERROR(--ISNUMBER(SEARCH("R114",G362)),0)+IFERROR(--ISNUMBER(SEARCH("R115",G362)),0)+IFERROR(--ISNUMBER(SEARCH("R116",G362)),0)+IFERROR(--ISNUMBER(SEARCH("R117",G362)),0)+IFERROR(--ISNUMBER(SEARCH("R118",G362)),0)+IFERROR(--ISNUMBER(SEARCH("R119",G362)),0)+IFERROR(--ISNUMBER(SEARCH("R120",G362)),0)+IFERROR(--ISNUMBER(SEARCH("R121",G362)),0)+IFERROR(--ISNUMBER(SEARCH("R122",G362)),0)+IFERROR(--ISNUMBER(SEARCH("R123",G362)),0)+IFERROR(--ISNUMBER(SEARCH("R124",G362)),0)+IFERROR(--ISNUMBER(SEARCH("R125",G362)),0)+IFERROR(--ISNUMBER(SEARCH("R126",G362)),0)+IFERROR(--ISNUMBER(SEARCH("R127",G362)),0)+IFERROR(--ISNUMBER(SEARCH("R128",G362)),0)+IFERROR(--ISNUMBER(SEARCH("R129",G362)),0)+IFERROR(--ISNUMBER(SEARCH("R130",G362)),0)+IFERROR(--ISNUMBER(SEARCH("R131",G362)),0)+IFERROR(--ISNUMBER(SEARCH("R132",G362)),0)+IFERROR(--ISNUMBER(SEARCH("R133",G362)),0)+IFERROR(--ISNUMBER(SEARCH("R134",G362)),0)+IFERROR(--ISNUMBER(SEARCH("R135",G362)),0)+IFERROR(--ISNUMBER(SEARCH("R136",G362)),0)+IFERROR(--ISNUMBER(SEARCH("R137",G362)),0)+IFERROR(--ISNUMBER(SEARCH("R138",G362)),0)+IFERROR(--ISNUMBER(SEARCH("R139",G362)),0)+IFERROR(--ISNUMBER(SEARCH("R140",G362)),0)+IFERROR(--ISNUMBER(SEARCH("R141",G362)),0))</f>
        <v/>
      </c>
      <c r="T362" s="58">
        <f>IF(A362="","",IFERROR(--ISNUMBER(SEARCH("R28",G362)),0)+IFERROR(--ISNUMBER(SEARCH("R29",G362)),0)+IFERROR(--ISNUMBER(SEARCH("R30",G362)),0)+IFERROR(--ISNUMBER(SEARCH("R32",G362)),0)+IFERROR(--ISNUMBER(SEARCH("R33",G362)),0)+IFERROR(--ISNUMBER(SEARCH("R35",G362)),0)+IFERROR(--ISNUMBER(SEARCH("R36",G362)),0)+IFERROR(--ISNUMBER(SEARCH("R38",G362)),0)+IFERROR(--ISNUMBER(SEARCH("R39",G362)),0)+IFERROR(--ISNUMBER(SEARCH("R43",G362)),0)+IFERROR(--ISNUMBER(SEARCH("R44",G362)),0)+IFERROR(--ISNUMBER(SEARCH("R45",G362)),0)+IFERROR(--ISNUMBER(SEARCH("R47",G362)),0)+IFERROR(--ISNUMBER(SEARCH("R48",G362)),0)+IFERROR(--ISNUMBER(SEARCH("R50",G362)),0)+IFERROR(--ISNUMBER(SEARCH("R51",G362)),0)+IFERROR(--ISNUMBER(SEARCH("R56",G362)),0)+IFERROR(--ISNUMBER(SEARCH("R58",G362)),0)+IFERROR(--ISNUMBER(SEARCH("R59",G362)),0)+IFERROR(--ISNUMBER(SEARCH("R60",G362)),0)+IFERROR(--ISNUMBER(SEARCH("R62",G362)),0)+IFERROR(--ISNUMBER(SEARCH("R63",G362)),0)+IFERROR(--ISNUMBER(SEARCH("R64",G362)),0)+IFERROR(--ISNUMBER(SEARCH("R66",G362)),0)+IFERROR(--ISNUMBER(SEARCH("R67",G362)),0)+IFERROR(--ISNUMBER(SEARCH("R72",G362)),0)+IFERROR(--ISNUMBER(SEARCH("R74",G362)),0)+IFERROR(--ISNUMBER(SEARCH("R75",G362)),0)+IFERROR(--ISNUMBER(SEARCH("R76",G362)),0)+IFERROR(--ISNUMBER(SEARCH("R77",G362)),0)+IFERROR(--ISNUMBER(SEARCH("R79",G362)),0)+IFERROR(--ISNUMBER(SEARCH("R80",G362)),0)+IFERROR(--ISNUMBER(SEARCH("R81",G362)),0)+IFERROR(--ISNUMBER(SEARCH("R83",G362)),0)+IFERROR(--ISNUMBER(SEARCH("R84",G362)),0)+IFERROR(--ISNUMBER(SEARCH("R89",G362)),0)+IFERROR(--ISNUMBER(SEARCH("R94",G362)),0)+IFERROR(--ISNUMBER(SEARCH("R95",G362)),0)+IFERROR(--ISNUMBER(SEARCH("R96",G362)),0)+IFERROR(--ISNUMBER(SEARCH("R98",G362)),0)+IFERROR(--ISNUMBER(SEARCH("R99",G362)),0)+IFERROR(--ISNUMBER(SEARCH("R100",G362)),0)+IFERROR(--ISNUMBER(SEARCH("R104",G362)),0)+IFERROR(--ISNUMBER(SEARCH("R105",G362)),0)+IFERROR(--ISNUMBER(SEARCH("R107",G362)),0)+IFERROR(--ISNUMBER(SEARCH("R108",G362)),0)+IFERROR(--ISNUMBER(SEARCH("R109",G362)),0)+IFERROR(--ISNUMBER(SEARCH("R110",G362)),0)+IFERROR(--ISNUMBER(SEARCH("R112",G362)),0)+IFERROR(--ISNUMBER(SEARCH("R113",G362)),0)+IFERROR(--ISNUMBER(SEARCH("R114",G362)),0)+IFERROR(--ISNUMBER(SEARCH("R118",G362)),0)+IFERROR(--ISNUMBER(SEARCH("R119",G362)),0)+IFERROR(--ISNUMBER(SEARCH("R120",G362)),0)+IFERROR(--ISNUMBER(SEARCH("R122",G362)),0)+IFERROR(--ISNUMBER(SEARCH("R123",G362)),0)+IFERROR(--ISNUMBER(SEARCH("R124",G362)),0)+IFERROR(--ISNUMBER(SEARCH("R128",G362)),0)+IFERROR(--ISNUMBER(SEARCH("R130",G362)),0)+IFERROR(--ISNUMBER(SEARCH("R131",G362)),0)+IFERROR(--ISNUMBER(SEARCH("R132",G362)),0)+IFERROR(--ISNUMBER(SEARCH("R135",G362)),0)+IFERROR(--ISNUMBER(SEARCH("R138",G362)),0)+IFERROR(--ISNUMBER(SEARCH("R141",G362)),0))</f>
        <v/>
      </c>
      <c r="U362" s="58">
        <f>IF(A362="","",IFERROR(--ISNUMBER(SEARCH("R28",G362))*28,0)+IFERROR(--ISNUMBER(SEARCH("R29",G362))*29,0)+IFERROR(--ISNUMBER(SEARCH("R30",G362))*30,0)+IFERROR(--ISNUMBER(SEARCH("R31",G362))*31,0)+IFERROR(--ISNUMBER(SEARCH("R32",G362))*32,0)+IFERROR(--ISNUMBER(SEARCH("R33",G362))*33,0)+IFERROR(--ISNUMBER(SEARCH("R34",G362))*34,0)+IFERROR(--ISNUMBER(SEARCH("R35",G362))*35,0)+IFERROR(--ISNUMBER(SEARCH("R36",G362))*36,0)+IFERROR(--ISNUMBER(SEARCH("R37",G362))*37,0)+IFERROR(--ISNUMBER(SEARCH("R38",G362))*38,0)+IFERROR(--ISNUMBER(SEARCH("R39",G362))*39,0)+IFERROR(--ISNUMBER(SEARCH("R40",G362))*40,0)+IFERROR(--ISNUMBER(SEARCH("R41",G362))*41,0)+IFERROR(--ISNUMBER(SEARCH("R42",G362))*42,0)+IFERROR(--ISNUMBER(SEARCH("R43",G362))*43,0)+IFERROR(--ISNUMBER(SEARCH("R44",G362))*44,0)+IFERROR(--ISNUMBER(SEARCH("R45",G362))*45,0)+IFERROR(--ISNUMBER(SEARCH("R46",G362))*46,0)+IFERROR(--ISNUMBER(SEARCH("R47",G362))*47,0)+IFERROR(--ISNUMBER(SEARCH("R48",G362))*48,0)+IFERROR(--ISNUMBER(SEARCH("R49",G362))*49,0)+IFERROR(--ISNUMBER(SEARCH("R50",G362))*50,0)+IFERROR(--ISNUMBER(SEARCH("R51",G362))*51,0)+IFERROR(--ISNUMBER(SEARCH("R52",G362))*52,0)+IFERROR(--ISNUMBER(SEARCH("R53",G362))*53,0)+IFERROR(--ISNUMBER(SEARCH("R54",G362))*54,0)+IFERROR(--ISNUMBER(SEARCH("R55",G362))*55,0)+IFERROR(--ISNUMBER(SEARCH("R56",G362))*56,0)+IFERROR(--ISNUMBER(SEARCH("R57",G362))*57,0)+IFERROR(--ISNUMBER(SEARCH("R58",G362))*58,0)+IFERROR(--ISNUMBER(SEARCH("R59",G362))*59,0)+IFERROR(--ISNUMBER(SEARCH("R60",G362))*60,0)+IFERROR(--ISNUMBER(SEARCH("R61",G362))*61,0)+IFERROR(--ISNUMBER(SEARCH("R62",G362))*62,0)+IFERROR(--ISNUMBER(SEARCH("R63",G362))*63,0)+IFERROR(--ISNUMBER(SEARCH("R64",G362))*64,0)+IFERROR(--ISNUMBER(SEARCH("R65",G362))*65,0)+IFERROR(--ISNUMBER(SEARCH("R66",G362))*66,0)+IFERROR(--ISNUMBER(SEARCH("R67",G362))*67,0)+IFERROR(--ISNUMBER(SEARCH("R68",G362))*68,0)+IFERROR(--ISNUMBER(SEARCH("R69",G362))*69,0)+IFERROR(--ISNUMBER(SEARCH("R70",G362))*70,0)+IFERROR(--ISNUMBER(SEARCH("R71",G362))*71,0)+IFERROR(--ISNUMBER(SEARCH("R72",G362))*72,0)+IFERROR(--ISNUMBER(SEARCH("R73",G362))*73,0)+IFERROR(--ISNUMBER(SEARCH("R74",G362))*74,0)+IFERROR(--ISNUMBER(SEARCH("R75",G362))*75,0)+IFERROR(--ISNUMBER(SEARCH("R76",G362))*76,0)+IFERROR(--ISNUMBER(SEARCH("R77",G362))*77,0)+IFERROR(--ISNUMBER(SEARCH("R78",G362))*78,0)+IFERROR(--ISNUMBER(SEARCH("R79",G362))*79,0)+IFERROR(--ISNUMBER(SEARCH("R80",G362))*80,0)+IFERROR(--ISNUMBER(SEARCH("R81",G362))*81,0)+IFERROR(--ISNUMBER(SEARCH("R82",G362))*82,0)+IFERROR(--ISNUMBER(SEARCH("R83",G362))*83,0)+IFERROR(--ISNUMBER(SEARCH("R84",G362))*84,0)+IFERROR(--ISNUMBER(SEARCH("R85",G362))*85,0)+IFERROR(--ISNUMBER(SEARCH("R86",G362))*86,0)+IFERROR(--ISNUMBER(SEARCH("R87",G362))*87,0)+IFERROR(--ISNUMBER(SEARCH("R88",G362))*88,0)+IFERROR(--ISNUMBER(SEARCH("R89",G362))*89,0)+IFERROR(--ISNUMBER(SEARCH("R90",G362))*90,0)+IFERROR(--ISNUMBER(SEARCH("R91",G362))*91,0)+IFERROR(--ISNUMBER(SEARCH("R92",G362))*92,0)+IFERROR(--ISNUMBER(SEARCH("R93",G362))*93,0)+IFERROR(--ISNUMBER(SEARCH("R94",G362))*94,0)+IFERROR(--ISNUMBER(SEARCH("R95",G362))*95,0)+IFERROR(--ISNUMBER(SEARCH("R96",G362))*96,0)+IFERROR(--ISNUMBER(SEARCH("R97",G362))*97,0)+IFERROR(--ISNUMBER(SEARCH("R98",G362))*98,0)+IFERROR(--ISNUMBER(SEARCH("R99",G362))*99,0)+IFERROR(--ISNUMBER(SEARCH("R100",G362))*100,0)+IFERROR(--ISNUMBER(SEARCH("R101",G362))*101,0)+IFERROR(--ISNUMBER(SEARCH("R102",G362))*102,0)+IFERROR(--ISNUMBER(SEARCH("R103",G362))*103,0)+IFERROR(--ISNUMBER(SEARCH("R104",G362))*104,0)+IFERROR(--ISNUMBER(SEARCH("R105",G362))*105,0)+IFERROR(--ISNUMBER(SEARCH("R106",G362))*106,0)+IFERROR(--ISNUMBER(SEARCH("R107",G362))*107,0)+IFERROR(--ISNUMBER(SEARCH("R108",G362))*108,0)+IFERROR(--ISNUMBER(SEARCH("R109",G362))*109,0)+IFERROR(--ISNUMBER(SEARCH("R110",G362))*110,0)+IFERROR(--ISNUMBER(SEARCH("R111",G362))*111,0)+IFERROR(--ISNUMBER(SEARCH("R112",G362))*112,0)+IFERROR(--ISNUMBER(SEARCH("R113",G362))*113,0)+IFERROR(--ISNUMBER(SEARCH("R114",G362))*114,0)+IFERROR(--ISNUMBER(SEARCH("R115",G362))*115,0)+IFERROR(--ISNUMBER(SEARCH("R116",G362))*116,0)+IFERROR(--ISNUMBER(SEARCH("R117",G362))*117,0)+IFERROR(--ISNUMBER(SEARCH("R118",G362))*118,0)+IFERROR(--ISNUMBER(SEARCH("R119",G362))*119,0)+IFERROR(--ISNUMBER(SEARCH("R120",G362))*120,0)+IFERROR(--ISNUMBER(SEARCH("R121",G362))*121,0)+IFERROR(--ISNUMBER(SEARCH("R122",G362))*122,0)+IFERROR(--ISNUMBER(SEARCH("R123",G362))*123,0)+IFERROR(--ISNUMBER(SEARCH("R124",G362))*124,0)+IFERROR(--ISNUMBER(SEARCH("R125",G362))*125,0)+IFERROR(--ISNUMBER(SEARCH("R126",G362))*126,0)+IFERROR(--ISNUMBER(SEARCH("R127",G362))*127,0)+IFERROR(--ISNUMBER(SEARCH("R128",G362))*128,0)+IFERROR(--ISNUMBER(SEARCH("R129",G362))*129,0)+IFERROR(--ISNUMBER(SEARCH("R130",G362))*130,0)+IFERROR(--ISNUMBER(SEARCH("R131",G362))*131,0)+IFERROR(--ISNUMBER(SEARCH("R132",G362))*132,0)+IFERROR(--ISNUMBER(SEARCH("R133",G362))*133,0)+IFERROR(--ISNUMBER(SEARCH("R134",G362))*134,0)+IFERROR(--ISNUMBER(SEARCH("R135",G362))*135,0)+IFERROR(--ISNUMBER(SEARCH("R136",G362))*136,0)+IFERROR(--ISNUMBER(SEARCH("R137",G362))*137,0)+IFERROR(--ISNUMBER(SEARCH("R138",G362))*138,0)+IFERROR(--ISNUMBER(SEARCH("R139",G362))*139,0)+IFERROR(--ISNUMBER(SEARCH("R140",G362))*140,0)+IFERROR(--ISNUMBER(SEARCH("R141",G362))*141,0))</f>
        <v/>
      </c>
      <c r="V362" s="59">
        <f>IF(A362="","",IF(K362&lt;&gt;"",K362,J362))</f>
        <v/>
      </c>
      <c r="W362" s="59">
        <f>IF(A362="","",IF(AND(V362=29,O362&lt;&gt;"",COUNTIFS($V$6:$V$505,29,$F$6:$F$505,F362,$C$6:$C$505,C362,$O$6:$O$505,"&lt;&gt;")&gt;1),IF(COUNTIFS($V$6:V362,29,$F$6:F362,F362,$C$6:C362,C362,$O$6:O362,"&lt;&gt;")=1,"Esta es la fila que se debe CONSERVAR (aparición 1 de "&amp;COUNTIFS($V$6:$V$505,29,$F$6:$F$505,F362,$C$6:$C$505,C362,$O$6:$O$505,"&lt;&gt;")&amp;" con el mismo tercero y valor, casilla 29). Si hay más filas iguales, bórreles el valor a ELLAS, no a esta.","DUPLICADO — ya existe otra fila con el mismo tercero y valor para casilla 29 (aparición "&amp;COUNTIFS($V$6:V362,29,$F$6:F362,F362,$C$6:C362,C362,$O$6:O362,"&lt;&gt;")&amp;" de "&amp;COUNTIFS($V$6:$V$505,29,$F$6:$F$505,F362,$C$6:$C$505,C362,$O$6:$O$505,"&lt;&gt;")&amp;"). Para resolverlo: seleccione la celda O"&amp;ROW()&amp;" (columna Valor a declarar de ESTA fila) y presione Supr."),""))</f>
        <v/>
      </c>
      <c r="X362" s="463">
        <f>IF(A362="","",F362)</f>
        <v/>
      </c>
      <c r="Y362" s="463">
        <f>IF(A362="","",SUMIF(Entrada_Manual!$I$88:$I$187,A362,Entrada_Manual!$F$88:$F$187))</f>
        <v/>
      </c>
      <c r="Z362" s="463">
        <f>IF(A362="","",X362-Y362)</f>
        <v/>
      </c>
      <c r="AA362">
        <f>IF(A362="","",SUMPRODUCT((Entrada_Manual!$I$88:$I$187=A362)*1))</f>
        <v/>
      </c>
      <c r="AB362">
        <f>IF(A362="","",IF(S362&lt;=1,"",IF(AA362=0,"PENDIENTE — SIN ASIGNAR",IF(Z362=0,"RESUELTO","PARCIAL — DIFERENCIA "&amp;TEXT(Z362,"#,##0")))))</f>
        <v/>
      </c>
    </row>
    <row r="363" ht="14.25" customHeight="1" s="235">
      <c r="A363" s="47">
        <f>IF(Exogena_RAW!E372&lt;&gt;"",ROW()-5,"")</f>
        <v/>
      </c>
      <c r="B363" s="48">
        <f>IF(A363="","",372)</f>
        <v/>
      </c>
      <c r="C363" s="48">
        <f>IF(A363="","",IFERROR(Exogena_RAW!A372,""))</f>
        <v/>
      </c>
      <c r="D363" s="48">
        <f>IF(A363="","",IFERROR(Exogena_RAW!B372,""))</f>
        <v/>
      </c>
      <c r="E363" s="48">
        <f>IF(A363="","",Exogena_RAW!E372)</f>
        <v/>
      </c>
      <c r="F363" s="461">
        <f>IF(A363="","",Exogena_RAW!F372)</f>
        <v/>
      </c>
      <c r="G363" s="48">
        <f>IF(A363="","",IFERROR(Exogena_RAW!G372,""))</f>
        <v/>
      </c>
      <c r="H363" s="48">
        <f>IF(A363="","",IFERROR(Exogena_RAW!H372,""))</f>
        <v/>
      </c>
      <c r="I363" s="48">
        <f>IF(A363="","",IFERROR(IF(S363&gt;1,"VARIAS CASILLAS",IF(S363=1,IF(T363=1,"PROPUESTA DE CASILLA","REVISIÓN: CASILLA NO DIRECTA"),IF(OR(ISNUMBER(SEARCH("TOPE",UPPER(E363))),ISNUMBER(SEARCH("TOPE",UPPER(G363)))),"SOLO CONTROL",IF(ISNUMBER(SEARCH("RETEN",UPPER(E363))),"RETENCIÓN","REVISAR")))),"REVISAR"))</f>
        <v/>
      </c>
      <c r="J363" s="48">
        <f>IF(A363="","",IF(ISNUMBER(SEARCH("ingreso laboral promedio de los últimos seis meses",E363)),"",IFERROR(IF(AND(S363=1,T363=1),U363,""),"")))</f>
        <v/>
      </c>
      <c r="K363" s="216" t="n"/>
      <c r="L363" s="48">
        <f>IF(A363="","",IFERROR(IF(K363&lt;&gt;"","Casilla elegida por usuario",IF(S363&gt;1,"Varias casillas — elegir en K",IF(J363&lt;&gt;"","Sugerencia directa",IF(S363=1,"No trasladar directo — revisar",IF(OR(ISNUMBER(SEARCH("TOPE",UPPER(E363))),ISNUMBER(SEARCH("TOPE",UPPER(G363)))),"Solo control","Revisar manualmente"))))),"Revisar manualmente"))</f>
        <v/>
      </c>
      <c r="M363" s="461">
        <f>IF(A363="","",IF(IF(K363&lt;&gt;"",K363,J363)="",0,IF(COUNTIFS(Reglas!$I$5:$I$118,IF(K363&lt;&gt;"",K363,J363),Reglas!$J$5:$J$118,"Sí")=1,F363,0)))</f>
        <v/>
      </c>
      <c r="N363" s="56" t="n"/>
      <c r="O363" s="462">
        <f>IF(A363="","",IF(M363=0,"",M363))</f>
        <v/>
      </c>
      <c r="P363" s="461">
        <f>IF(A363="","",IF(O363="",0,IF(ISNUMBER(O363),O363,0)))</f>
        <v/>
      </c>
      <c r="Q363" s="48">
        <f>IF(A363="","",IF(Exogena_RAW!$C$4="","BLOQUEADO: FALTA AÑO",IF(Exogena_RAW!$K$10&lt;&gt;Reglas!$B$5,"BLOQUEADO: AÑO",IF(IF(K363&lt;&gt;"",K363,J363)="",IF(S363&gt;1,"REQUIERE ASIGNACIÓN MANUAL (VARIAS CASILLAS)","INFORMATIVO (sin casilla — no se declara)"),IF(COUNTIFS(Reglas!$I$5:$I$118,IF(K363&lt;&gt;"",K363,J363),Reglas!$J$5:$J$118,"Sí")=0,"BLOQUEADO: CASILLA NO DIRECTA",IF(O363="","EXCLUIDO (valor borrado por el usuario)",IF(_xlfn.ISFORMULA(O363),IF(W363&lt;&gt;"","BORRADOR — VALOR SUGERIDO DIAN ⚠ VER ALERTA","BORRADOR — VALOR SUGERIDO DIAN"),IF(W363&lt;&gt;"","ACEPTADO ⚠ VER ALERTA","ACEPTADO"))))))))</f>
        <v/>
      </c>
      <c r="R363" s="218" t="n"/>
      <c r="S363" s="58">
        <f>IF(A363="","",IFERROR(--ISNUMBER(SEARCH("R28",G363)),0)+IFERROR(--ISNUMBER(SEARCH("R29",G363)),0)+IFERROR(--ISNUMBER(SEARCH("R30",G363)),0)+IFERROR(--ISNUMBER(SEARCH("R31",G363)),0)+IFERROR(--ISNUMBER(SEARCH("R32",G363)),0)+IFERROR(--ISNUMBER(SEARCH("R33",G363)),0)+IFERROR(--ISNUMBER(SEARCH("R34",G363)),0)+IFERROR(--ISNUMBER(SEARCH("R35",G363)),0)+IFERROR(--ISNUMBER(SEARCH("R36",G363)),0)+IFERROR(--ISNUMBER(SEARCH("R37",G363)),0)+IFERROR(--ISNUMBER(SEARCH("R38",G363)),0)+IFERROR(--ISNUMBER(SEARCH("R39",G363)),0)+IFERROR(--ISNUMBER(SEARCH("R40",G363)),0)+IFERROR(--ISNUMBER(SEARCH("R41",G363)),0)+IFERROR(--ISNUMBER(SEARCH("R42",G363)),0)+IFERROR(--ISNUMBER(SEARCH("R43",G363)),0)+IFERROR(--ISNUMBER(SEARCH("R44",G363)),0)+IFERROR(--ISNUMBER(SEARCH("R45",G363)),0)+IFERROR(--ISNUMBER(SEARCH("R46",G363)),0)+IFERROR(--ISNUMBER(SEARCH("R47",G363)),0)+IFERROR(--ISNUMBER(SEARCH("R48",G363)),0)+IFERROR(--ISNUMBER(SEARCH("R49",G363)),0)+IFERROR(--ISNUMBER(SEARCH("R50",G363)),0)+IFERROR(--ISNUMBER(SEARCH("R51",G363)),0)+IFERROR(--ISNUMBER(SEARCH("R52",G363)),0)+IFERROR(--ISNUMBER(SEARCH("R53",G363)),0)+IFERROR(--ISNUMBER(SEARCH("R54",G363)),0)+IFERROR(--ISNUMBER(SEARCH("R55",G363)),0)+IFERROR(--ISNUMBER(SEARCH("R56",G363)),0)+IFERROR(--ISNUMBER(SEARCH("R57",G363)),0)+IFERROR(--ISNUMBER(SEARCH("R58",G363)),0)+IFERROR(--ISNUMBER(SEARCH("R59",G363)),0)+IFERROR(--ISNUMBER(SEARCH("R60",G363)),0)+IFERROR(--ISNUMBER(SEARCH("R61",G363)),0)+IFERROR(--ISNUMBER(SEARCH("R62",G363)),0)+IFERROR(--ISNUMBER(SEARCH("R63",G363)),0)+IFERROR(--ISNUMBER(SEARCH("R64",G363)),0)+IFERROR(--ISNUMBER(SEARCH("R65",G363)),0)+IFERROR(--ISNUMBER(SEARCH("R66",G363)),0)+IFERROR(--ISNUMBER(SEARCH("R67",G363)),0)+IFERROR(--ISNUMBER(SEARCH("R68",G363)),0)+IFERROR(--ISNUMBER(SEARCH("R69",G363)),0)+IFERROR(--ISNUMBER(SEARCH("R70",G363)),0)+IFERROR(--ISNUMBER(SEARCH("R71",G363)),0)+IFERROR(--ISNUMBER(SEARCH("R72",G363)),0)+IFERROR(--ISNUMBER(SEARCH("R73",G363)),0)+IFERROR(--ISNUMBER(SEARCH("R74",G363)),0)+IFERROR(--ISNUMBER(SEARCH("R75",G363)),0)+IFERROR(--ISNUMBER(SEARCH("R76",G363)),0)+IFERROR(--ISNUMBER(SEARCH("R77",G363)),0)+IFERROR(--ISNUMBER(SEARCH("R78",G363)),0)+IFERROR(--ISNUMBER(SEARCH("R79",G363)),0)+IFERROR(--ISNUMBER(SEARCH("R80",G363)),0)+IFERROR(--ISNUMBER(SEARCH("R81",G363)),0)+IFERROR(--ISNUMBER(SEARCH("R82",G363)),0)+IFERROR(--ISNUMBER(SEARCH("R83",G363)),0)+IFERROR(--ISNUMBER(SEARCH("R84",G363)),0)+IFERROR(--ISNUMBER(SEARCH("R85",G363)),0)+IFERROR(--ISNUMBER(SEARCH("R86",G363)),0)+IFERROR(--ISNUMBER(SEARCH("R87",G363)),0)+IFERROR(--ISNUMBER(SEARCH("R88",G363)),0)+IFERROR(--ISNUMBER(SEARCH("R89",G363)),0)+IFERROR(--ISNUMBER(SEARCH("R90",G363)),0)+IFERROR(--ISNUMBER(SEARCH("R91",G363)),0)+IFERROR(--ISNUMBER(SEARCH("R92",G363)),0)+IFERROR(--ISNUMBER(SEARCH("R93",G363)),0)+IFERROR(--ISNUMBER(SEARCH("R94",G363)),0)+IFERROR(--ISNUMBER(SEARCH("R95",G363)),0)+IFERROR(--ISNUMBER(SEARCH("R96",G363)),0)+IFERROR(--ISNUMBER(SEARCH("R97",G363)),0)+IFERROR(--ISNUMBER(SEARCH("R98",G363)),0)+IFERROR(--ISNUMBER(SEARCH("R99",G363)),0)+IFERROR(--ISNUMBER(SEARCH("R100",G363)),0)+IFERROR(--ISNUMBER(SEARCH("R101",G363)),0)+IFERROR(--ISNUMBER(SEARCH("R102",G363)),0)+IFERROR(--ISNUMBER(SEARCH("R103",G363)),0)+IFERROR(--ISNUMBER(SEARCH("R104",G363)),0)+IFERROR(--ISNUMBER(SEARCH("R105",G363)),0)+IFERROR(--ISNUMBER(SEARCH("R106",G363)),0)+IFERROR(--ISNUMBER(SEARCH("R107",G363)),0)+IFERROR(--ISNUMBER(SEARCH("R108",G363)),0)+IFERROR(--ISNUMBER(SEARCH("R109",G363)),0)+IFERROR(--ISNUMBER(SEARCH("R110",G363)),0)+IFERROR(--ISNUMBER(SEARCH("R111",G363)),0)+IFERROR(--ISNUMBER(SEARCH("R112",G363)),0)+IFERROR(--ISNUMBER(SEARCH("R113",G363)),0)+IFERROR(--ISNUMBER(SEARCH("R114",G363)),0)+IFERROR(--ISNUMBER(SEARCH("R115",G363)),0)+IFERROR(--ISNUMBER(SEARCH("R116",G363)),0)+IFERROR(--ISNUMBER(SEARCH("R117",G363)),0)+IFERROR(--ISNUMBER(SEARCH("R118",G363)),0)+IFERROR(--ISNUMBER(SEARCH("R119",G363)),0)+IFERROR(--ISNUMBER(SEARCH("R120",G363)),0)+IFERROR(--ISNUMBER(SEARCH("R121",G363)),0)+IFERROR(--ISNUMBER(SEARCH("R122",G363)),0)+IFERROR(--ISNUMBER(SEARCH("R123",G363)),0)+IFERROR(--ISNUMBER(SEARCH("R124",G363)),0)+IFERROR(--ISNUMBER(SEARCH("R125",G363)),0)+IFERROR(--ISNUMBER(SEARCH("R126",G363)),0)+IFERROR(--ISNUMBER(SEARCH("R127",G363)),0)+IFERROR(--ISNUMBER(SEARCH("R128",G363)),0)+IFERROR(--ISNUMBER(SEARCH("R129",G363)),0)+IFERROR(--ISNUMBER(SEARCH("R130",G363)),0)+IFERROR(--ISNUMBER(SEARCH("R131",G363)),0)+IFERROR(--ISNUMBER(SEARCH("R132",G363)),0)+IFERROR(--ISNUMBER(SEARCH("R133",G363)),0)+IFERROR(--ISNUMBER(SEARCH("R134",G363)),0)+IFERROR(--ISNUMBER(SEARCH("R135",G363)),0)+IFERROR(--ISNUMBER(SEARCH("R136",G363)),0)+IFERROR(--ISNUMBER(SEARCH("R137",G363)),0)+IFERROR(--ISNUMBER(SEARCH("R138",G363)),0)+IFERROR(--ISNUMBER(SEARCH("R139",G363)),0)+IFERROR(--ISNUMBER(SEARCH("R140",G363)),0)+IFERROR(--ISNUMBER(SEARCH("R141",G363)),0))</f>
        <v/>
      </c>
      <c r="T363" s="58">
        <f>IF(A363="","",IFERROR(--ISNUMBER(SEARCH("R28",G363)),0)+IFERROR(--ISNUMBER(SEARCH("R29",G363)),0)+IFERROR(--ISNUMBER(SEARCH("R30",G363)),0)+IFERROR(--ISNUMBER(SEARCH("R32",G363)),0)+IFERROR(--ISNUMBER(SEARCH("R33",G363)),0)+IFERROR(--ISNUMBER(SEARCH("R35",G363)),0)+IFERROR(--ISNUMBER(SEARCH("R36",G363)),0)+IFERROR(--ISNUMBER(SEARCH("R38",G363)),0)+IFERROR(--ISNUMBER(SEARCH("R39",G363)),0)+IFERROR(--ISNUMBER(SEARCH("R43",G363)),0)+IFERROR(--ISNUMBER(SEARCH("R44",G363)),0)+IFERROR(--ISNUMBER(SEARCH("R45",G363)),0)+IFERROR(--ISNUMBER(SEARCH("R47",G363)),0)+IFERROR(--ISNUMBER(SEARCH("R48",G363)),0)+IFERROR(--ISNUMBER(SEARCH("R50",G363)),0)+IFERROR(--ISNUMBER(SEARCH("R51",G363)),0)+IFERROR(--ISNUMBER(SEARCH("R56",G363)),0)+IFERROR(--ISNUMBER(SEARCH("R58",G363)),0)+IFERROR(--ISNUMBER(SEARCH("R59",G363)),0)+IFERROR(--ISNUMBER(SEARCH("R60",G363)),0)+IFERROR(--ISNUMBER(SEARCH("R62",G363)),0)+IFERROR(--ISNUMBER(SEARCH("R63",G363)),0)+IFERROR(--ISNUMBER(SEARCH("R64",G363)),0)+IFERROR(--ISNUMBER(SEARCH("R66",G363)),0)+IFERROR(--ISNUMBER(SEARCH("R67",G363)),0)+IFERROR(--ISNUMBER(SEARCH("R72",G363)),0)+IFERROR(--ISNUMBER(SEARCH("R74",G363)),0)+IFERROR(--ISNUMBER(SEARCH("R75",G363)),0)+IFERROR(--ISNUMBER(SEARCH("R76",G363)),0)+IFERROR(--ISNUMBER(SEARCH("R77",G363)),0)+IFERROR(--ISNUMBER(SEARCH("R79",G363)),0)+IFERROR(--ISNUMBER(SEARCH("R80",G363)),0)+IFERROR(--ISNUMBER(SEARCH("R81",G363)),0)+IFERROR(--ISNUMBER(SEARCH("R83",G363)),0)+IFERROR(--ISNUMBER(SEARCH("R84",G363)),0)+IFERROR(--ISNUMBER(SEARCH("R89",G363)),0)+IFERROR(--ISNUMBER(SEARCH("R94",G363)),0)+IFERROR(--ISNUMBER(SEARCH("R95",G363)),0)+IFERROR(--ISNUMBER(SEARCH("R96",G363)),0)+IFERROR(--ISNUMBER(SEARCH("R98",G363)),0)+IFERROR(--ISNUMBER(SEARCH("R99",G363)),0)+IFERROR(--ISNUMBER(SEARCH("R100",G363)),0)+IFERROR(--ISNUMBER(SEARCH("R104",G363)),0)+IFERROR(--ISNUMBER(SEARCH("R105",G363)),0)+IFERROR(--ISNUMBER(SEARCH("R107",G363)),0)+IFERROR(--ISNUMBER(SEARCH("R108",G363)),0)+IFERROR(--ISNUMBER(SEARCH("R109",G363)),0)+IFERROR(--ISNUMBER(SEARCH("R110",G363)),0)+IFERROR(--ISNUMBER(SEARCH("R112",G363)),0)+IFERROR(--ISNUMBER(SEARCH("R113",G363)),0)+IFERROR(--ISNUMBER(SEARCH("R114",G363)),0)+IFERROR(--ISNUMBER(SEARCH("R118",G363)),0)+IFERROR(--ISNUMBER(SEARCH("R119",G363)),0)+IFERROR(--ISNUMBER(SEARCH("R120",G363)),0)+IFERROR(--ISNUMBER(SEARCH("R122",G363)),0)+IFERROR(--ISNUMBER(SEARCH("R123",G363)),0)+IFERROR(--ISNUMBER(SEARCH("R124",G363)),0)+IFERROR(--ISNUMBER(SEARCH("R128",G363)),0)+IFERROR(--ISNUMBER(SEARCH("R130",G363)),0)+IFERROR(--ISNUMBER(SEARCH("R131",G363)),0)+IFERROR(--ISNUMBER(SEARCH("R132",G363)),0)+IFERROR(--ISNUMBER(SEARCH("R135",G363)),0)+IFERROR(--ISNUMBER(SEARCH("R138",G363)),0)+IFERROR(--ISNUMBER(SEARCH("R141",G363)),0))</f>
        <v/>
      </c>
      <c r="U363" s="58">
        <f>IF(A363="","",IFERROR(--ISNUMBER(SEARCH("R28",G363))*28,0)+IFERROR(--ISNUMBER(SEARCH("R29",G363))*29,0)+IFERROR(--ISNUMBER(SEARCH("R30",G363))*30,0)+IFERROR(--ISNUMBER(SEARCH("R31",G363))*31,0)+IFERROR(--ISNUMBER(SEARCH("R32",G363))*32,0)+IFERROR(--ISNUMBER(SEARCH("R33",G363))*33,0)+IFERROR(--ISNUMBER(SEARCH("R34",G363))*34,0)+IFERROR(--ISNUMBER(SEARCH("R35",G363))*35,0)+IFERROR(--ISNUMBER(SEARCH("R36",G363))*36,0)+IFERROR(--ISNUMBER(SEARCH("R37",G363))*37,0)+IFERROR(--ISNUMBER(SEARCH("R38",G363))*38,0)+IFERROR(--ISNUMBER(SEARCH("R39",G363))*39,0)+IFERROR(--ISNUMBER(SEARCH("R40",G363))*40,0)+IFERROR(--ISNUMBER(SEARCH("R41",G363))*41,0)+IFERROR(--ISNUMBER(SEARCH("R42",G363))*42,0)+IFERROR(--ISNUMBER(SEARCH("R43",G363))*43,0)+IFERROR(--ISNUMBER(SEARCH("R44",G363))*44,0)+IFERROR(--ISNUMBER(SEARCH("R45",G363))*45,0)+IFERROR(--ISNUMBER(SEARCH("R46",G363))*46,0)+IFERROR(--ISNUMBER(SEARCH("R47",G363))*47,0)+IFERROR(--ISNUMBER(SEARCH("R48",G363))*48,0)+IFERROR(--ISNUMBER(SEARCH("R49",G363))*49,0)+IFERROR(--ISNUMBER(SEARCH("R50",G363))*50,0)+IFERROR(--ISNUMBER(SEARCH("R51",G363))*51,0)+IFERROR(--ISNUMBER(SEARCH("R52",G363))*52,0)+IFERROR(--ISNUMBER(SEARCH("R53",G363))*53,0)+IFERROR(--ISNUMBER(SEARCH("R54",G363))*54,0)+IFERROR(--ISNUMBER(SEARCH("R55",G363))*55,0)+IFERROR(--ISNUMBER(SEARCH("R56",G363))*56,0)+IFERROR(--ISNUMBER(SEARCH("R57",G363))*57,0)+IFERROR(--ISNUMBER(SEARCH("R58",G363))*58,0)+IFERROR(--ISNUMBER(SEARCH("R59",G363))*59,0)+IFERROR(--ISNUMBER(SEARCH("R60",G363))*60,0)+IFERROR(--ISNUMBER(SEARCH("R61",G363))*61,0)+IFERROR(--ISNUMBER(SEARCH("R62",G363))*62,0)+IFERROR(--ISNUMBER(SEARCH("R63",G363))*63,0)+IFERROR(--ISNUMBER(SEARCH("R64",G363))*64,0)+IFERROR(--ISNUMBER(SEARCH("R65",G363))*65,0)+IFERROR(--ISNUMBER(SEARCH("R66",G363))*66,0)+IFERROR(--ISNUMBER(SEARCH("R67",G363))*67,0)+IFERROR(--ISNUMBER(SEARCH("R68",G363))*68,0)+IFERROR(--ISNUMBER(SEARCH("R69",G363))*69,0)+IFERROR(--ISNUMBER(SEARCH("R70",G363))*70,0)+IFERROR(--ISNUMBER(SEARCH("R71",G363))*71,0)+IFERROR(--ISNUMBER(SEARCH("R72",G363))*72,0)+IFERROR(--ISNUMBER(SEARCH("R73",G363))*73,0)+IFERROR(--ISNUMBER(SEARCH("R74",G363))*74,0)+IFERROR(--ISNUMBER(SEARCH("R75",G363))*75,0)+IFERROR(--ISNUMBER(SEARCH("R76",G363))*76,0)+IFERROR(--ISNUMBER(SEARCH("R77",G363))*77,0)+IFERROR(--ISNUMBER(SEARCH("R78",G363))*78,0)+IFERROR(--ISNUMBER(SEARCH("R79",G363))*79,0)+IFERROR(--ISNUMBER(SEARCH("R80",G363))*80,0)+IFERROR(--ISNUMBER(SEARCH("R81",G363))*81,0)+IFERROR(--ISNUMBER(SEARCH("R82",G363))*82,0)+IFERROR(--ISNUMBER(SEARCH("R83",G363))*83,0)+IFERROR(--ISNUMBER(SEARCH("R84",G363))*84,0)+IFERROR(--ISNUMBER(SEARCH("R85",G363))*85,0)+IFERROR(--ISNUMBER(SEARCH("R86",G363))*86,0)+IFERROR(--ISNUMBER(SEARCH("R87",G363))*87,0)+IFERROR(--ISNUMBER(SEARCH("R88",G363))*88,0)+IFERROR(--ISNUMBER(SEARCH("R89",G363))*89,0)+IFERROR(--ISNUMBER(SEARCH("R90",G363))*90,0)+IFERROR(--ISNUMBER(SEARCH("R91",G363))*91,0)+IFERROR(--ISNUMBER(SEARCH("R92",G363))*92,0)+IFERROR(--ISNUMBER(SEARCH("R93",G363))*93,0)+IFERROR(--ISNUMBER(SEARCH("R94",G363))*94,0)+IFERROR(--ISNUMBER(SEARCH("R95",G363))*95,0)+IFERROR(--ISNUMBER(SEARCH("R96",G363))*96,0)+IFERROR(--ISNUMBER(SEARCH("R97",G363))*97,0)+IFERROR(--ISNUMBER(SEARCH("R98",G363))*98,0)+IFERROR(--ISNUMBER(SEARCH("R99",G363))*99,0)+IFERROR(--ISNUMBER(SEARCH("R100",G363))*100,0)+IFERROR(--ISNUMBER(SEARCH("R101",G363))*101,0)+IFERROR(--ISNUMBER(SEARCH("R102",G363))*102,0)+IFERROR(--ISNUMBER(SEARCH("R103",G363))*103,0)+IFERROR(--ISNUMBER(SEARCH("R104",G363))*104,0)+IFERROR(--ISNUMBER(SEARCH("R105",G363))*105,0)+IFERROR(--ISNUMBER(SEARCH("R106",G363))*106,0)+IFERROR(--ISNUMBER(SEARCH("R107",G363))*107,0)+IFERROR(--ISNUMBER(SEARCH("R108",G363))*108,0)+IFERROR(--ISNUMBER(SEARCH("R109",G363))*109,0)+IFERROR(--ISNUMBER(SEARCH("R110",G363))*110,0)+IFERROR(--ISNUMBER(SEARCH("R111",G363))*111,0)+IFERROR(--ISNUMBER(SEARCH("R112",G363))*112,0)+IFERROR(--ISNUMBER(SEARCH("R113",G363))*113,0)+IFERROR(--ISNUMBER(SEARCH("R114",G363))*114,0)+IFERROR(--ISNUMBER(SEARCH("R115",G363))*115,0)+IFERROR(--ISNUMBER(SEARCH("R116",G363))*116,0)+IFERROR(--ISNUMBER(SEARCH("R117",G363))*117,0)+IFERROR(--ISNUMBER(SEARCH("R118",G363))*118,0)+IFERROR(--ISNUMBER(SEARCH("R119",G363))*119,0)+IFERROR(--ISNUMBER(SEARCH("R120",G363))*120,0)+IFERROR(--ISNUMBER(SEARCH("R121",G363))*121,0)+IFERROR(--ISNUMBER(SEARCH("R122",G363))*122,0)+IFERROR(--ISNUMBER(SEARCH("R123",G363))*123,0)+IFERROR(--ISNUMBER(SEARCH("R124",G363))*124,0)+IFERROR(--ISNUMBER(SEARCH("R125",G363))*125,0)+IFERROR(--ISNUMBER(SEARCH("R126",G363))*126,0)+IFERROR(--ISNUMBER(SEARCH("R127",G363))*127,0)+IFERROR(--ISNUMBER(SEARCH("R128",G363))*128,0)+IFERROR(--ISNUMBER(SEARCH("R129",G363))*129,0)+IFERROR(--ISNUMBER(SEARCH("R130",G363))*130,0)+IFERROR(--ISNUMBER(SEARCH("R131",G363))*131,0)+IFERROR(--ISNUMBER(SEARCH("R132",G363))*132,0)+IFERROR(--ISNUMBER(SEARCH("R133",G363))*133,0)+IFERROR(--ISNUMBER(SEARCH("R134",G363))*134,0)+IFERROR(--ISNUMBER(SEARCH("R135",G363))*135,0)+IFERROR(--ISNUMBER(SEARCH("R136",G363))*136,0)+IFERROR(--ISNUMBER(SEARCH("R137",G363))*137,0)+IFERROR(--ISNUMBER(SEARCH("R138",G363))*138,0)+IFERROR(--ISNUMBER(SEARCH("R139",G363))*139,0)+IFERROR(--ISNUMBER(SEARCH("R140",G363))*140,0)+IFERROR(--ISNUMBER(SEARCH("R141",G363))*141,0))</f>
        <v/>
      </c>
      <c r="V363" s="59">
        <f>IF(A363="","",IF(K363&lt;&gt;"",K363,J363))</f>
        <v/>
      </c>
      <c r="W363" s="59">
        <f>IF(A363="","",IF(AND(V363=29,O363&lt;&gt;"",COUNTIFS($V$6:$V$505,29,$F$6:$F$505,F363,$C$6:$C$505,C363,$O$6:$O$505,"&lt;&gt;")&gt;1),IF(COUNTIFS($V$6:V363,29,$F$6:F363,F363,$C$6:C363,C363,$O$6:O363,"&lt;&gt;")=1,"Esta es la fila que se debe CONSERVAR (aparición 1 de "&amp;COUNTIFS($V$6:$V$505,29,$F$6:$F$505,F363,$C$6:$C$505,C363,$O$6:$O$505,"&lt;&gt;")&amp;" con el mismo tercero y valor, casilla 29). Si hay más filas iguales, bórreles el valor a ELLAS, no a esta.","DUPLICADO — ya existe otra fila con el mismo tercero y valor para casilla 29 (aparición "&amp;COUNTIFS($V$6:V363,29,$F$6:F363,F363,$C$6:C363,C363,$O$6:O363,"&lt;&gt;")&amp;" de "&amp;COUNTIFS($V$6:$V$505,29,$F$6:$F$505,F363,$C$6:$C$505,C363,$O$6:$O$505,"&lt;&gt;")&amp;"). Para resolverlo: seleccione la celda O"&amp;ROW()&amp;" (columna Valor a declarar de ESTA fila) y presione Supr."),""))</f>
        <v/>
      </c>
      <c r="X363" s="463">
        <f>IF(A363="","",F363)</f>
        <v/>
      </c>
      <c r="Y363" s="463">
        <f>IF(A363="","",SUMIF(Entrada_Manual!$I$88:$I$187,A363,Entrada_Manual!$F$88:$F$187))</f>
        <v/>
      </c>
      <c r="Z363" s="463">
        <f>IF(A363="","",X363-Y363)</f>
        <v/>
      </c>
      <c r="AA363">
        <f>IF(A363="","",SUMPRODUCT((Entrada_Manual!$I$88:$I$187=A363)*1))</f>
        <v/>
      </c>
      <c r="AB363">
        <f>IF(A363="","",IF(S363&lt;=1,"",IF(AA363=0,"PENDIENTE — SIN ASIGNAR",IF(Z363=0,"RESUELTO","PARCIAL — DIFERENCIA "&amp;TEXT(Z363,"#,##0")))))</f>
        <v/>
      </c>
    </row>
    <row r="364" ht="14.25" customHeight="1" s="235">
      <c r="A364" s="47">
        <f>IF(Exogena_RAW!E373&lt;&gt;"",ROW()-5,"")</f>
        <v/>
      </c>
      <c r="B364" s="48">
        <f>IF(A364="","",373)</f>
        <v/>
      </c>
      <c r="C364" s="48">
        <f>IF(A364="","",IFERROR(Exogena_RAW!A373,""))</f>
        <v/>
      </c>
      <c r="D364" s="48">
        <f>IF(A364="","",IFERROR(Exogena_RAW!B373,""))</f>
        <v/>
      </c>
      <c r="E364" s="48">
        <f>IF(A364="","",Exogena_RAW!E373)</f>
        <v/>
      </c>
      <c r="F364" s="461">
        <f>IF(A364="","",Exogena_RAW!F373)</f>
        <v/>
      </c>
      <c r="G364" s="48">
        <f>IF(A364="","",IFERROR(Exogena_RAW!G373,""))</f>
        <v/>
      </c>
      <c r="H364" s="48">
        <f>IF(A364="","",IFERROR(Exogena_RAW!H373,""))</f>
        <v/>
      </c>
      <c r="I364" s="48">
        <f>IF(A364="","",IFERROR(IF(S364&gt;1,"VARIAS CASILLAS",IF(S364=1,IF(T364=1,"PROPUESTA DE CASILLA","REVISIÓN: CASILLA NO DIRECTA"),IF(OR(ISNUMBER(SEARCH("TOPE",UPPER(E364))),ISNUMBER(SEARCH("TOPE",UPPER(G364)))),"SOLO CONTROL",IF(ISNUMBER(SEARCH("RETEN",UPPER(E364))),"RETENCIÓN","REVISAR")))),"REVISAR"))</f>
        <v/>
      </c>
      <c r="J364" s="48">
        <f>IF(A364="","",IF(ISNUMBER(SEARCH("ingreso laboral promedio de los últimos seis meses",E364)),"",IFERROR(IF(AND(S364=1,T364=1),U364,""),"")))</f>
        <v/>
      </c>
      <c r="K364" s="216" t="n"/>
      <c r="L364" s="48">
        <f>IF(A364="","",IFERROR(IF(K364&lt;&gt;"","Casilla elegida por usuario",IF(S364&gt;1,"Varias casillas — elegir en K",IF(J364&lt;&gt;"","Sugerencia directa",IF(S364=1,"No trasladar directo — revisar",IF(OR(ISNUMBER(SEARCH("TOPE",UPPER(E364))),ISNUMBER(SEARCH("TOPE",UPPER(G364)))),"Solo control","Revisar manualmente"))))),"Revisar manualmente"))</f>
        <v/>
      </c>
      <c r="M364" s="461">
        <f>IF(A364="","",IF(IF(K364&lt;&gt;"",K364,J364)="",0,IF(COUNTIFS(Reglas!$I$5:$I$118,IF(K364&lt;&gt;"",K364,J364),Reglas!$J$5:$J$118,"Sí")=1,F364,0)))</f>
        <v/>
      </c>
      <c r="N364" s="56" t="n"/>
      <c r="O364" s="462">
        <f>IF(A364="","",IF(M364=0,"",M364))</f>
        <v/>
      </c>
      <c r="P364" s="461">
        <f>IF(A364="","",IF(O364="",0,IF(ISNUMBER(O364),O364,0)))</f>
        <v/>
      </c>
      <c r="Q364" s="48">
        <f>IF(A364="","",IF(Exogena_RAW!$C$4="","BLOQUEADO: FALTA AÑO",IF(Exogena_RAW!$K$10&lt;&gt;Reglas!$B$5,"BLOQUEADO: AÑO",IF(IF(K364&lt;&gt;"",K364,J364)="",IF(S364&gt;1,"REQUIERE ASIGNACIÓN MANUAL (VARIAS CASILLAS)","INFORMATIVO (sin casilla — no se declara)"),IF(COUNTIFS(Reglas!$I$5:$I$118,IF(K364&lt;&gt;"",K364,J364),Reglas!$J$5:$J$118,"Sí")=0,"BLOQUEADO: CASILLA NO DIRECTA",IF(O364="","EXCLUIDO (valor borrado por el usuario)",IF(_xlfn.ISFORMULA(O364),IF(W364&lt;&gt;"","BORRADOR — VALOR SUGERIDO DIAN ⚠ VER ALERTA","BORRADOR — VALOR SUGERIDO DIAN"),IF(W364&lt;&gt;"","ACEPTADO ⚠ VER ALERTA","ACEPTADO"))))))))</f>
        <v/>
      </c>
      <c r="R364" s="218" t="n"/>
      <c r="S364" s="58">
        <f>IF(A364="","",IFERROR(--ISNUMBER(SEARCH("R28",G364)),0)+IFERROR(--ISNUMBER(SEARCH("R29",G364)),0)+IFERROR(--ISNUMBER(SEARCH("R30",G364)),0)+IFERROR(--ISNUMBER(SEARCH("R31",G364)),0)+IFERROR(--ISNUMBER(SEARCH("R32",G364)),0)+IFERROR(--ISNUMBER(SEARCH("R33",G364)),0)+IFERROR(--ISNUMBER(SEARCH("R34",G364)),0)+IFERROR(--ISNUMBER(SEARCH("R35",G364)),0)+IFERROR(--ISNUMBER(SEARCH("R36",G364)),0)+IFERROR(--ISNUMBER(SEARCH("R37",G364)),0)+IFERROR(--ISNUMBER(SEARCH("R38",G364)),0)+IFERROR(--ISNUMBER(SEARCH("R39",G364)),0)+IFERROR(--ISNUMBER(SEARCH("R40",G364)),0)+IFERROR(--ISNUMBER(SEARCH("R41",G364)),0)+IFERROR(--ISNUMBER(SEARCH("R42",G364)),0)+IFERROR(--ISNUMBER(SEARCH("R43",G364)),0)+IFERROR(--ISNUMBER(SEARCH("R44",G364)),0)+IFERROR(--ISNUMBER(SEARCH("R45",G364)),0)+IFERROR(--ISNUMBER(SEARCH("R46",G364)),0)+IFERROR(--ISNUMBER(SEARCH("R47",G364)),0)+IFERROR(--ISNUMBER(SEARCH("R48",G364)),0)+IFERROR(--ISNUMBER(SEARCH("R49",G364)),0)+IFERROR(--ISNUMBER(SEARCH("R50",G364)),0)+IFERROR(--ISNUMBER(SEARCH("R51",G364)),0)+IFERROR(--ISNUMBER(SEARCH("R52",G364)),0)+IFERROR(--ISNUMBER(SEARCH("R53",G364)),0)+IFERROR(--ISNUMBER(SEARCH("R54",G364)),0)+IFERROR(--ISNUMBER(SEARCH("R55",G364)),0)+IFERROR(--ISNUMBER(SEARCH("R56",G364)),0)+IFERROR(--ISNUMBER(SEARCH("R57",G364)),0)+IFERROR(--ISNUMBER(SEARCH("R58",G364)),0)+IFERROR(--ISNUMBER(SEARCH("R59",G364)),0)+IFERROR(--ISNUMBER(SEARCH("R60",G364)),0)+IFERROR(--ISNUMBER(SEARCH("R61",G364)),0)+IFERROR(--ISNUMBER(SEARCH("R62",G364)),0)+IFERROR(--ISNUMBER(SEARCH("R63",G364)),0)+IFERROR(--ISNUMBER(SEARCH("R64",G364)),0)+IFERROR(--ISNUMBER(SEARCH("R65",G364)),0)+IFERROR(--ISNUMBER(SEARCH("R66",G364)),0)+IFERROR(--ISNUMBER(SEARCH("R67",G364)),0)+IFERROR(--ISNUMBER(SEARCH("R68",G364)),0)+IFERROR(--ISNUMBER(SEARCH("R69",G364)),0)+IFERROR(--ISNUMBER(SEARCH("R70",G364)),0)+IFERROR(--ISNUMBER(SEARCH("R71",G364)),0)+IFERROR(--ISNUMBER(SEARCH("R72",G364)),0)+IFERROR(--ISNUMBER(SEARCH("R73",G364)),0)+IFERROR(--ISNUMBER(SEARCH("R74",G364)),0)+IFERROR(--ISNUMBER(SEARCH("R75",G364)),0)+IFERROR(--ISNUMBER(SEARCH("R76",G364)),0)+IFERROR(--ISNUMBER(SEARCH("R77",G364)),0)+IFERROR(--ISNUMBER(SEARCH("R78",G364)),0)+IFERROR(--ISNUMBER(SEARCH("R79",G364)),0)+IFERROR(--ISNUMBER(SEARCH("R80",G364)),0)+IFERROR(--ISNUMBER(SEARCH("R81",G364)),0)+IFERROR(--ISNUMBER(SEARCH("R82",G364)),0)+IFERROR(--ISNUMBER(SEARCH("R83",G364)),0)+IFERROR(--ISNUMBER(SEARCH("R84",G364)),0)+IFERROR(--ISNUMBER(SEARCH("R85",G364)),0)+IFERROR(--ISNUMBER(SEARCH("R86",G364)),0)+IFERROR(--ISNUMBER(SEARCH("R87",G364)),0)+IFERROR(--ISNUMBER(SEARCH("R88",G364)),0)+IFERROR(--ISNUMBER(SEARCH("R89",G364)),0)+IFERROR(--ISNUMBER(SEARCH("R90",G364)),0)+IFERROR(--ISNUMBER(SEARCH("R91",G364)),0)+IFERROR(--ISNUMBER(SEARCH("R92",G364)),0)+IFERROR(--ISNUMBER(SEARCH("R93",G364)),0)+IFERROR(--ISNUMBER(SEARCH("R94",G364)),0)+IFERROR(--ISNUMBER(SEARCH("R95",G364)),0)+IFERROR(--ISNUMBER(SEARCH("R96",G364)),0)+IFERROR(--ISNUMBER(SEARCH("R97",G364)),0)+IFERROR(--ISNUMBER(SEARCH("R98",G364)),0)+IFERROR(--ISNUMBER(SEARCH("R99",G364)),0)+IFERROR(--ISNUMBER(SEARCH("R100",G364)),0)+IFERROR(--ISNUMBER(SEARCH("R101",G364)),0)+IFERROR(--ISNUMBER(SEARCH("R102",G364)),0)+IFERROR(--ISNUMBER(SEARCH("R103",G364)),0)+IFERROR(--ISNUMBER(SEARCH("R104",G364)),0)+IFERROR(--ISNUMBER(SEARCH("R105",G364)),0)+IFERROR(--ISNUMBER(SEARCH("R106",G364)),0)+IFERROR(--ISNUMBER(SEARCH("R107",G364)),0)+IFERROR(--ISNUMBER(SEARCH("R108",G364)),0)+IFERROR(--ISNUMBER(SEARCH("R109",G364)),0)+IFERROR(--ISNUMBER(SEARCH("R110",G364)),0)+IFERROR(--ISNUMBER(SEARCH("R111",G364)),0)+IFERROR(--ISNUMBER(SEARCH("R112",G364)),0)+IFERROR(--ISNUMBER(SEARCH("R113",G364)),0)+IFERROR(--ISNUMBER(SEARCH("R114",G364)),0)+IFERROR(--ISNUMBER(SEARCH("R115",G364)),0)+IFERROR(--ISNUMBER(SEARCH("R116",G364)),0)+IFERROR(--ISNUMBER(SEARCH("R117",G364)),0)+IFERROR(--ISNUMBER(SEARCH("R118",G364)),0)+IFERROR(--ISNUMBER(SEARCH("R119",G364)),0)+IFERROR(--ISNUMBER(SEARCH("R120",G364)),0)+IFERROR(--ISNUMBER(SEARCH("R121",G364)),0)+IFERROR(--ISNUMBER(SEARCH("R122",G364)),0)+IFERROR(--ISNUMBER(SEARCH("R123",G364)),0)+IFERROR(--ISNUMBER(SEARCH("R124",G364)),0)+IFERROR(--ISNUMBER(SEARCH("R125",G364)),0)+IFERROR(--ISNUMBER(SEARCH("R126",G364)),0)+IFERROR(--ISNUMBER(SEARCH("R127",G364)),0)+IFERROR(--ISNUMBER(SEARCH("R128",G364)),0)+IFERROR(--ISNUMBER(SEARCH("R129",G364)),0)+IFERROR(--ISNUMBER(SEARCH("R130",G364)),0)+IFERROR(--ISNUMBER(SEARCH("R131",G364)),0)+IFERROR(--ISNUMBER(SEARCH("R132",G364)),0)+IFERROR(--ISNUMBER(SEARCH("R133",G364)),0)+IFERROR(--ISNUMBER(SEARCH("R134",G364)),0)+IFERROR(--ISNUMBER(SEARCH("R135",G364)),0)+IFERROR(--ISNUMBER(SEARCH("R136",G364)),0)+IFERROR(--ISNUMBER(SEARCH("R137",G364)),0)+IFERROR(--ISNUMBER(SEARCH("R138",G364)),0)+IFERROR(--ISNUMBER(SEARCH("R139",G364)),0)+IFERROR(--ISNUMBER(SEARCH("R140",G364)),0)+IFERROR(--ISNUMBER(SEARCH("R141",G364)),0))</f>
        <v/>
      </c>
      <c r="T364" s="58">
        <f>IF(A364="","",IFERROR(--ISNUMBER(SEARCH("R28",G364)),0)+IFERROR(--ISNUMBER(SEARCH("R29",G364)),0)+IFERROR(--ISNUMBER(SEARCH("R30",G364)),0)+IFERROR(--ISNUMBER(SEARCH("R32",G364)),0)+IFERROR(--ISNUMBER(SEARCH("R33",G364)),0)+IFERROR(--ISNUMBER(SEARCH("R35",G364)),0)+IFERROR(--ISNUMBER(SEARCH("R36",G364)),0)+IFERROR(--ISNUMBER(SEARCH("R38",G364)),0)+IFERROR(--ISNUMBER(SEARCH("R39",G364)),0)+IFERROR(--ISNUMBER(SEARCH("R43",G364)),0)+IFERROR(--ISNUMBER(SEARCH("R44",G364)),0)+IFERROR(--ISNUMBER(SEARCH("R45",G364)),0)+IFERROR(--ISNUMBER(SEARCH("R47",G364)),0)+IFERROR(--ISNUMBER(SEARCH("R48",G364)),0)+IFERROR(--ISNUMBER(SEARCH("R50",G364)),0)+IFERROR(--ISNUMBER(SEARCH("R51",G364)),0)+IFERROR(--ISNUMBER(SEARCH("R56",G364)),0)+IFERROR(--ISNUMBER(SEARCH("R58",G364)),0)+IFERROR(--ISNUMBER(SEARCH("R59",G364)),0)+IFERROR(--ISNUMBER(SEARCH("R60",G364)),0)+IFERROR(--ISNUMBER(SEARCH("R62",G364)),0)+IFERROR(--ISNUMBER(SEARCH("R63",G364)),0)+IFERROR(--ISNUMBER(SEARCH("R64",G364)),0)+IFERROR(--ISNUMBER(SEARCH("R66",G364)),0)+IFERROR(--ISNUMBER(SEARCH("R67",G364)),0)+IFERROR(--ISNUMBER(SEARCH("R72",G364)),0)+IFERROR(--ISNUMBER(SEARCH("R74",G364)),0)+IFERROR(--ISNUMBER(SEARCH("R75",G364)),0)+IFERROR(--ISNUMBER(SEARCH("R76",G364)),0)+IFERROR(--ISNUMBER(SEARCH("R77",G364)),0)+IFERROR(--ISNUMBER(SEARCH("R79",G364)),0)+IFERROR(--ISNUMBER(SEARCH("R80",G364)),0)+IFERROR(--ISNUMBER(SEARCH("R81",G364)),0)+IFERROR(--ISNUMBER(SEARCH("R83",G364)),0)+IFERROR(--ISNUMBER(SEARCH("R84",G364)),0)+IFERROR(--ISNUMBER(SEARCH("R89",G364)),0)+IFERROR(--ISNUMBER(SEARCH("R94",G364)),0)+IFERROR(--ISNUMBER(SEARCH("R95",G364)),0)+IFERROR(--ISNUMBER(SEARCH("R96",G364)),0)+IFERROR(--ISNUMBER(SEARCH("R98",G364)),0)+IFERROR(--ISNUMBER(SEARCH("R99",G364)),0)+IFERROR(--ISNUMBER(SEARCH("R100",G364)),0)+IFERROR(--ISNUMBER(SEARCH("R104",G364)),0)+IFERROR(--ISNUMBER(SEARCH("R105",G364)),0)+IFERROR(--ISNUMBER(SEARCH("R107",G364)),0)+IFERROR(--ISNUMBER(SEARCH("R108",G364)),0)+IFERROR(--ISNUMBER(SEARCH("R109",G364)),0)+IFERROR(--ISNUMBER(SEARCH("R110",G364)),0)+IFERROR(--ISNUMBER(SEARCH("R112",G364)),0)+IFERROR(--ISNUMBER(SEARCH("R113",G364)),0)+IFERROR(--ISNUMBER(SEARCH("R114",G364)),0)+IFERROR(--ISNUMBER(SEARCH("R118",G364)),0)+IFERROR(--ISNUMBER(SEARCH("R119",G364)),0)+IFERROR(--ISNUMBER(SEARCH("R120",G364)),0)+IFERROR(--ISNUMBER(SEARCH("R122",G364)),0)+IFERROR(--ISNUMBER(SEARCH("R123",G364)),0)+IFERROR(--ISNUMBER(SEARCH("R124",G364)),0)+IFERROR(--ISNUMBER(SEARCH("R128",G364)),0)+IFERROR(--ISNUMBER(SEARCH("R130",G364)),0)+IFERROR(--ISNUMBER(SEARCH("R131",G364)),0)+IFERROR(--ISNUMBER(SEARCH("R132",G364)),0)+IFERROR(--ISNUMBER(SEARCH("R135",G364)),0)+IFERROR(--ISNUMBER(SEARCH("R138",G364)),0)+IFERROR(--ISNUMBER(SEARCH("R141",G364)),0))</f>
        <v/>
      </c>
      <c r="U364" s="58">
        <f>IF(A364="","",IFERROR(--ISNUMBER(SEARCH("R28",G364))*28,0)+IFERROR(--ISNUMBER(SEARCH("R29",G364))*29,0)+IFERROR(--ISNUMBER(SEARCH("R30",G364))*30,0)+IFERROR(--ISNUMBER(SEARCH("R31",G364))*31,0)+IFERROR(--ISNUMBER(SEARCH("R32",G364))*32,0)+IFERROR(--ISNUMBER(SEARCH("R33",G364))*33,0)+IFERROR(--ISNUMBER(SEARCH("R34",G364))*34,0)+IFERROR(--ISNUMBER(SEARCH("R35",G364))*35,0)+IFERROR(--ISNUMBER(SEARCH("R36",G364))*36,0)+IFERROR(--ISNUMBER(SEARCH("R37",G364))*37,0)+IFERROR(--ISNUMBER(SEARCH("R38",G364))*38,0)+IFERROR(--ISNUMBER(SEARCH("R39",G364))*39,0)+IFERROR(--ISNUMBER(SEARCH("R40",G364))*40,0)+IFERROR(--ISNUMBER(SEARCH("R41",G364))*41,0)+IFERROR(--ISNUMBER(SEARCH("R42",G364))*42,0)+IFERROR(--ISNUMBER(SEARCH("R43",G364))*43,0)+IFERROR(--ISNUMBER(SEARCH("R44",G364))*44,0)+IFERROR(--ISNUMBER(SEARCH("R45",G364))*45,0)+IFERROR(--ISNUMBER(SEARCH("R46",G364))*46,0)+IFERROR(--ISNUMBER(SEARCH("R47",G364))*47,0)+IFERROR(--ISNUMBER(SEARCH("R48",G364))*48,0)+IFERROR(--ISNUMBER(SEARCH("R49",G364))*49,0)+IFERROR(--ISNUMBER(SEARCH("R50",G364))*50,0)+IFERROR(--ISNUMBER(SEARCH("R51",G364))*51,0)+IFERROR(--ISNUMBER(SEARCH("R52",G364))*52,0)+IFERROR(--ISNUMBER(SEARCH("R53",G364))*53,0)+IFERROR(--ISNUMBER(SEARCH("R54",G364))*54,0)+IFERROR(--ISNUMBER(SEARCH("R55",G364))*55,0)+IFERROR(--ISNUMBER(SEARCH("R56",G364))*56,0)+IFERROR(--ISNUMBER(SEARCH("R57",G364))*57,0)+IFERROR(--ISNUMBER(SEARCH("R58",G364))*58,0)+IFERROR(--ISNUMBER(SEARCH("R59",G364))*59,0)+IFERROR(--ISNUMBER(SEARCH("R60",G364))*60,0)+IFERROR(--ISNUMBER(SEARCH("R61",G364))*61,0)+IFERROR(--ISNUMBER(SEARCH("R62",G364))*62,0)+IFERROR(--ISNUMBER(SEARCH("R63",G364))*63,0)+IFERROR(--ISNUMBER(SEARCH("R64",G364))*64,0)+IFERROR(--ISNUMBER(SEARCH("R65",G364))*65,0)+IFERROR(--ISNUMBER(SEARCH("R66",G364))*66,0)+IFERROR(--ISNUMBER(SEARCH("R67",G364))*67,0)+IFERROR(--ISNUMBER(SEARCH("R68",G364))*68,0)+IFERROR(--ISNUMBER(SEARCH("R69",G364))*69,0)+IFERROR(--ISNUMBER(SEARCH("R70",G364))*70,0)+IFERROR(--ISNUMBER(SEARCH("R71",G364))*71,0)+IFERROR(--ISNUMBER(SEARCH("R72",G364))*72,0)+IFERROR(--ISNUMBER(SEARCH("R73",G364))*73,0)+IFERROR(--ISNUMBER(SEARCH("R74",G364))*74,0)+IFERROR(--ISNUMBER(SEARCH("R75",G364))*75,0)+IFERROR(--ISNUMBER(SEARCH("R76",G364))*76,0)+IFERROR(--ISNUMBER(SEARCH("R77",G364))*77,0)+IFERROR(--ISNUMBER(SEARCH("R78",G364))*78,0)+IFERROR(--ISNUMBER(SEARCH("R79",G364))*79,0)+IFERROR(--ISNUMBER(SEARCH("R80",G364))*80,0)+IFERROR(--ISNUMBER(SEARCH("R81",G364))*81,0)+IFERROR(--ISNUMBER(SEARCH("R82",G364))*82,0)+IFERROR(--ISNUMBER(SEARCH("R83",G364))*83,0)+IFERROR(--ISNUMBER(SEARCH("R84",G364))*84,0)+IFERROR(--ISNUMBER(SEARCH("R85",G364))*85,0)+IFERROR(--ISNUMBER(SEARCH("R86",G364))*86,0)+IFERROR(--ISNUMBER(SEARCH("R87",G364))*87,0)+IFERROR(--ISNUMBER(SEARCH("R88",G364))*88,0)+IFERROR(--ISNUMBER(SEARCH("R89",G364))*89,0)+IFERROR(--ISNUMBER(SEARCH("R90",G364))*90,0)+IFERROR(--ISNUMBER(SEARCH("R91",G364))*91,0)+IFERROR(--ISNUMBER(SEARCH("R92",G364))*92,0)+IFERROR(--ISNUMBER(SEARCH("R93",G364))*93,0)+IFERROR(--ISNUMBER(SEARCH("R94",G364))*94,0)+IFERROR(--ISNUMBER(SEARCH("R95",G364))*95,0)+IFERROR(--ISNUMBER(SEARCH("R96",G364))*96,0)+IFERROR(--ISNUMBER(SEARCH("R97",G364))*97,0)+IFERROR(--ISNUMBER(SEARCH("R98",G364))*98,0)+IFERROR(--ISNUMBER(SEARCH("R99",G364))*99,0)+IFERROR(--ISNUMBER(SEARCH("R100",G364))*100,0)+IFERROR(--ISNUMBER(SEARCH("R101",G364))*101,0)+IFERROR(--ISNUMBER(SEARCH("R102",G364))*102,0)+IFERROR(--ISNUMBER(SEARCH("R103",G364))*103,0)+IFERROR(--ISNUMBER(SEARCH("R104",G364))*104,0)+IFERROR(--ISNUMBER(SEARCH("R105",G364))*105,0)+IFERROR(--ISNUMBER(SEARCH("R106",G364))*106,0)+IFERROR(--ISNUMBER(SEARCH("R107",G364))*107,0)+IFERROR(--ISNUMBER(SEARCH("R108",G364))*108,0)+IFERROR(--ISNUMBER(SEARCH("R109",G364))*109,0)+IFERROR(--ISNUMBER(SEARCH("R110",G364))*110,0)+IFERROR(--ISNUMBER(SEARCH("R111",G364))*111,0)+IFERROR(--ISNUMBER(SEARCH("R112",G364))*112,0)+IFERROR(--ISNUMBER(SEARCH("R113",G364))*113,0)+IFERROR(--ISNUMBER(SEARCH("R114",G364))*114,0)+IFERROR(--ISNUMBER(SEARCH("R115",G364))*115,0)+IFERROR(--ISNUMBER(SEARCH("R116",G364))*116,0)+IFERROR(--ISNUMBER(SEARCH("R117",G364))*117,0)+IFERROR(--ISNUMBER(SEARCH("R118",G364))*118,0)+IFERROR(--ISNUMBER(SEARCH("R119",G364))*119,0)+IFERROR(--ISNUMBER(SEARCH("R120",G364))*120,0)+IFERROR(--ISNUMBER(SEARCH("R121",G364))*121,0)+IFERROR(--ISNUMBER(SEARCH("R122",G364))*122,0)+IFERROR(--ISNUMBER(SEARCH("R123",G364))*123,0)+IFERROR(--ISNUMBER(SEARCH("R124",G364))*124,0)+IFERROR(--ISNUMBER(SEARCH("R125",G364))*125,0)+IFERROR(--ISNUMBER(SEARCH("R126",G364))*126,0)+IFERROR(--ISNUMBER(SEARCH("R127",G364))*127,0)+IFERROR(--ISNUMBER(SEARCH("R128",G364))*128,0)+IFERROR(--ISNUMBER(SEARCH("R129",G364))*129,0)+IFERROR(--ISNUMBER(SEARCH("R130",G364))*130,0)+IFERROR(--ISNUMBER(SEARCH("R131",G364))*131,0)+IFERROR(--ISNUMBER(SEARCH("R132",G364))*132,0)+IFERROR(--ISNUMBER(SEARCH("R133",G364))*133,0)+IFERROR(--ISNUMBER(SEARCH("R134",G364))*134,0)+IFERROR(--ISNUMBER(SEARCH("R135",G364))*135,0)+IFERROR(--ISNUMBER(SEARCH("R136",G364))*136,0)+IFERROR(--ISNUMBER(SEARCH("R137",G364))*137,0)+IFERROR(--ISNUMBER(SEARCH("R138",G364))*138,0)+IFERROR(--ISNUMBER(SEARCH("R139",G364))*139,0)+IFERROR(--ISNUMBER(SEARCH("R140",G364))*140,0)+IFERROR(--ISNUMBER(SEARCH("R141",G364))*141,0))</f>
        <v/>
      </c>
      <c r="V364" s="59">
        <f>IF(A364="","",IF(K364&lt;&gt;"",K364,J364))</f>
        <v/>
      </c>
      <c r="W364" s="59">
        <f>IF(A364="","",IF(AND(V364=29,O364&lt;&gt;"",COUNTIFS($V$6:$V$505,29,$F$6:$F$505,F364,$C$6:$C$505,C364,$O$6:$O$505,"&lt;&gt;")&gt;1),IF(COUNTIFS($V$6:V364,29,$F$6:F364,F364,$C$6:C364,C364,$O$6:O364,"&lt;&gt;")=1,"Esta es la fila que se debe CONSERVAR (aparición 1 de "&amp;COUNTIFS($V$6:$V$505,29,$F$6:$F$505,F364,$C$6:$C$505,C364,$O$6:$O$505,"&lt;&gt;")&amp;" con el mismo tercero y valor, casilla 29). Si hay más filas iguales, bórreles el valor a ELLAS, no a esta.","DUPLICADO — ya existe otra fila con el mismo tercero y valor para casilla 29 (aparición "&amp;COUNTIFS($V$6:V364,29,$F$6:F364,F364,$C$6:C364,C364,$O$6:O364,"&lt;&gt;")&amp;" de "&amp;COUNTIFS($V$6:$V$505,29,$F$6:$F$505,F364,$C$6:$C$505,C364,$O$6:$O$505,"&lt;&gt;")&amp;"). Para resolverlo: seleccione la celda O"&amp;ROW()&amp;" (columna Valor a declarar de ESTA fila) y presione Supr."),""))</f>
        <v/>
      </c>
      <c r="X364" s="463">
        <f>IF(A364="","",F364)</f>
        <v/>
      </c>
      <c r="Y364" s="463">
        <f>IF(A364="","",SUMIF(Entrada_Manual!$I$88:$I$187,A364,Entrada_Manual!$F$88:$F$187))</f>
        <v/>
      </c>
      <c r="Z364" s="463">
        <f>IF(A364="","",X364-Y364)</f>
        <v/>
      </c>
      <c r="AA364">
        <f>IF(A364="","",SUMPRODUCT((Entrada_Manual!$I$88:$I$187=A364)*1))</f>
        <v/>
      </c>
      <c r="AB364">
        <f>IF(A364="","",IF(S364&lt;=1,"",IF(AA364=0,"PENDIENTE — SIN ASIGNAR",IF(Z364=0,"RESUELTO","PARCIAL — DIFERENCIA "&amp;TEXT(Z364,"#,##0")))))</f>
        <v/>
      </c>
    </row>
    <row r="365" ht="14.25" customHeight="1" s="235">
      <c r="A365" s="47">
        <f>IF(Exogena_RAW!E374&lt;&gt;"",ROW()-5,"")</f>
        <v/>
      </c>
      <c r="B365" s="48">
        <f>IF(A365="","",374)</f>
        <v/>
      </c>
      <c r="C365" s="48">
        <f>IF(A365="","",IFERROR(Exogena_RAW!A374,""))</f>
        <v/>
      </c>
      <c r="D365" s="48">
        <f>IF(A365="","",IFERROR(Exogena_RAW!B374,""))</f>
        <v/>
      </c>
      <c r="E365" s="48">
        <f>IF(A365="","",Exogena_RAW!E374)</f>
        <v/>
      </c>
      <c r="F365" s="461">
        <f>IF(A365="","",Exogena_RAW!F374)</f>
        <v/>
      </c>
      <c r="G365" s="48">
        <f>IF(A365="","",IFERROR(Exogena_RAW!G374,""))</f>
        <v/>
      </c>
      <c r="H365" s="48">
        <f>IF(A365="","",IFERROR(Exogena_RAW!H374,""))</f>
        <v/>
      </c>
      <c r="I365" s="48">
        <f>IF(A365="","",IFERROR(IF(S365&gt;1,"VARIAS CASILLAS",IF(S365=1,IF(T365=1,"PROPUESTA DE CASILLA","REVISIÓN: CASILLA NO DIRECTA"),IF(OR(ISNUMBER(SEARCH("TOPE",UPPER(E365))),ISNUMBER(SEARCH("TOPE",UPPER(G365)))),"SOLO CONTROL",IF(ISNUMBER(SEARCH("RETEN",UPPER(E365))),"RETENCIÓN","REVISAR")))),"REVISAR"))</f>
        <v/>
      </c>
      <c r="J365" s="48">
        <f>IF(A365="","",IF(ISNUMBER(SEARCH("ingreso laboral promedio de los últimos seis meses",E365)),"",IFERROR(IF(AND(S365=1,T365=1),U365,""),"")))</f>
        <v/>
      </c>
      <c r="K365" s="216" t="n"/>
      <c r="L365" s="48">
        <f>IF(A365="","",IFERROR(IF(K365&lt;&gt;"","Casilla elegida por usuario",IF(S365&gt;1,"Varias casillas — elegir en K",IF(J365&lt;&gt;"","Sugerencia directa",IF(S365=1,"No trasladar directo — revisar",IF(OR(ISNUMBER(SEARCH("TOPE",UPPER(E365))),ISNUMBER(SEARCH("TOPE",UPPER(G365)))),"Solo control","Revisar manualmente"))))),"Revisar manualmente"))</f>
        <v/>
      </c>
      <c r="M365" s="461">
        <f>IF(A365="","",IF(IF(K365&lt;&gt;"",K365,J365)="",0,IF(COUNTIFS(Reglas!$I$5:$I$118,IF(K365&lt;&gt;"",K365,J365),Reglas!$J$5:$J$118,"Sí")=1,F365,0)))</f>
        <v/>
      </c>
      <c r="N365" s="56" t="n"/>
      <c r="O365" s="462">
        <f>IF(A365="","",IF(M365=0,"",M365))</f>
        <v/>
      </c>
      <c r="P365" s="461">
        <f>IF(A365="","",IF(O365="",0,IF(ISNUMBER(O365),O365,0)))</f>
        <v/>
      </c>
      <c r="Q365" s="48">
        <f>IF(A365="","",IF(Exogena_RAW!$C$4="","BLOQUEADO: FALTA AÑO",IF(Exogena_RAW!$K$10&lt;&gt;Reglas!$B$5,"BLOQUEADO: AÑO",IF(IF(K365&lt;&gt;"",K365,J365)="",IF(S365&gt;1,"REQUIERE ASIGNACIÓN MANUAL (VARIAS CASILLAS)","INFORMATIVO (sin casilla — no se declara)"),IF(COUNTIFS(Reglas!$I$5:$I$118,IF(K365&lt;&gt;"",K365,J365),Reglas!$J$5:$J$118,"Sí")=0,"BLOQUEADO: CASILLA NO DIRECTA",IF(O365="","EXCLUIDO (valor borrado por el usuario)",IF(_xlfn.ISFORMULA(O365),IF(W365&lt;&gt;"","BORRADOR — VALOR SUGERIDO DIAN ⚠ VER ALERTA","BORRADOR — VALOR SUGERIDO DIAN"),IF(W365&lt;&gt;"","ACEPTADO ⚠ VER ALERTA","ACEPTADO"))))))))</f>
        <v/>
      </c>
      <c r="R365" s="218" t="n"/>
      <c r="S365" s="58">
        <f>IF(A365="","",IFERROR(--ISNUMBER(SEARCH("R28",G365)),0)+IFERROR(--ISNUMBER(SEARCH("R29",G365)),0)+IFERROR(--ISNUMBER(SEARCH("R30",G365)),0)+IFERROR(--ISNUMBER(SEARCH("R31",G365)),0)+IFERROR(--ISNUMBER(SEARCH("R32",G365)),0)+IFERROR(--ISNUMBER(SEARCH("R33",G365)),0)+IFERROR(--ISNUMBER(SEARCH("R34",G365)),0)+IFERROR(--ISNUMBER(SEARCH("R35",G365)),0)+IFERROR(--ISNUMBER(SEARCH("R36",G365)),0)+IFERROR(--ISNUMBER(SEARCH("R37",G365)),0)+IFERROR(--ISNUMBER(SEARCH("R38",G365)),0)+IFERROR(--ISNUMBER(SEARCH("R39",G365)),0)+IFERROR(--ISNUMBER(SEARCH("R40",G365)),0)+IFERROR(--ISNUMBER(SEARCH("R41",G365)),0)+IFERROR(--ISNUMBER(SEARCH("R42",G365)),0)+IFERROR(--ISNUMBER(SEARCH("R43",G365)),0)+IFERROR(--ISNUMBER(SEARCH("R44",G365)),0)+IFERROR(--ISNUMBER(SEARCH("R45",G365)),0)+IFERROR(--ISNUMBER(SEARCH("R46",G365)),0)+IFERROR(--ISNUMBER(SEARCH("R47",G365)),0)+IFERROR(--ISNUMBER(SEARCH("R48",G365)),0)+IFERROR(--ISNUMBER(SEARCH("R49",G365)),0)+IFERROR(--ISNUMBER(SEARCH("R50",G365)),0)+IFERROR(--ISNUMBER(SEARCH("R51",G365)),0)+IFERROR(--ISNUMBER(SEARCH("R52",G365)),0)+IFERROR(--ISNUMBER(SEARCH("R53",G365)),0)+IFERROR(--ISNUMBER(SEARCH("R54",G365)),0)+IFERROR(--ISNUMBER(SEARCH("R55",G365)),0)+IFERROR(--ISNUMBER(SEARCH("R56",G365)),0)+IFERROR(--ISNUMBER(SEARCH("R57",G365)),0)+IFERROR(--ISNUMBER(SEARCH("R58",G365)),0)+IFERROR(--ISNUMBER(SEARCH("R59",G365)),0)+IFERROR(--ISNUMBER(SEARCH("R60",G365)),0)+IFERROR(--ISNUMBER(SEARCH("R61",G365)),0)+IFERROR(--ISNUMBER(SEARCH("R62",G365)),0)+IFERROR(--ISNUMBER(SEARCH("R63",G365)),0)+IFERROR(--ISNUMBER(SEARCH("R64",G365)),0)+IFERROR(--ISNUMBER(SEARCH("R65",G365)),0)+IFERROR(--ISNUMBER(SEARCH("R66",G365)),0)+IFERROR(--ISNUMBER(SEARCH("R67",G365)),0)+IFERROR(--ISNUMBER(SEARCH("R68",G365)),0)+IFERROR(--ISNUMBER(SEARCH("R69",G365)),0)+IFERROR(--ISNUMBER(SEARCH("R70",G365)),0)+IFERROR(--ISNUMBER(SEARCH("R71",G365)),0)+IFERROR(--ISNUMBER(SEARCH("R72",G365)),0)+IFERROR(--ISNUMBER(SEARCH("R73",G365)),0)+IFERROR(--ISNUMBER(SEARCH("R74",G365)),0)+IFERROR(--ISNUMBER(SEARCH("R75",G365)),0)+IFERROR(--ISNUMBER(SEARCH("R76",G365)),0)+IFERROR(--ISNUMBER(SEARCH("R77",G365)),0)+IFERROR(--ISNUMBER(SEARCH("R78",G365)),0)+IFERROR(--ISNUMBER(SEARCH("R79",G365)),0)+IFERROR(--ISNUMBER(SEARCH("R80",G365)),0)+IFERROR(--ISNUMBER(SEARCH("R81",G365)),0)+IFERROR(--ISNUMBER(SEARCH("R82",G365)),0)+IFERROR(--ISNUMBER(SEARCH("R83",G365)),0)+IFERROR(--ISNUMBER(SEARCH("R84",G365)),0)+IFERROR(--ISNUMBER(SEARCH("R85",G365)),0)+IFERROR(--ISNUMBER(SEARCH("R86",G365)),0)+IFERROR(--ISNUMBER(SEARCH("R87",G365)),0)+IFERROR(--ISNUMBER(SEARCH("R88",G365)),0)+IFERROR(--ISNUMBER(SEARCH("R89",G365)),0)+IFERROR(--ISNUMBER(SEARCH("R90",G365)),0)+IFERROR(--ISNUMBER(SEARCH("R91",G365)),0)+IFERROR(--ISNUMBER(SEARCH("R92",G365)),0)+IFERROR(--ISNUMBER(SEARCH("R93",G365)),0)+IFERROR(--ISNUMBER(SEARCH("R94",G365)),0)+IFERROR(--ISNUMBER(SEARCH("R95",G365)),0)+IFERROR(--ISNUMBER(SEARCH("R96",G365)),0)+IFERROR(--ISNUMBER(SEARCH("R97",G365)),0)+IFERROR(--ISNUMBER(SEARCH("R98",G365)),0)+IFERROR(--ISNUMBER(SEARCH("R99",G365)),0)+IFERROR(--ISNUMBER(SEARCH("R100",G365)),0)+IFERROR(--ISNUMBER(SEARCH("R101",G365)),0)+IFERROR(--ISNUMBER(SEARCH("R102",G365)),0)+IFERROR(--ISNUMBER(SEARCH("R103",G365)),0)+IFERROR(--ISNUMBER(SEARCH("R104",G365)),0)+IFERROR(--ISNUMBER(SEARCH("R105",G365)),0)+IFERROR(--ISNUMBER(SEARCH("R106",G365)),0)+IFERROR(--ISNUMBER(SEARCH("R107",G365)),0)+IFERROR(--ISNUMBER(SEARCH("R108",G365)),0)+IFERROR(--ISNUMBER(SEARCH("R109",G365)),0)+IFERROR(--ISNUMBER(SEARCH("R110",G365)),0)+IFERROR(--ISNUMBER(SEARCH("R111",G365)),0)+IFERROR(--ISNUMBER(SEARCH("R112",G365)),0)+IFERROR(--ISNUMBER(SEARCH("R113",G365)),0)+IFERROR(--ISNUMBER(SEARCH("R114",G365)),0)+IFERROR(--ISNUMBER(SEARCH("R115",G365)),0)+IFERROR(--ISNUMBER(SEARCH("R116",G365)),0)+IFERROR(--ISNUMBER(SEARCH("R117",G365)),0)+IFERROR(--ISNUMBER(SEARCH("R118",G365)),0)+IFERROR(--ISNUMBER(SEARCH("R119",G365)),0)+IFERROR(--ISNUMBER(SEARCH("R120",G365)),0)+IFERROR(--ISNUMBER(SEARCH("R121",G365)),0)+IFERROR(--ISNUMBER(SEARCH("R122",G365)),0)+IFERROR(--ISNUMBER(SEARCH("R123",G365)),0)+IFERROR(--ISNUMBER(SEARCH("R124",G365)),0)+IFERROR(--ISNUMBER(SEARCH("R125",G365)),0)+IFERROR(--ISNUMBER(SEARCH("R126",G365)),0)+IFERROR(--ISNUMBER(SEARCH("R127",G365)),0)+IFERROR(--ISNUMBER(SEARCH("R128",G365)),0)+IFERROR(--ISNUMBER(SEARCH("R129",G365)),0)+IFERROR(--ISNUMBER(SEARCH("R130",G365)),0)+IFERROR(--ISNUMBER(SEARCH("R131",G365)),0)+IFERROR(--ISNUMBER(SEARCH("R132",G365)),0)+IFERROR(--ISNUMBER(SEARCH("R133",G365)),0)+IFERROR(--ISNUMBER(SEARCH("R134",G365)),0)+IFERROR(--ISNUMBER(SEARCH("R135",G365)),0)+IFERROR(--ISNUMBER(SEARCH("R136",G365)),0)+IFERROR(--ISNUMBER(SEARCH("R137",G365)),0)+IFERROR(--ISNUMBER(SEARCH("R138",G365)),0)+IFERROR(--ISNUMBER(SEARCH("R139",G365)),0)+IFERROR(--ISNUMBER(SEARCH("R140",G365)),0)+IFERROR(--ISNUMBER(SEARCH("R141",G365)),0))</f>
        <v/>
      </c>
      <c r="T365" s="58">
        <f>IF(A365="","",IFERROR(--ISNUMBER(SEARCH("R28",G365)),0)+IFERROR(--ISNUMBER(SEARCH("R29",G365)),0)+IFERROR(--ISNUMBER(SEARCH("R30",G365)),0)+IFERROR(--ISNUMBER(SEARCH("R32",G365)),0)+IFERROR(--ISNUMBER(SEARCH("R33",G365)),0)+IFERROR(--ISNUMBER(SEARCH("R35",G365)),0)+IFERROR(--ISNUMBER(SEARCH("R36",G365)),0)+IFERROR(--ISNUMBER(SEARCH("R38",G365)),0)+IFERROR(--ISNUMBER(SEARCH("R39",G365)),0)+IFERROR(--ISNUMBER(SEARCH("R43",G365)),0)+IFERROR(--ISNUMBER(SEARCH("R44",G365)),0)+IFERROR(--ISNUMBER(SEARCH("R45",G365)),0)+IFERROR(--ISNUMBER(SEARCH("R47",G365)),0)+IFERROR(--ISNUMBER(SEARCH("R48",G365)),0)+IFERROR(--ISNUMBER(SEARCH("R50",G365)),0)+IFERROR(--ISNUMBER(SEARCH("R51",G365)),0)+IFERROR(--ISNUMBER(SEARCH("R56",G365)),0)+IFERROR(--ISNUMBER(SEARCH("R58",G365)),0)+IFERROR(--ISNUMBER(SEARCH("R59",G365)),0)+IFERROR(--ISNUMBER(SEARCH("R60",G365)),0)+IFERROR(--ISNUMBER(SEARCH("R62",G365)),0)+IFERROR(--ISNUMBER(SEARCH("R63",G365)),0)+IFERROR(--ISNUMBER(SEARCH("R64",G365)),0)+IFERROR(--ISNUMBER(SEARCH("R66",G365)),0)+IFERROR(--ISNUMBER(SEARCH("R67",G365)),0)+IFERROR(--ISNUMBER(SEARCH("R72",G365)),0)+IFERROR(--ISNUMBER(SEARCH("R74",G365)),0)+IFERROR(--ISNUMBER(SEARCH("R75",G365)),0)+IFERROR(--ISNUMBER(SEARCH("R76",G365)),0)+IFERROR(--ISNUMBER(SEARCH("R77",G365)),0)+IFERROR(--ISNUMBER(SEARCH("R79",G365)),0)+IFERROR(--ISNUMBER(SEARCH("R80",G365)),0)+IFERROR(--ISNUMBER(SEARCH("R81",G365)),0)+IFERROR(--ISNUMBER(SEARCH("R83",G365)),0)+IFERROR(--ISNUMBER(SEARCH("R84",G365)),0)+IFERROR(--ISNUMBER(SEARCH("R89",G365)),0)+IFERROR(--ISNUMBER(SEARCH("R94",G365)),0)+IFERROR(--ISNUMBER(SEARCH("R95",G365)),0)+IFERROR(--ISNUMBER(SEARCH("R96",G365)),0)+IFERROR(--ISNUMBER(SEARCH("R98",G365)),0)+IFERROR(--ISNUMBER(SEARCH("R99",G365)),0)+IFERROR(--ISNUMBER(SEARCH("R100",G365)),0)+IFERROR(--ISNUMBER(SEARCH("R104",G365)),0)+IFERROR(--ISNUMBER(SEARCH("R105",G365)),0)+IFERROR(--ISNUMBER(SEARCH("R107",G365)),0)+IFERROR(--ISNUMBER(SEARCH("R108",G365)),0)+IFERROR(--ISNUMBER(SEARCH("R109",G365)),0)+IFERROR(--ISNUMBER(SEARCH("R110",G365)),0)+IFERROR(--ISNUMBER(SEARCH("R112",G365)),0)+IFERROR(--ISNUMBER(SEARCH("R113",G365)),0)+IFERROR(--ISNUMBER(SEARCH("R114",G365)),0)+IFERROR(--ISNUMBER(SEARCH("R118",G365)),0)+IFERROR(--ISNUMBER(SEARCH("R119",G365)),0)+IFERROR(--ISNUMBER(SEARCH("R120",G365)),0)+IFERROR(--ISNUMBER(SEARCH("R122",G365)),0)+IFERROR(--ISNUMBER(SEARCH("R123",G365)),0)+IFERROR(--ISNUMBER(SEARCH("R124",G365)),0)+IFERROR(--ISNUMBER(SEARCH("R128",G365)),0)+IFERROR(--ISNUMBER(SEARCH("R130",G365)),0)+IFERROR(--ISNUMBER(SEARCH("R131",G365)),0)+IFERROR(--ISNUMBER(SEARCH("R132",G365)),0)+IFERROR(--ISNUMBER(SEARCH("R135",G365)),0)+IFERROR(--ISNUMBER(SEARCH("R138",G365)),0)+IFERROR(--ISNUMBER(SEARCH("R141",G365)),0))</f>
        <v/>
      </c>
      <c r="U365" s="58">
        <f>IF(A365="","",IFERROR(--ISNUMBER(SEARCH("R28",G365))*28,0)+IFERROR(--ISNUMBER(SEARCH("R29",G365))*29,0)+IFERROR(--ISNUMBER(SEARCH("R30",G365))*30,0)+IFERROR(--ISNUMBER(SEARCH("R31",G365))*31,0)+IFERROR(--ISNUMBER(SEARCH("R32",G365))*32,0)+IFERROR(--ISNUMBER(SEARCH("R33",G365))*33,0)+IFERROR(--ISNUMBER(SEARCH("R34",G365))*34,0)+IFERROR(--ISNUMBER(SEARCH("R35",G365))*35,0)+IFERROR(--ISNUMBER(SEARCH("R36",G365))*36,0)+IFERROR(--ISNUMBER(SEARCH("R37",G365))*37,0)+IFERROR(--ISNUMBER(SEARCH("R38",G365))*38,0)+IFERROR(--ISNUMBER(SEARCH("R39",G365))*39,0)+IFERROR(--ISNUMBER(SEARCH("R40",G365))*40,0)+IFERROR(--ISNUMBER(SEARCH("R41",G365))*41,0)+IFERROR(--ISNUMBER(SEARCH("R42",G365))*42,0)+IFERROR(--ISNUMBER(SEARCH("R43",G365))*43,0)+IFERROR(--ISNUMBER(SEARCH("R44",G365))*44,0)+IFERROR(--ISNUMBER(SEARCH("R45",G365))*45,0)+IFERROR(--ISNUMBER(SEARCH("R46",G365))*46,0)+IFERROR(--ISNUMBER(SEARCH("R47",G365))*47,0)+IFERROR(--ISNUMBER(SEARCH("R48",G365))*48,0)+IFERROR(--ISNUMBER(SEARCH("R49",G365))*49,0)+IFERROR(--ISNUMBER(SEARCH("R50",G365))*50,0)+IFERROR(--ISNUMBER(SEARCH("R51",G365))*51,0)+IFERROR(--ISNUMBER(SEARCH("R52",G365))*52,0)+IFERROR(--ISNUMBER(SEARCH("R53",G365))*53,0)+IFERROR(--ISNUMBER(SEARCH("R54",G365))*54,0)+IFERROR(--ISNUMBER(SEARCH("R55",G365))*55,0)+IFERROR(--ISNUMBER(SEARCH("R56",G365))*56,0)+IFERROR(--ISNUMBER(SEARCH("R57",G365))*57,0)+IFERROR(--ISNUMBER(SEARCH("R58",G365))*58,0)+IFERROR(--ISNUMBER(SEARCH("R59",G365))*59,0)+IFERROR(--ISNUMBER(SEARCH("R60",G365))*60,0)+IFERROR(--ISNUMBER(SEARCH("R61",G365))*61,0)+IFERROR(--ISNUMBER(SEARCH("R62",G365))*62,0)+IFERROR(--ISNUMBER(SEARCH("R63",G365))*63,0)+IFERROR(--ISNUMBER(SEARCH("R64",G365))*64,0)+IFERROR(--ISNUMBER(SEARCH("R65",G365))*65,0)+IFERROR(--ISNUMBER(SEARCH("R66",G365))*66,0)+IFERROR(--ISNUMBER(SEARCH("R67",G365))*67,0)+IFERROR(--ISNUMBER(SEARCH("R68",G365))*68,0)+IFERROR(--ISNUMBER(SEARCH("R69",G365))*69,0)+IFERROR(--ISNUMBER(SEARCH("R70",G365))*70,0)+IFERROR(--ISNUMBER(SEARCH("R71",G365))*71,0)+IFERROR(--ISNUMBER(SEARCH("R72",G365))*72,0)+IFERROR(--ISNUMBER(SEARCH("R73",G365))*73,0)+IFERROR(--ISNUMBER(SEARCH("R74",G365))*74,0)+IFERROR(--ISNUMBER(SEARCH("R75",G365))*75,0)+IFERROR(--ISNUMBER(SEARCH("R76",G365))*76,0)+IFERROR(--ISNUMBER(SEARCH("R77",G365))*77,0)+IFERROR(--ISNUMBER(SEARCH("R78",G365))*78,0)+IFERROR(--ISNUMBER(SEARCH("R79",G365))*79,0)+IFERROR(--ISNUMBER(SEARCH("R80",G365))*80,0)+IFERROR(--ISNUMBER(SEARCH("R81",G365))*81,0)+IFERROR(--ISNUMBER(SEARCH("R82",G365))*82,0)+IFERROR(--ISNUMBER(SEARCH("R83",G365))*83,0)+IFERROR(--ISNUMBER(SEARCH("R84",G365))*84,0)+IFERROR(--ISNUMBER(SEARCH("R85",G365))*85,0)+IFERROR(--ISNUMBER(SEARCH("R86",G365))*86,0)+IFERROR(--ISNUMBER(SEARCH("R87",G365))*87,0)+IFERROR(--ISNUMBER(SEARCH("R88",G365))*88,0)+IFERROR(--ISNUMBER(SEARCH("R89",G365))*89,0)+IFERROR(--ISNUMBER(SEARCH("R90",G365))*90,0)+IFERROR(--ISNUMBER(SEARCH("R91",G365))*91,0)+IFERROR(--ISNUMBER(SEARCH("R92",G365))*92,0)+IFERROR(--ISNUMBER(SEARCH("R93",G365))*93,0)+IFERROR(--ISNUMBER(SEARCH("R94",G365))*94,0)+IFERROR(--ISNUMBER(SEARCH("R95",G365))*95,0)+IFERROR(--ISNUMBER(SEARCH("R96",G365))*96,0)+IFERROR(--ISNUMBER(SEARCH("R97",G365))*97,0)+IFERROR(--ISNUMBER(SEARCH("R98",G365))*98,0)+IFERROR(--ISNUMBER(SEARCH("R99",G365))*99,0)+IFERROR(--ISNUMBER(SEARCH("R100",G365))*100,0)+IFERROR(--ISNUMBER(SEARCH("R101",G365))*101,0)+IFERROR(--ISNUMBER(SEARCH("R102",G365))*102,0)+IFERROR(--ISNUMBER(SEARCH("R103",G365))*103,0)+IFERROR(--ISNUMBER(SEARCH("R104",G365))*104,0)+IFERROR(--ISNUMBER(SEARCH("R105",G365))*105,0)+IFERROR(--ISNUMBER(SEARCH("R106",G365))*106,0)+IFERROR(--ISNUMBER(SEARCH("R107",G365))*107,0)+IFERROR(--ISNUMBER(SEARCH("R108",G365))*108,0)+IFERROR(--ISNUMBER(SEARCH("R109",G365))*109,0)+IFERROR(--ISNUMBER(SEARCH("R110",G365))*110,0)+IFERROR(--ISNUMBER(SEARCH("R111",G365))*111,0)+IFERROR(--ISNUMBER(SEARCH("R112",G365))*112,0)+IFERROR(--ISNUMBER(SEARCH("R113",G365))*113,0)+IFERROR(--ISNUMBER(SEARCH("R114",G365))*114,0)+IFERROR(--ISNUMBER(SEARCH("R115",G365))*115,0)+IFERROR(--ISNUMBER(SEARCH("R116",G365))*116,0)+IFERROR(--ISNUMBER(SEARCH("R117",G365))*117,0)+IFERROR(--ISNUMBER(SEARCH("R118",G365))*118,0)+IFERROR(--ISNUMBER(SEARCH("R119",G365))*119,0)+IFERROR(--ISNUMBER(SEARCH("R120",G365))*120,0)+IFERROR(--ISNUMBER(SEARCH("R121",G365))*121,0)+IFERROR(--ISNUMBER(SEARCH("R122",G365))*122,0)+IFERROR(--ISNUMBER(SEARCH("R123",G365))*123,0)+IFERROR(--ISNUMBER(SEARCH("R124",G365))*124,0)+IFERROR(--ISNUMBER(SEARCH("R125",G365))*125,0)+IFERROR(--ISNUMBER(SEARCH("R126",G365))*126,0)+IFERROR(--ISNUMBER(SEARCH("R127",G365))*127,0)+IFERROR(--ISNUMBER(SEARCH("R128",G365))*128,0)+IFERROR(--ISNUMBER(SEARCH("R129",G365))*129,0)+IFERROR(--ISNUMBER(SEARCH("R130",G365))*130,0)+IFERROR(--ISNUMBER(SEARCH("R131",G365))*131,0)+IFERROR(--ISNUMBER(SEARCH("R132",G365))*132,0)+IFERROR(--ISNUMBER(SEARCH("R133",G365))*133,0)+IFERROR(--ISNUMBER(SEARCH("R134",G365))*134,0)+IFERROR(--ISNUMBER(SEARCH("R135",G365))*135,0)+IFERROR(--ISNUMBER(SEARCH("R136",G365))*136,0)+IFERROR(--ISNUMBER(SEARCH("R137",G365))*137,0)+IFERROR(--ISNUMBER(SEARCH("R138",G365))*138,0)+IFERROR(--ISNUMBER(SEARCH("R139",G365))*139,0)+IFERROR(--ISNUMBER(SEARCH("R140",G365))*140,0)+IFERROR(--ISNUMBER(SEARCH("R141",G365))*141,0))</f>
        <v/>
      </c>
      <c r="V365" s="59">
        <f>IF(A365="","",IF(K365&lt;&gt;"",K365,J365))</f>
        <v/>
      </c>
      <c r="W365" s="59">
        <f>IF(A365="","",IF(AND(V365=29,O365&lt;&gt;"",COUNTIFS($V$6:$V$505,29,$F$6:$F$505,F365,$C$6:$C$505,C365,$O$6:$O$505,"&lt;&gt;")&gt;1),IF(COUNTIFS($V$6:V365,29,$F$6:F365,F365,$C$6:C365,C365,$O$6:O365,"&lt;&gt;")=1,"Esta es la fila que se debe CONSERVAR (aparición 1 de "&amp;COUNTIFS($V$6:$V$505,29,$F$6:$F$505,F365,$C$6:$C$505,C365,$O$6:$O$505,"&lt;&gt;")&amp;" con el mismo tercero y valor, casilla 29). Si hay más filas iguales, bórreles el valor a ELLAS, no a esta.","DUPLICADO — ya existe otra fila con el mismo tercero y valor para casilla 29 (aparición "&amp;COUNTIFS($V$6:V365,29,$F$6:F365,F365,$C$6:C365,C365,$O$6:O365,"&lt;&gt;")&amp;" de "&amp;COUNTIFS($V$6:$V$505,29,$F$6:$F$505,F365,$C$6:$C$505,C365,$O$6:$O$505,"&lt;&gt;")&amp;"). Para resolverlo: seleccione la celda O"&amp;ROW()&amp;" (columna Valor a declarar de ESTA fila) y presione Supr."),""))</f>
        <v/>
      </c>
      <c r="X365" s="463">
        <f>IF(A365="","",F365)</f>
        <v/>
      </c>
      <c r="Y365" s="463">
        <f>IF(A365="","",SUMIF(Entrada_Manual!$I$88:$I$187,A365,Entrada_Manual!$F$88:$F$187))</f>
        <v/>
      </c>
      <c r="Z365" s="463">
        <f>IF(A365="","",X365-Y365)</f>
        <v/>
      </c>
      <c r="AA365">
        <f>IF(A365="","",SUMPRODUCT((Entrada_Manual!$I$88:$I$187=A365)*1))</f>
        <v/>
      </c>
      <c r="AB365">
        <f>IF(A365="","",IF(S365&lt;=1,"",IF(AA365=0,"PENDIENTE — SIN ASIGNAR",IF(Z365=0,"RESUELTO","PARCIAL — DIFERENCIA "&amp;TEXT(Z365,"#,##0")))))</f>
        <v/>
      </c>
    </row>
    <row r="366" ht="14.25" customHeight="1" s="235">
      <c r="A366" s="47">
        <f>IF(Exogena_RAW!E375&lt;&gt;"",ROW()-5,"")</f>
        <v/>
      </c>
      <c r="B366" s="48">
        <f>IF(A366="","",375)</f>
        <v/>
      </c>
      <c r="C366" s="48">
        <f>IF(A366="","",IFERROR(Exogena_RAW!A375,""))</f>
        <v/>
      </c>
      <c r="D366" s="48">
        <f>IF(A366="","",IFERROR(Exogena_RAW!B375,""))</f>
        <v/>
      </c>
      <c r="E366" s="48">
        <f>IF(A366="","",Exogena_RAW!E375)</f>
        <v/>
      </c>
      <c r="F366" s="461">
        <f>IF(A366="","",Exogena_RAW!F375)</f>
        <v/>
      </c>
      <c r="G366" s="48">
        <f>IF(A366="","",IFERROR(Exogena_RAW!G375,""))</f>
        <v/>
      </c>
      <c r="H366" s="48">
        <f>IF(A366="","",IFERROR(Exogena_RAW!H375,""))</f>
        <v/>
      </c>
      <c r="I366" s="48">
        <f>IF(A366="","",IFERROR(IF(S366&gt;1,"VARIAS CASILLAS",IF(S366=1,IF(T366=1,"PROPUESTA DE CASILLA","REVISIÓN: CASILLA NO DIRECTA"),IF(OR(ISNUMBER(SEARCH("TOPE",UPPER(E366))),ISNUMBER(SEARCH("TOPE",UPPER(G366)))),"SOLO CONTROL",IF(ISNUMBER(SEARCH("RETEN",UPPER(E366))),"RETENCIÓN","REVISAR")))),"REVISAR"))</f>
        <v/>
      </c>
      <c r="J366" s="48">
        <f>IF(A366="","",IF(ISNUMBER(SEARCH("ingreso laboral promedio de los últimos seis meses",E366)),"",IFERROR(IF(AND(S366=1,T366=1),U366,""),"")))</f>
        <v/>
      </c>
      <c r="K366" s="216" t="n"/>
      <c r="L366" s="48">
        <f>IF(A366="","",IFERROR(IF(K366&lt;&gt;"","Casilla elegida por usuario",IF(S366&gt;1,"Varias casillas — elegir en K",IF(J366&lt;&gt;"","Sugerencia directa",IF(S366=1,"No trasladar directo — revisar",IF(OR(ISNUMBER(SEARCH("TOPE",UPPER(E366))),ISNUMBER(SEARCH("TOPE",UPPER(G366)))),"Solo control","Revisar manualmente"))))),"Revisar manualmente"))</f>
        <v/>
      </c>
      <c r="M366" s="461">
        <f>IF(A366="","",IF(IF(K366&lt;&gt;"",K366,J366)="",0,IF(COUNTIFS(Reglas!$I$5:$I$118,IF(K366&lt;&gt;"",K366,J366),Reglas!$J$5:$J$118,"Sí")=1,F366,0)))</f>
        <v/>
      </c>
      <c r="N366" s="56" t="n"/>
      <c r="O366" s="462">
        <f>IF(A366="","",IF(M366=0,"",M366))</f>
        <v/>
      </c>
      <c r="P366" s="461">
        <f>IF(A366="","",IF(O366="",0,IF(ISNUMBER(O366),O366,0)))</f>
        <v/>
      </c>
      <c r="Q366" s="48">
        <f>IF(A366="","",IF(Exogena_RAW!$C$4="","BLOQUEADO: FALTA AÑO",IF(Exogena_RAW!$K$10&lt;&gt;Reglas!$B$5,"BLOQUEADO: AÑO",IF(IF(K366&lt;&gt;"",K366,J366)="",IF(S366&gt;1,"REQUIERE ASIGNACIÓN MANUAL (VARIAS CASILLAS)","INFORMATIVO (sin casilla — no se declara)"),IF(COUNTIFS(Reglas!$I$5:$I$118,IF(K366&lt;&gt;"",K366,J366),Reglas!$J$5:$J$118,"Sí")=0,"BLOQUEADO: CASILLA NO DIRECTA",IF(O366="","EXCLUIDO (valor borrado por el usuario)",IF(_xlfn.ISFORMULA(O366),IF(W366&lt;&gt;"","BORRADOR — VALOR SUGERIDO DIAN ⚠ VER ALERTA","BORRADOR — VALOR SUGERIDO DIAN"),IF(W366&lt;&gt;"","ACEPTADO ⚠ VER ALERTA","ACEPTADO"))))))))</f>
        <v/>
      </c>
      <c r="R366" s="218" t="n"/>
      <c r="S366" s="58">
        <f>IF(A366="","",IFERROR(--ISNUMBER(SEARCH("R28",G366)),0)+IFERROR(--ISNUMBER(SEARCH("R29",G366)),0)+IFERROR(--ISNUMBER(SEARCH("R30",G366)),0)+IFERROR(--ISNUMBER(SEARCH("R31",G366)),0)+IFERROR(--ISNUMBER(SEARCH("R32",G366)),0)+IFERROR(--ISNUMBER(SEARCH("R33",G366)),0)+IFERROR(--ISNUMBER(SEARCH("R34",G366)),0)+IFERROR(--ISNUMBER(SEARCH("R35",G366)),0)+IFERROR(--ISNUMBER(SEARCH("R36",G366)),0)+IFERROR(--ISNUMBER(SEARCH("R37",G366)),0)+IFERROR(--ISNUMBER(SEARCH("R38",G366)),0)+IFERROR(--ISNUMBER(SEARCH("R39",G366)),0)+IFERROR(--ISNUMBER(SEARCH("R40",G366)),0)+IFERROR(--ISNUMBER(SEARCH("R41",G366)),0)+IFERROR(--ISNUMBER(SEARCH("R42",G366)),0)+IFERROR(--ISNUMBER(SEARCH("R43",G366)),0)+IFERROR(--ISNUMBER(SEARCH("R44",G366)),0)+IFERROR(--ISNUMBER(SEARCH("R45",G366)),0)+IFERROR(--ISNUMBER(SEARCH("R46",G366)),0)+IFERROR(--ISNUMBER(SEARCH("R47",G366)),0)+IFERROR(--ISNUMBER(SEARCH("R48",G366)),0)+IFERROR(--ISNUMBER(SEARCH("R49",G366)),0)+IFERROR(--ISNUMBER(SEARCH("R50",G366)),0)+IFERROR(--ISNUMBER(SEARCH("R51",G366)),0)+IFERROR(--ISNUMBER(SEARCH("R52",G366)),0)+IFERROR(--ISNUMBER(SEARCH("R53",G366)),0)+IFERROR(--ISNUMBER(SEARCH("R54",G366)),0)+IFERROR(--ISNUMBER(SEARCH("R55",G366)),0)+IFERROR(--ISNUMBER(SEARCH("R56",G366)),0)+IFERROR(--ISNUMBER(SEARCH("R57",G366)),0)+IFERROR(--ISNUMBER(SEARCH("R58",G366)),0)+IFERROR(--ISNUMBER(SEARCH("R59",G366)),0)+IFERROR(--ISNUMBER(SEARCH("R60",G366)),0)+IFERROR(--ISNUMBER(SEARCH("R61",G366)),0)+IFERROR(--ISNUMBER(SEARCH("R62",G366)),0)+IFERROR(--ISNUMBER(SEARCH("R63",G366)),0)+IFERROR(--ISNUMBER(SEARCH("R64",G366)),0)+IFERROR(--ISNUMBER(SEARCH("R65",G366)),0)+IFERROR(--ISNUMBER(SEARCH("R66",G366)),0)+IFERROR(--ISNUMBER(SEARCH("R67",G366)),0)+IFERROR(--ISNUMBER(SEARCH("R68",G366)),0)+IFERROR(--ISNUMBER(SEARCH("R69",G366)),0)+IFERROR(--ISNUMBER(SEARCH("R70",G366)),0)+IFERROR(--ISNUMBER(SEARCH("R71",G366)),0)+IFERROR(--ISNUMBER(SEARCH("R72",G366)),0)+IFERROR(--ISNUMBER(SEARCH("R73",G366)),0)+IFERROR(--ISNUMBER(SEARCH("R74",G366)),0)+IFERROR(--ISNUMBER(SEARCH("R75",G366)),0)+IFERROR(--ISNUMBER(SEARCH("R76",G366)),0)+IFERROR(--ISNUMBER(SEARCH("R77",G366)),0)+IFERROR(--ISNUMBER(SEARCH("R78",G366)),0)+IFERROR(--ISNUMBER(SEARCH("R79",G366)),0)+IFERROR(--ISNUMBER(SEARCH("R80",G366)),0)+IFERROR(--ISNUMBER(SEARCH("R81",G366)),0)+IFERROR(--ISNUMBER(SEARCH("R82",G366)),0)+IFERROR(--ISNUMBER(SEARCH("R83",G366)),0)+IFERROR(--ISNUMBER(SEARCH("R84",G366)),0)+IFERROR(--ISNUMBER(SEARCH("R85",G366)),0)+IFERROR(--ISNUMBER(SEARCH("R86",G366)),0)+IFERROR(--ISNUMBER(SEARCH("R87",G366)),0)+IFERROR(--ISNUMBER(SEARCH("R88",G366)),0)+IFERROR(--ISNUMBER(SEARCH("R89",G366)),0)+IFERROR(--ISNUMBER(SEARCH("R90",G366)),0)+IFERROR(--ISNUMBER(SEARCH("R91",G366)),0)+IFERROR(--ISNUMBER(SEARCH("R92",G366)),0)+IFERROR(--ISNUMBER(SEARCH("R93",G366)),0)+IFERROR(--ISNUMBER(SEARCH("R94",G366)),0)+IFERROR(--ISNUMBER(SEARCH("R95",G366)),0)+IFERROR(--ISNUMBER(SEARCH("R96",G366)),0)+IFERROR(--ISNUMBER(SEARCH("R97",G366)),0)+IFERROR(--ISNUMBER(SEARCH("R98",G366)),0)+IFERROR(--ISNUMBER(SEARCH("R99",G366)),0)+IFERROR(--ISNUMBER(SEARCH("R100",G366)),0)+IFERROR(--ISNUMBER(SEARCH("R101",G366)),0)+IFERROR(--ISNUMBER(SEARCH("R102",G366)),0)+IFERROR(--ISNUMBER(SEARCH("R103",G366)),0)+IFERROR(--ISNUMBER(SEARCH("R104",G366)),0)+IFERROR(--ISNUMBER(SEARCH("R105",G366)),0)+IFERROR(--ISNUMBER(SEARCH("R106",G366)),0)+IFERROR(--ISNUMBER(SEARCH("R107",G366)),0)+IFERROR(--ISNUMBER(SEARCH("R108",G366)),0)+IFERROR(--ISNUMBER(SEARCH("R109",G366)),0)+IFERROR(--ISNUMBER(SEARCH("R110",G366)),0)+IFERROR(--ISNUMBER(SEARCH("R111",G366)),0)+IFERROR(--ISNUMBER(SEARCH("R112",G366)),0)+IFERROR(--ISNUMBER(SEARCH("R113",G366)),0)+IFERROR(--ISNUMBER(SEARCH("R114",G366)),0)+IFERROR(--ISNUMBER(SEARCH("R115",G366)),0)+IFERROR(--ISNUMBER(SEARCH("R116",G366)),0)+IFERROR(--ISNUMBER(SEARCH("R117",G366)),0)+IFERROR(--ISNUMBER(SEARCH("R118",G366)),0)+IFERROR(--ISNUMBER(SEARCH("R119",G366)),0)+IFERROR(--ISNUMBER(SEARCH("R120",G366)),0)+IFERROR(--ISNUMBER(SEARCH("R121",G366)),0)+IFERROR(--ISNUMBER(SEARCH("R122",G366)),0)+IFERROR(--ISNUMBER(SEARCH("R123",G366)),0)+IFERROR(--ISNUMBER(SEARCH("R124",G366)),0)+IFERROR(--ISNUMBER(SEARCH("R125",G366)),0)+IFERROR(--ISNUMBER(SEARCH("R126",G366)),0)+IFERROR(--ISNUMBER(SEARCH("R127",G366)),0)+IFERROR(--ISNUMBER(SEARCH("R128",G366)),0)+IFERROR(--ISNUMBER(SEARCH("R129",G366)),0)+IFERROR(--ISNUMBER(SEARCH("R130",G366)),0)+IFERROR(--ISNUMBER(SEARCH("R131",G366)),0)+IFERROR(--ISNUMBER(SEARCH("R132",G366)),0)+IFERROR(--ISNUMBER(SEARCH("R133",G366)),0)+IFERROR(--ISNUMBER(SEARCH("R134",G366)),0)+IFERROR(--ISNUMBER(SEARCH("R135",G366)),0)+IFERROR(--ISNUMBER(SEARCH("R136",G366)),0)+IFERROR(--ISNUMBER(SEARCH("R137",G366)),0)+IFERROR(--ISNUMBER(SEARCH("R138",G366)),0)+IFERROR(--ISNUMBER(SEARCH("R139",G366)),0)+IFERROR(--ISNUMBER(SEARCH("R140",G366)),0)+IFERROR(--ISNUMBER(SEARCH("R141",G366)),0))</f>
        <v/>
      </c>
      <c r="T366" s="58">
        <f>IF(A366="","",IFERROR(--ISNUMBER(SEARCH("R28",G366)),0)+IFERROR(--ISNUMBER(SEARCH("R29",G366)),0)+IFERROR(--ISNUMBER(SEARCH("R30",G366)),0)+IFERROR(--ISNUMBER(SEARCH("R32",G366)),0)+IFERROR(--ISNUMBER(SEARCH("R33",G366)),0)+IFERROR(--ISNUMBER(SEARCH("R35",G366)),0)+IFERROR(--ISNUMBER(SEARCH("R36",G366)),0)+IFERROR(--ISNUMBER(SEARCH("R38",G366)),0)+IFERROR(--ISNUMBER(SEARCH("R39",G366)),0)+IFERROR(--ISNUMBER(SEARCH("R43",G366)),0)+IFERROR(--ISNUMBER(SEARCH("R44",G366)),0)+IFERROR(--ISNUMBER(SEARCH("R45",G366)),0)+IFERROR(--ISNUMBER(SEARCH("R47",G366)),0)+IFERROR(--ISNUMBER(SEARCH("R48",G366)),0)+IFERROR(--ISNUMBER(SEARCH("R50",G366)),0)+IFERROR(--ISNUMBER(SEARCH("R51",G366)),0)+IFERROR(--ISNUMBER(SEARCH("R56",G366)),0)+IFERROR(--ISNUMBER(SEARCH("R58",G366)),0)+IFERROR(--ISNUMBER(SEARCH("R59",G366)),0)+IFERROR(--ISNUMBER(SEARCH("R60",G366)),0)+IFERROR(--ISNUMBER(SEARCH("R62",G366)),0)+IFERROR(--ISNUMBER(SEARCH("R63",G366)),0)+IFERROR(--ISNUMBER(SEARCH("R64",G366)),0)+IFERROR(--ISNUMBER(SEARCH("R66",G366)),0)+IFERROR(--ISNUMBER(SEARCH("R67",G366)),0)+IFERROR(--ISNUMBER(SEARCH("R72",G366)),0)+IFERROR(--ISNUMBER(SEARCH("R74",G366)),0)+IFERROR(--ISNUMBER(SEARCH("R75",G366)),0)+IFERROR(--ISNUMBER(SEARCH("R76",G366)),0)+IFERROR(--ISNUMBER(SEARCH("R77",G366)),0)+IFERROR(--ISNUMBER(SEARCH("R79",G366)),0)+IFERROR(--ISNUMBER(SEARCH("R80",G366)),0)+IFERROR(--ISNUMBER(SEARCH("R81",G366)),0)+IFERROR(--ISNUMBER(SEARCH("R83",G366)),0)+IFERROR(--ISNUMBER(SEARCH("R84",G366)),0)+IFERROR(--ISNUMBER(SEARCH("R89",G366)),0)+IFERROR(--ISNUMBER(SEARCH("R94",G366)),0)+IFERROR(--ISNUMBER(SEARCH("R95",G366)),0)+IFERROR(--ISNUMBER(SEARCH("R96",G366)),0)+IFERROR(--ISNUMBER(SEARCH("R98",G366)),0)+IFERROR(--ISNUMBER(SEARCH("R99",G366)),0)+IFERROR(--ISNUMBER(SEARCH("R100",G366)),0)+IFERROR(--ISNUMBER(SEARCH("R104",G366)),0)+IFERROR(--ISNUMBER(SEARCH("R105",G366)),0)+IFERROR(--ISNUMBER(SEARCH("R107",G366)),0)+IFERROR(--ISNUMBER(SEARCH("R108",G366)),0)+IFERROR(--ISNUMBER(SEARCH("R109",G366)),0)+IFERROR(--ISNUMBER(SEARCH("R110",G366)),0)+IFERROR(--ISNUMBER(SEARCH("R112",G366)),0)+IFERROR(--ISNUMBER(SEARCH("R113",G366)),0)+IFERROR(--ISNUMBER(SEARCH("R114",G366)),0)+IFERROR(--ISNUMBER(SEARCH("R118",G366)),0)+IFERROR(--ISNUMBER(SEARCH("R119",G366)),0)+IFERROR(--ISNUMBER(SEARCH("R120",G366)),0)+IFERROR(--ISNUMBER(SEARCH("R122",G366)),0)+IFERROR(--ISNUMBER(SEARCH("R123",G366)),0)+IFERROR(--ISNUMBER(SEARCH("R124",G366)),0)+IFERROR(--ISNUMBER(SEARCH("R128",G366)),0)+IFERROR(--ISNUMBER(SEARCH("R130",G366)),0)+IFERROR(--ISNUMBER(SEARCH("R131",G366)),0)+IFERROR(--ISNUMBER(SEARCH("R132",G366)),0)+IFERROR(--ISNUMBER(SEARCH("R135",G366)),0)+IFERROR(--ISNUMBER(SEARCH("R138",G366)),0)+IFERROR(--ISNUMBER(SEARCH("R141",G366)),0))</f>
        <v/>
      </c>
      <c r="U366" s="58">
        <f>IF(A366="","",IFERROR(--ISNUMBER(SEARCH("R28",G366))*28,0)+IFERROR(--ISNUMBER(SEARCH("R29",G366))*29,0)+IFERROR(--ISNUMBER(SEARCH("R30",G366))*30,0)+IFERROR(--ISNUMBER(SEARCH("R31",G366))*31,0)+IFERROR(--ISNUMBER(SEARCH("R32",G366))*32,0)+IFERROR(--ISNUMBER(SEARCH("R33",G366))*33,0)+IFERROR(--ISNUMBER(SEARCH("R34",G366))*34,0)+IFERROR(--ISNUMBER(SEARCH("R35",G366))*35,0)+IFERROR(--ISNUMBER(SEARCH("R36",G366))*36,0)+IFERROR(--ISNUMBER(SEARCH("R37",G366))*37,0)+IFERROR(--ISNUMBER(SEARCH("R38",G366))*38,0)+IFERROR(--ISNUMBER(SEARCH("R39",G366))*39,0)+IFERROR(--ISNUMBER(SEARCH("R40",G366))*40,0)+IFERROR(--ISNUMBER(SEARCH("R41",G366))*41,0)+IFERROR(--ISNUMBER(SEARCH("R42",G366))*42,0)+IFERROR(--ISNUMBER(SEARCH("R43",G366))*43,0)+IFERROR(--ISNUMBER(SEARCH("R44",G366))*44,0)+IFERROR(--ISNUMBER(SEARCH("R45",G366))*45,0)+IFERROR(--ISNUMBER(SEARCH("R46",G366))*46,0)+IFERROR(--ISNUMBER(SEARCH("R47",G366))*47,0)+IFERROR(--ISNUMBER(SEARCH("R48",G366))*48,0)+IFERROR(--ISNUMBER(SEARCH("R49",G366))*49,0)+IFERROR(--ISNUMBER(SEARCH("R50",G366))*50,0)+IFERROR(--ISNUMBER(SEARCH("R51",G366))*51,0)+IFERROR(--ISNUMBER(SEARCH("R52",G366))*52,0)+IFERROR(--ISNUMBER(SEARCH("R53",G366))*53,0)+IFERROR(--ISNUMBER(SEARCH("R54",G366))*54,0)+IFERROR(--ISNUMBER(SEARCH("R55",G366))*55,0)+IFERROR(--ISNUMBER(SEARCH("R56",G366))*56,0)+IFERROR(--ISNUMBER(SEARCH("R57",G366))*57,0)+IFERROR(--ISNUMBER(SEARCH("R58",G366))*58,0)+IFERROR(--ISNUMBER(SEARCH("R59",G366))*59,0)+IFERROR(--ISNUMBER(SEARCH("R60",G366))*60,0)+IFERROR(--ISNUMBER(SEARCH("R61",G366))*61,0)+IFERROR(--ISNUMBER(SEARCH("R62",G366))*62,0)+IFERROR(--ISNUMBER(SEARCH("R63",G366))*63,0)+IFERROR(--ISNUMBER(SEARCH("R64",G366))*64,0)+IFERROR(--ISNUMBER(SEARCH("R65",G366))*65,0)+IFERROR(--ISNUMBER(SEARCH("R66",G366))*66,0)+IFERROR(--ISNUMBER(SEARCH("R67",G366))*67,0)+IFERROR(--ISNUMBER(SEARCH("R68",G366))*68,0)+IFERROR(--ISNUMBER(SEARCH("R69",G366))*69,0)+IFERROR(--ISNUMBER(SEARCH("R70",G366))*70,0)+IFERROR(--ISNUMBER(SEARCH("R71",G366))*71,0)+IFERROR(--ISNUMBER(SEARCH("R72",G366))*72,0)+IFERROR(--ISNUMBER(SEARCH("R73",G366))*73,0)+IFERROR(--ISNUMBER(SEARCH("R74",G366))*74,0)+IFERROR(--ISNUMBER(SEARCH("R75",G366))*75,0)+IFERROR(--ISNUMBER(SEARCH("R76",G366))*76,0)+IFERROR(--ISNUMBER(SEARCH("R77",G366))*77,0)+IFERROR(--ISNUMBER(SEARCH("R78",G366))*78,0)+IFERROR(--ISNUMBER(SEARCH("R79",G366))*79,0)+IFERROR(--ISNUMBER(SEARCH("R80",G366))*80,0)+IFERROR(--ISNUMBER(SEARCH("R81",G366))*81,0)+IFERROR(--ISNUMBER(SEARCH("R82",G366))*82,0)+IFERROR(--ISNUMBER(SEARCH("R83",G366))*83,0)+IFERROR(--ISNUMBER(SEARCH("R84",G366))*84,0)+IFERROR(--ISNUMBER(SEARCH("R85",G366))*85,0)+IFERROR(--ISNUMBER(SEARCH("R86",G366))*86,0)+IFERROR(--ISNUMBER(SEARCH("R87",G366))*87,0)+IFERROR(--ISNUMBER(SEARCH("R88",G366))*88,0)+IFERROR(--ISNUMBER(SEARCH("R89",G366))*89,0)+IFERROR(--ISNUMBER(SEARCH("R90",G366))*90,0)+IFERROR(--ISNUMBER(SEARCH("R91",G366))*91,0)+IFERROR(--ISNUMBER(SEARCH("R92",G366))*92,0)+IFERROR(--ISNUMBER(SEARCH("R93",G366))*93,0)+IFERROR(--ISNUMBER(SEARCH("R94",G366))*94,0)+IFERROR(--ISNUMBER(SEARCH("R95",G366))*95,0)+IFERROR(--ISNUMBER(SEARCH("R96",G366))*96,0)+IFERROR(--ISNUMBER(SEARCH("R97",G366))*97,0)+IFERROR(--ISNUMBER(SEARCH("R98",G366))*98,0)+IFERROR(--ISNUMBER(SEARCH("R99",G366))*99,0)+IFERROR(--ISNUMBER(SEARCH("R100",G366))*100,0)+IFERROR(--ISNUMBER(SEARCH("R101",G366))*101,0)+IFERROR(--ISNUMBER(SEARCH("R102",G366))*102,0)+IFERROR(--ISNUMBER(SEARCH("R103",G366))*103,0)+IFERROR(--ISNUMBER(SEARCH("R104",G366))*104,0)+IFERROR(--ISNUMBER(SEARCH("R105",G366))*105,0)+IFERROR(--ISNUMBER(SEARCH("R106",G366))*106,0)+IFERROR(--ISNUMBER(SEARCH("R107",G366))*107,0)+IFERROR(--ISNUMBER(SEARCH("R108",G366))*108,0)+IFERROR(--ISNUMBER(SEARCH("R109",G366))*109,0)+IFERROR(--ISNUMBER(SEARCH("R110",G366))*110,0)+IFERROR(--ISNUMBER(SEARCH("R111",G366))*111,0)+IFERROR(--ISNUMBER(SEARCH("R112",G366))*112,0)+IFERROR(--ISNUMBER(SEARCH("R113",G366))*113,0)+IFERROR(--ISNUMBER(SEARCH("R114",G366))*114,0)+IFERROR(--ISNUMBER(SEARCH("R115",G366))*115,0)+IFERROR(--ISNUMBER(SEARCH("R116",G366))*116,0)+IFERROR(--ISNUMBER(SEARCH("R117",G366))*117,0)+IFERROR(--ISNUMBER(SEARCH("R118",G366))*118,0)+IFERROR(--ISNUMBER(SEARCH("R119",G366))*119,0)+IFERROR(--ISNUMBER(SEARCH("R120",G366))*120,0)+IFERROR(--ISNUMBER(SEARCH("R121",G366))*121,0)+IFERROR(--ISNUMBER(SEARCH("R122",G366))*122,0)+IFERROR(--ISNUMBER(SEARCH("R123",G366))*123,0)+IFERROR(--ISNUMBER(SEARCH("R124",G366))*124,0)+IFERROR(--ISNUMBER(SEARCH("R125",G366))*125,0)+IFERROR(--ISNUMBER(SEARCH("R126",G366))*126,0)+IFERROR(--ISNUMBER(SEARCH("R127",G366))*127,0)+IFERROR(--ISNUMBER(SEARCH("R128",G366))*128,0)+IFERROR(--ISNUMBER(SEARCH("R129",G366))*129,0)+IFERROR(--ISNUMBER(SEARCH("R130",G366))*130,0)+IFERROR(--ISNUMBER(SEARCH("R131",G366))*131,0)+IFERROR(--ISNUMBER(SEARCH("R132",G366))*132,0)+IFERROR(--ISNUMBER(SEARCH("R133",G366))*133,0)+IFERROR(--ISNUMBER(SEARCH("R134",G366))*134,0)+IFERROR(--ISNUMBER(SEARCH("R135",G366))*135,0)+IFERROR(--ISNUMBER(SEARCH("R136",G366))*136,0)+IFERROR(--ISNUMBER(SEARCH("R137",G366))*137,0)+IFERROR(--ISNUMBER(SEARCH("R138",G366))*138,0)+IFERROR(--ISNUMBER(SEARCH("R139",G366))*139,0)+IFERROR(--ISNUMBER(SEARCH("R140",G366))*140,0)+IFERROR(--ISNUMBER(SEARCH("R141",G366))*141,0))</f>
        <v/>
      </c>
      <c r="V366" s="59">
        <f>IF(A366="","",IF(K366&lt;&gt;"",K366,J366))</f>
        <v/>
      </c>
      <c r="W366" s="59">
        <f>IF(A366="","",IF(AND(V366=29,O366&lt;&gt;"",COUNTIFS($V$6:$V$505,29,$F$6:$F$505,F366,$C$6:$C$505,C366,$O$6:$O$505,"&lt;&gt;")&gt;1),IF(COUNTIFS($V$6:V366,29,$F$6:F366,F366,$C$6:C366,C366,$O$6:O366,"&lt;&gt;")=1,"Esta es la fila que se debe CONSERVAR (aparición 1 de "&amp;COUNTIFS($V$6:$V$505,29,$F$6:$F$505,F366,$C$6:$C$505,C366,$O$6:$O$505,"&lt;&gt;")&amp;" con el mismo tercero y valor, casilla 29). Si hay más filas iguales, bórreles el valor a ELLAS, no a esta.","DUPLICADO — ya existe otra fila con el mismo tercero y valor para casilla 29 (aparición "&amp;COUNTIFS($V$6:V366,29,$F$6:F366,F366,$C$6:C366,C366,$O$6:O366,"&lt;&gt;")&amp;" de "&amp;COUNTIFS($V$6:$V$505,29,$F$6:$F$505,F366,$C$6:$C$505,C366,$O$6:$O$505,"&lt;&gt;")&amp;"). Para resolverlo: seleccione la celda O"&amp;ROW()&amp;" (columna Valor a declarar de ESTA fila) y presione Supr."),""))</f>
        <v/>
      </c>
      <c r="X366" s="463">
        <f>IF(A366="","",F366)</f>
        <v/>
      </c>
      <c r="Y366" s="463">
        <f>IF(A366="","",SUMIF(Entrada_Manual!$I$88:$I$187,A366,Entrada_Manual!$F$88:$F$187))</f>
        <v/>
      </c>
      <c r="Z366" s="463">
        <f>IF(A366="","",X366-Y366)</f>
        <v/>
      </c>
      <c r="AA366">
        <f>IF(A366="","",SUMPRODUCT((Entrada_Manual!$I$88:$I$187=A366)*1))</f>
        <v/>
      </c>
      <c r="AB366">
        <f>IF(A366="","",IF(S366&lt;=1,"",IF(AA366=0,"PENDIENTE — SIN ASIGNAR",IF(Z366=0,"RESUELTO","PARCIAL — DIFERENCIA "&amp;TEXT(Z366,"#,##0")))))</f>
        <v/>
      </c>
    </row>
    <row r="367" ht="14.25" customHeight="1" s="235">
      <c r="A367" s="47">
        <f>IF(Exogena_RAW!E376&lt;&gt;"",ROW()-5,"")</f>
        <v/>
      </c>
      <c r="B367" s="48">
        <f>IF(A367="","",376)</f>
        <v/>
      </c>
      <c r="C367" s="48">
        <f>IF(A367="","",IFERROR(Exogena_RAW!A376,""))</f>
        <v/>
      </c>
      <c r="D367" s="48">
        <f>IF(A367="","",IFERROR(Exogena_RAW!B376,""))</f>
        <v/>
      </c>
      <c r="E367" s="48">
        <f>IF(A367="","",Exogena_RAW!E376)</f>
        <v/>
      </c>
      <c r="F367" s="461">
        <f>IF(A367="","",Exogena_RAW!F376)</f>
        <v/>
      </c>
      <c r="G367" s="48">
        <f>IF(A367="","",IFERROR(Exogena_RAW!G376,""))</f>
        <v/>
      </c>
      <c r="H367" s="48">
        <f>IF(A367="","",IFERROR(Exogena_RAW!H376,""))</f>
        <v/>
      </c>
      <c r="I367" s="48">
        <f>IF(A367="","",IFERROR(IF(S367&gt;1,"VARIAS CASILLAS",IF(S367=1,IF(T367=1,"PROPUESTA DE CASILLA","REVISIÓN: CASILLA NO DIRECTA"),IF(OR(ISNUMBER(SEARCH("TOPE",UPPER(E367))),ISNUMBER(SEARCH("TOPE",UPPER(G367)))),"SOLO CONTROL",IF(ISNUMBER(SEARCH("RETEN",UPPER(E367))),"RETENCIÓN","REVISAR")))),"REVISAR"))</f>
        <v/>
      </c>
      <c r="J367" s="48">
        <f>IF(A367="","",IF(ISNUMBER(SEARCH("ingreso laboral promedio de los últimos seis meses",E367)),"",IFERROR(IF(AND(S367=1,T367=1),U367,""),"")))</f>
        <v/>
      </c>
      <c r="K367" s="216" t="n"/>
      <c r="L367" s="48">
        <f>IF(A367="","",IFERROR(IF(K367&lt;&gt;"","Casilla elegida por usuario",IF(S367&gt;1,"Varias casillas — elegir en K",IF(J367&lt;&gt;"","Sugerencia directa",IF(S367=1,"No trasladar directo — revisar",IF(OR(ISNUMBER(SEARCH("TOPE",UPPER(E367))),ISNUMBER(SEARCH("TOPE",UPPER(G367)))),"Solo control","Revisar manualmente"))))),"Revisar manualmente"))</f>
        <v/>
      </c>
      <c r="M367" s="461">
        <f>IF(A367="","",IF(IF(K367&lt;&gt;"",K367,J367)="",0,IF(COUNTIFS(Reglas!$I$5:$I$118,IF(K367&lt;&gt;"",K367,J367),Reglas!$J$5:$J$118,"Sí")=1,F367,0)))</f>
        <v/>
      </c>
      <c r="N367" s="56" t="n"/>
      <c r="O367" s="462">
        <f>IF(A367="","",IF(M367=0,"",M367))</f>
        <v/>
      </c>
      <c r="P367" s="461">
        <f>IF(A367="","",IF(O367="",0,IF(ISNUMBER(O367),O367,0)))</f>
        <v/>
      </c>
      <c r="Q367" s="48">
        <f>IF(A367="","",IF(Exogena_RAW!$C$4="","BLOQUEADO: FALTA AÑO",IF(Exogena_RAW!$K$10&lt;&gt;Reglas!$B$5,"BLOQUEADO: AÑO",IF(IF(K367&lt;&gt;"",K367,J367)="",IF(S367&gt;1,"REQUIERE ASIGNACIÓN MANUAL (VARIAS CASILLAS)","INFORMATIVO (sin casilla — no se declara)"),IF(COUNTIFS(Reglas!$I$5:$I$118,IF(K367&lt;&gt;"",K367,J367),Reglas!$J$5:$J$118,"Sí")=0,"BLOQUEADO: CASILLA NO DIRECTA",IF(O367="","EXCLUIDO (valor borrado por el usuario)",IF(_xlfn.ISFORMULA(O367),IF(W367&lt;&gt;"","BORRADOR — VALOR SUGERIDO DIAN ⚠ VER ALERTA","BORRADOR — VALOR SUGERIDO DIAN"),IF(W367&lt;&gt;"","ACEPTADO ⚠ VER ALERTA","ACEPTADO"))))))))</f>
        <v/>
      </c>
      <c r="R367" s="218" t="n"/>
      <c r="S367" s="58">
        <f>IF(A367="","",IFERROR(--ISNUMBER(SEARCH("R28",G367)),0)+IFERROR(--ISNUMBER(SEARCH("R29",G367)),0)+IFERROR(--ISNUMBER(SEARCH("R30",G367)),0)+IFERROR(--ISNUMBER(SEARCH("R31",G367)),0)+IFERROR(--ISNUMBER(SEARCH("R32",G367)),0)+IFERROR(--ISNUMBER(SEARCH("R33",G367)),0)+IFERROR(--ISNUMBER(SEARCH("R34",G367)),0)+IFERROR(--ISNUMBER(SEARCH("R35",G367)),0)+IFERROR(--ISNUMBER(SEARCH("R36",G367)),0)+IFERROR(--ISNUMBER(SEARCH("R37",G367)),0)+IFERROR(--ISNUMBER(SEARCH("R38",G367)),0)+IFERROR(--ISNUMBER(SEARCH("R39",G367)),0)+IFERROR(--ISNUMBER(SEARCH("R40",G367)),0)+IFERROR(--ISNUMBER(SEARCH("R41",G367)),0)+IFERROR(--ISNUMBER(SEARCH("R42",G367)),0)+IFERROR(--ISNUMBER(SEARCH("R43",G367)),0)+IFERROR(--ISNUMBER(SEARCH("R44",G367)),0)+IFERROR(--ISNUMBER(SEARCH("R45",G367)),0)+IFERROR(--ISNUMBER(SEARCH("R46",G367)),0)+IFERROR(--ISNUMBER(SEARCH("R47",G367)),0)+IFERROR(--ISNUMBER(SEARCH("R48",G367)),0)+IFERROR(--ISNUMBER(SEARCH("R49",G367)),0)+IFERROR(--ISNUMBER(SEARCH("R50",G367)),0)+IFERROR(--ISNUMBER(SEARCH("R51",G367)),0)+IFERROR(--ISNUMBER(SEARCH("R52",G367)),0)+IFERROR(--ISNUMBER(SEARCH("R53",G367)),0)+IFERROR(--ISNUMBER(SEARCH("R54",G367)),0)+IFERROR(--ISNUMBER(SEARCH("R55",G367)),0)+IFERROR(--ISNUMBER(SEARCH("R56",G367)),0)+IFERROR(--ISNUMBER(SEARCH("R57",G367)),0)+IFERROR(--ISNUMBER(SEARCH("R58",G367)),0)+IFERROR(--ISNUMBER(SEARCH("R59",G367)),0)+IFERROR(--ISNUMBER(SEARCH("R60",G367)),0)+IFERROR(--ISNUMBER(SEARCH("R61",G367)),0)+IFERROR(--ISNUMBER(SEARCH("R62",G367)),0)+IFERROR(--ISNUMBER(SEARCH("R63",G367)),0)+IFERROR(--ISNUMBER(SEARCH("R64",G367)),0)+IFERROR(--ISNUMBER(SEARCH("R65",G367)),0)+IFERROR(--ISNUMBER(SEARCH("R66",G367)),0)+IFERROR(--ISNUMBER(SEARCH("R67",G367)),0)+IFERROR(--ISNUMBER(SEARCH("R68",G367)),0)+IFERROR(--ISNUMBER(SEARCH("R69",G367)),0)+IFERROR(--ISNUMBER(SEARCH("R70",G367)),0)+IFERROR(--ISNUMBER(SEARCH("R71",G367)),0)+IFERROR(--ISNUMBER(SEARCH("R72",G367)),0)+IFERROR(--ISNUMBER(SEARCH("R73",G367)),0)+IFERROR(--ISNUMBER(SEARCH("R74",G367)),0)+IFERROR(--ISNUMBER(SEARCH("R75",G367)),0)+IFERROR(--ISNUMBER(SEARCH("R76",G367)),0)+IFERROR(--ISNUMBER(SEARCH("R77",G367)),0)+IFERROR(--ISNUMBER(SEARCH("R78",G367)),0)+IFERROR(--ISNUMBER(SEARCH("R79",G367)),0)+IFERROR(--ISNUMBER(SEARCH("R80",G367)),0)+IFERROR(--ISNUMBER(SEARCH("R81",G367)),0)+IFERROR(--ISNUMBER(SEARCH("R82",G367)),0)+IFERROR(--ISNUMBER(SEARCH("R83",G367)),0)+IFERROR(--ISNUMBER(SEARCH("R84",G367)),0)+IFERROR(--ISNUMBER(SEARCH("R85",G367)),0)+IFERROR(--ISNUMBER(SEARCH("R86",G367)),0)+IFERROR(--ISNUMBER(SEARCH("R87",G367)),0)+IFERROR(--ISNUMBER(SEARCH("R88",G367)),0)+IFERROR(--ISNUMBER(SEARCH("R89",G367)),0)+IFERROR(--ISNUMBER(SEARCH("R90",G367)),0)+IFERROR(--ISNUMBER(SEARCH("R91",G367)),0)+IFERROR(--ISNUMBER(SEARCH("R92",G367)),0)+IFERROR(--ISNUMBER(SEARCH("R93",G367)),0)+IFERROR(--ISNUMBER(SEARCH("R94",G367)),0)+IFERROR(--ISNUMBER(SEARCH("R95",G367)),0)+IFERROR(--ISNUMBER(SEARCH("R96",G367)),0)+IFERROR(--ISNUMBER(SEARCH("R97",G367)),0)+IFERROR(--ISNUMBER(SEARCH("R98",G367)),0)+IFERROR(--ISNUMBER(SEARCH("R99",G367)),0)+IFERROR(--ISNUMBER(SEARCH("R100",G367)),0)+IFERROR(--ISNUMBER(SEARCH("R101",G367)),0)+IFERROR(--ISNUMBER(SEARCH("R102",G367)),0)+IFERROR(--ISNUMBER(SEARCH("R103",G367)),0)+IFERROR(--ISNUMBER(SEARCH("R104",G367)),0)+IFERROR(--ISNUMBER(SEARCH("R105",G367)),0)+IFERROR(--ISNUMBER(SEARCH("R106",G367)),0)+IFERROR(--ISNUMBER(SEARCH("R107",G367)),0)+IFERROR(--ISNUMBER(SEARCH("R108",G367)),0)+IFERROR(--ISNUMBER(SEARCH("R109",G367)),0)+IFERROR(--ISNUMBER(SEARCH("R110",G367)),0)+IFERROR(--ISNUMBER(SEARCH("R111",G367)),0)+IFERROR(--ISNUMBER(SEARCH("R112",G367)),0)+IFERROR(--ISNUMBER(SEARCH("R113",G367)),0)+IFERROR(--ISNUMBER(SEARCH("R114",G367)),0)+IFERROR(--ISNUMBER(SEARCH("R115",G367)),0)+IFERROR(--ISNUMBER(SEARCH("R116",G367)),0)+IFERROR(--ISNUMBER(SEARCH("R117",G367)),0)+IFERROR(--ISNUMBER(SEARCH("R118",G367)),0)+IFERROR(--ISNUMBER(SEARCH("R119",G367)),0)+IFERROR(--ISNUMBER(SEARCH("R120",G367)),0)+IFERROR(--ISNUMBER(SEARCH("R121",G367)),0)+IFERROR(--ISNUMBER(SEARCH("R122",G367)),0)+IFERROR(--ISNUMBER(SEARCH("R123",G367)),0)+IFERROR(--ISNUMBER(SEARCH("R124",G367)),0)+IFERROR(--ISNUMBER(SEARCH("R125",G367)),0)+IFERROR(--ISNUMBER(SEARCH("R126",G367)),0)+IFERROR(--ISNUMBER(SEARCH("R127",G367)),0)+IFERROR(--ISNUMBER(SEARCH("R128",G367)),0)+IFERROR(--ISNUMBER(SEARCH("R129",G367)),0)+IFERROR(--ISNUMBER(SEARCH("R130",G367)),0)+IFERROR(--ISNUMBER(SEARCH("R131",G367)),0)+IFERROR(--ISNUMBER(SEARCH("R132",G367)),0)+IFERROR(--ISNUMBER(SEARCH("R133",G367)),0)+IFERROR(--ISNUMBER(SEARCH("R134",G367)),0)+IFERROR(--ISNUMBER(SEARCH("R135",G367)),0)+IFERROR(--ISNUMBER(SEARCH("R136",G367)),0)+IFERROR(--ISNUMBER(SEARCH("R137",G367)),0)+IFERROR(--ISNUMBER(SEARCH("R138",G367)),0)+IFERROR(--ISNUMBER(SEARCH("R139",G367)),0)+IFERROR(--ISNUMBER(SEARCH("R140",G367)),0)+IFERROR(--ISNUMBER(SEARCH("R141",G367)),0))</f>
        <v/>
      </c>
      <c r="T367" s="58">
        <f>IF(A367="","",IFERROR(--ISNUMBER(SEARCH("R28",G367)),0)+IFERROR(--ISNUMBER(SEARCH("R29",G367)),0)+IFERROR(--ISNUMBER(SEARCH("R30",G367)),0)+IFERROR(--ISNUMBER(SEARCH("R32",G367)),0)+IFERROR(--ISNUMBER(SEARCH("R33",G367)),0)+IFERROR(--ISNUMBER(SEARCH("R35",G367)),0)+IFERROR(--ISNUMBER(SEARCH("R36",G367)),0)+IFERROR(--ISNUMBER(SEARCH("R38",G367)),0)+IFERROR(--ISNUMBER(SEARCH("R39",G367)),0)+IFERROR(--ISNUMBER(SEARCH("R43",G367)),0)+IFERROR(--ISNUMBER(SEARCH("R44",G367)),0)+IFERROR(--ISNUMBER(SEARCH("R45",G367)),0)+IFERROR(--ISNUMBER(SEARCH("R47",G367)),0)+IFERROR(--ISNUMBER(SEARCH("R48",G367)),0)+IFERROR(--ISNUMBER(SEARCH("R50",G367)),0)+IFERROR(--ISNUMBER(SEARCH("R51",G367)),0)+IFERROR(--ISNUMBER(SEARCH("R56",G367)),0)+IFERROR(--ISNUMBER(SEARCH("R58",G367)),0)+IFERROR(--ISNUMBER(SEARCH("R59",G367)),0)+IFERROR(--ISNUMBER(SEARCH("R60",G367)),0)+IFERROR(--ISNUMBER(SEARCH("R62",G367)),0)+IFERROR(--ISNUMBER(SEARCH("R63",G367)),0)+IFERROR(--ISNUMBER(SEARCH("R64",G367)),0)+IFERROR(--ISNUMBER(SEARCH("R66",G367)),0)+IFERROR(--ISNUMBER(SEARCH("R67",G367)),0)+IFERROR(--ISNUMBER(SEARCH("R72",G367)),0)+IFERROR(--ISNUMBER(SEARCH("R74",G367)),0)+IFERROR(--ISNUMBER(SEARCH("R75",G367)),0)+IFERROR(--ISNUMBER(SEARCH("R76",G367)),0)+IFERROR(--ISNUMBER(SEARCH("R77",G367)),0)+IFERROR(--ISNUMBER(SEARCH("R79",G367)),0)+IFERROR(--ISNUMBER(SEARCH("R80",G367)),0)+IFERROR(--ISNUMBER(SEARCH("R81",G367)),0)+IFERROR(--ISNUMBER(SEARCH("R83",G367)),0)+IFERROR(--ISNUMBER(SEARCH("R84",G367)),0)+IFERROR(--ISNUMBER(SEARCH("R89",G367)),0)+IFERROR(--ISNUMBER(SEARCH("R94",G367)),0)+IFERROR(--ISNUMBER(SEARCH("R95",G367)),0)+IFERROR(--ISNUMBER(SEARCH("R96",G367)),0)+IFERROR(--ISNUMBER(SEARCH("R98",G367)),0)+IFERROR(--ISNUMBER(SEARCH("R99",G367)),0)+IFERROR(--ISNUMBER(SEARCH("R100",G367)),0)+IFERROR(--ISNUMBER(SEARCH("R104",G367)),0)+IFERROR(--ISNUMBER(SEARCH("R105",G367)),0)+IFERROR(--ISNUMBER(SEARCH("R107",G367)),0)+IFERROR(--ISNUMBER(SEARCH("R108",G367)),0)+IFERROR(--ISNUMBER(SEARCH("R109",G367)),0)+IFERROR(--ISNUMBER(SEARCH("R110",G367)),0)+IFERROR(--ISNUMBER(SEARCH("R112",G367)),0)+IFERROR(--ISNUMBER(SEARCH("R113",G367)),0)+IFERROR(--ISNUMBER(SEARCH("R114",G367)),0)+IFERROR(--ISNUMBER(SEARCH("R118",G367)),0)+IFERROR(--ISNUMBER(SEARCH("R119",G367)),0)+IFERROR(--ISNUMBER(SEARCH("R120",G367)),0)+IFERROR(--ISNUMBER(SEARCH("R122",G367)),0)+IFERROR(--ISNUMBER(SEARCH("R123",G367)),0)+IFERROR(--ISNUMBER(SEARCH("R124",G367)),0)+IFERROR(--ISNUMBER(SEARCH("R128",G367)),0)+IFERROR(--ISNUMBER(SEARCH("R130",G367)),0)+IFERROR(--ISNUMBER(SEARCH("R131",G367)),0)+IFERROR(--ISNUMBER(SEARCH("R132",G367)),0)+IFERROR(--ISNUMBER(SEARCH("R135",G367)),0)+IFERROR(--ISNUMBER(SEARCH("R138",G367)),0)+IFERROR(--ISNUMBER(SEARCH("R141",G367)),0))</f>
        <v/>
      </c>
      <c r="U367" s="58">
        <f>IF(A367="","",IFERROR(--ISNUMBER(SEARCH("R28",G367))*28,0)+IFERROR(--ISNUMBER(SEARCH("R29",G367))*29,0)+IFERROR(--ISNUMBER(SEARCH("R30",G367))*30,0)+IFERROR(--ISNUMBER(SEARCH("R31",G367))*31,0)+IFERROR(--ISNUMBER(SEARCH("R32",G367))*32,0)+IFERROR(--ISNUMBER(SEARCH("R33",G367))*33,0)+IFERROR(--ISNUMBER(SEARCH("R34",G367))*34,0)+IFERROR(--ISNUMBER(SEARCH("R35",G367))*35,0)+IFERROR(--ISNUMBER(SEARCH("R36",G367))*36,0)+IFERROR(--ISNUMBER(SEARCH("R37",G367))*37,0)+IFERROR(--ISNUMBER(SEARCH("R38",G367))*38,0)+IFERROR(--ISNUMBER(SEARCH("R39",G367))*39,0)+IFERROR(--ISNUMBER(SEARCH("R40",G367))*40,0)+IFERROR(--ISNUMBER(SEARCH("R41",G367))*41,0)+IFERROR(--ISNUMBER(SEARCH("R42",G367))*42,0)+IFERROR(--ISNUMBER(SEARCH("R43",G367))*43,0)+IFERROR(--ISNUMBER(SEARCH("R44",G367))*44,0)+IFERROR(--ISNUMBER(SEARCH("R45",G367))*45,0)+IFERROR(--ISNUMBER(SEARCH("R46",G367))*46,0)+IFERROR(--ISNUMBER(SEARCH("R47",G367))*47,0)+IFERROR(--ISNUMBER(SEARCH("R48",G367))*48,0)+IFERROR(--ISNUMBER(SEARCH("R49",G367))*49,0)+IFERROR(--ISNUMBER(SEARCH("R50",G367))*50,0)+IFERROR(--ISNUMBER(SEARCH("R51",G367))*51,0)+IFERROR(--ISNUMBER(SEARCH("R52",G367))*52,0)+IFERROR(--ISNUMBER(SEARCH("R53",G367))*53,0)+IFERROR(--ISNUMBER(SEARCH("R54",G367))*54,0)+IFERROR(--ISNUMBER(SEARCH("R55",G367))*55,0)+IFERROR(--ISNUMBER(SEARCH("R56",G367))*56,0)+IFERROR(--ISNUMBER(SEARCH("R57",G367))*57,0)+IFERROR(--ISNUMBER(SEARCH("R58",G367))*58,0)+IFERROR(--ISNUMBER(SEARCH("R59",G367))*59,0)+IFERROR(--ISNUMBER(SEARCH("R60",G367))*60,0)+IFERROR(--ISNUMBER(SEARCH("R61",G367))*61,0)+IFERROR(--ISNUMBER(SEARCH("R62",G367))*62,0)+IFERROR(--ISNUMBER(SEARCH("R63",G367))*63,0)+IFERROR(--ISNUMBER(SEARCH("R64",G367))*64,0)+IFERROR(--ISNUMBER(SEARCH("R65",G367))*65,0)+IFERROR(--ISNUMBER(SEARCH("R66",G367))*66,0)+IFERROR(--ISNUMBER(SEARCH("R67",G367))*67,0)+IFERROR(--ISNUMBER(SEARCH("R68",G367))*68,0)+IFERROR(--ISNUMBER(SEARCH("R69",G367))*69,0)+IFERROR(--ISNUMBER(SEARCH("R70",G367))*70,0)+IFERROR(--ISNUMBER(SEARCH("R71",G367))*71,0)+IFERROR(--ISNUMBER(SEARCH("R72",G367))*72,0)+IFERROR(--ISNUMBER(SEARCH("R73",G367))*73,0)+IFERROR(--ISNUMBER(SEARCH("R74",G367))*74,0)+IFERROR(--ISNUMBER(SEARCH("R75",G367))*75,0)+IFERROR(--ISNUMBER(SEARCH("R76",G367))*76,0)+IFERROR(--ISNUMBER(SEARCH("R77",G367))*77,0)+IFERROR(--ISNUMBER(SEARCH("R78",G367))*78,0)+IFERROR(--ISNUMBER(SEARCH("R79",G367))*79,0)+IFERROR(--ISNUMBER(SEARCH("R80",G367))*80,0)+IFERROR(--ISNUMBER(SEARCH("R81",G367))*81,0)+IFERROR(--ISNUMBER(SEARCH("R82",G367))*82,0)+IFERROR(--ISNUMBER(SEARCH("R83",G367))*83,0)+IFERROR(--ISNUMBER(SEARCH("R84",G367))*84,0)+IFERROR(--ISNUMBER(SEARCH("R85",G367))*85,0)+IFERROR(--ISNUMBER(SEARCH("R86",G367))*86,0)+IFERROR(--ISNUMBER(SEARCH("R87",G367))*87,0)+IFERROR(--ISNUMBER(SEARCH("R88",G367))*88,0)+IFERROR(--ISNUMBER(SEARCH("R89",G367))*89,0)+IFERROR(--ISNUMBER(SEARCH("R90",G367))*90,0)+IFERROR(--ISNUMBER(SEARCH("R91",G367))*91,0)+IFERROR(--ISNUMBER(SEARCH("R92",G367))*92,0)+IFERROR(--ISNUMBER(SEARCH("R93",G367))*93,0)+IFERROR(--ISNUMBER(SEARCH("R94",G367))*94,0)+IFERROR(--ISNUMBER(SEARCH("R95",G367))*95,0)+IFERROR(--ISNUMBER(SEARCH("R96",G367))*96,0)+IFERROR(--ISNUMBER(SEARCH("R97",G367))*97,0)+IFERROR(--ISNUMBER(SEARCH("R98",G367))*98,0)+IFERROR(--ISNUMBER(SEARCH("R99",G367))*99,0)+IFERROR(--ISNUMBER(SEARCH("R100",G367))*100,0)+IFERROR(--ISNUMBER(SEARCH("R101",G367))*101,0)+IFERROR(--ISNUMBER(SEARCH("R102",G367))*102,0)+IFERROR(--ISNUMBER(SEARCH("R103",G367))*103,0)+IFERROR(--ISNUMBER(SEARCH("R104",G367))*104,0)+IFERROR(--ISNUMBER(SEARCH("R105",G367))*105,0)+IFERROR(--ISNUMBER(SEARCH("R106",G367))*106,0)+IFERROR(--ISNUMBER(SEARCH("R107",G367))*107,0)+IFERROR(--ISNUMBER(SEARCH("R108",G367))*108,0)+IFERROR(--ISNUMBER(SEARCH("R109",G367))*109,0)+IFERROR(--ISNUMBER(SEARCH("R110",G367))*110,0)+IFERROR(--ISNUMBER(SEARCH("R111",G367))*111,0)+IFERROR(--ISNUMBER(SEARCH("R112",G367))*112,0)+IFERROR(--ISNUMBER(SEARCH("R113",G367))*113,0)+IFERROR(--ISNUMBER(SEARCH("R114",G367))*114,0)+IFERROR(--ISNUMBER(SEARCH("R115",G367))*115,0)+IFERROR(--ISNUMBER(SEARCH("R116",G367))*116,0)+IFERROR(--ISNUMBER(SEARCH("R117",G367))*117,0)+IFERROR(--ISNUMBER(SEARCH("R118",G367))*118,0)+IFERROR(--ISNUMBER(SEARCH("R119",G367))*119,0)+IFERROR(--ISNUMBER(SEARCH("R120",G367))*120,0)+IFERROR(--ISNUMBER(SEARCH("R121",G367))*121,0)+IFERROR(--ISNUMBER(SEARCH("R122",G367))*122,0)+IFERROR(--ISNUMBER(SEARCH("R123",G367))*123,0)+IFERROR(--ISNUMBER(SEARCH("R124",G367))*124,0)+IFERROR(--ISNUMBER(SEARCH("R125",G367))*125,0)+IFERROR(--ISNUMBER(SEARCH("R126",G367))*126,0)+IFERROR(--ISNUMBER(SEARCH("R127",G367))*127,0)+IFERROR(--ISNUMBER(SEARCH("R128",G367))*128,0)+IFERROR(--ISNUMBER(SEARCH("R129",G367))*129,0)+IFERROR(--ISNUMBER(SEARCH("R130",G367))*130,0)+IFERROR(--ISNUMBER(SEARCH("R131",G367))*131,0)+IFERROR(--ISNUMBER(SEARCH("R132",G367))*132,0)+IFERROR(--ISNUMBER(SEARCH("R133",G367))*133,0)+IFERROR(--ISNUMBER(SEARCH("R134",G367))*134,0)+IFERROR(--ISNUMBER(SEARCH("R135",G367))*135,0)+IFERROR(--ISNUMBER(SEARCH("R136",G367))*136,0)+IFERROR(--ISNUMBER(SEARCH("R137",G367))*137,0)+IFERROR(--ISNUMBER(SEARCH("R138",G367))*138,0)+IFERROR(--ISNUMBER(SEARCH("R139",G367))*139,0)+IFERROR(--ISNUMBER(SEARCH("R140",G367))*140,0)+IFERROR(--ISNUMBER(SEARCH("R141",G367))*141,0))</f>
        <v/>
      </c>
      <c r="V367" s="59">
        <f>IF(A367="","",IF(K367&lt;&gt;"",K367,J367))</f>
        <v/>
      </c>
      <c r="W367" s="59">
        <f>IF(A367="","",IF(AND(V367=29,O367&lt;&gt;"",COUNTIFS($V$6:$V$505,29,$F$6:$F$505,F367,$C$6:$C$505,C367,$O$6:$O$505,"&lt;&gt;")&gt;1),IF(COUNTIFS($V$6:V367,29,$F$6:F367,F367,$C$6:C367,C367,$O$6:O367,"&lt;&gt;")=1,"Esta es la fila que se debe CONSERVAR (aparición 1 de "&amp;COUNTIFS($V$6:$V$505,29,$F$6:$F$505,F367,$C$6:$C$505,C367,$O$6:$O$505,"&lt;&gt;")&amp;" con el mismo tercero y valor, casilla 29). Si hay más filas iguales, bórreles el valor a ELLAS, no a esta.","DUPLICADO — ya existe otra fila con el mismo tercero y valor para casilla 29 (aparición "&amp;COUNTIFS($V$6:V367,29,$F$6:F367,F367,$C$6:C367,C367,$O$6:O367,"&lt;&gt;")&amp;" de "&amp;COUNTIFS($V$6:$V$505,29,$F$6:$F$505,F367,$C$6:$C$505,C367,$O$6:$O$505,"&lt;&gt;")&amp;"). Para resolverlo: seleccione la celda O"&amp;ROW()&amp;" (columna Valor a declarar de ESTA fila) y presione Supr."),""))</f>
        <v/>
      </c>
      <c r="X367" s="463">
        <f>IF(A367="","",F367)</f>
        <v/>
      </c>
      <c r="Y367" s="463">
        <f>IF(A367="","",SUMIF(Entrada_Manual!$I$88:$I$187,A367,Entrada_Manual!$F$88:$F$187))</f>
        <v/>
      </c>
      <c r="Z367" s="463">
        <f>IF(A367="","",X367-Y367)</f>
        <v/>
      </c>
      <c r="AA367">
        <f>IF(A367="","",SUMPRODUCT((Entrada_Manual!$I$88:$I$187=A367)*1))</f>
        <v/>
      </c>
      <c r="AB367">
        <f>IF(A367="","",IF(S367&lt;=1,"",IF(AA367=0,"PENDIENTE — SIN ASIGNAR",IF(Z367=0,"RESUELTO","PARCIAL — DIFERENCIA "&amp;TEXT(Z367,"#,##0")))))</f>
        <v/>
      </c>
    </row>
    <row r="368" ht="14.25" customHeight="1" s="235">
      <c r="A368" s="47">
        <f>IF(Exogena_RAW!E377&lt;&gt;"",ROW()-5,"")</f>
        <v/>
      </c>
      <c r="B368" s="48">
        <f>IF(A368="","",377)</f>
        <v/>
      </c>
      <c r="C368" s="48">
        <f>IF(A368="","",IFERROR(Exogena_RAW!A377,""))</f>
        <v/>
      </c>
      <c r="D368" s="48">
        <f>IF(A368="","",IFERROR(Exogena_RAW!B377,""))</f>
        <v/>
      </c>
      <c r="E368" s="48">
        <f>IF(A368="","",Exogena_RAW!E377)</f>
        <v/>
      </c>
      <c r="F368" s="461">
        <f>IF(A368="","",Exogena_RAW!F377)</f>
        <v/>
      </c>
      <c r="G368" s="48">
        <f>IF(A368="","",IFERROR(Exogena_RAW!G377,""))</f>
        <v/>
      </c>
      <c r="H368" s="48">
        <f>IF(A368="","",IFERROR(Exogena_RAW!H377,""))</f>
        <v/>
      </c>
      <c r="I368" s="48">
        <f>IF(A368="","",IFERROR(IF(S368&gt;1,"VARIAS CASILLAS",IF(S368=1,IF(T368=1,"PROPUESTA DE CASILLA","REVISIÓN: CASILLA NO DIRECTA"),IF(OR(ISNUMBER(SEARCH("TOPE",UPPER(E368))),ISNUMBER(SEARCH("TOPE",UPPER(G368)))),"SOLO CONTROL",IF(ISNUMBER(SEARCH("RETEN",UPPER(E368))),"RETENCIÓN","REVISAR")))),"REVISAR"))</f>
        <v/>
      </c>
      <c r="J368" s="48">
        <f>IF(A368="","",IF(ISNUMBER(SEARCH("ingreso laboral promedio de los últimos seis meses",E368)),"",IFERROR(IF(AND(S368=1,T368=1),U368,""),"")))</f>
        <v/>
      </c>
      <c r="K368" s="216" t="n"/>
      <c r="L368" s="48">
        <f>IF(A368="","",IFERROR(IF(K368&lt;&gt;"","Casilla elegida por usuario",IF(S368&gt;1,"Varias casillas — elegir en K",IF(J368&lt;&gt;"","Sugerencia directa",IF(S368=1,"No trasladar directo — revisar",IF(OR(ISNUMBER(SEARCH("TOPE",UPPER(E368))),ISNUMBER(SEARCH("TOPE",UPPER(G368)))),"Solo control","Revisar manualmente"))))),"Revisar manualmente"))</f>
        <v/>
      </c>
      <c r="M368" s="461">
        <f>IF(A368="","",IF(IF(K368&lt;&gt;"",K368,J368)="",0,IF(COUNTIFS(Reglas!$I$5:$I$118,IF(K368&lt;&gt;"",K368,J368),Reglas!$J$5:$J$118,"Sí")=1,F368,0)))</f>
        <v/>
      </c>
      <c r="N368" s="56" t="n"/>
      <c r="O368" s="462">
        <f>IF(A368="","",IF(M368=0,"",M368))</f>
        <v/>
      </c>
      <c r="P368" s="461">
        <f>IF(A368="","",IF(O368="",0,IF(ISNUMBER(O368),O368,0)))</f>
        <v/>
      </c>
      <c r="Q368" s="48">
        <f>IF(A368="","",IF(Exogena_RAW!$C$4="","BLOQUEADO: FALTA AÑO",IF(Exogena_RAW!$K$10&lt;&gt;Reglas!$B$5,"BLOQUEADO: AÑO",IF(IF(K368&lt;&gt;"",K368,J368)="",IF(S368&gt;1,"REQUIERE ASIGNACIÓN MANUAL (VARIAS CASILLAS)","INFORMATIVO (sin casilla — no se declara)"),IF(COUNTIFS(Reglas!$I$5:$I$118,IF(K368&lt;&gt;"",K368,J368),Reglas!$J$5:$J$118,"Sí")=0,"BLOQUEADO: CASILLA NO DIRECTA",IF(O368="","EXCLUIDO (valor borrado por el usuario)",IF(_xlfn.ISFORMULA(O368),IF(W368&lt;&gt;"","BORRADOR — VALOR SUGERIDO DIAN ⚠ VER ALERTA","BORRADOR — VALOR SUGERIDO DIAN"),IF(W368&lt;&gt;"","ACEPTADO ⚠ VER ALERTA","ACEPTADO"))))))))</f>
        <v/>
      </c>
      <c r="R368" s="218" t="n"/>
      <c r="S368" s="58">
        <f>IF(A368="","",IFERROR(--ISNUMBER(SEARCH("R28",G368)),0)+IFERROR(--ISNUMBER(SEARCH("R29",G368)),0)+IFERROR(--ISNUMBER(SEARCH("R30",G368)),0)+IFERROR(--ISNUMBER(SEARCH("R31",G368)),0)+IFERROR(--ISNUMBER(SEARCH("R32",G368)),0)+IFERROR(--ISNUMBER(SEARCH("R33",G368)),0)+IFERROR(--ISNUMBER(SEARCH("R34",G368)),0)+IFERROR(--ISNUMBER(SEARCH("R35",G368)),0)+IFERROR(--ISNUMBER(SEARCH("R36",G368)),0)+IFERROR(--ISNUMBER(SEARCH("R37",G368)),0)+IFERROR(--ISNUMBER(SEARCH("R38",G368)),0)+IFERROR(--ISNUMBER(SEARCH("R39",G368)),0)+IFERROR(--ISNUMBER(SEARCH("R40",G368)),0)+IFERROR(--ISNUMBER(SEARCH("R41",G368)),0)+IFERROR(--ISNUMBER(SEARCH("R42",G368)),0)+IFERROR(--ISNUMBER(SEARCH("R43",G368)),0)+IFERROR(--ISNUMBER(SEARCH("R44",G368)),0)+IFERROR(--ISNUMBER(SEARCH("R45",G368)),0)+IFERROR(--ISNUMBER(SEARCH("R46",G368)),0)+IFERROR(--ISNUMBER(SEARCH("R47",G368)),0)+IFERROR(--ISNUMBER(SEARCH("R48",G368)),0)+IFERROR(--ISNUMBER(SEARCH("R49",G368)),0)+IFERROR(--ISNUMBER(SEARCH("R50",G368)),0)+IFERROR(--ISNUMBER(SEARCH("R51",G368)),0)+IFERROR(--ISNUMBER(SEARCH("R52",G368)),0)+IFERROR(--ISNUMBER(SEARCH("R53",G368)),0)+IFERROR(--ISNUMBER(SEARCH("R54",G368)),0)+IFERROR(--ISNUMBER(SEARCH("R55",G368)),0)+IFERROR(--ISNUMBER(SEARCH("R56",G368)),0)+IFERROR(--ISNUMBER(SEARCH("R57",G368)),0)+IFERROR(--ISNUMBER(SEARCH("R58",G368)),0)+IFERROR(--ISNUMBER(SEARCH("R59",G368)),0)+IFERROR(--ISNUMBER(SEARCH("R60",G368)),0)+IFERROR(--ISNUMBER(SEARCH("R61",G368)),0)+IFERROR(--ISNUMBER(SEARCH("R62",G368)),0)+IFERROR(--ISNUMBER(SEARCH("R63",G368)),0)+IFERROR(--ISNUMBER(SEARCH("R64",G368)),0)+IFERROR(--ISNUMBER(SEARCH("R65",G368)),0)+IFERROR(--ISNUMBER(SEARCH("R66",G368)),0)+IFERROR(--ISNUMBER(SEARCH("R67",G368)),0)+IFERROR(--ISNUMBER(SEARCH("R68",G368)),0)+IFERROR(--ISNUMBER(SEARCH("R69",G368)),0)+IFERROR(--ISNUMBER(SEARCH("R70",G368)),0)+IFERROR(--ISNUMBER(SEARCH("R71",G368)),0)+IFERROR(--ISNUMBER(SEARCH("R72",G368)),0)+IFERROR(--ISNUMBER(SEARCH("R73",G368)),0)+IFERROR(--ISNUMBER(SEARCH("R74",G368)),0)+IFERROR(--ISNUMBER(SEARCH("R75",G368)),0)+IFERROR(--ISNUMBER(SEARCH("R76",G368)),0)+IFERROR(--ISNUMBER(SEARCH("R77",G368)),0)+IFERROR(--ISNUMBER(SEARCH("R78",G368)),0)+IFERROR(--ISNUMBER(SEARCH("R79",G368)),0)+IFERROR(--ISNUMBER(SEARCH("R80",G368)),0)+IFERROR(--ISNUMBER(SEARCH("R81",G368)),0)+IFERROR(--ISNUMBER(SEARCH("R82",G368)),0)+IFERROR(--ISNUMBER(SEARCH("R83",G368)),0)+IFERROR(--ISNUMBER(SEARCH("R84",G368)),0)+IFERROR(--ISNUMBER(SEARCH("R85",G368)),0)+IFERROR(--ISNUMBER(SEARCH("R86",G368)),0)+IFERROR(--ISNUMBER(SEARCH("R87",G368)),0)+IFERROR(--ISNUMBER(SEARCH("R88",G368)),0)+IFERROR(--ISNUMBER(SEARCH("R89",G368)),0)+IFERROR(--ISNUMBER(SEARCH("R90",G368)),0)+IFERROR(--ISNUMBER(SEARCH("R91",G368)),0)+IFERROR(--ISNUMBER(SEARCH("R92",G368)),0)+IFERROR(--ISNUMBER(SEARCH("R93",G368)),0)+IFERROR(--ISNUMBER(SEARCH("R94",G368)),0)+IFERROR(--ISNUMBER(SEARCH("R95",G368)),0)+IFERROR(--ISNUMBER(SEARCH("R96",G368)),0)+IFERROR(--ISNUMBER(SEARCH("R97",G368)),0)+IFERROR(--ISNUMBER(SEARCH("R98",G368)),0)+IFERROR(--ISNUMBER(SEARCH("R99",G368)),0)+IFERROR(--ISNUMBER(SEARCH("R100",G368)),0)+IFERROR(--ISNUMBER(SEARCH("R101",G368)),0)+IFERROR(--ISNUMBER(SEARCH("R102",G368)),0)+IFERROR(--ISNUMBER(SEARCH("R103",G368)),0)+IFERROR(--ISNUMBER(SEARCH("R104",G368)),0)+IFERROR(--ISNUMBER(SEARCH("R105",G368)),0)+IFERROR(--ISNUMBER(SEARCH("R106",G368)),0)+IFERROR(--ISNUMBER(SEARCH("R107",G368)),0)+IFERROR(--ISNUMBER(SEARCH("R108",G368)),0)+IFERROR(--ISNUMBER(SEARCH("R109",G368)),0)+IFERROR(--ISNUMBER(SEARCH("R110",G368)),0)+IFERROR(--ISNUMBER(SEARCH("R111",G368)),0)+IFERROR(--ISNUMBER(SEARCH("R112",G368)),0)+IFERROR(--ISNUMBER(SEARCH("R113",G368)),0)+IFERROR(--ISNUMBER(SEARCH("R114",G368)),0)+IFERROR(--ISNUMBER(SEARCH("R115",G368)),0)+IFERROR(--ISNUMBER(SEARCH("R116",G368)),0)+IFERROR(--ISNUMBER(SEARCH("R117",G368)),0)+IFERROR(--ISNUMBER(SEARCH("R118",G368)),0)+IFERROR(--ISNUMBER(SEARCH("R119",G368)),0)+IFERROR(--ISNUMBER(SEARCH("R120",G368)),0)+IFERROR(--ISNUMBER(SEARCH("R121",G368)),0)+IFERROR(--ISNUMBER(SEARCH("R122",G368)),0)+IFERROR(--ISNUMBER(SEARCH("R123",G368)),0)+IFERROR(--ISNUMBER(SEARCH("R124",G368)),0)+IFERROR(--ISNUMBER(SEARCH("R125",G368)),0)+IFERROR(--ISNUMBER(SEARCH("R126",G368)),0)+IFERROR(--ISNUMBER(SEARCH("R127",G368)),0)+IFERROR(--ISNUMBER(SEARCH("R128",G368)),0)+IFERROR(--ISNUMBER(SEARCH("R129",G368)),0)+IFERROR(--ISNUMBER(SEARCH("R130",G368)),0)+IFERROR(--ISNUMBER(SEARCH("R131",G368)),0)+IFERROR(--ISNUMBER(SEARCH("R132",G368)),0)+IFERROR(--ISNUMBER(SEARCH("R133",G368)),0)+IFERROR(--ISNUMBER(SEARCH("R134",G368)),0)+IFERROR(--ISNUMBER(SEARCH("R135",G368)),0)+IFERROR(--ISNUMBER(SEARCH("R136",G368)),0)+IFERROR(--ISNUMBER(SEARCH("R137",G368)),0)+IFERROR(--ISNUMBER(SEARCH("R138",G368)),0)+IFERROR(--ISNUMBER(SEARCH("R139",G368)),0)+IFERROR(--ISNUMBER(SEARCH("R140",G368)),0)+IFERROR(--ISNUMBER(SEARCH("R141",G368)),0))</f>
        <v/>
      </c>
      <c r="T368" s="58">
        <f>IF(A368="","",IFERROR(--ISNUMBER(SEARCH("R28",G368)),0)+IFERROR(--ISNUMBER(SEARCH("R29",G368)),0)+IFERROR(--ISNUMBER(SEARCH("R30",G368)),0)+IFERROR(--ISNUMBER(SEARCH("R32",G368)),0)+IFERROR(--ISNUMBER(SEARCH("R33",G368)),0)+IFERROR(--ISNUMBER(SEARCH("R35",G368)),0)+IFERROR(--ISNUMBER(SEARCH("R36",G368)),0)+IFERROR(--ISNUMBER(SEARCH("R38",G368)),0)+IFERROR(--ISNUMBER(SEARCH("R39",G368)),0)+IFERROR(--ISNUMBER(SEARCH("R43",G368)),0)+IFERROR(--ISNUMBER(SEARCH("R44",G368)),0)+IFERROR(--ISNUMBER(SEARCH("R45",G368)),0)+IFERROR(--ISNUMBER(SEARCH("R47",G368)),0)+IFERROR(--ISNUMBER(SEARCH("R48",G368)),0)+IFERROR(--ISNUMBER(SEARCH("R50",G368)),0)+IFERROR(--ISNUMBER(SEARCH("R51",G368)),0)+IFERROR(--ISNUMBER(SEARCH("R56",G368)),0)+IFERROR(--ISNUMBER(SEARCH("R58",G368)),0)+IFERROR(--ISNUMBER(SEARCH("R59",G368)),0)+IFERROR(--ISNUMBER(SEARCH("R60",G368)),0)+IFERROR(--ISNUMBER(SEARCH("R62",G368)),0)+IFERROR(--ISNUMBER(SEARCH("R63",G368)),0)+IFERROR(--ISNUMBER(SEARCH("R64",G368)),0)+IFERROR(--ISNUMBER(SEARCH("R66",G368)),0)+IFERROR(--ISNUMBER(SEARCH("R67",G368)),0)+IFERROR(--ISNUMBER(SEARCH("R72",G368)),0)+IFERROR(--ISNUMBER(SEARCH("R74",G368)),0)+IFERROR(--ISNUMBER(SEARCH("R75",G368)),0)+IFERROR(--ISNUMBER(SEARCH("R76",G368)),0)+IFERROR(--ISNUMBER(SEARCH("R77",G368)),0)+IFERROR(--ISNUMBER(SEARCH("R79",G368)),0)+IFERROR(--ISNUMBER(SEARCH("R80",G368)),0)+IFERROR(--ISNUMBER(SEARCH("R81",G368)),0)+IFERROR(--ISNUMBER(SEARCH("R83",G368)),0)+IFERROR(--ISNUMBER(SEARCH("R84",G368)),0)+IFERROR(--ISNUMBER(SEARCH("R89",G368)),0)+IFERROR(--ISNUMBER(SEARCH("R94",G368)),0)+IFERROR(--ISNUMBER(SEARCH("R95",G368)),0)+IFERROR(--ISNUMBER(SEARCH("R96",G368)),0)+IFERROR(--ISNUMBER(SEARCH("R98",G368)),0)+IFERROR(--ISNUMBER(SEARCH("R99",G368)),0)+IFERROR(--ISNUMBER(SEARCH("R100",G368)),0)+IFERROR(--ISNUMBER(SEARCH("R104",G368)),0)+IFERROR(--ISNUMBER(SEARCH("R105",G368)),0)+IFERROR(--ISNUMBER(SEARCH("R107",G368)),0)+IFERROR(--ISNUMBER(SEARCH("R108",G368)),0)+IFERROR(--ISNUMBER(SEARCH("R109",G368)),0)+IFERROR(--ISNUMBER(SEARCH("R110",G368)),0)+IFERROR(--ISNUMBER(SEARCH("R112",G368)),0)+IFERROR(--ISNUMBER(SEARCH("R113",G368)),0)+IFERROR(--ISNUMBER(SEARCH("R114",G368)),0)+IFERROR(--ISNUMBER(SEARCH("R118",G368)),0)+IFERROR(--ISNUMBER(SEARCH("R119",G368)),0)+IFERROR(--ISNUMBER(SEARCH("R120",G368)),0)+IFERROR(--ISNUMBER(SEARCH("R122",G368)),0)+IFERROR(--ISNUMBER(SEARCH("R123",G368)),0)+IFERROR(--ISNUMBER(SEARCH("R124",G368)),0)+IFERROR(--ISNUMBER(SEARCH("R128",G368)),0)+IFERROR(--ISNUMBER(SEARCH("R130",G368)),0)+IFERROR(--ISNUMBER(SEARCH("R131",G368)),0)+IFERROR(--ISNUMBER(SEARCH("R132",G368)),0)+IFERROR(--ISNUMBER(SEARCH("R135",G368)),0)+IFERROR(--ISNUMBER(SEARCH("R138",G368)),0)+IFERROR(--ISNUMBER(SEARCH("R141",G368)),0))</f>
        <v/>
      </c>
      <c r="U368" s="58">
        <f>IF(A368="","",IFERROR(--ISNUMBER(SEARCH("R28",G368))*28,0)+IFERROR(--ISNUMBER(SEARCH("R29",G368))*29,0)+IFERROR(--ISNUMBER(SEARCH("R30",G368))*30,0)+IFERROR(--ISNUMBER(SEARCH("R31",G368))*31,0)+IFERROR(--ISNUMBER(SEARCH("R32",G368))*32,0)+IFERROR(--ISNUMBER(SEARCH("R33",G368))*33,0)+IFERROR(--ISNUMBER(SEARCH("R34",G368))*34,0)+IFERROR(--ISNUMBER(SEARCH("R35",G368))*35,0)+IFERROR(--ISNUMBER(SEARCH("R36",G368))*36,0)+IFERROR(--ISNUMBER(SEARCH("R37",G368))*37,0)+IFERROR(--ISNUMBER(SEARCH("R38",G368))*38,0)+IFERROR(--ISNUMBER(SEARCH("R39",G368))*39,0)+IFERROR(--ISNUMBER(SEARCH("R40",G368))*40,0)+IFERROR(--ISNUMBER(SEARCH("R41",G368))*41,0)+IFERROR(--ISNUMBER(SEARCH("R42",G368))*42,0)+IFERROR(--ISNUMBER(SEARCH("R43",G368))*43,0)+IFERROR(--ISNUMBER(SEARCH("R44",G368))*44,0)+IFERROR(--ISNUMBER(SEARCH("R45",G368))*45,0)+IFERROR(--ISNUMBER(SEARCH("R46",G368))*46,0)+IFERROR(--ISNUMBER(SEARCH("R47",G368))*47,0)+IFERROR(--ISNUMBER(SEARCH("R48",G368))*48,0)+IFERROR(--ISNUMBER(SEARCH("R49",G368))*49,0)+IFERROR(--ISNUMBER(SEARCH("R50",G368))*50,0)+IFERROR(--ISNUMBER(SEARCH("R51",G368))*51,0)+IFERROR(--ISNUMBER(SEARCH("R52",G368))*52,0)+IFERROR(--ISNUMBER(SEARCH("R53",G368))*53,0)+IFERROR(--ISNUMBER(SEARCH("R54",G368))*54,0)+IFERROR(--ISNUMBER(SEARCH("R55",G368))*55,0)+IFERROR(--ISNUMBER(SEARCH("R56",G368))*56,0)+IFERROR(--ISNUMBER(SEARCH("R57",G368))*57,0)+IFERROR(--ISNUMBER(SEARCH("R58",G368))*58,0)+IFERROR(--ISNUMBER(SEARCH("R59",G368))*59,0)+IFERROR(--ISNUMBER(SEARCH("R60",G368))*60,0)+IFERROR(--ISNUMBER(SEARCH("R61",G368))*61,0)+IFERROR(--ISNUMBER(SEARCH("R62",G368))*62,0)+IFERROR(--ISNUMBER(SEARCH("R63",G368))*63,0)+IFERROR(--ISNUMBER(SEARCH("R64",G368))*64,0)+IFERROR(--ISNUMBER(SEARCH("R65",G368))*65,0)+IFERROR(--ISNUMBER(SEARCH("R66",G368))*66,0)+IFERROR(--ISNUMBER(SEARCH("R67",G368))*67,0)+IFERROR(--ISNUMBER(SEARCH("R68",G368))*68,0)+IFERROR(--ISNUMBER(SEARCH("R69",G368))*69,0)+IFERROR(--ISNUMBER(SEARCH("R70",G368))*70,0)+IFERROR(--ISNUMBER(SEARCH("R71",G368))*71,0)+IFERROR(--ISNUMBER(SEARCH("R72",G368))*72,0)+IFERROR(--ISNUMBER(SEARCH("R73",G368))*73,0)+IFERROR(--ISNUMBER(SEARCH("R74",G368))*74,0)+IFERROR(--ISNUMBER(SEARCH("R75",G368))*75,0)+IFERROR(--ISNUMBER(SEARCH("R76",G368))*76,0)+IFERROR(--ISNUMBER(SEARCH("R77",G368))*77,0)+IFERROR(--ISNUMBER(SEARCH("R78",G368))*78,0)+IFERROR(--ISNUMBER(SEARCH("R79",G368))*79,0)+IFERROR(--ISNUMBER(SEARCH("R80",G368))*80,0)+IFERROR(--ISNUMBER(SEARCH("R81",G368))*81,0)+IFERROR(--ISNUMBER(SEARCH("R82",G368))*82,0)+IFERROR(--ISNUMBER(SEARCH("R83",G368))*83,0)+IFERROR(--ISNUMBER(SEARCH("R84",G368))*84,0)+IFERROR(--ISNUMBER(SEARCH("R85",G368))*85,0)+IFERROR(--ISNUMBER(SEARCH("R86",G368))*86,0)+IFERROR(--ISNUMBER(SEARCH("R87",G368))*87,0)+IFERROR(--ISNUMBER(SEARCH("R88",G368))*88,0)+IFERROR(--ISNUMBER(SEARCH("R89",G368))*89,0)+IFERROR(--ISNUMBER(SEARCH("R90",G368))*90,0)+IFERROR(--ISNUMBER(SEARCH("R91",G368))*91,0)+IFERROR(--ISNUMBER(SEARCH("R92",G368))*92,0)+IFERROR(--ISNUMBER(SEARCH("R93",G368))*93,0)+IFERROR(--ISNUMBER(SEARCH("R94",G368))*94,0)+IFERROR(--ISNUMBER(SEARCH("R95",G368))*95,0)+IFERROR(--ISNUMBER(SEARCH("R96",G368))*96,0)+IFERROR(--ISNUMBER(SEARCH("R97",G368))*97,0)+IFERROR(--ISNUMBER(SEARCH("R98",G368))*98,0)+IFERROR(--ISNUMBER(SEARCH("R99",G368))*99,0)+IFERROR(--ISNUMBER(SEARCH("R100",G368))*100,0)+IFERROR(--ISNUMBER(SEARCH("R101",G368))*101,0)+IFERROR(--ISNUMBER(SEARCH("R102",G368))*102,0)+IFERROR(--ISNUMBER(SEARCH("R103",G368))*103,0)+IFERROR(--ISNUMBER(SEARCH("R104",G368))*104,0)+IFERROR(--ISNUMBER(SEARCH("R105",G368))*105,0)+IFERROR(--ISNUMBER(SEARCH("R106",G368))*106,0)+IFERROR(--ISNUMBER(SEARCH("R107",G368))*107,0)+IFERROR(--ISNUMBER(SEARCH("R108",G368))*108,0)+IFERROR(--ISNUMBER(SEARCH("R109",G368))*109,0)+IFERROR(--ISNUMBER(SEARCH("R110",G368))*110,0)+IFERROR(--ISNUMBER(SEARCH("R111",G368))*111,0)+IFERROR(--ISNUMBER(SEARCH("R112",G368))*112,0)+IFERROR(--ISNUMBER(SEARCH("R113",G368))*113,0)+IFERROR(--ISNUMBER(SEARCH("R114",G368))*114,0)+IFERROR(--ISNUMBER(SEARCH("R115",G368))*115,0)+IFERROR(--ISNUMBER(SEARCH("R116",G368))*116,0)+IFERROR(--ISNUMBER(SEARCH("R117",G368))*117,0)+IFERROR(--ISNUMBER(SEARCH("R118",G368))*118,0)+IFERROR(--ISNUMBER(SEARCH("R119",G368))*119,0)+IFERROR(--ISNUMBER(SEARCH("R120",G368))*120,0)+IFERROR(--ISNUMBER(SEARCH("R121",G368))*121,0)+IFERROR(--ISNUMBER(SEARCH("R122",G368))*122,0)+IFERROR(--ISNUMBER(SEARCH("R123",G368))*123,0)+IFERROR(--ISNUMBER(SEARCH("R124",G368))*124,0)+IFERROR(--ISNUMBER(SEARCH("R125",G368))*125,0)+IFERROR(--ISNUMBER(SEARCH("R126",G368))*126,0)+IFERROR(--ISNUMBER(SEARCH("R127",G368))*127,0)+IFERROR(--ISNUMBER(SEARCH("R128",G368))*128,0)+IFERROR(--ISNUMBER(SEARCH("R129",G368))*129,0)+IFERROR(--ISNUMBER(SEARCH("R130",G368))*130,0)+IFERROR(--ISNUMBER(SEARCH("R131",G368))*131,0)+IFERROR(--ISNUMBER(SEARCH("R132",G368))*132,0)+IFERROR(--ISNUMBER(SEARCH("R133",G368))*133,0)+IFERROR(--ISNUMBER(SEARCH("R134",G368))*134,0)+IFERROR(--ISNUMBER(SEARCH("R135",G368))*135,0)+IFERROR(--ISNUMBER(SEARCH("R136",G368))*136,0)+IFERROR(--ISNUMBER(SEARCH("R137",G368))*137,0)+IFERROR(--ISNUMBER(SEARCH("R138",G368))*138,0)+IFERROR(--ISNUMBER(SEARCH("R139",G368))*139,0)+IFERROR(--ISNUMBER(SEARCH("R140",G368))*140,0)+IFERROR(--ISNUMBER(SEARCH("R141",G368))*141,0))</f>
        <v/>
      </c>
      <c r="V368" s="59">
        <f>IF(A368="","",IF(K368&lt;&gt;"",K368,J368))</f>
        <v/>
      </c>
      <c r="W368" s="59">
        <f>IF(A368="","",IF(AND(V368=29,O368&lt;&gt;"",COUNTIFS($V$6:$V$505,29,$F$6:$F$505,F368,$C$6:$C$505,C368,$O$6:$O$505,"&lt;&gt;")&gt;1),IF(COUNTIFS($V$6:V368,29,$F$6:F368,F368,$C$6:C368,C368,$O$6:O368,"&lt;&gt;")=1,"Esta es la fila que se debe CONSERVAR (aparición 1 de "&amp;COUNTIFS($V$6:$V$505,29,$F$6:$F$505,F368,$C$6:$C$505,C368,$O$6:$O$505,"&lt;&gt;")&amp;" con el mismo tercero y valor, casilla 29). Si hay más filas iguales, bórreles el valor a ELLAS, no a esta.","DUPLICADO — ya existe otra fila con el mismo tercero y valor para casilla 29 (aparición "&amp;COUNTIFS($V$6:V368,29,$F$6:F368,F368,$C$6:C368,C368,$O$6:O368,"&lt;&gt;")&amp;" de "&amp;COUNTIFS($V$6:$V$505,29,$F$6:$F$505,F368,$C$6:$C$505,C368,$O$6:$O$505,"&lt;&gt;")&amp;"). Para resolverlo: seleccione la celda O"&amp;ROW()&amp;" (columna Valor a declarar de ESTA fila) y presione Supr."),""))</f>
        <v/>
      </c>
      <c r="X368" s="463">
        <f>IF(A368="","",F368)</f>
        <v/>
      </c>
      <c r="Y368" s="463">
        <f>IF(A368="","",SUMIF(Entrada_Manual!$I$88:$I$187,A368,Entrada_Manual!$F$88:$F$187))</f>
        <v/>
      </c>
      <c r="Z368" s="463">
        <f>IF(A368="","",X368-Y368)</f>
        <v/>
      </c>
      <c r="AA368">
        <f>IF(A368="","",SUMPRODUCT((Entrada_Manual!$I$88:$I$187=A368)*1))</f>
        <v/>
      </c>
      <c r="AB368">
        <f>IF(A368="","",IF(S368&lt;=1,"",IF(AA368=0,"PENDIENTE — SIN ASIGNAR",IF(Z368=0,"RESUELTO","PARCIAL — DIFERENCIA "&amp;TEXT(Z368,"#,##0")))))</f>
        <v/>
      </c>
    </row>
    <row r="369" ht="14.25" customHeight="1" s="235">
      <c r="A369" s="47">
        <f>IF(Exogena_RAW!E378&lt;&gt;"",ROW()-5,"")</f>
        <v/>
      </c>
      <c r="B369" s="48">
        <f>IF(A369="","",378)</f>
        <v/>
      </c>
      <c r="C369" s="48">
        <f>IF(A369="","",IFERROR(Exogena_RAW!A378,""))</f>
        <v/>
      </c>
      <c r="D369" s="48">
        <f>IF(A369="","",IFERROR(Exogena_RAW!B378,""))</f>
        <v/>
      </c>
      <c r="E369" s="48">
        <f>IF(A369="","",Exogena_RAW!E378)</f>
        <v/>
      </c>
      <c r="F369" s="461">
        <f>IF(A369="","",Exogena_RAW!F378)</f>
        <v/>
      </c>
      <c r="G369" s="48">
        <f>IF(A369="","",IFERROR(Exogena_RAW!G378,""))</f>
        <v/>
      </c>
      <c r="H369" s="48">
        <f>IF(A369="","",IFERROR(Exogena_RAW!H378,""))</f>
        <v/>
      </c>
      <c r="I369" s="48">
        <f>IF(A369="","",IFERROR(IF(S369&gt;1,"VARIAS CASILLAS",IF(S369=1,IF(T369=1,"PROPUESTA DE CASILLA","REVISIÓN: CASILLA NO DIRECTA"),IF(OR(ISNUMBER(SEARCH("TOPE",UPPER(E369))),ISNUMBER(SEARCH("TOPE",UPPER(G369)))),"SOLO CONTROL",IF(ISNUMBER(SEARCH("RETEN",UPPER(E369))),"RETENCIÓN","REVISAR")))),"REVISAR"))</f>
        <v/>
      </c>
      <c r="J369" s="48">
        <f>IF(A369="","",IF(ISNUMBER(SEARCH("ingreso laboral promedio de los últimos seis meses",E369)),"",IFERROR(IF(AND(S369=1,T369=1),U369,""),"")))</f>
        <v/>
      </c>
      <c r="K369" s="216" t="n"/>
      <c r="L369" s="48">
        <f>IF(A369="","",IFERROR(IF(K369&lt;&gt;"","Casilla elegida por usuario",IF(S369&gt;1,"Varias casillas — elegir en K",IF(J369&lt;&gt;"","Sugerencia directa",IF(S369=1,"No trasladar directo — revisar",IF(OR(ISNUMBER(SEARCH("TOPE",UPPER(E369))),ISNUMBER(SEARCH("TOPE",UPPER(G369)))),"Solo control","Revisar manualmente"))))),"Revisar manualmente"))</f>
        <v/>
      </c>
      <c r="M369" s="461">
        <f>IF(A369="","",IF(IF(K369&lt;&gt;"",K369,J369)="",0,IF(COUNTIFS(Reglas!$I$5:$I$118,IF(K369&lt;&gt;"",K369,J369),Reglas!$J$5:$J$118,"Sí")=1,F369,0)))</f>
        <v/>
      </c>
      <c r="N369" s="56" t="n"/>
      <c r="O369" s="462">
        <f>IF(A369="","",IF(M369=0,"",M369))</f>
        <v/>
      </c>
      <c r="P369" s="461">
        <f>IF(A369="","",IF(O369="",0,IF(ISNUMBER(O369),O369,0)))</f>
        <v/>
      </c>
      <c r="Q369" s="48">
        <f>IF(A369="","",IF(Exogena_RAW!$C$4="","BLOQUEADO: FALTA AÑO",IF(Exogena_RAW!$K$10&lt;&gt;Reglas!$B$5,"BLOQUEADO: AÑO",IF(IF(K369&lt;&gt;"",K369,J369)="",IF(S369&gt;1,"REQUIERE ASIGNACIÓN MANUAL (VARIAS CASILLAS)","INFORMATIVO (sin casilla — no se declara)"),IF(COUNTIFS(Reglas!$I$5:$I$118,IF(K369&lt;&gt;"",K369,J369),Reglas!$J$5:$J$118,"Sí")=0,"BLOQUEADO: CASILLA NO DIRECTA",IF(O369="","EXCLUIDO (valor borrado por el usuario)",IF(_xlfn.ISFORMULA(O369),IF(W369&lt;&gt;"","BORRADOR — VALOR SUGERIDO DIAN ⚠ VER ALERTA","BORRADOR — VALOR SUGERIDO DIAN"),IF(W369&lt;&gt;"","ACEPTADO ⚠ VER ALERTA","ACEPTADO"))))))))</f>
        <v/>
      </c>
      <c r="R369" s="218" t="n"/>
      <c r="S369" s="58">
        <f>IF(A369="","",IFERROR(--ISNUMBER(SEARCH("R28",G369)),0)+IFERROR(--ISNUMBER(SEARCH("R29",G369)),0)+IFERROR(--ISNUMBER(SEARCH("R30",G369)),0)+IFERROR(--ISNUMBER(SEARCH("R31",G369)),0)+IFERROR(--ISNUMBER(SEARCH("R32",G369)),0)+IFERROR(--ISNUMBER(SEARCH("R33",G369)),0)+IFERROR(--ISNUMBER(SEARCH("R34",G369)),0)+IFERROR(--ISNUMBER(SEARCH("R35",G369)),0)+IFERROR(--ISNUMBER(SEARCH("R36",G369)),0)+IFERROR(--ISNUMBER(SEARCH("R37",G369)),0)+IFERROR(--ISNUMBER(SEARCH("R38",G369)),0)+IFERROR(--ISNUMBER(SEARCH("R39",G369)),0)+IFERROR(--ISNUMBER(SEARCH("R40",G369)),0)+IFERROR(--ISNUMBER(SEARCH("R41",G369)),0)+IFERROR(--ISNUMBER(SEARCH("R42",G369)),0)+IFERROR(--ISNUMBER(SEARCH("R43",G369)),0)+IFERROR(--ISNUMBER(SEARCH("R44",G369)),0)+IFERROR(--ISNUMBER(SEARCH("R45",G369)),0)+IFERROR(--ISNUMBER(SEARCH("R46",G369)),0)+IFERROR(--ISNUMBER(SEARCH("R47",G369)),0)+IFERROR(--ISNUMBER(SEARCH("R48",G369)),0)+IFERROR(--ISNUMBER(SEARCH("R49",G369)),0)+IFERROR(--ISNUMBER(SEARCH("R50",G369)),0)+IFERROR(--ISNUMBER(SEARCH("R51",G369)),0)+IFERROR(--ISNUMBER(SEARCH("R52",G369)),0)+IFERROR(--ISNUMBER(SEARCH("R53",G369)),0)+IFERROR(--ISNUMBER(SEARCH("R54",G369)),0)+IFERROR(--ISNUMBER(SEARCH("R55",G369)),0)+IFERROR(--ISNUMBER(SEARCH("R56",G369)),0)+IFERROR(--ISNUMBER(SEARCH("R57",G369)),0)+IFERROR(--ISNUMBER(SEARCH("R58",G369)),0)+IFERROR(--ISNUMBER(SEARCH("R59",G369)),0)+IFERROR(--ISNUMBER(SEARCH("R60",G369)),0)+IFERROR(--ISNUMBER(SEARCH("R61",G369)),0)+IFERROR(--ISNUMBER(SEARCH("R62",G369)),0)+IFERROR(--ISNUMBER(SEARCH("R63",G369)),0)+IFERROR(--ISNUMBER(SEARCH("R64",G369)),0)+IFERROR(--ISNUMBER(SEARCH("R65",G369)),0)+IFERROR(--ISNUMBER(SEARCH("R66",G369)),0)+IFERROR(--ISNUMBER(SEARCH("R67",G369)),0)+IFERROR(--ISNUMBER(SEARCH("R68",G369)),0)+IFERROR(--ISNUMBER(SEARCH("R69",G369)),0)+IFERROR(--ISNUMBER(SEARCH("R70",G369)),0)+IFERROR(--ISNUMBER(SEARCH("R71",G369)),0)+IFERROR(--ISNUMBER(SEARCH("R72",G369)),0)+IFERROR(--ISNUMBER(SEARCH("R73",G369)),0)+IFERROR(--ISNUMBER(SEARCH("R74",G369)),0)+IFERROR(--ISNUMBER(SEARCH("R75",G369)),0)+IFERROR(--ISNUMBER(SEARCH("R76",G369)),0)+IFERROR(--ISNUMBER(SEARCH("R77",G369)),0)+IFERROR(--ISNUMBER(SEARCH("R78",G369)),0)+IFERROR(--ISNUMBER(SEARCH("R79",G369)),0)+IFERROR(--ISNUMBER(SEARCH("R80",G369)),0)+IFERROR(--ISNUMBER(SEARCH("R81",G369)),0)+IFERROR(--ISNUMBER(SEARCH("R82",G369)),0)+IFERROR(--ISNUMBER(SEARCH("R83",G369)),0)+IFERROR(--ISNUMBER(SEARCH("R84",G369)),0)+IFERROR(--ISNUMBER(SEARCH("R85",G369)),0)+IFERROR(--ISNUMBER(SEARCH("R86",G369)),0)+IFERROR(--ISNUMBER(SEARCH("R87",G369)),0)+IFERROR(--ISNUMBER(SEARCH("R88",G369)),0)+IFERROR(--ISNUMBER(SEARCH("R89",G369)),0)+IFERROR(--ISNUMBER(SEARCH("R90",G369)),0)+IFERROR(--ISNUMBER(SEARCH("R91",G369)),0)+IFERROR(--ISNUMBER(SEARCH("R92",G369)),0)+IFERROR(--ISNUMBER(SEARCH("R93",G369)),0)+IFERROR(--ISNUMBER(SEARCH("R94",G369)),0)+IFERROR(--ISNUMBER(SEARCH("R95",G369)),0)+IFERROR(--ISNUMBER(SEARCH("R96",G369)),0)+IFERROR(--ISNUMBER(SEARCH("R97",G369)),0)+IFERROR(--ISNUMBER(SEARCH("R98",G369)),0)+IFERROR(--ISNUMBER(SEARCH("R99",G369)),0)+IFERROR(--ISNUMBER(SEARCH("R100",G369)),0)+IFERROR(--ISNUMBER(SEARCH("R101",G369)),0)+IFERROR(--ISNUMBER(SEARCH("R102",G369)),0)+IFERROR(--ISNUMBER(SEARCH("R103",G369)),0)+IFERROR(--ISNUMBER(SEARCH("R104",G369)),0)+IFERROR(--ISNUMBER(SEARCH("R105",G369)),0)+IFERROR(--ISNUMBER(SEARCH("R106",G369)),0)+IFERROR(--ISNUMBER(SEARCH("R107",G369)),0)+IFERROR(--ISNUMBER(SEARCH("R108",G369)),0)+IFERROR(--ISNUMBER(SEARCH("R109",G369)),0)+IFERROR(--ISNUMBER(SEARCH("R110",G369)),0)+IFERROR(--ISNUMBER(SEARCH("R111",G369)),0)+IFERROR(--ISNUMBER(SEARCH("R112",G369)),0)+IFERROR(--ISNUMBER(SEARCH("R113",G369)),0)+IFERROR(--ISNUMBER(SEARCH("R114",G369)),0)+IFERROR(--ISNUMBER(SEARCH("R115",G369)),0)+IFERROR(--ISNUMBER(SEARCH("R116",G369)),0)+IFERROR(--ISNUMBER(SEARCH("R117",G369)),0)+IFERROR(--ISNUMBER(SEARCH("R118",G369)),0)+IFERROR(--ISNUMBER(SEARCH("R119",G369)),0)+IFERROR(--ISNUMBER(SEARCH("R120",G369)),0)+IFERROR(--ISNUMBER(SEARCH("R121",G369)),0)+IFERROR(--ISNUMBER(SEARCH("R122",G369)),0)+IFERROR(--ISNUMBER(SEARCH("R123",G369)),0)+IFERROR(--ISNUMBER(SEARCH("R124",G369)),0)+IFERROR(--ISNUMBER(SEARCH("R125",G369)),0)+IFERROR(--ISNUMBER(SEARCH("R126",G369)),0)+IFERROR(--ISNUMBER(SEARCH("R127",G369)),0)+IFERROR(--ISNUMBER(SEARCH("R128",G369)),0)+IFERROR(--ISNUMBER(SEARCH("R129",G369)),0)+IFERROR(--ISNUMBER(SEARCH("R130",G369)),0)+IFERROR(--ISNUMBER(SEARCH("R131",G369)),0)+IFERROR(--ISNUMBER(SEARCH("R132",G369)),0)+IFERROR(--ISNUMBER(SEARCH("R133",G369)),0)+IFERROR(--ISNUMBER(SEARCH("R134",G369)),0)+IFERROR(--ISNUMBER(SEARCH("R135",G369)),0)+IFERROR(--ISNUMBER(SEARCH("R136",G369)),0)+IFERROR(--ISNUMBER(SEARCH("R137",G369)),0)+IFERROR(--ISNUMBER(SEARCH("R138",G369)),0)+IFERROR(--ISNUMBER(SEARCH("R139",G369)),0)+IFERROR(--ISNUMBER(SEARCH("R140",G369)),0)+IFERROR(--ISNUMBER(SEARCH("R141",G369)),0))</f>
        <v/>
      </c>
      <c r="T369" s="58">
        <f>IF(A369="","",IFERROR(--ISNUMBER(SEARCH("R28",G369)),0)+IFERROR(--ISNUMBER(SEARCH("R29",G369)),0)+IFERROR(--ISNUMBER(SEARCH("R30",G369)),0)+IFERROR(--ISNUMBER(SEARCH("R32",G369)),0)+IFERROR(--ISNUMBER(SEARCH("R33",G369)),0)+IFERROR(--ISNUMBER(SEARCH("R35",G369)),0)+IFERROR(--ISNUMBER(SEARCH("R36",G369)),0)+IFERROR(--ISNUMBER(SEARCH("R38",G369)),0)+IFERROR(--ISNUMBER(SEARCH("R39",G369)),0)+IFERROR(--ISNUMBER(SEARCH("R43",G369)),0)+IFERROR(--ISNUMBER(SEARCH("R44",G369)),0)+IFERROR(--ISNUMBER(SEARCH("R45",G369)),0)+IFERROR(--ISNUMBER(SEARCH("R47",G369)),0)+IFERROR(--ISNUMBER(SEARCH("R48",G369)),0)+IFERROR(--ISNUMBER(SEARCH("R50",G369)),0)+IFERROR(--ISNUMBER(SEARCH("R51",G369)),0)+IFERROR(--ISNUMBER(SEARCH("R56",G369)),0)+IFERROR(--ISNUMBER(SEARCH("R58",G369)),0)+IFERROR(--ISNUMBER(SEARCH("R59",G369)),0)+IFERROR(--ISNUMBER(SEARCH("R60",G369)),0)+IFERROR(--ISNUMBER(SEARCH("R62",G369)),0)+IFERROR(--ISNUMBER(SEARCH("R63",G369)),0)+IFERROR(--ISNUMBER(SEARCH("R64",G369)),0)+IFERROR(--ISNUMBER(SEARCH("R66",G369)),0)+IFERROR(--ISNUMBER(SEARCH("R67",G369)),0)+IFERROR(--ISNUMBER(SEARCH("R72",G369)),0)+IFERROR(--ISNUMBER(SEARCH("R74",G369)),0)+IFERROR(--ISNUMBER(SEARCH("R75",G369)),0)+IFERROR(--ISNUMBER(SEARCH("R76",G369)),0)+IFERROR(--ISNUMBER(SEARCH("R77",G369)),0)+IFERROR(--ISNUMBER(SEARCH("R79",G369)),0)+IFERROR(--ISNUMBER(SEARCH("R80",G369)),0)+IFERROR(--ISNUMBER(SEARCH("R81",G369)),0)+IFERROR(--ISNUMBER(SEARCH("R83",G369)),0)+IFERROR(--ISNUMBER(SEARCH("R84",G369)),0)+IFERROR(--ISNUMBER(SEARCH("R89",G369)),0)+IFERROR(--ISNUMBER(SEARCH("R94",G369)),0)+IFERROR(--ISNUMBER(SEARCH("R95",G369)),0)+IFERROR(--ISNUMBER(SEARCH("R96",G369)),0)+IFERROR(--ISNUMBER(SEARCH("R98",G369)),0)+IFERROR(--ISNUMBER(SEARCH("R99",G369)),0)+IFERROR(--ISNUMBER(SEARCH("R100",G369)),0)+IFERROR(--ISNUMBER(SEARCH("R104",G369)),0)+IFERROR(--ISNUMBER(SEARCH("R105",G369)),0)+IFERROR(--ISNUMBER(SEARCH("R107",G369)),0)+IFERROR(--ISNUMBER(SEARCH("R108",G369)),0)+IFERROR(--ISNUMBER(SEARCH("R109",G369)),0)+IFERROR(--ISNUMBER(SEARCH("R110",G369)),0)+IFERROR(--ISNUMBER(SEARCH("R112",G369)),0)+IFERROR(--ISNUMBER(SEARCH("R113",G369)),0)+IFERROR(--ISNUMBER(SEARCH("R114",G369)),0)+IFERROR(--ISNUMBER(SEARCH("R118",G369)),0)+IFERROR(--ISNUMBER(SEARCH("R119",G369)),0)+IFERROR(--ISNUMBER(SEARCH("R120",G369)),0)+IFERROR(--ISNUMBER(SEARCH("R122",G369)),0)+IFERROR(--ISNUMBER(SEARCH("R123",G369)),0)+IFERROR(--ISNUMBER(SEARCH("R124",G369)),0)+IFERROR(--ISNUMBER(SEARCH("R128",G369)),0)+IFERROR(--ISNUMBER(SEARCH("R130",G369)),0)+IFERROR(--ISNUMBER(SEARCH("R131",G369)),0)+IFERROR(--ISNUMBER(SEARCH("R132",G369)),0)+IFERROR(--ISNUMBER(SEARCH("R135",G369)),0)+IFERROR(--ISNUMBER(SEARCH("R138",G369)),0)+IFERROR(--ISNUMBER(SEARCH("R141",G369)),0))</f>
        <v/>
      </c>
      <c r="U369" s="58">
        <f>IF(A369="","",IFERROR(--ISNUMBER(SEARCH("R28",G369))*28,0)+IFERROR(--ISNUMBER(SEARCH("R29",G369))*29,0)+IFERROR(--ISNUMBER(SEARCH("R30",G369))*30,0)+IFERROR(--ISNUMBER(SEARCH("R31",G369))*31,0)+IFERROR(--ISNUMBER(SEARCH("R32",G369))*32,0)+IFERROR(--ISNUMBER(SEARCH("R33",G369))*33,0)+IFERROR(--ISNUMBER(SEARCH("R34",G369))*34,0)+IFERROR(--ISNUMBER(SEARCH("R35",G369))*35,0)+IFERROR(--ISNUMBER(SEARCH("R36",G369))*36,0)+IFERROR(--ISNUMBER(SEARCH("R37",G369))*37,0)+IFERROR(--ISNUMBER(SEARCH("R38",G369))*38,0)+IFERROR(--ISNUMBER(SEARCH("R39",G369))*39,0)+IFERROR(--ISNUMBER(SEARCH("R40",G369))*40,0)+IFERROR(--ISNUMBER(SEARCH("R41",G369))*41,0)+IFERROR(--ISNUMBER(SEARCH("R42",G369))*42,0)+IFERROR(--ISNUMBER(SEARCH("R43",G369))*43,0)+IFERROR(--ISNUMBER(SEARCH("R44",G369))*44,0)+IFERROR(--ISNUMBER(SEARCH("R45",G369))*45,0)+IFERROR(--ISNUMBER(SEARCH("R46",G369))*46,0)+IFERROR(--ISNUMBER(SEARCH("R47",G369))*47,0)+IFERROR(--ISNUMBER(SEARCH("R48",G369))*48,0)+IFERROR(--ISNUMBER(SEARCH("R49",G369))*49,0)+IFERROR(--ISNUMBER(SEARCH("R50",G369))*50,0)+IFERROR(--ISNUMBER(SEARCH("R51",G369))*51,0)+IFERROR(--ISNUMBER(SEARCH("R52",G369))*52,0)+IFERROR(--ISNUMBER(SEARCH("R53",G369))*53,0)+IFERROR(--ISNUMBER(SEARCH("R54",G369))*54,0)+IFERROR(--ISNUMBER(SEARCH("R55",G369))*55,0)+IFERROR(--ISNUMBER(SEARCH("R56",G369))*56,0)+IFERROR(--ISNUMBER(SEARCH("R57",G369))*57,0)+IFERROR(--ISNUMBER(SEARCH("R58",G369))*58,0)+IFERROR(--ISNUMBER(SEARCH("R59",G369))*59,0)+IFERROR(--ISNUMBER(SEARCH("R60",G369))*60,0)+IFERROR(--ISNUMBER(SEARCH("R61",G369))*61,0)+IFERROR(--ISNUMBER(SEARCH("R62",G369))*62,0)+IFERROR(--ISNUMBER(SEARCH("R63",G369))*63,0)+IFERROR(--ISNUMBER(SEARCH("R64",G369))*64,0)+IFERROR(--ISNUMBER(SEARCH("R65",G369))*65,0)+IFERROR(--ISNUMBER(SEARCH("R66",G369))*66,0)+IFERROR(--ISNUMBER(SEARCH("R67",G369))*67,0)+IFERROR(--ISNUMBER(SEARCH("R68",G369))*68,0)+IFERROR(--ISNUMBER(SEARCH("R69",G369))*69,0)+IFERROR(--ISNUMBER(SEARCH("R70",G369))*70,0)+IFERROR(--ISNUMBER(SEARCH("R71",G369))*71,0)+IFERROR(--ISNUMBER(SEARCH("R72",G369))*72,0)+IFERROR(--ISNUMBER(SEARCH("R73",G369))*73,0)+IFERROR(--ISNUMBER(SEARCH("R74",G369))*74,0)+IFERROR(--ISNUMBER(SEARCH("R75",G369))*75,0)+IFERROR(--ISNUMBER(SEARCH("R76",G369))*76,0)+IFERROR(--ISNUMBER(SEARCH("R77",G369))*77,0)+IFERROR(--ISNUMBER(SEARCH("R78",G369))*78,0)+IFERROR(--ISNUMBER(SEARCH("R79",G369))*79,0)+IFERROR(--ISNUMBER(SEARCH("R80",G369))*80,0)+IFERROR(--ISNUMBER(SEARCH("R81",G369))*81,0)+IFERROR(--ISNUMBER(SEARCH("R82",G369))*82,0)+IFERROR(--ISNUMBER(SEARCH("R83",G369))*83,0)+IFERROR(--ISNUMBER(SEARCH("R84",G369))*84,0)+IFERROR(--ISNUMBER(SEARCH("R85",G369))*85,0)+IFERROR(--ISNUMBER(SEARCH("R86",G369))*86,0)+IFERROR(--ISNUMBER(SEARCH("R87",G369))*87,0)+IFERROR(--ISNUMBER(SEARCH("R88",G369))*88,0)+IFERROR(--ISNUMBER(SEARCH("R89",G369))*89,0)+IFERROR(--ISNUMBER(SEARCH("R90",G369))*90,0)+IFERROR(--ISNUMBER(SEARCH("R91",G369))*91,0)+IFERROR(--ISNUMBER(SEARCH("R92",G369))*92,0)+IFERROR(--ISNUMBER(SEARCH("R93",G369))*93,0)+IFERROR(--ISNUMBER(SEARCH("R94",G369))*94,0)+IFERROR(--ISNUMBER(SEARCH("R95",G369))*95,0)+IFERROR(--ISNUMBER(SEARCH("R96",G369))*96,0)+IFERROR(--ISNUMBER(SEARCH("R97",G369))*97,0)+IFERROR(--ISNUMBER(SEARCH("R98",G369))*98,0)+IFERROR(--ISNUMBER(SEARCH("R99",G369))*99,0)+IFERROR(--ISNUMBER(SEARCH("R100",G369))*100,0)+IFERROR(--ISNUMBER(SEARCH("R101",G369))*101,0)+IFERROR(--ISNUMBER(SEARCH("R102",G369))*102,0)+IFERROR(--ISNUMBER(SEARCH("R103",G369))*103,0)+IFERROR(--ISNUMBER(SEARCH("R104",G369))*104,0)+IFERROR(--ISNUMBER(SEARCH("R105",G369))*105,0)+IFERROR(--ISNUMBER(SEARCH("R106",G369))*106,0)+IFERROR(--ISNUMBER(SEARCH("R107",G369))*107,0)+IFERROR(--ISNUMBER(SEARCH("R108",G369))*108,0)+IFERROR(--ISNUMBER(SEARCH("R109",G369))*109,0)+IFERROR(--ISNUMBER(SEARCH("R110",G369))*110,0)+IFERROR(--ISNUMBER(SEARCH("R111",G369))*111,0)+IFERROR(--ISNUMBER(SEARCH("R112",G369))*112,0)+IFERROR(--ISNUMBER(SEARCH("R113",G369))*113,0)+IFERROR(--ISNUMBER(SEARCH("R114",G369))*114,0)+IFERROR(--ISNUMBER(SEARCH("R115",G369))*115,0)+IFERROR(--ISNUMBER(SEARCH("R116",G369))*116,0)+IFERROR(--ISNUMBER(SEARCH("R117",G369))*117,0)+IFERROR(--ISNUMBER(SEARCH("R118",G369))*118,0)+IFERROR(--ISNUMBER(SEARCH("R119",G369))*119,0)+IFERROR(--ISNUMBER(SEARCH("R120",G369))*120,0)+IFERROR(--ISNUMBER(SEARCH("R121",G369))*121,0)+IFERROR(--ISNUMBER(SEARCH("R122",G369))*122,0)+IFERROR(--ISNUMBER(SEARCH("R123",G369))*123,0)+IFERROR(--ISNUMBER(SEARCH("R124",G369))*124,0)+IFERROR(--ISNUMBER(SEARCH("R125",G369))*125,0)+IFERROR(--ISNUMBER(SEARCH("R126",G369))*126,0)+IFERROR(--ISNUMBER(SEARCH("R127",G369))*127,0)+IFERROR(--ISNUMBER(SEARCH("R128",G369))*128,0)+IFERROR(--ISNUMBER(SEARCH("R129",G369))*129,0)+IFERROR(--ISNUMBER(SEARCH("R130",G369))*130,0)+IFERROR(--ISNUMBER(SEARCH("R131",G369))*131,0)+IFERROR(--ISNUMBER(SEARCH("R132",G369))*132,0)+IFERROR(--ISNUMBER(SEARCH("R133",G369))*133,0)+IFERROR(--ISNUMBER(SEARCH("R134",G369))*134,0)+IFERROR(--ISNUMBER(SEARCH("R135",G369))*135,0)+IFERROR(--ISNUMBER(SEARCH("R136",G369))*136,0)+IFERROR(--ISNUMBER(SEARCH("R137",G369))*137,0)+IFERROR(--ISNUMBER(SEARCH("R138",G369))*138,0)+IFERROR(--ISNUMBER(SEARCH("R139",G369))*139,0)+IFERROR(--ISNUMBER(SEARCH("R140",G369))*140,0)+IFERROR(--ISNUMBER(SEARCH("R141",G369))*141,0))</f>
        <v/>
      </c>
      <c r="V369" s="59">
        <f>IF(A369="","",IF(K369&lt;&gt;"",K369,J369))</f>
        <v/>
      </c>
      <c r="W369" s="59">
        <f>IF(A369="","",IF(AND(V369=29,O369&lt;&gt;"",COUNTIFS($V$6:$V$505,29,$F$6:$F$505,F369,$C$6:$C$505,C369,$O$6:$O$505,"&lt;&gt;")&gt;1),IF(COUNTIFS($V$6:V369,29,$F$6:F369,F369,$C$6:C369,C369,$O$6:O369,"&lt;&gt;")=1,"Esta es la fila que se debe CONSERVAR (aparición 1 de "&amp;COUNTIFS($V$6:$V$505,29,$F$6:$F$505,F369,$C$6:$C$505,C369,$O$6:$O$505,"&lt;&gt;")&amp;" con el mismo tercero y valor, casilla 29). Si hay más filas iguales, bórreles el valor a ELLAS, no a esta.","DUPLICADO — ya existe otra fila con el mismo tercero y valor para casilla 29 (aparición "&amp;COUNTIFS($V$6:V369,29,$F$6:F369,F369,$C$6:C369,C369,$O$6:O369,"&lt;&gt;")&amp;" de "&amp;COUNTIFS($V$6:$V$505,29,$F$6:$F$505,F369,$C$6:$C$505,C369,$O$6:$O$505,"&lt;&gt;")&amp;"). Para resolverlo: seleccione la celda O"&amp;ROW()&amp;" (columna Valor a declarar de ESTA fila) y presione Supr."),""))</f>
        <v/>
      </c>
      <c r="X369" s="463">
        <f>IF(A369="","",F369)</f>
        <v/>
      </c>
      <c r="Y369" s="463">
        <f>IF(A369="","",SUMIF(Entrada_Manual!$I$88:$I$187,A369,Entrada_Manual!$F$88:$F$187))</f>
        <v/>
      </c>
      <c r="Z369" s="463">
        <f>IF(A369="","",X369-Y369)</f>
        <v/>
      </c>
      <c r="AA369">
        <f>IF(A369="","",SUMPRODUCT((Entrada_Manual!$I$88:$I$187=A369)*1))</f>
        <v/>
      </c>
      <c r="AB369">
        <f>IF(A369="","",IF(S369&lt;=1,"",IF(AA369=0,"PENDIENTE — SIN ASIGNAR",IF(Z369=0,"RESUELTO","PARCIAL — DIFERENCIA "&amp;TEXT(Z369,"#,##0")))))</f>
        <v/>
      </c>
    </row>
    <row r="370" ht="14.25" customHeight="1" s="235">
      <c r="A370" s="47">
        <f>IF(Exogena_RAW!E379&lt;&gt;"",ROW()-5,"")</f>
        <v/>
      </c>
      <c r="B370" s="48">
        <f>IF(A370="","",379)</f>
        <v/>
      </c>
      <c r="C370" s="48">
        <f>IF(A370="","",IFERROR(Exogena_RAW!A379,""))</f>
        <v/>
      </c>
      <c r="D370" s="48">
        <f>IF(A370="","",IFERROR(Exogena_RAW!B379,""))</f>
        <v/>
      </c>
      <c r="E370" s="48">
        <f>IF(A370="","",Exogena_RAW!E379)</f>
        <v/>
      </c>
      <c r="F370" s="461">
        <f>IF(A370="","",Exogena_RAW!F379)</f>
        <v/>
      </c>
      <c r="G370" s="48">
        <f>IF(A370="","",IFERROR(Exogena_RAW!G379,""))</f>
        <v/>
      </c>
      <c r="H370" s="48">
        <f>IF(A370="","",IFERROR(Exogena_RAW!H379,""))</f>
        <v/>
      </c>
      <c r="I370" s="48">
        <f>IF(A370="","",IFERROR(IF(S370&gt;1,"VARIAS CASILLAS",IF(S370=1,IF(T370=1,"PROPUESTA DE CASILLA","REVISIÓN: CASILLA NO DIRECTA"),IF(OR(ISNUMBER(SEARCH("TOPE",UPPER(E370))),ISNUMBER(SEARCH("TOPE",UPPER(G370)))),"SOLO CONTROL",IF(ISNUMBER(SEARCH("RETEN",UPPER(E370))),"RETENCIÓN","REVISAR")))),"REVISAR"))</f>
        <v/>
      </c>
      <c r="J370" s="48">
        <f>IF(A370="","",IF(ISNUMBER(SEARCH("ingreso laboral promedio de los últimos seis meses",E370)),"",IFERROR(IF(AND(S370=1,T370=1),U370,""),"")))</f>
        <v/>
      </c>
      <c r="K370" s="216" t="n"/>
      <c r="L370" s="48">
        <f>IF(A370="","",IFERROR(IF(K370&lt;&gt;"","Casilla elegida por usuario",IF(S370&gt;1,"Varias casillas — elegir en K",IF(J370&lt;&gt;"","Sugerencia directa",IF(S370=1,"No trasladar directo — revisar",IF(OR(ISNUMBER(SEARCH("TOPE",UPPER(E370))),ISNUMBER(SEARCH("TOPE",UPPER(G370)))),"Solo control","Revisar manualmente"))))),"Revisar manualmente"))</f>
        <v/>
      </c>
      <c r="M370" s="461">
        <f>IF(A370="","",IF(IF(K370&lt;&gt;"",K370,J370)="",0,IF(COUNTIFS(Reglas!$I$5:$I$118,IF(K370&lt;&gt;"",K370,J370),Reglas!$J$5:$J$118,"Sí")=1,F370,0)))</f>
        <v/>
      </c>
      <c r="N370" s="56" t="n"/>
      <c r="O370" s="462">
        <f>IF(A370="","",IF(M370=0,"",M370))</f>
        <v/>
      </c>
      <c r="P370" s="461">
        <f>IF(A370="","",IF(O370="",0,IF(ISNUMBER(O370),O370,0)))</f>
        <v/>
      </c>
      <c r="Q370" s="48">
        <f>IF(A370="","",IF(Exogena_RAW!$C$4="","BLOQUEADO: FALTA AÑO",IF(Exogena_RAW!$K$10&lt;&gt;Reglas!$B$5,"BLOQUEADO: AÑO",IF(IF(K370&lt;&gt;"",K370,J370)="",IF(S370&gt;1,"REQUIERE ASIGNACIÓN MANUAL (VARIAS CASILLAS)","INFORMATIVO (sin casilla — no se declara)"),IF(COUNTIFS(Reglas!$I$5:$I$118,IF(K370&lt;&gt;"",K370,J370),Reglas!$J$5:$J$118,"Sí")=0,"BLOQUEADO: CASILLA NO DIRECTA",IF(O370="","EXCLUIDO (valor borrado por el usuario)",IF(_xlfn.ISFORMULA(O370),IF(W370&lt;&gt;"","BORRADOR — VALOR SUGERIDO DIAN ⚠ VER ALERTA","BORRADOR — VALOR SUGERIDO DIAN"),IF(W370&lt;&gt;"","ACEPTADO ⚠ VER ALERTA","ACEPTADO"))))))))</f>
        <v/>
      </c>
      <c r="R370" s="218" t="n"/>
      <c r="S370" s="58">
        <f>IF(A370="","",IFERROR(--ISNUMBER(SEARCH("R28",G370)),0)+IFERROR(--ISNUMBER(SEARCH("R29",G370)),0)+IFERROR(--ISNUMBER(SEARCH("R30",G370)),0)+IFERROR(--ISNUMBER(SEARCH("R31",G370)),0)+IFERROR(--ISNUMBER(SEARCH("R32",G370)),0)+IFERROR(--ISNUMBER(SEARCH("R33",G370)),0)+IFERROR(--ISNUMBER(SEARCH("R34",G370)),0)+IFERROR(--ISNUMBER(SEARCH("R35",G370)),0)+IFERROR(--ISNUMBER(SEARCH("R36",G370)),0)+IFERROR(--ISNUMBER(SEARCH("R37",G370)),0)+IFERROR(--ISNUMBER(SEARCH("R38",G370)),0)+IFERROR(--ISNUMBER(SEARCH("R39",G370)),0)+IFERROR(--ISNUMBER(SEARCH("R40",G370)),0)+IFERROR(--ISNUMBER(SEARCH("R41",G370)),0)+IFERROR(--ISNUMBER(SEARCH("R42",G370)),0)+IFERROR(--ISNUMBER(SEARCH("R43",G370)),0)+IFERROR(--ISNUMBER(SEARCH("R44",G370)),0)+IFERROR(--ISNUMBER(SEARCH("R45",G370)),0)+IFERROR(--ISNUMBER(SEARCH("R46",G370)),0)+IFERROR(--ISNUMBER(SEARCH("R47",G370)),0)+IFERROR(--ISNUMBER(SEARCH("R48",G370)),0)+IFERROR(--ISNUMBER(SEARCH("R49",G370)),0)+IFERROR(--ISNUMBER(SEARCH("R50",G370)),0)+IFERROR(--ISNUMBER(SEARCH("R51",G370)),0)+IFERROR(--ISNUMBER(SEARCH("R52",G370)),0)+IFERROR(--ISNUMBER(SEARCH("R53",G370)),0)+IFERROR(--ISNUMBER(SEARCH("R54",G370)),0)+IFERROR(--ISNUMBER(SEARCH("R55",G370)),0)+IFERROR(--ISNUMBER(SEARCH("R56",G370)),0)+IFERROR(--ISNUMBER(SEARCH("R57",G370)),0)+IFERROR(--ISNUMBER(SEARCH("R58",G370)),0)+IFERROR(--ISNUMBER(SEARCH("R59",G370)),0)+IFERROR(--ISNUMBER(SEARCH("R60",G370)),0)+IFERROR(--ISNUMBER(SEARCH("R61",G370)),0)+IFERROR(--ISNUMBER(SEARCH("R62",G370)),0)+IFERROR(--ISNUMBER(SEARCH("R63",G370)),0)+IFERROR(--ISNUMBER(SEARCH("R64",G370)),0)+IFERROR(--ISNUMBER(SEARCH("R65",G370)),0)+IFERROR(--ISNUMBER(SEARCH("R66",G370)),0)+IFERROR(--ISNUMBER(SEARCH("R67",G370)),0)+IFERROR(--ISNUMBER(SEARCH("R68",G370)),0)+IFERROR(--ISNUMBER(SEARCH("R69",G370)),0)+IFERROR(--ISNUMBER(SEARCH("R70",G370)),0)+IFERROR(--ISNUMBER(SEARCH("R71",G370)),0)+IFERROR(--ISNUMBER(SEARCH("R72",G370)),0)+IFERROR(--ISNUMBER(SEARCH("R73",G370)),0)+IFERROR(--ISNUMBER(SEARCH("R74",G370)),0)+IFERROR(--ISNUMBER(SEARCH("R75",G370)),0)+IFERROR(--ISNUMBER(SEARCH("R76",G370)),0)+IFERROR(--ISNUMBER(SEARCH("R77",G370)),0)+IFERROR(--ISNUMBER(SEARCH("R78",G370)),0)+IFERROR(--ISNUMBER(SEARCH("R79",G370)),0)+IFERROR(--ISNUMBER(SEARCH("R80",G370)),0)+IFERROR(--ISNUMBER(SEARCH("R81",G370)),0)+IFERROR(--ISNUMBER(SEARCH("R82",G370)),0)+IFERROR(--ISNUMBER(SEARCH("R83",G370)),0)+IFERROR(--ISNUMBER(SEARCH("R84",G370)),0)+IFERROR(--ISNUMBER(SEARCH("R85",G370)),0)+IFERROR(--ISNUMBER(SEARCH("R86",G370)),0)+IFERROR(--ISNUMBER(SEARCH("R87",G370)),0)+IFERROR(--ISNUMBER(SEARCH("R88",G370)),0)+IFERROR(--ISNUMBER(SEARCH("R89",G370)),0)+IFERROR(--ISNUMBER(SEARCH("R90",G370)),0)+IFERROR(--ISNUMBER(SEARCH("R91",G370)),0)+IFERROR(--ISNUMBER(SEARCH("R92",G370)),0)+IFERROR(--ISNUMBER(SEARCH("R93",G370)),0)+IFERROR(--ISNUMBER(SEARCH("R94",G370)),0)+IFERROR(--ISNUMBER(SEARCH("R95",G370)),0)+IFERROR(--ISNUMBER(SEARCH("R96",G370)),0)+IFERROR(--ISNUMBER(SEARCH("R97",G370)),0)+IFERROR(--ISNUMBER(SEARCH("R98",G370)),0)+IFERROR(--ISNUMBER(SEARCH("R99",G370)),0)+IFERROR(--ISNUMBER(SEARCH("R100",G370)),0)+IFERROR(--ISNUMBER(SEARCH("R101",G370)),0)+IFERROR(--ISNUMBER(SEARCH("R102",G370)),0)+IFERROR(--ISNUMBER(SEARCH("R103",G370)),0)+IFERROR(--ISNUMBER(SEARCH("R104",G370)),0)+IFERROR(--ISNUMBER(SEARCH("R105",G370)),0)+IFERROR(--ISNUMBER(SEARCH("R106",G370)),0)+IFERROR(--ISNUMBER(SEARCH("R107",G370)),0)+IFERROR(--ISNUMBER(SEARCH("R108",G370)),0)+IFERROR(--ISNUMBER(SEARCH("R109",G370)),0)+IFERROR(--ISNUMBER(SEARCH("R110",G370)),0)+IFERROR(--ISNUMBER(SEARCH("R111",G370)),0)+IFERROR(--ISNUMBER(SEARCH("R112",G370)),0)+IFERROR(--ISNUMBER(SEARCH("R113",G370)),0)+IFERROR(--ISNUMBER(SEARCH("R114",G370)),0)+IFERROR(--ISNUMBER(SEARCH("R115",G370)),0)+IFERROR(--ISNUMBER(SEARCH("R116",G370)),0)+IFERROR(--ISNUMBER(SEARCH("R117",G370)),0)+IFERROR(--ISNUMBER(SEARCH("R118",G370)),0)+IFERROR(--ISNUMBER(SEARCH("R119",G370)),0)+IFERROR(--ISNUMBER(SEARCH("R120",G370)),0)+IFERROR(--ISNUMBER(SEARCH("R121",G370)),0)+IFERROR(--ISNUMBER(SEARCH("R122",G370)),0)+IFERROR(--ISNUMBER(SEARCH("R123",G370)),0)+IFERROR(--ISNUMBER(SEARCH("R124",G370)),0)+IFERROR(--ISNUMBER(SEARCH("R125",G370)),0)+IFERROR(--ISNUMBER(SEARCH("R126",G370)),0)+IFERROR(--ISNUMBER(SEARCH("R127",G370)),0)+IFERROR(--ISNUMBER(SEARCH("R128",G370)),0)+IFERROR(--ISNUMBER(SEARCH("R129",G370)),0)+IFERROR(--ISNUMBER(SEARCH("R130",G370)),0)+IFERROR(--ISNUMBER(SEARCH("R131",G370)),0)+IFERROR(--ISNUMBER(SEARCH("R132",G370)),0)+IFERROR(--ISNUMBER(SEARCH("R133",G370)),0)+IFERROR(--ISNUMBER(SEARCH("R134",G370)),0)+IFERROR(--ISNUMBER(SEARCH("R135",G370)),0)+IFERROR(--ISNUMBER(SEARCH("R136",G370)),0)+IFERROR(--ISNUMBER(SEARCH("R137",G370)),0)+IFERROR(--ISNUMBER(SEARCH("R138",G370)),0)+IFERROR(--ISNUMBER(SEARCH("R139",G370)),0)+IFERROR(--ISNUMBER(SEARCH("R140",G370)),0)+IFERROR(--ISNUMBER(SEARCH("R141",G370)),0))</f>
        <v/>
      </c>
      <c r="T370" s="58">
        <f>IF(A370="","",IFERROR(--ISNUMBER(SEARCH("R28",G370)),0)+IFERROR(--ISNUMBER(SEARCH("R29",G370)),0)+IFERROR(--ISNUMBER(SEARCH("R30",G370)),0)+IFERROR(--ISNUMBER(SEARCH("R32",G370)),0)+IFERROR(--ISNUMBER(SEARCH("R33",G370)),0)+IFERROR(--ISNUMBER(SEARCH("R35",G370)),0)+IFERROR(--ISNUMBER(SEARCH("R36",G370)),0)+IFERROR(--ISNUMBER(SEARCH("R38",G370)),0)+IFERROR(--ISNUMBER(SEARCH("R39",G370)),0)+IFERROR(--ISNUMBER(SEARCH("R43",G370)),0)+IFERROR(--ISNUMBER(SEARCH("R44",G370)),0)+IFERROR(--ISNUMBER(SEARCH("R45",G370)),0)+IFERROR(--ISNUMBER(SEARCH("R47",G370)),0)+IFERROR(--ISNUMBER(SEARCH("R48",G370)),0)+IFERROR(--ISNUMBER(SEARCH("R50",G370)),0)+IFERROR(--ISNUMBER(SEARCH("R51",G370)),0)+IFERROR(--ISNUMBER(SEARCH("R56",G370)),0)+IFERROR(--ISNUMBER(SEARCH("R58",G370)),0)+IFERROR(--ISNUMBER(SEARCH("R59",G370)),0)+IFERROR(--ISNUMBER(SEARCH("R60",G370)),0)+IFERROR(--ISNUMBER(SEARCH("R62",G370)),0)+IFERROR(--ISNUMBER(SEARCH("R63",G370)),0)+IFERROR(--ISNUMBER(SEARCH("R64",G370)),0)+IFERROR(--ISNUMBER(SEARCH("R66",G370)),0)+IFERROR(--ISNUMBER(SEARCH("R67",G370)),0)+IFERROR(--ISNUMBER(SEARCH("R72",G370)),0)+IFERROR(--ISNUMBER(SEARCH("R74",G370)),0)+IFERROR(--ISNUMBER(SEARCH("R75",G370)),0)+IFERROR(--ISNUMBER(SEARCH("R76",G370)),0)+IFERROR(--ISNUMBER(SEARCH("R77",G370)),0)+IFERROR(--ISNUMBER(SEARCH("R79",G370)),0)+IFERROR(--ISNUMBER(SEARCH("R80",G370)),0)+IFERROR(--ISNUMBER(SEARCH("R81",G370)),0)+IFERROR(--ISNUMBER(SEARCH("R83",G370)),0)+IFERROR(--ISNUMBER(SEARCH("R84",G370)),0)+IFERROR(--ISNUMBER(SEARCH("R89",G370)),0)+IFERROR(--ISNUMBER(SEARCH("R94",G370)),0)+IFERROR(--ISNUMBER(SEARCH("R95",G370)),0)+IFERROR(--ISNUMBER(SEARCH("R96",G370)),0)+IFERROR(--ISNUMBER(SEARCH("R98",G370)),0)+IFERROR(--ISNUMBER(SEARCH("R99",G370)),0)+IFERROR(--ISNUMBER(SEARCH("R100",G370)),0)+IFERROR(--ISNUMBER(SEARCH("R104",G370)),0)+IFERROR(--ISNUMBER(SEARCH("R105",G370)),0)+IFERROR(--ISNUMBER(SEARCH("R107",G370)),0)+IFERROR(--ISNUMBER(SEARCH("R108",G370)),0)+IFERROR(--ISNUMBER(SEARCH("R109",G370)),0)+IFERROR(--ISNUMBER(SEARCH("R110",G370)),0)+IFERROR(--ISNUMBER(SEARCH("R112",G370)),0)+IFERROR(--ISNUMBER(SEARCH("R113",G370)),0)+IFERROR(--ISNUMBER(SEARCH("R114",G370)),0)+IFERROR(--ISNUMBER(SEARCH("R118",G370)),0)+IFERROR(--ISNUMBER(SEARCH("R119",G370)),0)+IFERROR(--ISNUMBER(SEARCH("R120",G370)),0)+IFERROR(--ISNUMBER(SEARCH("R122",G370)),0)+IFERROR(--ISNUMBER(SEARCH("R123",G370)),0)+IFERROR(--ISNUMBER(SEARCH("R124",G370)),0)+IFERROR(--ISNUMBER(SEARCH("R128",G370)),0)+IFERROR(--ISNUMBER(SEARCH("R130",G370)),0)+IFERROR(--ISNUMBER(SEARCH("R131",G370)),0)+IFERROR(--ISNUMBER(SEARCH("R132",G370)),0)+IFERROR(--ISNUMBER(SEARCH("R135",G370)),0)+IFERROR(--ISNUMBER(SEARCH("R138",G370)),0)+IFERROR(--ISNUMBER(SEARCH("R141",G370)),0))</f>
        <v/>
      </c>
      <c r="U370" s="58">
        <f>IF(A370="","",IFERROR(--ISNUMBER(SEARCH("R28",G370))*28,0)+IFERROR(--ISNUMBER(SEARCH("R29",G370))*29,0)+IFERROR(--ISNUMBER(SEARCH("R30",G370))*30,0)+IFERROR(--ISNUMBER(SEARCH("R31",G370))*31,0)+IFERROR(--ISNUMBER(SEARCH("R32",G370))*32,0)+IFERROR(--ISNUMBER(SEARCH("R33",G370))*33,0)+IFERROR(--ISNUMBER(SEARCH("R34",G370))*34,0)+IFERROR(--ISNUMBER(SEARCH("R35",G370))*35,0)+IFERROR(--ISNUMBER(SEARCH("R36",G370))*36,0)+IFERROR(--ISNUMBER(SEARCH("R37",G370))*37,0)+IFERROR(--ISNUMBER(SEARCH("R38",G370))*38,0)+IFERROR(--ISNUMBER(SEARCH("R39",G370))*39,0)+IFERROR(--ISNUMBER(SEARCH("R40",G370))*40,0)+IFERROR(--ISNUMBER(SEARCH("R41",G370))*41,0)+IFERROR(--ISNUMBER(SEARCH("R42",G370))*42,0)+IFERROR(--ISNUMBER(SEARCH("R43",G370))*43,0)+IFERROR(--ISNUMBER(SEARCH("R44",G370))*44,0)+IFERROR(--ISNUMBER(SEARCH("R45",G370))*45,0)+IFERROR(--ISNUMBER(SEARCH("R46",G370))*46,0)+IFERROR(--ISNUMBER(SEARCH("R47",G370))*47,0)+IFERROR(--ISNUMBER(SEARCH("R48",G370))*48,0)+IFERROR(--ISNUMBER(SEARCH("R49",G370))*49,0)+IFERROR(--ISNUMBER(SEARCH("R50",G370))*50,0)+IFERROR(--ISNUMBER(SEARCH("R51",G370))*51,0)+IFERROR(--ISNUMBER(SEARCH("R52",G370))*52,0)+IFERROR(--ISNUMBER(SEARCH("R53",G370))*53,0)+IFERROR(--ISNUMBER(SEARCH("R54",G370))*54,0)+IFERROR(--ISNUMBER(SEARCH("R55",G370))*55,0)+IFERROR(--ISNUMBER(SEARCH("R56",G370))*56,0)+IFERROR(--ISNUMBER(SEARCH("R57",G370))*57,0)+IFERROR(--ISNUMBER(SEARCH("R58",G370))*58,0)+IFERROR(--ISNUMBER(SEARCH("R59",G370))*59,0)+IFERROR(--ISNUMBER(SEARCH("R60",G370))*60,0)+IFERROR(--ISNUMBER(SEARCH("R61",G370))*61,0)+IFERROR(--ISNUMBER(SEARCH("R62",G370))*62,0)+IFERROR(--ISNUMBER(SEARCH("R63",G370))*63,0)+IFERROR(--ISNUMBER(SEARCH("R64",G370))*64,0)+IFERROR(--ISNUMBER(SEARCH("R65",G370))*65,0)+IFERROR(--ISNUMBER(SEARCH("R66",G370))*66,0)+IFERROR(--ISNUMBER(SEARCH("R67",G370))*67,0)+IFERROR(--ISNUMBER(SEARCH("R68",G370))*68,0)+IFERROR(--ISNUMBER(SEARCH("R69",G370))*69,0)+IFERROR(--ISNUMBER(SEARCH("R70",G370))*70,0)+IFERROR(--ISNUMBER(SEARCH("R71",G370))*71,0)+IFERROR(--ISNUMBER(SEARCH("R72",G370))*72,0)+IFERROR(--ISNUMBER(SEARCH("R73",G370))*73,0)+IFERROR(--ISNUMBER(SEARCH("R74",G370))*74,0)+IFERROR(--ISNUMBER(SEARCH("R75",G370))*75,0)+IFERROR(--ISNUMBER(SEARCH("R76",G370))*76,0)+IFERROR(--ISNUMBER(SEARCH("R77",G370))*77,0)+IFERROR(--ISNUMBER(SEARCH("R78",G370))*78,0)+IFERROR(--ISNUMBER(SEARCH("R79",G370))*79,0)+IFERROR(--ISNUMBER(SEARCH("R80",G370))*80,0)+IFERROR(--ISNUMBER(SEARCH("R81",G370))*81,0)+IFERROR(--ISNUMBER(SEARCH("R82",G370))*82,0)+IFERROR(--ISNUMBER(SEARCH("R83",G370))*83,0)+IFERROR(--ISNUMBER(SEARCH("R84",G370))*84,0)+IFERROR(--ISNUMBER(SEARCH("R85",G370))*85,0)+IFERROR(--ISNUMBER(SEARCH("R86",G370))*86,0)+IFERROR(--ISNUMBER(SEARCH("R87",G370))*87,0)+IFERROR(--ISNUMBER(SEARCH("R88",G370))*88,0)+IFERROR(--ISNUMBER(SEARCH("R89",G370))*89,0)+IFERROR(--ISNUMBER(SEARCH("R90",G370))*90,0)+IFERROR(--ISNUMBER(SEARCH("R91",G370))*91,0)+IFERROR(--ISNUMBER(SEARCH("R92",G370))*92,0)+IFERROR(--ISNUMBER(SEARCH("R93",G370))*93,0)+IFERROR(--ISNUMBER(SEARCH("R94",G370))*94,0)+IFERROR(--ISNUMBER(SEARCH("R95",G370))*95,0)+IFERROR(--ISNUMBER(SEARCH("R96",G370))*96,0)+IFERROR(--ISNUMBER(SEARCH("R97",G370))*97,0)+IFERROR(--ISNUMBER(SEARCH("R98",G370))*98,0)+IFERROR(--ISNUMBER(SEARCH("R99",G370))*99,0)+IFERROR(--ISNUMBER(SEARCH("R100",G370))*100,0)+IFERROR(--ISNUMBER(SEARCH("R101",G370))*101,0)+IFERROR(--ISNUMBER(SEARCH("R102",G370))*102,0)+IFERROR(--ISNUMBER(SEARCH("R103",G370))*103,0)+IFERROR(--ISNUMBER(SEARCH("R104",G370))*104,0)+IFERROR(--ISNUMBER(SEARCH("R105",G370))*105,0)+IFERROR(--ISNUMBER(SEARCH("R106",G370))*106,0)+IFERROR(--ISNUMBER(SEARCH("R107",G370))*107,0)+IFERROR(--ISNUMBER(SEARCH("R108",G370))*108,0)+IFERROR(--ISNUMBER(SEARCH("R109",G370))*109,0)+IFERROR(--ISNUMBER(SEARCH("R110",G370))*110,0)+IFERROR(--ISNUMBER(SEARCH("R111",G370))*111,0)+IFERROR(--ISNUMBER(SEARCH("R112",G370))*112,0)+IFERROR(--ISNUMBER(SEARCH("R113",G370))*113,0)+IFERROR(--ISNUMBER(SEARCH("R114",G370))*114,0)+IFERROR(--ISNUMBER(SEARCH("R115",G370))*115,0)+IFERROR(--ISNUMBER(SEARCH("R116",G370))*116,0)+IFERROR(--ISNUMBER(SEARCH("R117",G370))*117,0)+IFERROR(--ISNUMBER(SEARCH("R118",G370))*118,0)+IFERROR(--ISNUMBER(SEARCH("R119",G370))*119,0)+IFERROR(--ISNUMBER(SEARCH("R120",G370))*120,0)+IFERROR(--ISNUMBER(SEARCH("R121",G370))*121,0)+IFERROR(--ISNUMBER(SEARCH("R122",G370))*122,0)+IFERROR(--ISNUMBER(SEARCH("R123",G370))*123,0)+IFERROR(--ISNUMBER(SEARCH("R124",G370))*124,0)+IFERROR(--ISNUMBER(SEARCH("R125",G370))*125,0)+IFERROR(--ISNUMBER(SEARCH("R126",G370))*126,0)+IFERROR(--ISNUMBER(SEARCH("R127",G370))*127,0)+IFERROR(--ISNUMBER(SEARCH("R128",G370))*128,0)+IFERROR(--ISNUMBER(SEARCH("R129",G370))*129,0)+IFERROR(--ISNUMBER(SEARCH("R130",G370))*130,0)+IFERROR(--ISNUMBER(SEARCH("R131",G370))*131,0)+IFERROR(--ISNUMBER(SEARCH("R132",G370))*132,0)+IFERROR(--ISNUMBER(SEARCH("R133",G370))*133,0)+IFERROR(--ISNUMBER(SEARCH("R134",G370))*134,0)+IFERROR(--ISNUMBER(SEARCH("R135",G370))*135,0)+IFERROR(--ISNUMBER(SEARCH("R136",G370))*136,0)+IFERROR(--ISNUMBER(SEARCH("R137",G370))*137,0)+IFERROR(--ISNUMBER(SEARCH("R138",G370))*138,0)+IFERROR(--ISNUMBER(SEARCH("R139",G370))*139,0)+IFERROR(--ISNUMBER(SEARCH("R140",G370))*140,0)+IFERROR(--ISNUMBER(SEARCH("R141",G370))*141,0))</f>
        <v/>
      </c>
      <c r="V370" s="59">
        <f>IF(A370="","",IF(K370&lt;&gt;"",K370,J370))</f>
        <v/>
      </c>
      <c r="W370" s="59">
        <f>IF(A370="","",IF(AND(V370=29,O370&lt;&gt;"",COUNTIFS($V$6:$V$505,29,$F$6:$F$505,F370,$C$6:$C$505,C370,$O$6:$O$505,"&lt;&gt;")&gt;1),IF(COUNTIFS($V$6:V370,29,$F$6:F370,F370,$C$6:C370,C370,$O$6:O370,"&lt;&gt;")=1,"Esta es la fila que se debe CONSERVAR (aparición 1 de "&amp;COUNTIFS($V$6:$V$505,29,$F$6:$F$505,F370,$C$6:$C$505,C370,$O$6:$O$505,"&lt;&gt;")&amp;" con el mismo tercero y valor, casilla 29). Si hay más filas iguales, bórreles el valor a ELLAS, no a esta.","DUPLICADO — ya existe otra fila con el mismo tercero y valor para casilla 29 (aparición "&amp;COUNTIFS($V$6:V370,29,$F$6:F370,F370,$C$6:C370,C370,$O$6:O370,"&lt;&gt;")&amp;" de "&amp;COUNTIFS($V$6:$V$505,29,$F$6:$F$505,F370,$C$6:$C$505,C370,$O$6:$O$505,"&lt;&gt;")&amp;"). Para resolverlo: seleccione la celda O"&amp;ROW()&amp;" (columna Valor a declarar de ESTA fila) y presione Supr."),""))</f>
        <v/>
      </c>
      <c r="X370" s="463">
        <f>IF(A370="","",F370)</f>
        <v/>
      </c>
      <c r="Y370" s="463">
        <f>IF(A370="","",SUMIF(Entrada_Manual!$I$88:$I$187,A370,Entrada_Manual!$F$88:$F$187))</f>
        <v/>
      </c>
      <c r="Z370" s="463">
        <f>IF(A370="","",X370-Y370)</f>
        <v/>
      </c>
      <c r="AA370">
        <f>IF(A370="","",SUMPRODUCT((Entrada_Manual!$I$88:$I$187=A370)*1))</f>
        <v/>
      </c>
      <c r="AB370">
        <f>IF(A370="","",IF(S370&lt;=1,"",IF(AA370=0,"PENDIENTE — SIN ASIGNAR",IF(Z370=0,"RESUELTO","PARCIAL — DIFERENCIA "&amp;TEXT(Z370,"#,##0")))))</f>
        <v/>
      </c>
    </row>
    <row r="371" ht="14.25" customHeight="1" s="235">
      <c r="A371" s="47">
        <f>IF(Exogena_RAW!E380&lt;&gt;"",ROW()-5,"")</f>
        <v/>
      </c>
      <c r="B371" s="48">
        <f>IF(A371="","",380)</f>
        <v/>
      </c>
      <c r="C371" s="48">
        <f>IF(A371="","",IFERROR(Exogena_RAW!A380,""))</f>
        <v/>
      </c>
      <c r="D371" s="48">
        <f>IF(A371="","",IFERROR(Exogena_RAW!B380,""))</f>
        <v/>
      </c>
      <c r="E371" s="48">
        <f>IF(A371="","",Exogena_RAW!E380)</f>
        <v/>
      </c>
      <c r="F371" s="461">
        <f>IF(A371="","",Exogena_RAW!F380)</f>
        <v/>
      </c>
      <c r="G371" s="48">
        <f>IF(A371="","",IFERROR(Exogena_RAW!G380,""))</f>
        <v/>
      </c>
      <c r="H371" s="48">
        <f>IF(A371="","",IFERROR(Exogena_RAW!H380,""))</f>
        <v/>
      </c>
      <c r="I371" s="48">
        <f>IF(A371="","",IFERROR(IF(S371&gt;1,"VARIAS CASILLAS",IF(S371=1,IF(T371=1,"PROPUESTA DE CASILLA","REVISIÓN: CASILLA NO DIRECTA"),IF(OR(ISNUMBER(SEARCH("TOPE",UPPER(E371))),ISNUMBER(SEARCH("TOPE",UPPER(G371)))),"SOLO CONTROL",IF(ISNUMBER(SEARCH("RETEN",UPPER(E371))),"RETENCIÓN","REVISAR")))),"REVISAR"))</f>
        <v/>
      </c>
      <c r="J371" s="48">
        <f>IF(A371="","",IF(ISNUMBER(SEARCH("ingreso laboral promedio de los últimos seis meses",E371)),"",IFERROR(IF(AND(S371=1,T371=1),U371,""),"")))</f>
        <v/>
      </c>
      <c r="K371" s="216" t="n"/>
      <c r="L371" s="48">
        <f>IF(A371="","",IFERROR(IF(K371&lt;&gt;"","Casilla elegida por usuario",IF(S371&gt;1,"Varias casillas — elegir en K",IF(J371&lt;&gt;"","Sugerencia directa",IF(S371=1,"No trasladar directo — revisar",IF(OR(ISNUMBER(SEARCH("TOPE",UPPER(E371))),ISNUMBER(SEARCH("TOPE",UPPER(G371)))),"Solo control","Revisar manualmente"))))),"Revisar manualmente"))</f>
        <v/>
      </c>
      <c r="M371" s="461">
        <f>IF(A371="","",IF(IF(K371&lt;&gt;"",K371,J371)="",0,IF(COUNTIFS(Reglas!$I$5:$I$118,IF(K371&lt;&gt;"",K371,J371),Reglas!$J$5:$J$118,"Sí")=1,F371,0)))</f>
        <v/>
      </c>
      <c r="N371" s="56" t="n"/>
      <c r="O371" s="462">
        <f>IF(A371="","",IF(M371=0,"",M371))</f>
        <v/>
      </c>
      <c r="P371" s="461">
        <f>IF(A371="","",IF(O371="",0,IF(ISNUMBER(O371),O371,0)))</f>
        <v/>
      </c>
      <c r="Q371" s="48">
        <f>IF(A371="","",IF(Exogena_RAW!$C$4="","BLOQUEADO: FALTA AÑO",IF(Exogena_RAW!$K$10&lt;&gt;Reglas!$B$5,"BLOQUEADO: AÑO",IF(IF(K371&lt;&gt;"",K371,J371)="",IF(S371&gt;1,"REQUIERE ASIGNACIÓN MANUAL (VARIAS CASILLAS)","INFORMATIVO (sin casilla — no se declara)"),IF(COUNTIFS(Reglas!$I$5:$I$118,IF(K371&lt;&gt;"",K371,J371),Reglas!$J$5:$J$118,"Sí")=0,"BLOQUEADO: CASILLA NO DIRECTA",IF(O371="","EXCLUIDO (valor borrado por el usuario)",IF(_xlfn.ISFORMULA(O371),IF(W371&lt;&gt;"","BORRADOR — VALOR SUGERIDO DIAN ⚠ VER ALERTA","BORRADOR — VALOR SUGERIDO DIAN"),IF(W371&lt;&gt;"","ACEPTADO ⚠ VER ALERTA","ACEPTADO"))))))))</f>
        <v/>
      </c>
      <c r="R371" s="218" t="n"/>
      <c r="S371" s="58">
        <f>IF(A371="","",IFERROR(--ISNUMBER(SEARCH("R28",G371)),0)+IFERROR(--ISNUMBER(SEARCH("R29",G371)),0)+IFERROR(--ISNUMBER(SEARCH("R30",G371)),0)+IFERROR(--ISNUMBER(SEARCH("R31",G371)),0)+IFERROR(--ISNUMBER(SEARCH("R32",G371)),0)+IFERROR(--ISNUMBER(SEARCH("R33",G371)),0)+IFERROR(--ISNUMBER(SEARCH("R34",G371)),0)+IFERROR(--ISNUMBER(SEARCH("R35",G371)),0)+IFERROR(--ISNUMBER(SEARCH("R36",G371)),0)+IFERROR(--ISNUMBER(SEARCH("R37",G371)),0)+IFERROR(--ISNUMBER(SEARCH("R38",G371)),0)+IFERROR(--ISNUMBER(SEARCH("R39",G371)),0)+IFERROR(--ISNUMBER(SEARCH("R40",G371)),0)+IFERROR(--ISNUMBER(SEARCH("R41",G371)),0)+IFERROR(--ISNUMBER(SEARCH("R42",G371)),0)+IFERROR(--ISNUMBER(SEARCH("R43",G371)),0)+IFERROR(--ISNUMBER(SEARCH("R44",G371)),0)+IFERROR(--ISNUMBER(SEARCH("R45",G371)),0)+IFERROR(--ISNUMBER(SEARCH("R46",G371)),0)+IFERROR(--ISNUMBER(SEARCH("R47",G371)),0)+IFERROR(--ISNUMBER(SEARCH("R48",G371)),0)+IFERROR(--ISNUMBER(SEARCH("R49",G371)),0)+IFERROR(--ISNUMBER(SEARCH("R50",G371)),0)+IFERROR(--ISNUMBER(SEARCH("R51",G371)),0)+IFERROR(--ISNUMBER(SEARCH("R52",G371)),0)+IFERROR(--ISNUMBER(SEARCH("R53",G371)),0)+IFERROR(--ISNUMBER(SEARCH("R54",G371)),0)+IFERROR(--ISNUMBER(SEARCH("R55",G371)),0)+IFERROR(--ISNUMBER(SEARCH("R56",G371)),0)+IFERROR(--ISNUMBER(SEARCH("R57",G371)),0)+IFERROR(--ISNUMBER(SEARCH("R58",G371)),0)+IFERROR(--ISNUMBER(SEARCH("R59",G371)),0)+IFERROR(--ISNUMBER(SEARCH("R60",G371)),0)+IFERROR(--ISNUMBER(SEARCH("R61",G371)),0)+IFERROR(--ISNUMBER(SEARCH("R62",G371)),0)+IFERROR(--ISNUMBER(SEARCH("R63",G371)),0)+IFERROR(--ISNUMBER(SEARCH("R64",G371)),0)+IFERROR(--ISNUMBER(SEARCH("R65",G371)),0)+IFERROR(--ISNUMBER(SEARCH("R66",G371)),0)+IFERROR(--ISNUMBER(SEARCH("R67",G371)),0)+IFERROR(--ISNUMBER(SEARCH("R68",G371)),0)+IFERROR(--ISNUMBER(SEARCH("R69",G371)),0)+IFERROR(--ISNUMBER(SEARCH("R70",G371)),0)+IFERROR(--ISNUMBER(SEARCH("R71",G371)),0)+IFERROR(--ISNUMBER(SEARCH("R72",G371)),0)+IFERROR(--ISNUMBER(SEARCH("R73",G371)),0)+IFERROR(--ISNUMBER(SEARCH("R74",G371)),0)+IFERROR(--ISNUMBER(SEARCH("R75",G371)),0)+IFERROR(--ISNUMBER(SEARCH("R76",G371)),0)+IFERROR(--ISNUMBER(SEARCH("R77",G371)),0)+IFERROR(--ISNUMBER(SEARCH("R78",G371)),0)+IFERROR(--ISNUMBER(SEARCH("R79",G371)),0)+IFERROR(--ISNUMBER(SEARCH("R80",G371)),0)+IFERROR(--ISNUMBER(SEARCH("R81",G371)),0)+IFERROR(--ISNUMBER(SEARCH("R82",G371)),0)+IFERROR(--ISNUMBER(SEARCH("R83",G371)),0)+IFERROR(--ISNUMBER(SEARCH("R84",G371)),0)+IFERROR(--ISNUMBER(SEARCH("R85",G371)),0)+IFERROR(--ISNUMBER(SEARCH("R86",G371)),0)+IFERROR(--ISNUMBER(SEARCH("R87",G371)),0)+IFERROR(--ISNUMBER(SEARCH("R88",G371)),0)+IFERROR(--ISNUMBER(SEARCH("R89",G371)),0)+IFERROR(--ISNUMBER(SEARCH("R90",G371)),0)+IFERROR(--ISNUMBER(SEARCH("R91",G371)),0)+IFERROR(--ISNUMBER(SEARCH("R92",G371)),0)+IFERROR(--ISNUMBER(SEARCH("R93",G371)),0)+IFERROR(--ISNUMBER(SEARCH("R94",G371)),0)+IFERROR(--ISNUMBER(SEARCH("R95",G371)),0)+IFERROR(--ISNUMBER(SEARCH("R96",G371)),0)+IFERROR(--ISNUMBER(SEARCH("R97",G371)),0)+IFERROR(--ISNUMBER(SEARCH("R98",G371)),0)+IFERROR(--ISNUMBER(SEARCH("R99",G371)),0)+IFERROR(--ISNUMBER(SEARCH("R100",G371)),0)+IFERROR(--ISNUMBER(SEARCH("R101",G371)),0)+IFERROR(--ISNUMBER(SEARCH("R102",G371)),0)+IFERROR(--ISNUMBER(SEARCH("R103",G371)),0)+IFERROR(--ISNUMBER(SEARCH("R104",G371)),0)+IFERROR(--ISNUMBER(SEARCH("R105",G371)),0)+IFERROR(--ISNUMBER(SEARCH("R106",G371)),0)+IFERROR(--ISNUMBER(SEARCH("R107",G371)),0)+IFERROR(--ISNUMBER(SEARCH("R108",G371)),0)+IFERROR(--ISNUMBER(SEARCH("R109",G371)),0)+IFERROR(--ISNUMBER(SEARCH("R110",G371)),0)+IFERROR(--ISNUMBER(SEARCH("R111",G371)),0)+IFERROR(--ISNUMBER(SEARCH("R112",G371)),0)+IFERROR(--ISNUMBER(SEARCH("R113",G371)),0)+IFERROR(--ISNUMBER(SEARCH("R114",G371)),0)+IFERROR(--ISNUMBER(SEARCH("R115",G371)),0)+IFERROR(--ISNUMBER(SEARCH("R116",G371)),0)+IFERROR(--ISNUMBER(SEARCH("R117",G371)),0)+IFERROR(--ISNUMBER(SEARCH("R118",G371)),0)+IFERROR(--ISNUMBER(SEARCH("R119",G371)),0)+IFERROR(--ISNUMBER(SEARCH("R120",G371)),0)+IFERROR(--ISNUMBER(SEARCH("R121",G371)),0)+IFERROR(--ISNUMBER(SEARCH("R122",G371)),0)+IFERROR(--ISNUMBER(SEARCH("R123",G371)),0)+IFERROR(--ISNUMBER(SEARCH("R124",G371)),0)+IFERROR(--ISNUMBER(SEARCH("R125",G371)),0)+IFERROR(--ISNUMBER(SEARCH("R126",G371)),0)+IFERROR(--ISNUMBER(SEARCH("R127",G371)),0)+IFERROR(--ISNUMBER(SEARCH("R128",G371)),0)+IFERROR(--ISNUMBER(SEARCH("R129",G371)),0)+IFERROR(--ISNUMBER(SEARCH("R130",G371)),0)+IFERROR(--ISNUMBER(SEARCH("R131",G371)),0)+IFERROR(--ISNUMBER(SEARCH("R132",G371)),0)+IFERROR(--ISNUMBER(SEARCH("R133",G371)),0)+IFERROR(--ISNUMBER(SEARCH("R134",G371)),0)+IFERROR(--ISNUMBER(SEARCH("R135",G371)),0)+IFERROR(--ISNUMBER(SEARCH("R136",G371)),0)+IFERROR(--ISNUMBER(SEARCH("R137",G371)),0)+IFERROR(--ISNUMBER(SEARCH("R138",G371)),0)+IFERROR(--ISNUMBER(SEARCH("R139",G371)),0)+IFERROR(--ISNUMBER(SEARCH("R140",G371)),0)+IFERROR(--ISNUMBER(SEARCH("R141",G371)),0))</f>
        <v/>
      </c>
      <c r="T371" s="58">
        <f>IF(A371="","",IFERROR(--ISNUMBER(SEARCH("R28",G371)),0)+IFERROR(--ISNUMBER(SEARCH("R29",G371)),0)+IFERROR(--ISNUMBER(SEARCH("R30",G371)),0)+IFERROR(--ISNUMBER(SEARCH("R32",G371)),0)+IFERROR(--ISNUMBER(SEARCH("R33",G371)),0)+IFERROR(--ISNUMBER(SEARCH("R35",G371)),0)+IFERROR(--ISNUMBER(SEARCH("R36",G371)),0)+IFERROR(--ISNUMBER(SEARCH("R38",G371)),0)+IFERROR(--ISNUMBER(SEARCH("R39",G371)),0)+IFERROR(--ISNUMBER(SEARCH("R43",G371)),0)+IFERROR(--ISNUMBER(SEARCH("R44",G371)),0)+IFERROR(--ISNUMBER(SEARCH("R45",G371)),0)+IFERROR(--ISNUMBER(SEARCH("R47",G371)),0)+IFERROR(--ISNUMBER(SEARCH("R48",G371)),0)+IFERROR(--ISNUMBER(SEARCH("R50",G371)),0)+IFERROR(--ISNUMBER(SEARCH("R51",G371)),0)+IFERROR(--ISNUMBER(SEARCH("R56",G371)),0)+IFERROR(--ISNUMBER(SEARCH("R58",G371)),0)+IFERROR(--ISNUMBER(SEARCH("R59",G371)),0)+IFERROR(--ISNUMBER(SEARCH("R60",G371)),0)+IFERROR(--ISNUMBER(SEARCH("R62",G371)),0)+IFERROR(--ISNUMBER(SEARCH("R63",G371)),0)+IFERROR(--ISNUMBER(SEARCH("R64",G371)),0)+IFERROR(--ISNUMBER(SEARCH("R66",G371)),0)+IFERROR(--ISNUMBER(SEARCH("R67",G371)),0)+IFERROR(--ISNUMBER(SEARCH("R72",G371)),0)+IFERROR(--ISNUMBER(SEARCH("R74",G371)),0)+IFERROR(--ISNUMBER(SEARCH("R75",G371)),0)+IFERROR(--ISNUMBER(SEARCH("R76",G371)),0)+IFERROR(--ISNUMBER(SEARCH("R77",G371)),0)+IFERROR(--ISNUMBER(SEARCH("R79",G371)),0)+IFERROR(--ISNUMBER(SEARCH("R80",G371)),0)+IFERROR(--ISNUMBER(SEARCH("R81",G371)),0)+IFERROR(--ISNUMBER(SEARCH("R83",G371)),0)+IFERROR(--ISNUMBER(SEARCH("R84",G371)),0)+IFERROR(--ISNUMBER(SEARCH("R89",G371)),0)+IFERROR(--ISNUMBER(SEARCH("R94",G371)),0)+IFERROR(--ISNUMBER(SEARCH("R95",G371)),0)+IFERROR(--ISNUMBER(SEARCH("R96",G371)),0)+IFERROR(--ISNUMBER(SEARCH("R98",G371)),0)+IFERROR(--ISNUMBER(SEARCH("R99",G371)),0)+IFERROR(--ISNUMBER(SEARCH("R100",G371)),0)+IFERROR(--ISNUMBER(SEARCH("R104",G371)),0)+IFERROR(--ISNUMBER(SEARCH("R105",G371)),0)+IFERROR(--ISNUMBER(SEARCH("R107",G371)),0)+IFERROR(--ISNUMBER(SEARCH("R108",G371)),0)+IFERROR(--ISNUMBER(SEARCH("R109",G371)),0)+IFERROR(--ISNUMBER(SEARCH("R110",G371)),0)+IFERROR(--ISNUMBER(SEARCH("R112",G371)),0)+IFERROR(--ISNUMBER(SEARCH("R113",G371)),0)+IFERROR(--ISNUMBER(SEARCH("R114",G371)),0)+IFERROR(--ISNUMBER(SEARCH("R118",G371)),0)+IFERROR(--ISNUMBER(SEARCH("R119",G371)),0)+IFERROR(--ISNUMBER(SEARCH("R120",G371)),0)+IFERROR(--ISNUMBER(SEARCH("R122",G371)),0)+IFERROR(--ISNUMBER(SEARCH("R123",G371)),0)+IFERROR(--ISNUMBER(SEARCH("R124",G371)),0)+IFERROR(--ISNUMBER(SEARCH("R128",G371)),0)+IFERROR(--ISNUMBER(SEARCH("R130",G371)),0)+IFERROR(--ISNUMBER(SEARCH("R131",G371)),0)+IFERROR(--ISNUMBER(SEARCH("R132",G371)),0)+IFERROR(--ISNUMBER(SEARCH("R135",G371)),0)+IFERROR(--ISNUMBER(SEARCH("R138",G371)),0)+IFERROR(--ISNUMBER(SEARCH("R141",G371)),0))</f>
        <v/>
      </c>
      <c r="U371" s="58">
        <f>IF(A371="","",IFERROR(--ISNUMBER(SEARCH("R28",G371))*28,0)+IFERROR(--ISNUMBER(SEARCH("R29",G371))*29,0)+IFERROR(--ISNUMBER(SEARCH("R30",G371))*30,0)+IFERROR(--ISNUMBER(SEARCH("R31",G371))*31,0)+IFERROR(--ISNUMBER(SEARCH("R32",G371))*32,0)+IFERROR(--ISNUMBER(SEARCH("R33",G371))*33,0)+IFERROR(--ISNUMBER(SEARCH("R34",G371))*34,0)+IFERROR(--ISNUMBER(SEARCH("R35",G371))*35,0)+IFERROR(--ISNUMBER(SEARCH("R36",G371))*36,0)+IFERROR(--ISNUMBER(SEARCH("R37",G371))*37,0)+IFERROR(--ISNUMBER(SEARCH("R38",G371))*38,0)+IFERROR(--ISNUMBER(SEARCH("R39",G371))*39,0)+IFERROR(--ISNUMBER(SEARCH("R40",G371))*40,0)+IFERROR(--ISNUMBER(SEARCH("R41",G371))*41,0)+IFERROR(--ISNUMBER(SEARCH("R42",G371))*42,0)+IFERROR(--ISNUMBER(SEARCH("R43",G371))*43,0)+IFERROR(--ISNUMBER(SEARCH("R44",G371))*44,0)+IFERROR(--ISNUMBER(SEARCH("R45",G371))*45,0)+IFERROR(--ISNUMBER(SEARCH("R46",G371))*46,0)+IFERROR(--ISNUMBER(SEARCH("R47",G371))*47,0)+IFERROR(--ISNUMBER(SEARCH("R48",G371))*48,0)+IFERROR(--ISNUMBER(SEARCH("R49",G371))*49,0)+IFERROR(--ISNUMBER(SEARCH("R50",G371))*50,0)+IFERROR(--ISNUMBER(SEARCH("R51",G371))*51,0)+IFERROR(--ISNUMBER(SEARCH("R52",G371))*52,0)+IFERROR(--ISNUMBER(SEARCH("R53",G371))*53,0)+IFERROR(--ISNUMBER(SEARCH("R54",G371))*54,0)+IFERROR(--ISNUMBER(SEARCH("R55",G371))*55,0)+IFERROR(--ISNUMBER(SEARCH("R56",G371))*56,0)+IFERROR(--ISNUMBER(SEARCH("R57",G371))*57,0)+IFERROR(--ISNUMBER(SEARCH("R58",G371))*58,0)+IFERROR(--ISNUMBER(SEARCH("R59",G371))*59,0)+IFERROR(--ISNUMBER(SEARCH("R60",G371))*60,0)+IFERROR(--ISNUMBER(SEARCH("R61",G371))*61,0)+IFERROR(--ISNUMBER(SEARCH("R62",G371))*62,0)+IFERROR(--ISNUMBER(SEARCH("R63",G371))*63,0)+IFERROR(--ISNUMBER(SEARCH("R64",G371))*64,0)+IFERROR(--ISNUMBER(SEARCH("R65",G371))*65,0)+IFERROR(--ISNUMBER(SEARCH("R66",G371))*66,0)+IFERROR(--ISNUMBER(SEARCH("R67",G371))*67,0)+IFERROR(--ISNUMBER(SEARCH("R68",G371))*68,0)+IFERROR(--ISNUMBER(SEARCH("R69",G371))*69,0)+IFERROR(--ISNUMBER(SEARCH("R70",G371))*70,0)+IFERROR(--ISNUMBER(SEARCH("R71",G371))*71,0)+IFERROR(--ISNUMBER(SEARCH("R72",G371))*72,0)+IFERROR(--ISNUMBER(SEARCH("R73",G371))*73,0)+IFERROR(--ISNUMBER(SEARCH("R74",G371))*74,0)+IFERROR(--ISNUMBER(SEARCH("R75",G371))*75,0)+IFERROR(--ISNUMBER(SEARCH("R76",G371))*76,0)+IFERROR(--ISNUMBER(SEARCH("R77",G371))*77,0)+IFERROR(--ISNUMBER(SEARCH("R78",G371))*78,0)+IFERROR(--ISNUMBER(SEARCH("R79",G371))*79,0)+IFERROR(--ISNUMBER(SEARCH("R80",G371))*80,0)+IFERROR(--ISNUMBER(SEARCH("R81",G371))*81,0)+IFERROR(--ISNUMBER(SEARCH("R82",G371))*82,0)+IFERROR(--ISNUMBER(SEARCH("R83",G371))*83,0)+IFERROR(--ISNUMBER(SEARCH("R84",G371))*84,0)+IFERROR(--ISNUMBER(SEARCH("R85",G371))*85,0)+IFERROR(--ISNUMBER(SEARCH("R86",G371))*86,0)+IFERROR(--ISNUMBER(SEARCH("R87",G371))*87,0)+IFERROR(--ISNUMBER(SEARCH("R88",G371))*88,0)+IFERROR(--ISNUMBER(SEARCH("R89",G371))*89,0)+IFERROR(--ISNUMBER(SEARCH("R90",G371))*90,0)+IFERROR(--ISNUMBER(SEARCH("R91",G371))*91,0)+IFERROR(--ISNUMBER(SEARCH("R92",G371))*92,0)+IFERROR(--ISNUMBER(SEARCH("R93",G371))*93,0)+IFERROR(--ISNUMBER(SEARCH("R94",G371))*94,0)+IFERROR(--ISNUMBER(SEARCH("R95",G371))*95,0)+IFERROR(--ISNUMBER(SEARCH("R96",G371))*96,0)+IFERROR(--ISNUMBER(SEARCH("R97",G371))*97,0)+IFERROR(--ISNUMBER(SEARCH("R98",G371))*98,0)+IFERROR(--ISNUMBER(SEARCH("R99",G371))*99,0)+IFERROR(--ISNUMBER(SEARCH("R100",G371))*100,0)+IFERROR(--ISNUMBER(SEARCH("R101",G371))*101,0)+IFERROR(--ISNUMBER(SEARCH("R102",G371))*102,0)+IFERROR(--ISNUMBER(SEARCH("R103",G371))*103,0)+IFERROR(--ISNUMBER(SEARCH("R104",G371))*104,0)+IFERROR(--ISNUMBER(SEARCH("R105",G371))*105,0)+IFERROR(--ISNUMBER(SEARCH("R106",G371))*106,0)+IFERROR(--ISNUMBER(SEARCH("R107",G371))*107,0)+IFERROR(--ISNUMBER(SEARCH("R108",G371))*108,0)+IFERROR(--ISNUMBER(SEARCH("R109",G371))*109,0)+IFERROR(--ISNUMBER(SEARCH("R110",G371))*110,0)+IFERROR(--ISNUMBER(SEARCH("R111",G371))*111,0)+IFERROR(--ISNUMBER(SEARCH("R112",G371))*112,0)+IFERROR(--ISNUMBER(SEARCH("R113",G371))*113,0)+IFERROR(--ISNUMBER(SEARCH("R114",G371))*114,0)+IFERROR(--ISNUMBER(SEARCH("R115",G371))*115,0)+IFERROR(--ISNUMBER(SEARCH("R116",G371))*116,0)+IFERROR(--ISNUMBER(SEARCH("R117",G371))*117,0)+IFERROR(--ISNUMBER(SEARCH("R118",G371))*118,0)+IFERROR(--ISNUMBER(SEARCH("R119",G371))*119,0)+IFERROR(--ISNUMBER(SEARCH("R120",G371))*120,0)+IFERROR(--ISNUMBER(SEARCH("R121",G371))*121,0)+IFERROR(--ISNUMBER(SEARCH("R122",G371))*122,0)+IFERROR(--ISNUMBER(SEARCH("R123",G371))*123,0)+IFERROR(--ISNUMBER(SEARCH("R124",G371))*124,0)+IFERROR(--ISNUMBER(SEARCH("R125",G371))*125,0)+IFERROR(--ISNUMBER(SEARCH("R126",G371))*126,0)+IFERROR(--ISNUMBER(SEARCH("R127",G371))*127,0)+IFERROR(--ISNUMBER(SEARCH("R128",G371))*128,0)+IFERROR(--ISNUMBER(SEARCH("R129",G371))*129,0)+IFERROR(--ISNUMBER(SEARCH("R130",G371))*130,0)+IFERROR(--ISNUMBER(SEARCH("R131",G371))*131,0)+IFERROR(--ISNUMBER(SEARCH("R132",G371))*132,0)+IFERROR(--ISNUMBER(SEARCH("R133",G371))*133,0)+IFERROR(--ISNUMBER(SEARCH("R134",G371))*134,0)+IFERROR(--ISNUMBER(SEARCH("R135",G371))*135,0)+IFERROR(--ISNUMBER(SEARCH("R136",G371))*136,0)+IFERROR(--ISNUMBER(SEARCH("R137",G371))*137,0)+IFERROR(--ISNUMBER(SEARCH("R138",G371))*138,0)+IFERROR(--ISNUMBER(SEARCH("R139",G371))*139,0)+IFERROR(--ISNUMBER(SEARCH("R140",G371))*140,0)+IFERROR(--ISNUMBER(SEARCH("R141",G371))*141,0))</f>
        <v/>
      </c>
      <c r="V371" s="59">
        <f>IF(A371="","",IF(K371&lt;&gt;"",K371,J371))</f>
        <v/>
      </c>
      <c r="W371" s="59">
        <f>IF(A371="","",IF(AND(V371=29,O371&lt;&gt;"",COUNTIFS($V$6:$V$505,29,$F$6:$F$505,F371,$C$6:$C$505,C371,$O$6:$O$505,"&lt;&gt;")&gt;1),IF(COUNTIFS($V$6:V371,29,$F$6:F371,F371,$C$6:C371,C371,$O$6:O371,"&lt;&gt;")=1,"Esta es la fila que se debe CONSERVAR (aparición 1 de "&amp;COUNTIFS($V$6:$V$505,29,$F$6:$F$505,F371,$C$6:$C$505,C371,$O$6:$O$505,"&lt;&gt;")&amp;" con el mismo tercero y valor, casilla 29). Si hay más filas iguales, bórreles el valor a ELLAS, no a esta.","DUPLICADO — ya existe otra fila con el mismo tercero y valor para casilla 29 (aparición "&amp;COUNTIFS($V$6:V371,29,$F$6:F371,F371,$C$6:C371,C371,$O$6:O371,"&lt;&gt;")&amp;" de "&amp;COUNTIFS($V$6:$V$505,29,$F$6:$F$505,F371,$C$6:$C$505,C371,$O$6:$O$505,"&lt;&gt;")&amp;"). Para resolverlo: seleccione la celda O"&amp;ROW()&amp;" (columna Valor a declarar de ESTA fila) y presione Supr."),""))</f>
        <v/>
      </c>
      <c r="X371" s="463">
        <f>IF(A371="","",F371)</f>
        <v/>
      </c>
      <c r="Y371" s="463">
        <f>IF(A371="","",SUMIF(Entrada_Manual!$I$88:$I$187,A371,Entrada_Manual!$F$88:$F$187))</f>
        <v/>
      </c>
      <c r="Z371" s="463">
        <f>IF(A371="","",X371-Y371)</f>
        <v/>
      </c>
      <c r="AA371">
        <f>IF(A371="","",SUMPRODUCT((Entrada_Manual!$I$88:$I$187=A371)*1))</f>
        <v/>
      </c>
      <c r="AB371">
        <f>IF(A371="","",IF(S371&lt;=1,"",IF(AA371=0,"PENDIENTE — SIN ASIGNAR",IF(Z371=0,"RESUELTO","PARCIAL — DIFERENCIA "&amp;TEXT(Z371,"#,##0")))))</f>
        <v/>
      </c>
    </row>
    <row r="372" ht="14.25" customHeight="1" s="235">
      <c r="A372" s="47">
        <f>IF(Exogena_RAW!E381&lt;&gt;"",ROW()-5,"")</f>
        <v/>
      </c>
      <c r="B372" s="48">
        <f>IF(A372="","",381)</f>
        <v/>
      </c>
      <c r="C372" s="48">
        <f>IF(A372="","",IFERROR(Exogena_RAW!A381,""))</f>
        <v/>
      </c>
      <c r="D372" s="48">
        <f>IF(A372="","",IFERROR(Exogena_RAW!B381,""))</f>
        <v/>
      </c>
      <c r="E372" s="48">
        <f>IF(A372="","",Exogena_RAW!E381)</f>
        <v/>
      </c>
      <c r="F372" s="461">
        <f>IF(A372="","",Exogena_RAW!F381)</f>
        <v/>
      </c>
      <c r="G372" s="48">
        <f>IF(A372="","",IFERROR(Exogena_RAW!G381,""))</f>
        <v/>
      </c>
      <c r="H372" s="48">
        <f>IF(A372="","",IFERROR(Exogena_RAW!H381,""))</f>
        <v/>
      </c>
      <c r="I372" s="48">
        <f>IF(A372="","",IFERROR(IF(S372&gt;1,"VARIAS CASILLAS",IF(S372=1,IF(T372=1,"PROPUESTA DE CASILLA","REVISIÓN: CASILLA NO DIRECTA"),IF(OR(ISNUMBER(SEARCH("TOPE",UPPER(E372))),ISNUMBER(SEARCH("TOPE",UPPER(G372)))),"SOLO CONTROL",IF(ISNUMBER(SEARCH("RETEN",UPPER(E372))),"RETENCIÓN","REVISAR")))),"REVISAR"))</f>
        <v/>
      </c>
      <c r="J372" s="48">
        <f>IF(A372="","",IF(ISNUMBER(SEARCH("ingreso laboral promedio de los últimos seis meses",E372)),"",IFERROR(IF(AND(S372=1,T372=1),U372,""),"")))</f>
        <v/>
      </c>
      <c r="K372" s="216" t="n"/>
      <c r="L372" s="48">
        <f>IF(A372="","",IFERROR(IF(K372&lt;&gt;"","Casilla elegida por usuario",IF(S372&gt;1,"Varias casillas — elegir en K",IF(J372&lt;&gt;"","Sugerencia directa",IF(S372=1,"No trasladar directo — revisar",IF(OR(ISNUMBER(SEARCH("TOPE",UPPER(E372))),ISNUMBER(SEARCH("TOPE",UPPER(G372)))),"Solo control","Revisar manualmente"))))),"Revisar manualmente"))</f>
        <v/>
      </c>
      <c r="M372" s="461">
        <f>IF(A372="","",IF(IF(K372&lt;&gt;"",K372,J372)="",0,IF(COUNTIFS(Reglas!$I$5:$I$118,IF(K372&lt;&gt;"",K372,J372),Reglas!$J$5:$J$118,"Sí")=1,F372,0)))</f>
        <v/>
      </c>
      <c r="N372" s="56" t="n"/>
      <c r="O372" s="462">
        <f>IF(A372="","",IF(M372=0,"",M372))</f>
        <v/>
      </c>
      <c r="P372" s="461">
        <f>IF(A372="","",IF(O372="",0,IF(ISNUMBER(O372),O372,0)))</f>
        <v/>
      </c>
      <c r="Q372" s="48">
        <f>IF(A372="","",IF(Exogena_RAW!$C$4="","BLOQUEADO: FALTA AÑO",IF(Exogena_RAW!$K$10&lt;&gt;Reglas!$B$5,"BLOQUEADO: AÑO",IF(IF(K372&lt;&gt;"",K372,J372)="",IF(S372&gt;1,"REQUIERE ASIGNACIÓN MANUAL (VARIAS CASILLAS)","INFORMATIVO (sin casilla — no se declara)"),IF(COUNTIFS(Reglas!$I$5:$I$118,IF(K372&lt;&gt;"",K372,J372),Reglas!$J$5:$J$118,"Sí")=0,"BLOQUEADO: CASILLA NO DIRECTA",IF(O372="","EXCLUIDO (valor borrado por el usuario)",IF(_xlfn.ISFORMULA(O372),IF(W372&lt;&gt;"","BORRADOR — VALOR SUGERIDO DIAN ⚠ VER ALERTA","BORRADOR — VALOR SUGERIDO DIAN"),IF(W372&lt;&gt;"","ACEPTADO ⚠ VER ALERTA","ACEPTADO"))))))))</f>
        <v/>
      </c>
      <c r="R372" s="218" t="n"/>
      <c r="S372" s="58">
        <f>IF(A372="","",IFERROR(--ISNUMBER(SEARCH("R28",G372)),0)+IFERROR(--ISNUMBER(SEARCH("R29",G372)),0)+IFERROR(--ISNUMBER(SEARCH("R30",G372)),0)+IFERROR(--ISNUMBER(SEARCH("R31",G372)),0)+IFERROR(--ISNUMBER(SEARCH("R32",G372)),0)+IFERROR(--ISNUMBER(SEARCH("R33",G372)),0)+IFERROR(--ISNUMBER(SEARCH("R34",G372)),0)+IFERROR(--ISNUMBER(SEARCH("R35",G372)),0)+IFERROR(--ISNUMBER(SEARCH("R36",G372)),0)+IFERROR(--ISNUMBER(SEARCH("R37",G372)),0)+IFERROR(--ISNUMBER(SEARCH("R38",G372)),0)+IFERROR(--ISNUMBER(SEARCH("R39",G372)),0)+IFERROR(--ISNUMBER(SEARCH("R40",G372)),0)+IFERROR(--ISNUMBER(SEARCH("R41",G372)),0)+IFERROR(--ISNUMBER(SEARCH("R42",G372)),0)+IFERROR(--ISNUMBER(SEARCH("R43",G372)),0)+IFERROR(--ISNUMBER(SEARCH("R44",G372)),0)+IFERROR(--ISNUMBER(SEARCH("R45",G372)),0)+IFERROR(--ISNUMBER(SEARCH("R46",G372)),0)+IFERROR(--ISNUMBER(SEARCH("R47",G372)),0)+IFERROR(--ISNUMBER(SEARCH("R48",G372)),0)+IFERROR(--ISNUMBER(SEARCH("R49",G372)),0)+IFERROR(--ISNUMBER(SEARCH("R50",G372)),0)+IFERROR(--ISNUMBER(SEARCH("R51",G372)),0)+IFERROR(--ISNUMBER(SEARCH("R52",G372)),0)+IFERROR(--ISNUMBER(SEARCH("R53",G372)),0)+IFERROR(--ISNUMBER(SEARCH("R54",G372)),0)+IFERROR(--ISNUMBER(SEARCH("R55",G372)),0)+IFERROR(--ISNUMBER(SEARCH("R56",G372)),0)+IFERROR(--ISNUMBER(SEARCH("R57",G372)),0)+IFERROR(--ISNUMBER(SEARCH("R58",G372)),0)+IFERROR(--ISNUMBER(SEARCH("R59",G372)),0)+IFERROR(--ISNUMBER(SEARCH("R60",G372)),0)+IFERROR(--ISNUMBER(SEARCH("R61",G372)),0)+IFERROR(--ISNUMBER(SEARCH("R62",G372)),0)+IFERROR(--ISNUMBER(SEARCH("R63",G372)),0)+IFERROR(--ISNUMBER(SEARCH("R64",G372)),0)+IFERROR(--ISNUMBER(SEARCH("R65",G372)),0)+IFERROR(--ISNUMBER(SEARCH("R66",G372)),0)+IFERROR(--ISNUMBER(SEARCH("R67",G372)),0)+IFERROR(--ISNUMBER(SEARCH("R68",G372)),0)+IFERROR(--ISNUMBER(SEARCH("R69",G372)),0)+IFERROR(--ISNUMBER(SEARCH("R70",G372)),0)+IFERROR(--ISNUMBER(SEARCH("R71",G372)),0)+IFERROR(--ISNUMBER(SEARCH("R72",G372)),0)+IFERROR(--ISNUMBER(SEARCH("R73",G372)),0)+IFERROR(--ISNUMBER(SEARCH("R74",G372)),0)+IFERROR(--ISNUMBER(SEARCH("R75",G372)),0)+IFERROR(--ISNUMBER(SEARCH("R76",G372)),0)+IFERROR(--ISNUMBER(SEARCH("R77",G372)),0)+IFERROR(--ISNUMBER(SEARCH("R78",G372)),0)+IFERROR(--ISNUMBER(SEARCH("R79",G372)),0)+IFERROR(--ISNUMBER(SEARCH("R80",G372)),0)+IFERROR(--ISNUMBER(SEARCH("R81",G372)),0)+IFERROR(--ISNUMBER(SEARCH("R82",G372)),0)+IFERROR(--ISNUMBER(SEARCH("R83",G372)),0)+IFERROR(--ISNUMBER(SEARCH("R84",G372)),0)+IFERROR(--ISNUMBER(SEARCH("R85",G372)),0)+IFERROR(--ISNUMBER(SEARCH("R86",G372)),0)+IFERROR(--ISNUMBER(SEARCH("R87",G372)),0)+IFERROR(--ISNUMBER(SEARCH("R88",G372)),0)+IFERROR(--ISNUMBER(SEARCH("R89",G372)),0)+IFERROR(--ISNUMBER(SEARCH("R90",G372)),0)+IFERROR(--ISNUMBER(SEARCH("R91",G372)),0)+IFERROR(--ISNUMBER(SEARCH("R92",G372)),0)+IFERROR(--ISNUMBER(SEARCH("R93",G372)),0)+IFERROR(--ISNUMBER(SEARCH("R94",G372)),0)+IFERROR(--ISNUMBER(SEARCH("R95",G372)),0)+IFERROR(--ISNUMBER(SEARCH("R96",G372)),0)+IFERROR(--ISNUMBER(SEARCH("R97",G372)),0)+IFERROR(--ISNUMBER(SEARCH("R98",G372)),0)+IFERROR(--ISNUMBER(SEARCH("R99",G372)),0)+IFERROR(--ISNUMBER(SEARCH("R100",G372)),0)+IFERROR(--ISNUMBER(SEARCH("R101",G372)),0)+IFERROR(--ISNUMBER(SEARCH("R102",G372)),0)+IFERROR(--ISNUMBER(SEARCH("R103",G372)),0)+IFERROR(--ISNUMBER(SEARCH("R104",G372)),0)+IFERROR(--ISNUMBER(SEARCH("R105",G372)),0)+IFERROR(--ISNUMBER(SEARCH("R106",G372)),0)+IFERROR(--ISNUMBER(SEARCH("R107",G372)),0)+IFERROR(--ISNUMBER(SEARCH("R108",G372)),0)+IFERROR(--ISNUMBER(SEARCH("R109",G372)),0)+IFERROR(--ISNUMBER(SEARCH("R110",G372)),0)+IFERROR(--ISNUMBER(SEARCH("R111",G372)),0)+IFERROR(--ISNUMBER(SEARCH("R112",G372)),0)+IFERROR(--ISNUMBER(SEARCH("R113",G372)),0)+IFERROR(--ISNUMBER(SEARCH("R114",G372)),0)+IFERROR(--ISNUMBER(SEARCH("R115",G372)),0)+IFERROR(--ISNUMBER(SEARCH("R116",G372)),0)+IFERROR(--ISNUMBER(SEARCH("R117",G372)),0)+IFERROR(--ISNUMBER(SEARCH("R118",G372)),0)+IFERROR(--ISNUMBER(SEARCH("R119",G372)),0)+IFERROR(--ISNUMBER(SEARCH("R120",G372)),0)+IFERROR(--ISNUMBER(SEARCH("R121",G372)),0)+IFERROR(--ISNUMBER(SEARCH("R122",G372)),0)+IFERROR(--ISNUMBER(SEARCH("R123",G372)),0)+IFERROR(--ISNUMBER(SEARCH("R124",G372)),0)+IFERROR(--ISNUMBER(SEARCH("R125",G372)),0)+IFERROR(--ISNUMBER(SEARCH("R126",G372)),0)+IFERROR(--ISNUMBER(SEARCH("R127",G372)),0)+IFERROR(--ISNUMBER(SEARCH("R128",G372)),0)+IFERROR(--ISNUMBER(SEARCH("R129",G372)),0)+IFERROR(--ISNUMBER(SEARCH("R130",G372)),0)+IFERROR(--ISNUMBER(SEARCH("R131",G372)),0)+IFERROR(--ISNUMBER(SEARCH("R132",G372)),0)+IFERROR(--ISNUMBER(SEARCH("R133",G372)),0)+IFERROR(--ISNUMBER(SEARCH("R134",G372)),0)+IFERROR(--ISNUMBER(SEARCH("R135",G372)),0)+IFERROR(--ISNUMBER(SEARCH("R136",G372)),0)+IFERROR(--ISNUMBER(SEARCH("R137",G372)),0)+IFERROR(--ISNUMBER(SEARCH("R138",G372)),0)+IFERROR(--ISNUMBER(SEARCH("R139",G372)),0)+IFERROR(--ISNUMBER(SEARCH("R140",G372)),0)+IFERROR(--ISNUMBER(SEARCH("R141",G372)),0))</f>
        <v/>
      </c>
      <c r="T372" s="58">
        <f>IF(A372="","",IFERROR(--ISNUMBER(SEARCH("R28",G372)),0)+IFERROR(--ISNUMBER(SEARCH("R29",G372)),0)+IFERROR(--ISNUMBER(SEARCH("R30",G372)),0)+IFERROR(--ISNUMBER(SEARCH("R32",G372)),0)+IFERROR(--ISNUMBER(SEARCH("R33",G372)),0)+IFERROR(--ISNUMBER(SEARCH("R35",G372)),0)+IFERROR(--ISNUMBER(SEARCH("R36",G372)),0)+IFERROR(--ISNUMBER(SEARCH("R38",G372)),0)+IFERROR(--ISNUMBER(SEARCH("R39",G372)),0)+IFERROR(--ISNUMBER(SEARCH("R43",G372)),0)+IFERROR(--ISNUMBER(SEARCH("R44",G372)),0)+IFERROR(--ISNUMBER(SEARCH("R45",G372)),0)+IFERROR(--ISNUMBER(SEARCH("R47",G372)),0)+IFERROR(--ISNUMBER(SEARCH("R48",G372)),0)+IFERROR(--ISNUMBER(SEARCH("R50",G372)),0)+IFERROR(--ISNUMBER(SEARCH("R51",G372)),0)+IFERROR(--ISNUMBER(SEARCH("R56",G372)),0)+IFERROR(--ISNUMBER(SEARCH("R58",G372)),0)+IFERROR(--ISNUMBER(SEARCH("R59",G372)),0)+IFERROR(--ISNUMBER(SEARCH("R60",G372)),0)+IFERROR(--ISNUMBER(SEARCH("R62",G372)),0)+IFERROR(--ISNUMBER(SEARCH("R63",G372)),0)+IFERROR(--ISNUMBER(SEARCH("R64",G372)),0)+IFERROR(--ISNUMBER(SEARCH("R66",G372)),0)+IFERROR(--ISNUMBER(SEARCH("R67",G372)),0)+IFERROR(--ISNUMBER(SEARCH("R72",G372)),0)+IFERROR(--ISNUMBER(SEARCH("R74",G372)),0)+IFERROR(--ISNUMBER(SEARCH("R75",G372)),0)+IFERROR(--ISNUMBER(SEARCH("R76",G372)),0)+IFERROR(--ISNUMBER(SEARCH("R77",G372)),0)+IFERROR(--ISNUMBER(SEARCH("R79",G372)),0)+IFERROR(--ISNUMBER(SEARCH("R80",G372)),0)+IFERROR(--ISNUMBER(SEARCH("R81",G372)),0)+IFERROR(--ISNUMBER(SEARCH("R83",G372)),0)+IFERROR(--ISNUMBER(SEARCH("R84",G372)),0)+IFERROR(--ISNUMBER(SEARCH("R89",G372)),0)+IFERROR(--ISNUMBER(SEARCH("R94",G372)),0)+IFERROR(--ISNUMBER(SEARCH("R95",G372)),0)+IFERROR(--ISNUMBER(SEARCH("R96",G372)),0)+IFERROR(--ISNUMBER(SEARCH("R98",G372)),0)+IFERROR(--ISNUMBER(SEARCH("R99",G372)),0)+IFERROR(--ISNUMBER(SEARCH("R100",G372)),0)+IFERROR(--ISNUMBER(SEARCH("R104",G372)),0)+IFERROR(--ISNUMBER(SEARCH("R105",G372)),0)+IFERROR(--ISNUMBER(SEARCH("R107",G372)),0)+IFERROR(--ISNUMBER(SEARCH("R108",G372)),0)+IFERROR(--ISNUMBER(SEARCH("R109",G372)),0)+IFERROR(--ISNUMBER(SEARCH("R110",G372)),0)+IFERROR(--ISNUMBER(SEARCH("R112",G372)),0)+IFERROR(--ISNUMBER(SEARCH("R113",G372)),0)+IFERROR(--ISNUMBER(SEARCH("R114",G372)),0)+IFERROR(--ISNUMBER(SEARCH("R118",G372)),0)+IFERROR(--ISNUMBER(SEARCH("R119",G372)),0)+IFERROR(--ISNUMBER(SEARCH("R120",G372)),0)+IFERROR(--ISNUMBER(SEARCH("R122",G372)),0)+IFERROR(--ISNUMBER(SEARCH("R123",G372)),0)+IFERROR(--ISNUMBER(SEARCH("R124",G372)),0)+IFERROR(--ISNUMBER(SEARCH("R128",G372)),0)+IFERROR(--ISNUMBER(SEARCH("R130",G372)),0)+IFERROR(--ISNUMBER(SEARCH("R131",G372)),0)+IFERROR(--ISNUMBER(SEARCH("R132",G372)),0)+IFERROR(--ISNUMBER(SEARCH("R135",G372)),0)+IFERROR(--ISNUMBER(SEARCH("R138",G372)),0)+IFERROR(--ISNUMBER(SEARCH("R141",G372)),0))</f>
        <v/>
      </c>
      <c r="U372" s="58">
        <f>IF(A372="","",IFERROR(--ISNUMBER(SEARCH("R28",G372))*28,0)+IFERROR(--ISNUMBER(SEARCH("R29",G372))*29,0)+IFERROR(--ISNUMBER(SEARCH("R30",G372))*30,0)+IFERROR(--ISNUMBER(SEARCH("R31",G372))*31,0)+IFERROR(--ISNUMBER(SEARCH("R32",G372))*32,0)+IFERROR(--ISNUMBER(SEARCH("R33",G372))*33,0)+IFERROR(--ISNUMBER(SEARCH("R34",G372))*34,0)+IFERROR(--ISNUMBER(SEARCH("R35",G372))*35,0)+IFERROR(--ISNUMBER(SEARCH("R36",G372))*36,0)+IFERROR(--ISNUMBER(SEARCH("R37",G372))*37,0)+IFERROR(--ISNUMBER(SEARCH("R38",G372))*38,0)+IFERROR(--ISNUMBER(SEARCH("R39",G372))*39,0)+IFERROR(--ISNUMBER(SEARCH("R40",G372))*40,0)+IFERROR(--ISNUMBER(SEARCH("R41",G372))*41,0)+IFERROR(--ISNUMBER(SEARCH("R42",G372))*42,0)+IFERROR(--ISNUMBER(SEARCH("R43",G372))*43,0)+IFERROR(--ISNUMBER(SEARCH("R44",G372))*44,0)+IFERROR(--ISNUMBER(SEARCH("R45",G372))*45,0)+IFERROR(--ISNUMBER(SEARCH("R46",G372))*46,0)+IFERROR(--ISNUMBER(SEARCH("R47",G372))*47,0)+IFERROR(--ISNUMBER(SEARCH("R48",G372))*48,0)+IFERROR(--ISNUMBER(SEARCH("R49",G372))*49,0)+IFERROR(--ISNUMBER(SEARCH("R50",G372))*50,0)+IFERROR(--ISNUMBER(SEARCH("R51",G372))*51,0)+IFERROR(--ISNUMBER(SEARCH("R52",G372))*52,0)+IFERROR(--ISNUMBER(SEARCH("R53",G372))*53,0)+IFERROR(--ISNUMBER(SEARCH("R54",G372))*54,0)+IFERROR(--ISNUMBER(SEARCH("R55",G372))*55,0)+IFERROR(--ISNUMBER(SEARCH("R56",G372))*56,0)+IFERROR(--ISNUMBER(SEARCH("R57",G372))*57,0)+IFERROR(--ISNUMBER(SEARCH("R58",G372))*58,0)+IFERROR(--ISNUMBER(SEARCH("R59",G372))*59,0)+IFERROR(--ISNUMBER(SEARCH("R60",G372))*60,0)+IFERROR(--ISNUMBER(SEARCH("R61",G372))*61,0)+IFERROR(--ISNUMBER(SEARCH("R62",G372))*62,0)+IFERROR(--ISNUMBER(SEARCH("R63",G372))*63,0)+IFERROR(--ISNUMBER(SEARCH("R64",G372))*64,0)+IFERROR(--ISNUMBER(SEARCH("R65",G372))*65,0)+IFERROR(--ISNUMBER(SEARCH("R66",G372))*66,0)+IFERROR(--ISNUMBER(SEARCH("R67",G372))*67,0)+IFERROR(--ISNUMBER(SEARCH("R68",G372))*68,0)+IFERROR(--ISNUMBER(SEARCH("R69",G372))*69,0)+IFERROR(--ISNUMBER(SEARCH("R70",G372))*70,0)+IFERROR(--ISNUMBER(SEARCH("R71",G372))*71,0)+IFERROR(--ISNUMBER(SEARCH("R72",G372))*72,0)+IFERROR(--ISNUMBER(SEARCH("R73",G372))*73,0)+IFERROR(--ISNUMBER(SEARCH("R74",G372))*74,0)+IFERROR(--ISNUMBER(SEARCH("R75",G372))*75,0)+IFERROR(--ISNUMBER(SEARCH("R76",G372))*76,0)+IFERROR(--ISNUMBER(SEARCH("R77",G372))*77,0)+IFERROR(--ISNUMBER(SEARCH("R78",G372))*78,0)+IFERROR(--ISNUMBER(SEARCH("R79",G372))*79,0)+IFERROR(--ISNUMBER(SEARCH("R80",G372))*80,0)+IFERROR(--ISNUMBER(SEARCH("R81",G372))*81,0)+IFERROR(--ISNUMBER(SEARCH("R82",G372))*82,0)+IFERROR(--ISNUMBER(SEARCH("R83",G372))*83,0)+IFERROR(--ISNUMBER(SEARCH("R84",G372))*84,0)+IFERROR(--ISNUMBER(SEARCH("R85",G372))*85,0)+IFERROR(--ISNUMBER(SEARCH("R86",G372))*86,0)+IFERROR(--ISNUMBER(SEARCH("R87",G372))*87,0)+IFERROR(--ISNUMBER(SEARCH("R88",G372))*88,0)+IFERROR(--ISNUMBER(SEARCH("R89",G372))*89,0)+IFERROR(--ISNUMBER(SEARCH("R90",G372))*90,0)+IFERROR(--ISNUMBER(SEARCH("R91",G372))*91,0)+IFERROR(--ISNUMBER(SEARCH("R92",G372))*92,0)+IFERROR(--ISNUMBER(SEARCH("R93",G372))*93,0)+IFERROR(--ISNUMBER(SEARCH("R94",G372))*94,0)+IFERROR(--ISNUMBER(SEARCH("R95",G372))*95,0)+IFERROR(--ISNUMBER(SEARCH("R96",G372))*96,0)+IFERROR(--ISNUMBER(SEARCH("R97",G372))*97,0)+IFERROR(--ISNUMBER(SEARCH("R98",G372))*98,0)+IFERROR(--ISNUMBER(SEARCH("R99",G372))*99,0)+IFERROR(--ISNUMBER(SEARCH("R100",G372))*100,0)+IFERROR(--ISNUMBER(SEARCH("R101",G372))*101,0)+IFERROR(--ISNUMBER(SEARCH("R102",G372))*102,0)+IFERROR(--ISNUMBER(SEARCH("R103",G372))*103,0)+IFERROR(--ISNUMBER(SEARCH("R104",G372))*104,0)+IFERROR(--ISNUMBER(SEARCH("R105",G372))*105,0)+IFERROR(--ISNUMBER(SEARCH("R106",G372))*106,0)+IFERROR(--ISNUMBER(SEARCH("R107",G372))*107,0)+IFERROR(--ISNUMBER(SEARCH("R108",G372))*108,0)+IFERROR(--ISNUMBER(SEARCH("R109",G372))*109,0)+IFERROR(--ISNUMBER(SEARCH("R110",G372))*110,0)+IFERROR(--ISNUMBER(SEARCH("R111",G372))*111,0)+IFERROR(--ISNUMBER(SEARCH("R112",G372))*112,0)+IFERROR(--ISNUMBER(SEARCH("R113",G372))*113,0)+IFERROR(--ISNUMBER(SEARCH("R114",G372))*114,0)+IFERROR(--ISNUMBER(SEARCH("R115",G372))*115,0)+IFERROR(--ISNUMBER(SEARCH("R116",G372))*116,0)+IFERROR(--ISNUMBER(SEARCH("R117",G372))*117,0)+IFERROR(--ISNUMBER(SEARCH("R118",G372))*118,0)+IFERROR(--ISNUMBER(SEARCH("R119",G372))*119,0)+IFERROR(--ISNUMBER(SEARCH("R120",G372))*120,0)+IFERROR(--ISNUMBER(SEARCH("R121",G372))*121,0)+IFERROR(--ISNUMBER(SEARCH("R122",G372))*122,0)+IFERROR(--ISNUMBER(SEARCH("R123",G372))*123,0)+IFERROR(--ISNUMBER(SEARCH("R124",G372))*124,0)+IFERROR(--ISNUMBER(SEARCH("R125",G372))*125,0)+IFERROR(--ISNUMBER(SEARCH("R126",G372))*126,0)+IFERROR(--ISNUMBER(SEARCH("R127",G372))*127,0)+IFERROR(--ISNUMBER(SEARCH("R128",G372))*128,0)+IFERROR(--ISNUMBER(SEARCH("R129",G372))*129,0)+IFERROR(--ISNUMBER(SEARCH("R130",G372))*130,0)+IFERROR(--ISNUMBER(SEARCH("R131",G372))*131,0)+IFERROR(--ISNUMBER(SEARCH("R132",G372))*132,0)+IFERROR(--ISNUMBER(SEARCH("R133",G372))*133,0)+IFERROR(--ISNUMBER(SEARCH("R134",G372))*134,0)+IFERROR(--ISNUMBER(SEARCH("R135",G372))*135,0)+IFERROR(--ISNUMBER(SEARCH("R136",G372))*136,0)+IFERROR(--ISNUMBER(SEARCH("R137",G372))*137,0)+IFERROR(--ISNUMBER(SEARCH("R138",G372))*138,0)+IFERROR(--ISNUMBER(SEARCH("R139",G372))*139,0)+IFERROR(--ISNUMBER(SEARCH("R140",G372))*140,0)+IFERROR(--ISNUMBER(SEARCH("R141",G372))*141,0))</f>
        <v/>
      </c>
      <c r="V372" s="59">
        <f>IF(A372="","",IF(K372&lt;&gt;"",K372,J372))</f>
        <v/>
      </c>
      <c r="W372" s="59">
        <f>IF(A372="","",IF(AND(V372=29,O372&lt;&gt;"",COUNTIFS($V$6:$V$505,29,$F$6:$F$505,F372,$C$6:$C$505,C372,$O$6:$O$505,"&lt;&gt;")&gt;1),IF(COUNTIFS($V$6:V372,29,$F$6:F372,F372,$C$6:C372,C372,$O$6:O372,"&lt;&gt;")=1,"Esta es la fila que se debe CONSERVAR (aparición 1 de "&amp;COUNTIFS($V$6:$V$505,29,$F$6:$F$505,F372,$C$6:$C$505,C372,$O$6:$O$505,"&lt;&gt;")&amp;" con el mismo tercero y valor, casilla 29). Si hay más filas iguales, bórreles el valor a ELLAS, no a esta.","DUPLICADO — ya existe otra fila con el mismo tercero y valor para casilla 29 (aparición "&amp;COUNTIFS($V$6:V372,29,$F$6:F372,F372,$C$6:C372,C372,$O$6:O372,"&lt;&gt;")&amp;" de "&amp;COUNTIFS($V$6:$V$505,29,$F$6:$F$505,F372,$C$6:$C$505,C372,$O$6:$O$505,"&lt;&gt;")&amp;"). Para resolverlo: seleccione la celda O"&amp;ROW()&amp;" (columna Valor a declarar de ESTA fila) y presione Supr."),""))</f>
        <v/>
      </c>
      <c r="X372" s="463">
        <f>IF(A372="","",F372)</f>
        <v/>
      </c>
      <c r="Y372" s="463">
        <f>IF(A372="","",SUMIF(Entrada_Manual!$I$88:$I$187,A372,Entrada_Manual!$F$88:$F$187))</f>
        <v/>
      </c>
      <c r="Z372" s="463">
        <f>IF(A372="","",X372-Y372)</f>
        <v/>
      </c>
      <c r="AA372">
        <f>IF(A372="","",SUMPRODUCT((Entrada_Manual!$I$88:$I$187=A372)*1))</f>
        <v/>
      </c>
      <c r="AB372">
        <f>IF(A372="","",IF(S372&lt;=1,"",IF(AA372=0,"PENDIENTE — SIN ASIGNAR",IF(Z372=0,"RESUELTO","PARCIAL — DIFERENCIA "&amp;TEXT(Z372,"#,##0")))))</f>
        <v/>
      </c>
    </row>
    <row r="373" ht="14.25" customHeight="1" s="235">
      <c r="A373" s="47">
        <f>IF(Exogena_RAW!E382&lt;&gt;"",ROW()-5,"")</f>
        <v/>
      </c>
      <c r="B373" s="48">
        <f>IF(A373="","",382)</f>
        <v/>
      </c>
      <c r="C373" s="48">
        <f>IF(A373="","",IFERROR(Exogena_RAW!A382,""))</f>
        <v/>
      </c>
      <c r="D373" s="48">
        <f>IF(A373="","",IFERROR(Exogena_RAW!B382,""))</f>
        <v/>
      </c>
      <c r="E373" s="48">
        <f>IF(A373="","",Exogena_RAW!E382)</f>
        <v/>
      </c>
      <c r="F373" s="461">
        <f>IF(A373="","",Exogena_RAW!F382)</f>
        <v/>
      </c>
      <c r="G373" s="48">
        <f>IF(A373="","",IFERROR(Exogena_RAW!G382,""))</f>
        <v/>
      </c>
      <c r="H373" s="48">
        <f>IF(A373="","",IFERROR(Exogena_RAW!H382,""))</f>
        <v/>
      </c>
      <c r="I373" s="48">
        <f>IF(A373="","",IFERROR(IF(S373&gt;1,"VARIAS CASILLAS",IF(S373=1,IF(T373=1,"PROPUESTA DE CASILLA","REVISIÓN: CASILLA NO DIRECTA"),IF(OR(ISNUMBER(SEARCH("TOPE",UPPER(E373))),ISNUMBER(SEARCH("TOPE",UPPER(G373)))),"SOLO CONTROL",IF(ISNUMBER(SEARCH("RETEN",UPPER(E373))),"RETENCIÓN","REVISAR")))),"REVISAR"))</f>
        <v/>
      </c>
      <c r="J373" s="48">
        <f>IF(A373="","",IF(ISNUMBER(SEARCH("ingreso laboral promedio de los últimos seis meses",E373)),"",IFERROR(IF(AND(S373=1,T373=1),U373,""),"")))</f>
        <v/>
      </c>
      <c r="K373" s="216" t="n"/>
      <c r="L373" s="48">
        <f>IF(A373="","",IFERROR(IF(K373&lt;&gt;"","Casilla elegida por usuario",IF(S373&gt;1,"Varias casillas — elegir en K",IF(J373&lt;&gt;"","Sugerencia directa",IF(S373=1,"No trasladar directo — revisar",IF(OR(ISNUMBER(SEARCH("TOPE",UPPER(E373))),ISNUMBER(SEARCH("TOPE",UPPER(G373)))),"Solo control","Revisar manualmente"))))),"Revisar manualmente"))</f>
        <v/>
      </c>
      <c r="M373" s="461">
        <f>IF(A373="","",IF(IF(K373&lt;&gt;"",K373,J373)="",0,IF(COUNTIFS(Reglas!$I$5:$I$118,IF(K373&lt;&gt;"",K373,J373),Reglas!$J$5:$J$118,"Sí")=1,F373,0)))</f>
        <v/>
      </c>
      <c r="N373" s="56" t="n"/>
      <c r="O373" s="462">
        <f>IF(A373="","",IF(M373=0,"",M373))</f>
        <v/>
      </c>
      <c r="P373" s="461">
        <f>IF(A373="","",IF(O373="",0,IF(ISNUMBER(O373),O373,0)))</f>
        <v/>
      </c>
      <c r="Q373" s="48">
        <f>IF(A373="","",IF(Exogena_RAW!$C$4="","BLOQUEADO: FALTA AÑO",IF(Exogena_RAW!$K$10&lt;&gt;Reglas!$B$5,"BLOQUEADO: AÑO",IF(IF(K373&lt;&gt;"",K373,J373)="",IF(S373&gt;1,"REQUIERE ASIGNACIÓN MANUAL (VARIAS CASILLAS)","INFORMATIVO (sin casilla — no se declara)"),IF(COUNTIFS(Reglas!$I$5:$I$118,IF(K373&lt;&gt;"",K373,J373),Reglas!$J$5:$J$118,"Sí")=0,"BLOQUEADO: CASILLA NO DIRECTA",IF(O373="","EXCLUIDO (valor borrado por el usuario)",IF(_xlfn.ISFORMULA(O373),IF(W373&lt;&gt;"","BORRADOR — VALOR SUGERIDO DIAN ⚠ VER ALERTA","BORRADOR — VALOR SUGERIDO DIAN"),IF(W373&lt;&gt;"","ACEPTADO ⚠ VER ALERTA","ACEPTADO"))))))))</f>
        <v/>
      </c>
      <c r="R373" s="218" t="n"/>
      <c r="S373" s="58">
        <f>IF(A373="","",IFERROR(--ISNUMBER(SEARCH("R28",G373)),0)+IFERROR(--ISNUMBER(SEARCH("R29",G373)),0)+IFERROR(--ISNUMBER(SEARCH("R30",G373)),0)+IFERROR(--ISNUMBER(SEARCH("R31",G373)),0)+IFERROR(--ISNUMBER(SEARCH("R32",G373)),0)+IFERROR(--ISNUMBER(SEARCH("R33",G373)),0)+IFERROR(--ISNUMBER(SEARCH("R34",G373)),0)+IFERROR(--ISNUMBER(SEARCH("R35",G373)),0)+IFERROR(--ISNUMBER(SEARCH("R36",G373)),0)+IFERROR(--ISNUMBER(SEARCH("R37",G373)),0)+IFERROR(--ISNUMBER(SEARCH("R38",G373)),0)+IFERROR(--ISNUMBER(SEARCH("R39",G373)),0)+IFERROR(--ISNUMBER(SEARCH("R40",G373)),0)+IFERROR(--ISNUMBER(SEARCH("R41",G373)),0)+IFERROR(--ISNUMBER(SEARCH("R42",G373)),0)+IFERROR(--ISNUMBER(SEARCH("R43",G373)),0)+IFERROR(--ISNUMBER(SEARCH("R44",G373)),0)+IFERROR(--ISNUMBER(SEARCH("R45",G373)),0)+IFERROR(--ISNUMBER(SEARCH("R46",G373)),0)+IFERROR(--ISNUMBER(SEARCH("R47",G373)),0)+IFERROR(--ISNUMBER(SEARCH("R48",G373)),0)+IFERROR(--ISNUMBER(SEARCH("R49",G373)),0)+IFERROR(--ISNUMBER(SEARCH("R50",G373)),0)+IFERROR(--ISNUMBER(SEARCH("R51",G373)),0)+IFERROR(--ISNUMBER(SEARCH("R52",G373)),0)+IFERROR(--ISNUMBER(SEARCH("R53",G373)),0)+IFERROR(--ISNUMBER(SEARCH("R54",G373)),0)+IFERROR(--ISNUMBER(SEARCH("R55",G373)),0)+IFERROR(--ISNUMBER(SEARCH("R56",G373)),0)+IFERROR(--ISNUMBER(SEARCH("R57",G373)),0)+IFERROR(--ISNUMBER(SEARCH("R58",G373)),0)+IFERROR(--ISNUMBER(SEARCH("R59",G373)),0)+IFERROR(--ISNUMBER(SEARCH("R60",G373)),0)+IFERROR(--ISNUMBER(SEARCH("R61",G373)),0)+IFERROR(--ISNUMBER(SEARCH("R62",G373)),0)+IFERROR(--ISNUMBER(SEARCH("R63",G373)),0)+IFERROR(--ISNUMBER(SEARCH("R64",G373)),0)+IFERROR(--ISNUMBER(SEARCH("R65",G373)),0)+IFERROR(--ISNUMBER(SEARCH("R66",G373)),0)+IFERROR(--ISNUMBER(SEARCH("R67",G373)),0)+IFERROR(--ISNUMBER(SEARCH("R68",G373)),0)+IFERROR(--ISNUMBER(SEARCH("R69",G373)),0)+IFERROR(--ISNUMBER(SEARCH("R70",G373)),0)+IFERROR(--ISNUMBER(SEARCH("R71",G373)),0)+IFERROR(--ISNUMBER(SEARCH("R72",G373)),0)+IFERROR(--ISNUMBER(SEARCH("R73",G373)),0)+IFERROR(--ISNUMBER(SEARCH("R74",G373)),0)+IFERROR(--ISNUMBER(SEARCH("R75",G373)),0)+IFERROR(--ISNUMBER(SEARCH("R76",G373)),0)+IFERROR(--ISNUMBER(SEARCH("R77",G373)),0)+IFERROR(--ISNUMBER(SEARCH("R78",G373)),0)+IFERROR(--ISNUMBER(SEARCH("R79",G373)),0)+IFERROR(--ISNUMBER(SEARCH("R80",G373)),0)+IFERROR(--ISNUMBER(SEARCH("R81",G373)),0)+IFERROR(--ISNUMBER(SEARCH("R82",G373)),0)+IFERROR(--ISNUMBER(SEARCH("R83",G373)),0)+IFERROR(--ISNUMBER(SEARCH("R84",G373)),0)+IFERROR(--ISNUMBER(SEARCH("R85",G373)),0)+IFERROR(--ISNUMBER(SEARCH("R86",G373)),0)+IFERROR(--ISNUMBER(SEARCH("R87",G373)),0)+IFERROR(--ISNUMBER(SEARCH("R88",G373)),0)+IFERROR(--ISNUMBER(SEARCH("R89",G373)),0)+IFERROR(--ISNUMBER(SEARCH("R90",G373)),0)+IFERROR(--ISNUMBER(SEARCH("R91",G373)),0)+IFERROR(--ISNUMBER(SEARCH("R92",G373)),0)+IFERROR(--ISNUMBER(SEARCH("R93",G373)),0)+IFERROR(--ISNUMBER(SEARCH("R94",G373)),0)+IFERROR(--ISNUMBER(SEARCH("R95",G373)),0)+IFERROR(--ISNUMBER(SEARCH("R96",G373)),0)+IFERROR(--ISNUMBER(SEARCH("R97",G373)),0)+IFERROR(--ISNUMBER(SEARCH("R98",G373)),0)+IFERROR(--ISNUMBER(SEARCH("R99",G373)),0)+IFERROR(--ISNUMBER(SEARCH("R100",G373)),0)+IFERROR(--ISNUMBER(SEARCH("R101",G373)),0)+IFERROR(--ISNUMBER(SEARCH("R102",G373)),0)+IFERROR(--ISNUMBER(SEARCH("R103",G373)),0)+IFERROR(--ISNUMBER(SEARCH("R104",G373)),0)+IFERROR(--ISNUMBER(SEARCH("R105",G373)),0)+IFERROR(--ISNUMBER(SEARCH("R106",G373)),0)+IFERROR(--ISNUMBER(SEARCH("R107",G373)),0)+IFERROR(--ISNUMBER(SEARCH("R108",G373)),0)+IFERROR(--ISNUMBER(SEARCH("R109",G373)),0)+IFERROR(--ISNUMBER(SEARCH("R110",G373)),0)+IFERROR(--ISNUMBER(SEARCH("R111",G373)),0)+IFERROR(--ISNUMBER(SEARCH("R112",G373)),0)+IFERROR(--ISNUMBER(SEARCH("R113",G373)),0)+IFERROR(--ISNUMBER(SEARCH("R114",G373)),0)+IFERROR(--ISNUMBER(SEARCH("R115",G373)),0)+IFERROR(--ISNUMBER(SEARCH("R116",G373)),0)+IFERROR(--ISNUMBER(SEARCH("R117",G373)),0)+IFERROR(--ISNUMBER(SEARCH("R118",G373)),0)+IFERROR(--ISNUMBER(SEARCH("R119",G373)),0)+IFERROR(--ISNUMBER(SEARCH("R120",G373)),0)+IFERROR(--ISNUMBER(SEARCH("R121",G373)),0)+IFERROR(--ISNUMBER(SEARCH("R122",G373)),0)+IFERROR(--ISNUMBER(SEARCH("R123",G373)),0)+IFERROR(--ISNUMBER(SEARCH("R124",G373)),0)+IFERROR(--ISNUMBER(SEARCH("R125",G373)),0)+IFERROR(--ISNUMBER(SEARCH("R126",G373)),0)+IFERROR(--ISNUMBER(SEARCH("R127",G373)),0)+IFERROR(--ISNUMBER(SEARCH("R128",G373)),0)+IFERROR(--ISNUMBER(SEARCH("R129",G373)),0)+IFERROR(--ISNUMBER(SEARCH("R130",G373)),0)+IFERROR(--ISNUMBER(SEARCH("R131",G373)),0)+IFERROR(--ISNUMBER(SEARCH("R132",G373)),0)+IFERROR(--ISNUMBER(SEARCH("R133",G373)),0)+IFERROR(--ISNUMBER(SEARCH("R134",G373)),0)+IFERROR(--ISNUMBER(SEARCH("R135",G373)),0)+IFERROR(--ISNUMBER(SEARCH("R136",G373)),0)+IFERROR(--ISNUMBER(SEARCH("R137",G373)),0)+IFERROR(--ISNUMBER(SEARCH("R138",G373)),0)+IFERROR(--ISNUMBER(SEARCH("R139",G373)),0)+IFERROR(--ISNUMBER(SEARCH("R140",G373)),0)+IFERROR(--ISNUMBER(SEARCH("R141",G373)),0))</f>
        <v/>
      </c>
      <c r="T373" s="58">
        <f>IF(A373="","",IFERROR(--ISNUMBER(SEARCH("R28",G373)),0)+IFERROR(--ISNUMBER(SEARCH("R29",G373)),0)+IFERROR(--ISNUMBER(SEARCH("R30",G373)),0)+IFERROR(--ISNUMBER(SEARCH("R32",G373)),0)+IFERROR(--ISNUMBER(SEARCH("R33",G373)),0)+IFERROR(--ISNUMBER(SEARCH("R35",G373)),0)+IFERROR(--ISNUMBER(SEARCH("R36",G373)),0)+IFERROR(--ISNUMBER(SEARCH("R38",G373)),0)+IFERROR(--ISNUMBER(SEARCH("R39",G373)),0)+IFERROR(--ISNUMBER(SEARCH("R43",G373)),0)+IFERROR(--ISNUMBER(SEARCH("R44",G373)),0)+IFERROR(--ISNUMBER(SEARCH("R45",G373)),0)+IFERROR(--ISNUMBER(SEARCH("R47",G373)),0)+IFERROR(--ISNUMBER(SEARCH("R48",G373)),0)+IFERROR(--ISNUMBER(SEARCH("R50",G373)),0)+IFERROR(--ISNUMBER(SEARCH("R51",G373)),0)+IFERROR(--ISNUMBER(SEARCH("R56",G373)),0)+IFERROR(--ISNUMBER(SEARCH("R58",G373)),0)+IFERROR(--ISNUMBER(SEARCH("R59",G373)),0)+IFERROR(--ISNUMBER(SEARCH("R60",G373)),0)+IFERROR(--ISNUMBER(SEARCH("R62",G373)),0)+IFERROR(--ISNUMBER(SEARCH("R63",G373)),0)+IFERROR(--ISNUMBER(SEARCH("R64",G373)),0)+IFERROR(--ISNUMBER(SEARCH("R66",G373)),0)+IFERROR(--ISNUMBER(SEARCH("R67",G373)),0)+IFERROR(--ISNUMBER(SEARCH("R72",G373)),0)+IFERROR(--ISNUMBER(SEARCH("R74",G373)),0)+IFERROR(--ISNUMBER(SEARCH("R75",G373)),0)+IFERROR(--ISNUMBER(SEARCH("R76",G373)),0)+IFERROR(--ISNUMBER(SEARCH("R77",G373)),0)+IFERROR(--ISNUMBER(SEARCH("R79",G373)),0)+IFERROR(--ISNUMBER(SEARCH("R80",G373)),0)+IFERROR(--ISNUMBER(SEARCH("R81",G373)),0)+IFERROR(--ISNUMBER(SEARCH("R83",G373)),0)+IFERROR(--ISNUMBER(SEARCH("R84",G373)),0)+IFERROR(--ISNUMBER(SEARCH("R89",G373)),0)+IFERROR(--ISNUMBER(SEARCH("R94",G373)),0)+IFERROR(--ISNUMBER(SEARCH("R95",G373)),0)+IFERROR(--ISNUMBER(SEARCH("R96",G373)),0)+IFERROR(--ISNUMBER(SEARCH("R98",G373)),0)+IFERROR(--ISNUMBER(SEARCH("R99",G373)),0)+IFERROR(--ISNUMBER(SEARCH("R100",G373)),0)+IFERROR(--ISNUMBER(SEARCH("R104",G373)),0)+IFERROR(--ISNUMBER(SEARCH("R105",G373)),0)+IFERROR(--ISNUMBER(SEARCH("R107",G373)),0)+IFERROR(--ISNUMBER(SEARCH("R108",G373)),0)+IFERROR(--ISNUMBER(SEARCH("R109",G373)),0)+IFERROR(--ISNUMBER(SEARCH("R110",G373)),0)+IFERROR(--ISNUMBER(SEARCH("R112",G373)),0)+IFERROR(--ISNUMBER(SEARCH("R113",G373)),0)+IFERROR(--ISNUMBER(SEARCH("R114",G373)),0)+IFERROR(--ISNUMBER(SEARCH("R118",G373)),0)+IFERROR(--ISNUMBER(SEARCH("R119",G373)),0)+IFERROR(--ISNUMBER(SEARCH("R120",G373)),0)+IFERROR(--ISNUMBER(SEARCH("R122",G373)),0)+IFERROR(--ISNUMBER(SEARCH("R123",G373)),0)+IFERROR(--ISNUMBER(SEARCH("R124",G373)),0)+IFERROR(--ISNUMBER(SEARCH("R128",G373)),0)+IFERROR(--ISNUMBER(SEARCH("R130",G373)),0)+IFERROR(--ISNUMBER(SEARCH("R131",G373)),0)+IFERROR(--ISNUMBER(SEARCH("R132",G373)),0)+IFERROR(--ISNUMBER(SEARCH("R135",G373)),0)+IFERROR(--ISNUMBER(SEARCH("R138",G373)),0)+IFERROR(--ISNUMBER(SEARCH("R141",G373)),0))</f>
        <v/>
      </c>
      <c r="U373" s="58">
        <f>IF(A373="","",IFERROR(--ISNUMBER(SEARCH("R28",G373))*28,0)+IFERROR(--ISNUMBER(SEARCH("R29",G373))*29,0)+IFERROR(--ISNUMBER(SEARCH("R30",G373))*30,0)+IFERROR(--ISNUMBER(SEARCH("R31",G373))*31,0)+IFERROR(--ISNUMBER(SEARCH("R32",G373))*32,0)+IFERROR(--ISNUMBER(SEARCH("R33",G373))*33,0)+IFERROR(--ISNUMBER(SEARCH("R34",G373))*34,0)+IFERROR(--ISNUMBER(SEARCH("R35",G373))*35,0)+IFERROR(--ISNUMBER(SEARCH("R36",G373))*36,0)+IFERROR(--ISNUMBER(SEARCH("R37",G373))*37,0)+IFERROR(--ISNUMBER(SEARCH("R38",G373))*38,0)+IFERROR(--ISNUMBER(SEARCH("R39",G373))*39,0)+IFERROR(--ISNUMBER(SEARCH("R40",G373))*40,0)+IFERROR(--ISNUMBER(SEARCH("R41",G373))*41,0)+IFERROR(--ISNUMBER(SEARCH("R42",G373))*42,0)+IFERROR(--ISNUMBER(SEARCH("R43",G373))*43,0)+IFERROR(--ISNUMBER(SEARCH("R44",G373))*44,0)+IFERROR(--ISNUMBER(SEARCH("R45",G373))*45,0)+IFERROR(--ISNUMBER(SEARCH("R46",G373))*46,0)+IFERROR(--ISNUMBER(SEARCH("R47",G373))*47,0)+IFERROR(--ISNUMBER(SEARCH("R48",G373))*48,0)+IFERROR(--ISNUMBER(SEARCH("R49",G373))*49,0)+IFERROR(--ISNUMBER(SEARCH("R50",G373))*50,0)+IFERROR(--ISNUMBER(SEARCH("R51",G373))*51,0)+IFERROR(--ISNUMBER(SEARCH("R52",G373))*52,0)+IFERROR(--ISNUMBER(SEARCH("R53",G373))*53,0)+IFERROR(--ISNUMBER(SEARCH("R54",G373))*54,0)+IFERROR(--ISNUMBER(SEARCH("R55",G373))*55,0)+IFERROR(--ISNUMBER(SEARCH("R56",G373))*56,0)+IFERROR(--ISNUMBER(SEARCH("R57",G373))*57,0)+IFERROR(--ISNUMBER(SEARCH("R58",G373))*58,0)+IFERROR(--ISNUMBER(SEARCH("R59",G373))*59,0)+IFERROR(--ISNUMBER(SEARCH("R60",G373))*60,0)+IFERROR(--ISNUMBER(SEARCH("R61",G373))*61,0)+IFERROR(--ISNUMBER(SEARCH("R62",G373))*62,0)+IFERROR(--ISNUMBER(SEARCH("R63",G373))*63,0)+IFERROR(--ISNUMBER(SEARCH("R64",G373))*64,0)+IFERROR(--ISNUMBER(SEARCH("R65",G373))*65,0)+IFERROR(--ISNUMBER(SEARCH("R66",G373))*66,0)+IFERROR(--ISNUMBER(SEARCH("R67",G373))*67,0)+IFERROR(--ISNUMBER(SEARCH("R68",G373))*68,0)+IFERROR(--ISNUMBER(SEARCH("R69",G373))*69,0)+IFERROR(--ISNUMBER(SEARCH("R70",G373))*70,0)+IFERROR(--ISNUMBER(SEARCH("R71",G373))*71,0)+IFERROR(--ISNUMBER(SEARCH("R72",G373))*72,0)+IFERROR(--ISNUMBER(SEARCH("R73",G373))*73,0)+IFERROR(--ISNUMBER(SEARCH("R74",G373))*74,0)+IFERROR(--ISNUMBER(SEARCH("R75",G373))*75,0)+IFERROR(--ISNUMBER(SEARCH("R76",G373))*76,0)+IFERROR(--ISNUMBER(SEARCH("R77",G373))*77,0)+IFERROR(--ISNUMBER(SEARCH("R78",G373))*78,0)+IFERROR(--ISNUMBER(SEARCH("R79",G373))*79,0)+IFERROR(--ISNUMBER(SEARCH("R80",G373))*80,0)+IFERROR(--ISNUMBER(SEARCH("R81",G373))*81,0)+IFERROR(--ISNUMBER(SEARCH("R82",G373))*82,0)+IFERROR(--ISNUMBER(SEARCH("R83",G373))*83,0)+IFERROR(--ISNUMBER(SEARCH("R84",G373))*84,0)+IFERROR(--ISNUMBER(SEARCH("R85",G373))*85,0)+IFERROR(--ISNUMBER(SEARCH("R86",G373))*86,0)+IFERROR(--ISNUMBER(SEARCH("R87",G373))*87,0)+IFERROR(--ISNUMBER(SEARCH("R88",G373))*88,0)+IFERROR(--ISNUMBER(SEARCH("R89",G373))*89,0)+IFERROR(--ISNUMBER(SEARCH("R90",G373))*90,0)+IFERROR(--ISNUMBER(SEARCH("R91",G373))*91,0)+IFERROR(--ISNUMBER(SEARCH("R92",G373))*92,0)+IFERROR(--ISNUMBER(SEARCH("R93",G373))*93,0)+IFERROR(--ISNUMBER(SEARCH("R94",G373))*94,0)+IFERROR(--ISNUMBER(SEARCH("R95",G373))*95,0)+IFERROR(--ISNUMBER(SEARCH("R96",G373))*96,0)+IFERROR(--ISNUMBER(SEARCH("R97",G373))*97,0)+IFERROR(--ISNUMBER(SEARCH("R98",G373))*98,0)+IFERROR(--ISNUMBER(SEARCH("R99",G373))*99,0)+IFERROR(--ISNUMBER(SEARCH("R100",G373))*100,0)+IFERROR(--ISNUMBER(SEARCH("R101",G373))*101,0)+IFERROR(--ISNUMBER(SEARCH("R102",G373))*102,0)+IFERROR(--ISNUMBER(SEARCH("R103",G373))*103,0)+IFERROR(--ISNUMBER(SEARCH("R104",G373))*104,0)+IFERROR(--ISNUMBER(SEARCH("R105",G373))*105,0)+IFERROR(--ISNUMBER(SEARCH("R106",G373))*106,0)+IFERROR(--ISNUMBER(SEARCH("R107",G373))*107,0)+IFERROR(--ISNUMBER(SEARCH("R108",G373))*108,0)+IFERROR(--ISNUMBER(SEARCH("R109",G373))*109,0)+IFERROR(--ISNUMBER(SEARCH("R110",G373))*110,0)+IFERROR(--ISNUMBER(SEARCH("R111",G373))*111,0)+IFERROR(--ISNUMBER(SEARCH("R112",G373))*112,0)+IFERROR(--ISNUMBER(SEARCH("R113",G373))*113,0)+IFERROR(--ISNUMBER(SEARCH("R114",G373))*114,0)+IFERROR(--ISNUMBER(SEARCH("R115",G373))*115,0)+IFERROR(--ISNUMBER(SEARCH("R116",G373))*116,0)+IFERROR(--ISNUMBER(SEARCH("R117",G373))*117,0)+IFERROR(--ISNUMBER(SEARCH("R118",G373))*118,0)+IFERROR(--ISNUMBER(SEARCH("R119",G373))*119,0)+IFERROR(--ISNUMBER(SEARCH("R120",G373))*120,0)+IFERROR(--ISNUMBER(SEARCH("R121",G373))*121,0)+IFERROR(--ISNUMBER(SEARCH("R122",G373))*122,0)+IFERROR(--ISNUMBER(SEARCH("R123",G373))*123,0)+IFERROR(--ISNUMBER(SEARCH("R124",G373))*124,0)+IFERROR(--ISNUMBER(SEARCH("R125",G373))*125,0)+IFERROR(--ISNUMBER(SEARCH("R126",G373))*126,0)+IFERROR(--ISNUMBER(SEARCH("R127",G373))*127,0)+IFERROR(--ISNUMBER(SEARCH("R128",G373))*128,0)+IFERROR(--ISNUMBER(SEARCH("R129",G373))*129,0)+IFERROR(--ISNUMBER(SEARCH("R130",G373))*130,0)+IFERROR(--ISNUMBER(SEARCH("R131",G373))*131,0)+IFERROR(--ISNUMBER(SEARCH("R132",G373))*132,0)+IFERROR(--ISNUMBER(SEARCH("R133",G373))*133,0)+IFERROR(--ISNUMBER(SEARCH("R134",G373))*134,0)+IFERROR(--ISNUMBER(SEARCH("R135",G373))*135,0)+IFERROR(--ISNUMBER(SEARCH("R136",G373))*136,0)+IFERROR(--ISNUMBER(SEARCH("R137",G373))*137,0)+IFERROR(--ISNUMBER(SEARCH("R138",G373))*138,0)+IFERROR(--ISNUMBER(SEARCH("R139",G373))*139,0)+IFERROR(--ISNUMBER(SEARCH("R140",G373))*140,0)+IFERROR(--ISNUMBER(SEARCH("R141",G373))*141,0))</f>
        <v/>
      </c>
      <c r="V373" s="59">
        <f>IF(A373="","",IF(K373&lt;&gt;"",K373,J373))</f>
        <v/>
      </c>
      <c r="W373" s="59">
        <f>IF(A373="","",IF(AND(V373=29,O373&lt;&gt;"",COUNTIFS($V$6:$V$505,29,$F$6:$F$505,F373,$C$6:$C$505,C373,$O$6:$O$505,"&lt;&gt;")&gt;1),IF(COUNTIFS($V$6:V373,29,$F$6:F373,F373,$C$6:C373,C373,$O$6:O373,"&lt;&gt;")=1,"Esta es la fila que se debe CONSERVAR (aparición 1 de "&amp;COUNTIFS($V$6:$V$505,29,$F$6:$F$505,F373,$C$6:$C$505,C373,$O$6:$O$505,"&lt;&gt;")&amp;" con el mismo tercero y valor, casilla 29). Si hay más filas iguales, bórreles el valor a ELLAS, no a esta.","DUPLICADO — ya existe otra fila con el mismo tercero y valor para casilla 29 (aparición "&amp;COUNTIFS($V$6:V373,29,$F$6:F373,F373,$C$6:C373,C373,$O$6:O373,"&lt;&gt;")&amp;" de "&amp;COUNTIFS($V$6:$V$505,29,$F$6:$F$505,F373,$C$6:$C$505,C373,$O$6:$O$505,"&lt;&gt;")&amp;"). Para resolverlo: seleccione la celda O"&amp;ROW()&amp;" (columna Valor a declarar de ESTA fila) y presione Supr."),""))</f>
        <v/>
      </c>
      <c r="X373" s="463">
        <f>IF(A373="","",F373)</f>
        <v/>
      </c>
      <c r="Y373" s="463">
        <f>IF(A373="","",SUMIF(Entrada_Manual!$I$88:$I$187,A373,Entrada_Manual!$F$88:$F$187))</f>
        <v/>
      </c>
      <c r="Z373" s="463">
        <f>IF(A373="","",X373-Y373)</f>
        <v/>
      </c>
      <c r="AA373">
        <f>IF(A373="","",SUMPRODUCT((Entrada_Manual!$I$88:$I$187=A373)*1))</f>
        <v/>
      </c>
      <c r="AB373">
        <f>IF(A373="","",IF(S373&lt;=1,"",IF(AA373=0,"PENDIENTE — SIN ASIGNAR",IF(Z373=0,"RESUELTO","PARCIAL — DIFERENCIA "&amp;TEXT(Z373,"#,##0")))))</f>
        <v/>
      </c>
    </row>
    <row r="374" ht="14.25" customHeight="1" s="235">
      <c r="A374" s="47">
        <f>IF(Exogena_RAW!E383&lt;&gt;"",ROW()-5,"")</f>
        <v/>
      </c>
      <c r="B374" s="48">
        <f>IF(A374="","",383)</f>
        <v/>
      </c>
      <c r="C374" s="48">
        <f>IF(A374="","",IFERROR(Exogena_RAW!A383,""))</f>
        <v/>
      </c>
      <c r="D374" s="48">
        <f>IF(A374="","",IFERROR(Exogena_RAW!B383,""))</f>
        <v/>
      </c>
      <c r="E374" s="48">
        <f>IF(A374="","",Exogena_RAW!E383)</f>
        <v/>
      </c>
      <c r="F374" s="461">
        <f>IF(A374="","",Exogena_RAW!F383)</f>
        <v/>
      </c>
      <c r="G374" s="48">
        <f>IF(A374="","",IFERROR(Exogena_RAW!G383,""))</f>
        <v/>
      </c>
      <c r="H374" s="48">
        <f>IF(A374="","",IFERROR(Exogena_RAW!H383,""))</f>
        <v/>
      </c>
      <c r="I374" s="48">
        <f>IF(A374="","",IFERROR(IF(S374&gt;1,"VARIAS CASILLAS",IF(S374=1,IF(T374=1,"PROPUESTA DE CASILLA","REVISIÓN: CASILLA NO DIRECTA"),IF(OR(ISNUMBER(SEARCH("TOPE",UPPER(E374))),ISNUMBER(SEARCH("TOPE",UPPER(G374)))),"SOLO CONTROL",IF(ISNUMBER(SEARCH("RETEN",UPPER(E374))),"RETENCIÓN","REVISAR")))),"REVISAR"))</f>
        <v/>
      </c>
      <c r="J374" s="48">
        <f>IF(A374="","",IF(ISNUMBER(SEARCH("ingreso laboral promedio de los últimos seis meses",E374)),"",IFERROR(IF(AND(S374=1,T374=1),U374,""),"")))</f>
        <v/>
      </c>
      <c r="K374" s="216" t="n"/>
      <c r="L374" s="48">
        <f>IF(A374="","",IFERROR(IF(K374&lt;&gt;"","Casilla elegida por usuario",IF(S374&gt;1,"Varias casillas — elegir en K",IF(J374&lt;&gt;"","Sugerencia directa",IF(S374=1,"No trasladar directo — revisar",IF(OR(ISNUMBER(SEARCH("TOPE",UPPER(E374))),ISNUMBER(SEARCH("TOPE",UPPER(G374)))),"Solo control","Revisar manualmente"))))),"Revisar manualmente"))</f>
        <v/>
      </c>
      <c r="M374" s="461">
        <f>IF(A374="","",IF(IF(K374&lt;&gt;"",K374,J374)="",0,IF(COUNTIFS(Reglas!$I$5:$I$118,IF(K374&lt;&gt;"",K374,J374),Reglas!$J$5:$J$118,"Sí")=1,F374,0)))</f>
        <v/>
      </c>
      <c r="N374" s="56" t="n"/>
      <c r="O374" s="462">
        <f>IF(A374="","",IF(M374=0,"",M374))</f>
        <v/>
      </c>
      <c r="P374" s="461">
        <f>IF(A374="","",IF(O374="",0,IF(ISNUMBER(O374),O374,0)))</f>
        <v/>
      </c>
      <c r="Q374" s="48">
        <f>IF(A374="","",IF(Exogena_RAW!$C$4="","BLOQUEADO: FALTA AÑO",IF(Exogena_RAW!$K$10&lt;&gt;Reglas!$B$5,"BLOQUEADO: AÑO",IF(IF(K374&lt;&gt;"",K374,J374)="",IF(S374&gt;1,"REQUIERE ASIGNACIÓN MANUAL (VARIAS CASILLAS)","INFORMATIVO (sin casilla — no se declara)"),IF(COUNTIFS(Reglas!$I$5:$I$118,IF(K374&lt;&gt;"",K374,J374),Reglas!$J$5:$J$118,"Sí")=0,"BLOQUEADO: CASILLA NO DIRECTA",IF(O374="","EXCLUIDO (valor borrado por el usuario)",IF(_xlfn.ISFORMULA(O374),IF(W374&lt;&gt;"","BORRADOR — VALOR SUGERIDO DIAN ⚠ VER ALERTA","BORRADOR — VALOR SUGERIDO DIAN"),IF(W374&lt;&gt;"","ACEPTADO ⚠ VER ALERTA","ACEPTADO"))))))))</f>
        <v/>
      </c>
      <c r="R374" s="218" t="n"/>
      <c r="S374" s="58">
        <f>IF(A374="","",IFERROR(--ISNUMBER(SEARCH("R28",G374)),0)+IFERROR(--ISNUMBER(SEARCH("R29",G374)),0)+IFERROR(--ISNUMBER(SEARCH("R30",G374)),0)+IFERROR(--ISNUMBER(SEARCH("R31",G374)),0)+IFERROR(--ISNUMBER(SEARCH("R32",G374)),0)+IFERROR(--ISNUMBER(SEARCH("R33",G374)),0)+IFERROR(--ISNUMBER(SEARCH("R34",G374)),0)+IFERROR(--ISNUMBER(SEARCH("R35",G374)),0)+IFERROR(--ISNUMBER(SEARCH("R36",G374)),0)+IFERROR(--ISNUMBER(SEARCH("R37",G374)),0)+IFERROR(--ISNUMBER(SEARCH("R38",G374)),0)+IFERROR(--ISNUMBER(SEARCH("R39",G374)),0)+IFERROR(--ISNUMBER(SEARCH("R40",G374)),0)+IFERROR(--ISNUMBER(SEARCH("R41",G374)),0)+IFERROR(--ISNUMBER(SEARCH("R42",G374)),0)+IFERROR(--ISNUMBER(SEARCH("R43",G374)),0)+IFERROR(--ISNUMBER(SEARCH("R44",G374)),0)+IFERROR(--ISNUMBER(SEARCH("R45",G374)),0)+IFERROR(--ISNUMBER(SEARCH("R46",G374)),0)+IFERROR(--ISNUMBER(SEARCH("R47",G374)),0)+IFERROR(--ISNUMBER(SEARCH("R48",G374)),0)+IFERROR(--ISNUMBER(SEARCH("R49",G374)),0)+IFERROR(--ISNUMBER(SEARCH("R50",G374)),0)+IFERROR(--ISNUMBER(SEARCH("R51",G374)),0)+IFERROR(--ISNUMBER(SEARCH("R52",G374)),0)+IFERROR(--ISNUMBER(SEARCH("R53",G374)),0)+IFERROR(--ISNUMBER(SEARCH("R54",G374)),0)+IFERROR(--ISNUMBER(SEARCH("R55",G374)),0)+IFERROR(--ISNUMBER(SEARCH("R56",G374)),0)+IFERROR(--ISNUMBER(SEARCH("R57",G374)),0)+IFERROR(--ISNUMBER(SEARCH("R58",G374)),0)+IFERROR(--ISNUMBER(SEARCH("R59",G374)),0)+IFERROR(--ISNUMBER(SEARCH("R60",G374)),0)+IFERROR(--ISNUMBER(SEARCH("R61",G374)),0)+IFERROR(--ISNUMBER(SEARCH("R62",G374)),0)+IFERROR(--ISNUMBER(SEARCH("R63",G374)),0)+IFERROR(--ISNUMBER(SEARCH("R64",G374)),0)+IFERROR(--ISNUMBER(SEARCH("R65",G374)),0)+IFERROR(--ISNUMBER(SEARCH("R66",G374)),0)+IFERROR(--ISNUMBER(SEARCH("R67",G374)),0)+IFERROR(--ISNUMBER(SEARCH("R68",G374)),0)+IFERROR(--ISNUMBER(SEARCH("R69",G374)),0)+IFERROR(--ISNUMBER(SEARCH("R70",G374)),0)+IFERROR(--ISNUMBER(SEARCH("R71",G374)),0)+IFERROR(--ISNUMBER(SEARCH("R72",G374)),0)+IFERROR(--ISNUMBER(SEARCH("R73",G374)),0)+IFERROR(--ISNUMBER(SEARCH("R74",G374)),0)+IFERROR(--ISNUMBER(SEARCH("R75",G374)),0)+IFERROR(--ISNUMBER(SEARCH("R76",G374)),0)+IFERROR(--ISNUMBER(SEARCH("R77",G374)),0)+IFERROR(--ISNUMBER(SEARCH("R78",G374)),0)+IFERROR(--ISNUMBER(SEARCH("R79",G374)),0)+IFERROR(--ISNUMBER(SEARCH("R80",G374)),0)+IFERROR(--ISNUMBER(SEARCH("R81",G374)),0)+IFERROR(--ISNUMBER(SEARCH("R82",G374)),0)+IFERROR(--ISNUMBER(SEARCH("R83",G374)),0)+IFERROR(--ISNUMBER(SEARCH("R84",G374)),0)+IFERROR(--ISNUMBER(SEARCH("R85",G374)),0)+IFERROR(--ISNUMBER(SEARCH("R86",G374)),0)+IFERROR(--ISNUMBER(SEARCH("R87",G374)),0)+IFERROR(--ISNUMBER(SEARCH("R88",G374)),0)+IFERROR(--ISNUMBER(SEARCH("R89",G374)),0)+IFERROR(--ISNUMBER(SEARCH("R90",G374)),0)+IFERROR(--ISNUMBER(SEARCH("R91",G374)),0)+IFERROR(--ISNUMBER(SEARCH("R92",G374)),0)+IFERROR(--ISNUMBER(SEARCH("R93",G374)),0)+IFERROR(--ISNUMBER(SEARCH("R94",G374)),0)+IFERROR(--ISNUMBER(SEARCH("R95",G374)),0)+IFERROR(--ISNUMBER(SEARCH("R96",G374)),0)+IFERROR(--ISNUMBER(SEARCH("R97",G374)),0)+IFERROR(--ISNUMBER(SEARCH("R98",G374)),0)+IFERROR(--ISNUMBER(SEARCH("R99",G374)),0)+IFERROR(--ISNUMBER(SEARCH("R100",G374)),0)+IFERROR(--ISNUMBER(SEARCH("R101",G374)),0)+IFERROR(--ISNUMBER(SEARCH("R102",G374)),0)+IFERROR(--ISNUMBER(SEARCH("R103",G374)),0)+IFERROR(--ISNUMBER(SEARCH("R104",G374)),0)+IFERROR(--ISNUMBER(SEARCH("R105",G374)),0)+IFERROR(--ISNUMBER(SEARCH("R106",G374)),0)+IFERROR(--ISNUMBER(SEARCH("R107",G374)),0)+IFERROR(--ISNUMBER(SEARCH("R108",G374)),0)+IFERROR(--ISNUMBER(SEARCH("R109",G374)),0)+IFERROR(--ISNUMBER(SEARCH("R110",G374)),0)+IFERROR(--ISNUMBER(SEARCH("R111",G374)),0)+IFERROR(--ISNUMBER(SEARCH("R112",G374)),0)+IFERROR(--ISNUMBER(SEARCH("R113",G374)),0)+IFERROR(--ISNUMBER(SEARCH("R114",G374)),0)+IFERROR(--ISNUMBER(SEARCH("R115",G374)),0)+IFERROR(--ISNUMBER(SEARCH("R116",G374)),0)+IFERROR(--ISNUMBER(SEARCH("R117",G374)),0)+IFERROR(--ISNUMBER(SEARCH("R118",G374)),0)+IFERROR(--ISNUMBER(SEARCH("R119",G374)),0)+IFERROR(--ISNUMBER(SEARCH("R120",G374)),0)+IFERROR(--ISNUMBER(SEARCH("R121",G374)),0)+IFERROR(--ISNUMBER(SEARCH("R122",G374)),0)+IFERROR(--ISNUMBER(SEARCH("R123",G374)),0)+IFERROR(--ISNUMBER(SEARCH("R124",G374)),0)+IFERROR(--ISNUMBER(SEARCH("R125",G374)),0)+IFERROR(--ISNUMBER(SEARCH("R126",G374)),0)+IFERROR(--ISNUMBER(SEARCH("R127",G374)),0)+IFERROR(--ISNUMBER(SEARCH("R128",G374)),0)+IFERROR(--ISNUMBER(SEARCH("R129",G374)),0)+IFERROR(--ISNUMBER(SEARCH("R130",G374)),0)+IFERROR(--ISNUMBER(SEARCH("R131",G374)),0)+IFERROR(--ISNUMBER(SEARCH("R132",G374)),0)+IFERROR(--ISNUMBER(SEARCH("R133",G374)),0)+IFERROR(--ISNUMBER(SEARCH("R134",G374)),0)+IFERROR(--ISNUMBER(SEARCH("R135",G374)),0)+IFERROR(--ISNUMBER(SEARCH("R136",G374)),0)+IFERROR(--ISNUMBER(SEARCH("R137",G374)),0)+IFERROR(--ISNUMBER(SEARCH("R138",G374)),0)+IFERROR(--ISNUMBER(SEARCH("R139",G374)),0)+IFERROR(--ISNUMBER(SEARCH("R140",G374)),0)+IFERROR(--ISNUMBER(SEARCH("R141",G374)),0))</f>
        <v/>
      </c>
      <c r="T374" s="58">
        <f>IF(A374="","",IFERROR(--ISNUMBER(SEARCH("R28",G374)),0)+IFERROR(--ISNUMBER(SEARCH("R29",G374)),0)+IFERROR(--ISNUMBER(SEARCH("R30",G374)),0)+IFERROR(--ISNUMBER(SEARCH("R32",G374)),0)+IFERROR(--ISNUMBER(SEARCH("R33",G374)),0)+IFERROR(--ISNUMBER(SEARCH("R35",G374)),0)+IFERROR(--ISNUMBER(SEARCH("R36",G374)),0)+IFERROR(--ISNUMBER(SEARCH("R38",G374)),0)+IFERROR(--ISNUMBER(SEARCH("R39",G374)),0)+IFERROR(--ISNUMBER(SEARCH("R43",G374)),0)+IFERROR(--ISNUMBER(SEARCH("R44",G374)),0)+IFERROR(--ISNUMBER(SEARCH("R45",G374)),0)+IFERROR(--ISNUMBER(SEARCH("R47",G374)),0)+IFERROR(--ISNUMBER(SEARCH("R48",G374)),0)+IFERROR(--ISNUMBER(SEARCH("R50",G374)),0)+IFERROR(--ISNUMBER(SEARCH("R51",G374)),0)+IFERROR(--ISNUMBER(SEARCH("R56",G374)),0)+IFERROR(--ISNUMBER(SEARCH("R58",G374)),0)+IFERROR(--ISNUMBER(SEARCH("R59",G374)),0)+IFERROR(--ISNUMBER(SEARCH("R60",G374)),0)+IFERROR(--ISNUMBER(SEARCH("R62",G374)),0)+IFERROR(--ISNUMBER(SEARCH("R63",G374)),0)+IFERROR(--ISNUMBER(SEARCH("R64",G374)),0)+IFERROR(--ISNUMBER(SEARCH("R66",G374)),0)+IFERROR(--ISNUMBER(SEARCH("R67",G374)),0)+IFERROR(--ISNUMBER(SEARCH("R72",G374)),0)+IFERROR(--ISNUMBER(SEARCH("R74",G374)),0)+IFERROR(--ISNUMBER(SEARCH("R75",G374)),0)+IFERROR(--ISNUMBER(SEARCH("R76",G374)),0)+IFERROR(--ISNUMBER(SEARCH("R77",G374)),0)+IFERROR(--ISNUMBER(SEARCH("R79",G374)),0)+IFERROR(--ISNUMBER(SEARCH("R80",G374)),0)+IFERROR(--ISNUMBER(SEARCH("R81",G374)),0)+IFERROR(--ISNUMBER(SEARCH("R83",G374)),0)+IFERROR(--ISNUMBER(SEARCH("R84",G374)),0)+IFERROR(--ISNUMBER(SEARCH("R89",G374)),0)+IFERROR(--ISNUMBER(SEARCH("R94",G374)),0)+IFERROR(--ISNUMBER(SEARCH("R95",G374)),0)+IFERROR(--ISNUMBER(SEARCH("R96",G374)),0)+IFERROR(--ISNUMBER(SEARCH("R98",G374)),0)+IFERROR(--ISNUMBER(SEARCH("R99",G374)),0)+IFERROR(--ISNUMBER(SEARCH("R100",G374)),0)+IFERROR(--ISNUMBER(SEARCH("R104",G374)),0)+IFERROR(--ISNUMBER(SEARCH("R105",G374)),0)+IFERROR(--ISNUMBER(SEARCH("R107",G374)),0)+IFERROR(--ISNUMBER(SEARCH("R108",G374)),0)+IFERROR(--ISNUMBER(SEARCH("R109",G374)),0)+IFERROR(--ISNUMBER(SEARCH("R110",G374)),0)+IFERROR(--ISNUMBER(SEARCH("R112",G374)),0)+IFERROR(--ISNUMBER(SEARCH("R113",G374)),0)+IFERROR(--ISNUMBER(SEARCH("R114",G374)),0)+IFERROR(--ISNUMBER(SEARCH("R118",G374)),0)+IFERROR(--ISNUMBER(SEARCH("R119",G374)),0)+IFERROR(--ISNUMBER(SEARCH("R120",G374)),0)+IFERROR(--ISNUMBER(SEARCH("R122",G374)),0)+IFERROR(--ISNUMBER(SEARCH("R123",G374)),0)+IFERROR(--ISNUMBER(SEARCH("R124",G374)),0)+IFERROR(--ISNUMBER(SEARCH("R128",G374)),0)+IFERROR(--ISNUMBER(SEARCH("R130",G374)),0)+IFERROR(--ISNUMBER(SEARCH("R131",G374)),0)+IFERROR(--ISNUMBER(SEARCH("R132",G374)),0)+IFERROR(--ISNUMBER(SEARCH("R135",G374)),0)+IFERROR(--ISNUMBER(SEARCH("R138",G374)),0)+IFERROR(--ISNUMBER(SEARCH("R141",G374)),0))</f>
        <v/>
      </c>
      <c r="U374" s="58">
        <f>IF(A374="","",IFERROR(--ISNUMBER(SEARCH("R28",G374))*28,0)+IFERROR(--ISNUMBER(SEARCH("R29",G374))*29,0)+IFERROR(--ISNUMBER(SEARCH("R30",G374))*30,0)+IFERROR(--ISNUMBER(SEARCH("R31",G374))*31,0)+IFERROR(--ISNUMBER(SEARCH("R32",G374))*32,0)+IFERROR(--ISNUMBER(SEARCH("R33",G374))*33,0)+IFERROR(--ISNUMBER(SEARCH("R34",G374))*34,0)+IFERROR(--ISNUMBER(SEARCH("R35",G374))*35,0)+IFERROR(--ISNUMBER(SEARCH("R36",G374))*36,0)+IFERROR(--ISNUMBER(SEARCH("R37",G374))*37,0)+IFERROR(--ISNUMBER(SEARCH("R38",G374))*38,0)+IFERROR(--ISNUMBER(SEARCH("R39",G374))*39,0)+IFERROR(--ISNUMBER(SEARCH("R40",G374))*40,0)+IFERROR(--ISNUMBER(SEARCH("R41",G374))*41,0)+IFERROR(--ISNUMBER(SEARCH("R42",G374))*42,0)+IFERROR(--ISNUMBER(SEARCH("R43",G374))*43,0)+IFERROR(--ISNUMBER(SEARCH("R44",G374))*44,0)+IFERROR(--ISNUMBER(SEARCH("R45",G374))*45,0)+IFERROR(--ISNUMBER(SEARCH("R46",G374))*46,0)+IFERROR(--ISNUMBER(SEARCH("R47",G374))*47,0)+IFERROR(--ISNUMBER(SEARCH("R48",G374))*48,0)+IFERROR(--ISNUMBER(SEARCH("R49",G374))*49,0)+IFERROR(--ISNUMBER(SEARCH("R50",G374))*50,0)+IFERROR(--ISNUMBER(SEARCH("R51",G374))*51,0)+IFERROR(--ISNUMBER(SEARCH("R52",G374))*52,0)+IFERROR(--ISNUMBER(SEARCH("R53",G374))*53,0)+IFERROR(--ISNUMBER(SEARCH("R54",G374))*54,0)+IFERROR(--ISNUMBER(SEARCH("R55",G374))*55,0)+IFERROR(--ISNUMBER(SEARCH("R56",G374))*56,0)+IFERROR(--ISNUMBER(SEARCH("R57",G374))*57,0)+IFERROR(--ISNUMBER(SEARCH("R58",G374))*58,0)+IFERROR(--ISNUMBER(SEARCH("R59",G374))*59,0)+IFERROR(--ISNUMBER(SEARCH("R60",G374))*60,0)+IFERROR(--ISNUMBER(SEARCH("R61",G374))*61,0)+IFERROR(--ISNUMBER(SEARCH("R62",G374))*62,0)+IFERROR(--ISNUMBER(SEARCH("R63",G374))*63,0)+IFERROR(--ISNUMBER(SEARCH("R64",G374))*64,0)+IFERROR(--ISNUMBER(SEARCH("R65",G374))*65,0)+IFERROR(--ISNUMBER(SEARCH("R66",G374))*66,0)+IFERROR(--ISNUMBER(SEARCH("R67",G374))*67,0)+IFERROR(--ISNUMBER(SEARCH("R68",G374))*68,0)+IFERROR(--ISNUMBER(SEARCH("R69",G374))*69,0)+IFERROR(--ISNUMBER(SEARCH("R70",G374))*70,0)+IFERROR(--ISNUMBER(SEARCH("R71",G374))*71,0)+IFERROR(--ISNUMBER(SEARCH("R72",G374))*72,0)+IFERROR(--ISNUMBER(SEARCH("R73",G374))*73,0)+IFERROR(--ISNUMBER(SEARCH("R74",G374))*74,0)+IFERROR(--ISNUMBER(SEARCH("R75",G374))*75,0)+IFERROR(--ISNUMBER(SEARCH("R76",G374))*76,0)+IFERROR(--ISNUMBER(SEARCH("R77",G374))*77,0)+IFERROR(--ISNUMBER(SEARCH("R78",G374))*78,0)+IFERROR(--ISNUMBER(SEARCH("R79",G374))*79,0)+IFERROR(--ISNUMBER(SEARCH("R80",G374))*80,0)+IFERROR(--ISNUMBER(SEARCH("R81",G374))*81,0)+IFERROR(--ISNUMBER(SEARCH("R82",G374))*82,0)+IFERROR(--ISNUMBER(SEARCH("R83",G374))*83,0)+IFERROR(--ISNUMBER(SEARCH("R84",G374))*84,0)+IFERROR(--ISNUMBER(SEARCH("R85",G374))*85,0)+IFERROR(--ISNUMBER(SEARCH("R86",G374))*86,0)+IFERROR(--ISNUMBER(SEARCH("R87",G374))*87,0)+IFERROR(--ISNUMBER(SEARCH("R88",G374))*88,0)+IFERROR(--ISNUMBER(SEARCH("R89",G374))*89,0)+IFERROR(--ISNUMBER(SEARCH("R90",G374))*90,0)+IFERROR(--ISNUMBER(SEARCH("R91",G374))*91,0)+IFERROR(--ISNUMBER(SEARCH("R92",G374))*92,0)+IFERROR(--ISNUMBER(SEARCH("R93",G374))*93,0)+IFERROR(--ISNUMBER(SEARCH("R94",G374))*94,0)+IFERROR(--ISNUMBER(SEARCH("R95",G374))*95,0)+IFERROR(--ISNUMBER(SEARCH("R96",G374))*96,0)+IFERROR(--ISNUMBER(SEARCH("R97",G374))*97,0)+IFERROR(--ISNUMBER(SEARCH("R98",G374))*98,0)+IFERROR(--ISNUMBER(SEARCH("R99",G374))*99,0)+IFERROR(--ISNUMBER(SEARCH("R100",G374))*100,0)+IFERROR(--ISNUMBER(SEARCH("R101",G374))*101,0)+IFERROR(--ISNUMBER(SEARCH("R102",G374))*102,0)+IFERROR(--ISNUMBER(SEARCH("R103",G374))*103,0)+IFERROR(--ISNUMBER(SEARCH("R104",G374))*104,0)+IFERROR(--ISNUMBER(SEARCH("R105",G374))*105,0)+IFERROR(--ISNUMBER(SEARCH("R106",G374))*106,0)+IFERROR(--ISNUMBER(SEARCH("R107",G374))*107,0)+IFERROR(--ISNUMBER(SEARCH("R108",G374))*108,0)+IFERROR(--ISNUMBER(SEARCH("R109",G374))*109,0)+IFERROR(--ISNUMBER(SEARCH("R110",G374))*110,0)+IFERROR(--ISNUMBER(SEARCH("R111",G374))*111,0)+IFERROR(--ISNUMBER(SEARCH("R112",G374))*112,0)+IFERROR(--ISNUMBER(SEARCH("R113",G374))*113,0)+IFERROR(--ISNUMBER(SEARCH("R114",G374))*114,0)+IFERROR(--ISNUMBER(SEARCH("R115",G374))*115,0)+IFERROR(--ISNUMBER(SEARCH("R116",G374))*116,0)+IFERROR(--ISNUMBER(SEARCH("R117",G374))*117,0)+IFERROR(--ISNUMBER(SEARCH("R118",G374))*118,0)+IFERROR(--ISNUMBER(SEARCH("R119",G374))*119,0)+IFERROR(--ISNUMBER(SEARCH("R120",G374))*120,0)+IFERROR(--ISNUMBER(SEARCH("R121",G374))*121,0)+IFERROR(--ISNUMBER(SEARCH("R122",G374))*122,0)+IFERROR(--ISNUMBER(SEARCH("R123",G374))*123,0)+IFERROR(--ISNUMBER(SEARCH("R124",G374))*124,0)+IFERROR(--ISNUMBER(SEARCH("R125",G374))*125,0)+IFERROR(--ISNUMBER(SEARCH("R126",G374))*126,0)+IFERROR(--ISNUMBER(SEARCH("R127",G374))*127,0)+IFERROR(--ISNUMBER(SEARCH("R128",G374))*128,0)+IFERROR(--ISNUMBER(SEARCH("R129",G374))*129,0)+IFERROR(--ISNUMBER(SEARCH("R130",G374))*130,0)+IFERROR(--ISNUMBER(SEARCH("R131",G374))*131,0)+IFERROR(--ISNUMBER(SEARCH("R132",G374))*132,0)+IFERROR(--ISNUMBER(SEARCH("R133",G374))*133,0)+IFERROR(--ISNUMBER(SEARCH("R134",G374))*134,0)+IFERROR(--ISNUMBER(SEARCH("R135",G374))*135,0)+IFERROR(--ISNUMBER(SEARCH("R136",G374))*136,0)+IFERROR(--ISNUMBER(SEARCH("R137",G374))*137,0)+IFERROR(--ISNUMBER(SEARCH("R138",G374))*138,0)+IFERROR(--ISNUMBER(SEARCH("R139",G374))*139,0)+IFERROR(--ISNUMBER(SEARCH("R140",G374))*140,0)+IFERROR(--ISNUMBER(SEARCH("R141",G374))*141,0))</f>
        <v/>
      </c>
      <c r="V374" s="59">
        <f>IF(A374="","",IF(K374&lt;&gt;"",K374,J374))</f>
        <v/>
      </c>
      <c r="W374" s="59">
        <f>IF(A374="","",IF(AND(V374=29,O374&lt;&gt;"",COUNTIFS($V$6:$V$505,29,$F$6:$F$505,F374,$C$6:$C$505,C374,$O$6:$O$505,"&lt;&gt;")&gt;1),IF(COUNTIFS($V$6:V374,29,$F$6:F374,F374,$C$6:C374,C374,$O$6:O374,"&lt;&gt;")=1,"Esta es la fila que se debe CONSERVAR (aparición 1 de "&amp;COUNTIFS($V$6:$V$505,29,$F$6:$F$505,F374,$C$6:$C$505,C374,$O$6:$O$505,"&lt;&gt;")&amp;" con el mismo tercero y valor, casilla 29). Si hay más filas iguales, bórreles el valor a ELLAS, no a esta.","DUPLICADO — ya existe otra fila con el mismo tercero y valor para casilla 29 (aparición "&amp;COUNTIFS($V$6:V374,29,$F$6:F374,F374,$C$6:C374,C374,$O$6:O374,"&lt;&gt;")&amp;" de "&amp;COUNTIFS($V$6:$V$505,29,$F$6:$F$505,F374,$C$6:$C$505,C374,$O$6:$O$505,"&lt;&gt;")&amp;"). Para resolverlo: seleccione la celda O"&amp;ROW()&amp;" (columna Valor a declarar de ESTA fila) y presione Supr."),""))</f>
        <v/>
      </c>
      <c r="X374" s="463">
        <f>IF(A374="","",F374)</f>
        <v/>
      </c>
      <c r="Y374" s="463">
        <f>IF(A374="","",SUMIF(Entrada_Manual!$I$88:$I$187,A374,Entrada_Manual!$F$88:$F$187))</f>
        <v/>
      </c>
      <c r="Z374" s="463">
        <f>IF(A374="","",X374-Y374)</f>
        <v/>
      </c>
      <c r="AA374">
        <f>IF(A374="","",SUMPRODUCT((Entrada_Manual!$I$88:$I$187=A374)*1))</f>
        <v/>
      </c>
      <c r="AB374">
        <f>IF(A374="","",IF(S374&lt;=1,"",IF(AA374=0,"PENDIENTE — SIN ASIGNAR",IF(Z374=0,"RESUELTO","PARCIAL — DIFERENCIA "&amp;TEXT(Z374,"#,##0")))))</f>
        <v/>
      </c>
    </row>
    <row r="375" ht="14.25" customHeight="1" s="235">
      <c r="A375" s="47">
        <f>IF(Exogena_RAW!E384&lt;&gt;"",ROW()-5,"")</f>
        <v/>
      </c>
      <c r="B375" s="48">
        <f>IF(A375="","",384)</f>
        <v/>
      </c>
      <c r="C375" s="48">
        <f>IF(A375="","",IFERROR(Exogena_RAW!A384,""))</f>
        <v/>
      </c>
      <c r="D375" s="48">
        <f>IF(A375="","",IFERROR(Exogena_RAW!B384,""))</f>
        <v/>
      </c>
      <c r="E375" s="48">
        <f>IF(A375="","",Exogena_RAW!E384)</f>
        <v/>
      </c>
      <c r="F375" s="461">
        <f>IF(A375="","",Exogena_RAW!F384)</f>
        <v/>
      </c>
      <c r="G375" s="48">
        <f>IF(A375="","",IFERROR(Exogena_RAW!G384,""))</f>
        <v/>
      </c>
      <c r="H375" s="48">
        <f>IF(A375="","",IFERROR(Exogena_RAW!H384,""))</f>
        <v/>
      </c>
      <c r="I375" s="48">
        <f>IF(A375="","",IFERROR(IF(S375&gt;1,"VARIAS CASILLAS",IF(S375=1,IF(T375=1,"PROPUESTA DE CASILLA","REVISIÓN: CASILLA NO DIRECTA"),IF(OR(ISNUMBER(SEARCH("TOPE",UPPER(E375))),ISNUMBER(SEARCH("TOPE",UPPER(G375)))),"SOLO CONTROL",IF(ISNUMBER(SEARCH("RETEN",UPPER(E375))),"RETENCIÓN","REVISAR")))),"REVISAR"))</f>
        <v/>
      </c>
      <c r="J375" s="48">
        <f>IF(A375="","",IF(ISNUMBER(SEARCH("ingreso laboral promedio de los últimos seis meses",E375)),"",IFERROR(IF(AND(S375=1,T375=1),U375,""),"")))</f>
        <v/>
      </c>
      <c r="K375" s="216" t="n"/>
      <c r="L375" s="48">
        <f>IF(A375="","",IFERROR(IF(K375&lt;&gt;"","Casilla elegida por usuario",IF(S375&gt;1,"Varias casillas — elegir en K",IF(J375&lt;&gt;"","Sugerencia directa",IF(S375=1,"No trasladar directo — revisar",IF(OR(ISNUMBER(SEARCH("TOPE",UPPER(E375))),ISNUMBER(SEARCH("TOPE",UPPER(G375)))),"Solo control","Revisar manualmente"))))),"Revisar manualmente"))</f>
        <v/>
      </c>
      <c r="M375" s="461">
        <f>IF(A375="","",IF(IF(K375&lt;&gt;"",K375,J375)="",0,IF(COUNTIFS(Reglas!$I$5:$I$118,IF(K375&lt;&gt;"",K375,J375),Reglas!$J$5:$J$118,"Sí")=1,F375,0)))</f>
        <v/>
      </c>
      <c r="N375" s="56" t="n"/>
      <c r="O375" s="462">
        <f>IF(A375="","",IF(M375=0,"",M375))</f>
        <v/>
      </c>
      <c r="P375" s="461">
        <f>IF(A375="","",IF(O375="",0,IF(ISNUMBER(O375),O375,0)))</f>
        <v/>
      </c>
      <c r="Q375" s="48">
        <f>IF(A375="","",IF(Exogena_RAW!$C$4="","BLOQUEADO: FALTA AÑO",IF(Exogena_RAW!$K$10&lt;&gt;Reglas!$B$5,"BLOQUEADO: AÑO",IF(IF(K375&lt;&gt;"",K375,J375)="",IF(S375&gt;1,"REQUIERE ASIGNACIÓN MANUAL (VARIAS CASILLAS)","INFORMATIVO (sin casilla — no se declara)"),IF(COUNTIFS(Reglas!$I$5:$I$118,IF(K375&lt;&gt;"",K375,J375),Reglas!$J$5:$J$118,"Sí")=0,"BLOQUEADO: CASILLA NO DIRECTA",IF(O375="","EXCLUIDO (valor borrado por el usuario)",IF(_xlfn.ISFORMULA(O375),IF(W375&lt;&gt;"","BORRADOR — VALOR SUGERIDO DIAN ⚠ VER ALERTA","BORRADOR — VALOR SUGERIDO DIAN"),IF(W375&lt;&gt;"","ACEPTADO ⚠ VER ALERTA","ACEPTADO"))))))))</f>
        <v/>
      </c>
      <c r="R375" s="218" t="n"/>
      <c r="S375" s="58">
        <f>IF(A375="","",IFERROR(--ISNUMBER(SEARCH("R28",G375)),0)+IFERROR(--ISNUMBER(SEARCH("R29",G375)),0)+IFERROR(--ISNUMBER(SEARCH("R30",G375)),0)+IFERROR(--ISNUMBER(SEARCH("R31",G375)),0)+IFERROR(--ISNUMBER(SEARCH("R32",G375)),0)+IFERROR(--ISNUMBER(SEARCH("R33",G375)),0)+IFERROR(--ISNUMBER(SEARCH("R34",G375)),0)+IFERROR(--ISNUMBER(SEARCH("R35",G375)),0)+IFERROR(--ISNUMBER(SEARCH("R36",G375)),0)+IFERROR(--ISNUMBER(SEARCH("R37",G375)),0)+IFERROR(--ISNUMBER(SEARCH("R38",G375)),0)+IFERROR(--ISNUMBER(SEARCH("R39",G375)),0)+IFERROR(--ISNUMBER(SEARCH("R40",G375)),0)+IFERROR(--ISNUMBER(SEARCH("R41",G375)),0)+IFERROR(--ISNUMBER(SEARCH("R42",G375)),0)+IFERROR(--ISNUMBER(SEARCH("R43",G375)),0)+IFERROR(--ISNUMBER(SEARCH("R44",G375)),0)+IFERROR(--ISNUMBER(SEARCH("R45",G375)),0)+IFERROR(--ISNUMBER(SEARCH("R46",G375)),0)+IFERROR(--ISNUMBER(SEARCH("R47",G375)),0)+IFERROR(--ISNUMBER(SEARCH("R48",G375)),0)+IFERROR(--ISNUMBER(SEARCH("R49",G375)),0)+IFERROR(--ISNUMBER(SEARCH("R50",G375)),0)+IFERROR(--ISNUMBER(SEARCH("R51",G375)),0)+IFERROR(--ISNUMBER(SEARCH("R52",G375)),0)+IFERROR(--ISNUMBER(SEARCH("R53",G375)),0)+IFERROR(--ISNUMBER(SEARCH("R54",G375)),0)+IFERROR(--ISNUMBER(SEARCH("R55",G375)),0)+IFERROR(--ISNUMBER(SEARCH("R56",G375)),0)+IFERROR(--ISNUMBER(SEARCH("R57",G375)),0)+IFERROR(--ISNUMBER(SEARCH("R58",G375)),0)+IFERROR(--ISNUMBER(SEARCH("R59",G375)),0)+IFERROR(--ISNUMBER(SEARCH("R60",G375)),0)+IFERROR(--ISNUMBER(SEARCH("R61",G375)),0)+IFERROR(--ISNUMBER(SEARCH("R62",G375)),0)+IFERROR(--ISNUMBER(SEARCH("R63",G375)),0)+IFERROR(--ISNUMBER(SEARCH("R64",G375)),0)+IFERROR(--ISNUMBER(SEARCH("R65",G375)),0)+IFERROR(--ISNUMBER(SEARCH("R66",G375)),0)+IFERROR(--ISNUMBER(SEARCH("R67",G375)),0)+IFERROR(--ISNUMBER(SEARCH("R68",G375)),0)+IFERROR(--ISNUMBER(SEARCH("R69",G375)),0)+IFERROR(--ISNUMBER(SEARCH("R70",G375)),0)+IFERROR(--ISNUMBER(SEARCH("R71",G375)),0)+IFERROR(--ISNUMBER(SEARCH("R72",G375)),0)+IFERROR(--ISNUMBER(SEARCH("R73",G375)),0)+IFERROR(--ISNUMBER(SEARCH("R74",G375)),0)+IFERROR(--ISNUMBER(SEARCH("R75",G375)),0)+IFERROR(--ISNUMBER(SEARCH("R76",G375)),0)+IFERROR(--ISNUMBER(SEARCH("R77",G375)),0)+IFERROR(--ISNUMBER(SEARCH("R78",G375)),0)+IFERROR(--ISNUMBER(SEARCH("R79",G375)),0)+IFERROR(--ISNUMBER(SEARCH("R80",G375)),0)+IFERROR(--ISNUMBER(SEARCH("R81",G375)),0)+IFERROR(--ISNUMBER(SEARCH("R82",G375)),0)+IFERROR(--ISNUMBER(SEARCH("R83",G375)),0)+IFERROR(--ISNUMBER(SEARCH("R84",G375)),0)+IFERROR(--ISNUMBER(SEARCH("R85",G375)),0)+IFERROR(--ISNUMBER(SEARCH("R86",G375)),0)+IFERROR(--ISNUMBER(SEARCH("R87",G375)),0)+IFERROR(--ISNUMBER(SEARCH("R88",G375)),0)+IFERROR(--ISNUMBER(SEARCH("R89",G375)),0)+IFERROR(--ISNUMBER(SEARCH("R90",G375)),0)+IFERROR(--ISNUMBER(SEARCH("R91",G375)),0)+IFERROR(--ISNUMBER(SEARCH("R92",G375)),0)+IFERROR(--ISNUMBER(SEARCH("R93",G375)),0)+IFERROR(--ISNUMBER(SEARCH("R94",G375)),0)+IFERROR(--ISNUMBER(SEARCH("R95",G375)),0)+IFERROR(--ISNUMBER(SEARCH("R96",G375)),0)+IFERROR(--ISNUMBER(SEARCH("R97",G375)),0)+IFERROR(--ISNUMBER(SEARCH("R98",G375)),0)+IFERROR(--ISNUMBER(SEARCH("R99",G375)),0)+IFERROR(--ISNUMBER(SEARCH("R100",G375)),0)+IFERROR(--ISNUMBER(SEARCH("R101",G375)),0)+IFERROR(--ISNUMBER(SEARCH("R102",G375)),0)+IFERROR(--ISNUMBER(SEARCH("R103",G375)),0)+IFERROR(--ISNUMBER(SEARCH("R104",G375)),0)+IFERROR(--ISNUMBER(SEARCH("R105",G375)),0)+IFERROR(--ISNUMBER(SEARCH("R106",G375)),0)+IFERROR(--ISNUMBER(SEARCH("R107",G375)),0)+IFERROR(--ISNUMBER(SEARCH("R108",G375)),0)+IFERROR(--ISNUMBER(SEARCH("R109",G375)),0)+IFERROR(--ISNUMBER(SEARCH("R110",G375)),0)+IFERROR(--ISNUMBER(SEARCH("R111",G375)),0)+IFERROR(--ISNUMBER(SEARCH("R112",G375)),0)+IFERROR(--ISNUMBER(SEARCH("R113",G375)),0)+IFERROR(--ISNUMBER(SEARCH("R114",G375)),0)+IFERROR(--ISNUMBER(SEARCH("R115",G375)),0)+IFERROR(--ISNUMBER(SEARCH("R116",G375)),0)+IFERROR(--ISNUMBER(SEARCH("R117",G375)),0)+IFERROR(--ISNUMBER(SEARCH("R118",G375)),0)+IFERROR(--ISNUMBER(SEARCH("R119",G375)),0)+IFERROR(--ISNUMBER(SEARCH("R120",G375)),0)+IFERROR(--ISNUMBER(SEARCH("R121",G375)),0)+IFERROR(--ISNUMBER(SEARCH("R122",G375)),0)+IFERROR(--ISNUMBER(SEARCH("R123",G375)),0)+IFERROR(--ISNUMBER(SEARCH("R124",G375)),0)+IFERROR(--ISNUMBER(SEARCH("R125",G375)),0)+IFERROR(--ISNUMBER(SEARCH("R126",G375)),0)+IFERROR(--ISNUMBER(SEARCH("R127",G375)),0)+IFERROR(--ISNUMBER(SEARCH("R128",G375)),0)+IFERROR(--ISNUMBER(SEARCH("R129",G375)),0)+IFERROR(--ISNUMBER(SEARCH("R130",G375)),0)+IFERROR(--ISNUMBER(SEARCH("R131",G375)),0)+IFERROR(--ISNUMBER(SEARCH("R132",G375)),0)+IFERROR(--ISNUMBER(SEARCH("R133",G375)),0)+IFERROR(--ISNUMBER(SEARCH("R134",G375)),0)+IFERROR(--ISNUMBER(SEARCH("R135",G375)),0)+IFERROR(--ISNUMBER(SEARCH("R136",G375)),0)+IFERROR(--ISNUMBER(SEARCH("R137",G375)),0)+IFERROR(--ISNUMBER(SEARCH("R138",G375)),0)+IFERROR(--ISNUMBER(SEARCH("R139",G375)),0)+IFERROR(--ISNUMBER(SEARCH("R140",G375)),0)+IFERROR(--ISNUMBER(SEARCH("R141",G375)),0))</f>
        <v/>
      </c>
      <c r="T375" s="58">
        <f>IF(A375="","",IFERROR(--ISNUMBER(SEARCH("R28",G375)),0)+IFERROR(--ISNUMBER(SEARCH("R29",G375)),0)+IFERROR(--ISNUMBER(SEARCH("R30",G375)),0)+IFERROR(--ISNUMBER(SEARCH("R32",G375)),0)+IFERROR(--ISNUMBER(SEARCH("R33",G375)),0)+IFERROR(--ISNUMBER(SEARCH("R35",G375)),0)+IFERROR(--ISNUMBER(SEARCH("R36",G375)),0)+IFERROR(--ISNUMBER(SEARCH("R38",G375)),0)+IFERROR(--ISNUMBER(SEARCH("R39",G375)),0)+IFERROR(--ISNUMBER(SEARCH("R43",G375)),0)+IFERROR(--ISNUMBER(SEARCH("R44",G375)),0)+IFERROR(--ISNUMBER(SEARCH("R45",G375)),0)+IFERROR(--ISNUMBER(SEARCH("R47",G375)),0)+IFERROR(--ISNUMBER(SEARCH("R48",G375)),0)+IFERROR(--ISNUMBER(SEARCH("R50",G375)),0)+IFERROR(--ISNUMBER(SEARCH("R51",G375)),0)+IFERROR(--ISNUMBER(SEARCH("R56",G375)),0)+IFERROR(--ISNUMBER(SEARCH("R58",G375)),0)+IFERROR(--ISNUMBER(SEARCH("R59",G375)),0)+IFERROR(--ISNUMBER(SEARCH("R60",G375)),0)+IFERROR(--ISNUMBER(SEARCH("R62",G375)),0)+IFERROR(--ISNUMBER(SEARCH("R63",G375)),0)+IFERROR(--ISNUMBER(SEARCH("R64",G375)),0)+IFERROR(--ISNUMBER(SEARCH("R66",G375)),0)+IFERROR(--ISNUMBER(SEARCH("R67",G375)),0)+IFERROR(--ISNUMBER(SEARCH("R72",G375)),0)+IFERROR(--ISNUMBER(SEARCH("R74",G375)),0)+IFERROR(--ISNUMBER(SEARCH("R75",G375)),0)+IFERROR(--ISNUMBER(SEARCH("R76",G375)),0)+IFERROR(--ISNUMBER(SEARCH("R77",G375)),0)+IFERROR(--ISNUMBER(SEARCH("R79",G375)),0)+IFERROR(--ISNUMBER(SEARCH("R80",G375)),0)+IFERROR(--ISNUMBER(SEARCH("R81",G375)),0)+IFERROR(--ISNUMBER(SEARCH("R83",G375)),0)+IFERROR(--ISNUMBER(SEARCH("R84",G375)),0)+IFERROR(--ISNUMBER(SEARCH("R89",G375)),0)+IFERROR(--ISNUMBER(SEARCH("R94",G375)),0)+IFERROR(--ISNUMBER(SEARCH("R95",G375)),0)+IFERROR(--ISNUMBER(SEARCH("R96",G375)),0)+IFERROR(--ISNUMBER(SEARCH("R98",G375)),0)+IFERROR(--ISNUMBER(SEARCH("R99",G375)),0)+IFERROR(--ISNUMBER(SEARCH("R100",G375)),0)+IFERROR(--ISNUMBER(SEARCH("R104",G375)),0)+IFERROR(--ISNUMBER(SEARCH("R105",G375)),0)+IFERROR(--ISNUMBER(SEARCH("R107",G375)),0)+IFERROR(--ISNUMBER(SEARCH("R108",G375)),0)+IFERROR(--ISNUMBER(SEARCH("R109",G375)),0)+IFERROR(--ISNUMBER(SEARCH("R110",G375)),0)+IFERROR(--ISNUMBER(SEARCH("R112",G375)),0)+IFERROR(--ISNUMBER(SEARCH("R113",G375)),0)+IFERROR(--ISNUMBER(SEARCH("R114",G375)),0)+IFERROR(--ISNUMBER(SEARCH("R118",G375)),0)+IFERROR(--ISNUMBER(SEARCH("R119",G375)),0)+IFERROR(--ISNUMBER(SEARCH("R120",G375)),0)+IFERROR(--ISNUMBER(SEARCH("R122",G375)),0)+IFERROR(--ISNUMBER(SEARCH("R123",G375)),0)+IFERROR(--ISNUMBER(SEARCH("R124",G375)),0)+IFERROR(--ISNUMBER(SEARCH("R128",G375)),0)+IFERROR(--ISNUMBER(SEARCH("R130",G375)),0)+IFERROR(--ISNUMBER(SEARCH("R131",G375)),0)+IFERROR(--ISNUMBER(SEARCH("R132",G375)),0)+IFERROR(--ISNUMBER(SEARCH("R135",G375)),0)+IFERROR(--ISNUMBER(SEARCH("R138",G375)),0)+IFERROR(--ISNUMBER(SEARCH("R141",G375)),0))</f>
        <v/>
      </c>
      <c r="U375" s="58">
        <f>IF(A375="","",IFERROR(--ISNUMBER(SEARCH("R28",G375))*28,0)+IFERROR(--ISNUMBER(SEARCH("R29",G375))*29,0)+IFERROR(--ISNUMBER(SEARCH("R30",G375))*30,0)+IFERROR(--ISNUMBER(SEARCH("R31",G375))*31,0)+IFERROR(--ISNUMBER(SEARCH("R32",G375))*32,0)+IFERROR(--ISNUMBER(SEARCH("R33",G375))*33,0)+IFERROR(--ISNUMBER(SEARCH("R34",G375))*34,0)+IFERROR(--ISNUMBER(SEARCH("R35",G375))*35,0)+IFERROR(--ISNUMBER(SEARCH("R36",G375))*36,0)+IFERROR(--ISNUMBER(SEARCH("R37",G375))*37,0)+IFERROR(--ISNUMBER(SEARCH("R38",G375))*38,0)+IFERROR(--ISNUMBER(SEARCH("R39",G375))*39,0)+IFERROR(--ISNUMBER(SEARCH("R40",G375))*40,0)+IFERROR(--ISNUMBER(SEARCH("R41",G375))*41,0)+IFERROR(--ISNUMBER(SEARCH("R42",G375))*42,0)+IFERROR(--ISNUMBER(SEARCH("R43",G375))*43,0)+IFERROR(--ISNUMBER(SEARCH("R44",G375))*44,0)+IFERROR(--ISNUMBER(SEARCH("R45",G375))*45,0)+IFERROR(--ISNUMBER(SEARCH("R46",G375))*46,0)+IFERROR(--ISNUMBER(SEARCH("R47",G375))*47,0)+IFERROR(--ISNUMBER(SEARCH("R48",G375))*48,0)+IFERROR(--ISNUMBER(SEARCH("R49",G375))*49,0)+IFERROR(--ISNUMBER(SEARCH("R50",G375))*50,0)+IFERROR(--ISNUMBER(SEARCH("R51",G375))*51,0)+IFERROR(--ISNUMBER(SEARCH("R52",G375))*52,0)+IFERROR(--ISNUMBER(SEARCH("R53",G375))*53,0)+IFERROR(--ISNUMBER(SEARCH("R54",G375))*54,0)+IFERROR(--ISNUMBER(SEARCH("R55",G375))*55,0)+IFERROR(--ISNUMBER(SEARCH("R56",G375))*56,0)+IFERROR(--ISNUMBER(SEARCH("R57",G375))*57,0)+IFERROR(--ISNUMBER(SEARCH("R58",G375))*58,0)+IFERROR(--ISNUMBER(SEARCH("R59",G375))*59,0)+IFERROR(--ISNUMBER(SEARCH("R60",G375))*60,0)+IFERROR(--ISNUMBER(SEARCH("R61",G375))*61,0)+IFERROR(--ISNUMBER(SEARCH("R62",G375))*62,0)+IFERROR(--ISNUMBER(SEARCH("R63",G375))*63,0)+IFERROR(--ISNUMBER(SEARCH("R64",G375))*64,0)+IFERROR(--ISNUMBER(SEARCH("R65",G375))*65,0)+IFERROR(--ISNUMBER(SEARCH("R66",G375))*66,0)+IFERROR(--ISNUMBER(SEARCH("R67",G375))*67,0)+IFERROR(--ISNUMBER(SEARCH("R68",G375))*68,0)+IFERROR(--ISNUMBER(SEARCH("R69",G375))*69,0)+IFERROR(--ISNUMBER(SEARCH("R70",G375))*70,0)+IFERROR(--ISNUMBER(SEARCH("R71",G375))*71,0)+IFERROR(--ISNUMBER(SEARCH("R72",G375))*72,0)+IFERROR(--ISNUMBER(SEARCH("R73",G375))*73,0)+IFERROR(--ISNUMBER(SEARCH("R74",G375))*74,0)+IFERROR(--ISNUMBER(SEARCH("R75",G375))*75,0)+IFERROR(--ISNUMBER(SEARCH("R76",G375))*76,0)+IFERROR(--ISNUMBER(SEARCH("R77",G375))*77,0)+IFERROR(--ISNUMBER(SEARCH("R78",G375))*78,0)+IFERROR(--ISNUMBER(SEARCH("R79",G375))*79,0)+IFERROR(--ISNUMBER(SEARCH("R80",G375))*80,0)+IFERROR(--ISNUMBER(SEARCH("R81",G375))*81,0)+IFERROR(--ISNUMBER(SEARCH("R82",G375))*82,0)+IFERROR(--ISNUMBER(SEARCH("R83",G375))*83,0)+IFERROR(--ISNUMBER(SEARCH("R84",G375))*84,0)+IFERROR(--ISNUMBER(SEARCH("R85",G375))*85,0)+IFERROR(--ISNUMBER(SEARCH("R86",G375))*86,0)+IFERROR(--ISNUMBER(SEARCH("R87",G375))*87,0)+IFERROR(--ISNUMBER(SEARCH("R88",G375))*88,0)+IFERROR(--ISNUMBER(SEARCH("R89",G375))*89,0)+IFERROR(--ISNUMBER(SEARCH("R90",G375))*90,0)+IFERROR(--ISNUMBER(SEARCH("R91",G375))*91,0)+IFERROR(--ISNUMBER(SEARCH("R92",G375))*92,0)+IFERROR(--ISNUMBER(SEARCH("R93",G375))*93,0)+IFERROR(--ISNUMBER(SEARCH("R94",G375))*94,0)+IFERROR(--ISNUMBER(SEARCH("R95",G375))*95,0)+IFERROR(--ISNUMBER(SEARCH("R96",G375))*96,0)+IFERROR(--ISNUMBER(SEARCH("R97",G375))*97,0)+IFERROR(--ISNUMBER(SEARCH("R98",G375))*98,0)+IFERROR(--ISNUMBER(SEARCH("R99",G375))*99,0)+IFERROR(--ISNUMBER(SEARCH("R100",G375))*100,0)+IFERROR(--ISNUMBER(SEARCH("R101",G375))*101,0)+IFERROR(--ISNUMBER(SEARCH("R102",G375))*102,0)+IFERROR(--ISNUMBER(SEARCH("R103",G375))*103,0)+IFERROR(--ISNUMBER(SEARCH("R104",G375))*104,0)+IFERROR(--ISNUMBER(SEARCH("R105",G375))*105,0)+IFERROR(--ISNUMBER(SEARCH("R106",G375))*106,0)+IFERROR(--ISNUMBER(SEARCH("R107",G375))*107,0)+IFERROR(--ISNUMBER(SEARCH("R108",G375))*108,0)+IFERROR(--ISNUMBER(SEARCH("R109",G375))*109,0)+IFERROR(--ISNUMBER(SEARCH("R110",G375))*110,0)+IFERROR(--ISNUMBER(SEARCH("R111",G375))*111,0)+IFERROR(--ISNUMBER(SEARCH("R112",G375))*112,0)+IFERROR(--ISNUMBER(SEARCH("R113",G375))*113,0)+IFERROR(--ISNUMBER(SEARCH("R114",G375))*114,0)+IFERROR(--ISNUMBER(SEARCH("R115",G375))*115,0)+IFERROR(--ISNUMBER(SEARCH("R116",G375))*116,0)+IFERROR(--ISNUMBER(SEARCH("R117",G375))*117,0)+IFERROR(--ISNUMBER(SEARCH("R118",G375))*118,0)+IFERROR(--ISNUMBER(SEARCH("R119",G375))*119,0)+IFERROR(--ISNUMBER(SEARCH("R120",G375))*120,0)+IFERROR(--ISNUMBER(SEARCH("R121",G375))*121,0)+IFERROR(--ISNUMBER(SEARCH("R122",G375))*122,0)+IFERROR(--ISNUMBER(SEARCH("R123",G375))*123,0)+IFERROR(--ISNUMBER(SEARCH("R124",G375))*124,0)+IFERROR(--ISNUMBER(SEARCH("R125",G375))*125,0)+IFERROR(--ISNUMBER(SEARCH("R126",G375))*126,0)+IFERROR(--ISNUMBER(SEARCH("R127",G375))*127,0)+IFERROR(--ISNUMBER(SEARCH("R128",G375))*128,0)+IFERROR(--ISNUMBER(SEARCH("R129",G375))*129,0)+IFERROR(--ISNUMBER(SEARCH("R130",G375))*130,0)+IFERROR(--ISNUMBER(SEARCH("R131",G375))*131,0)+IFERROR(--ISNUMBER(SEARCH("R132",G375))*132,0)+IFERROR(--ISNUMBER(SEARCH("R133",G375))*133,0)+IFERROR(--ISNUMBER(SEARCH("R134",G375))*134,0)+IFERROR(--ISNUMBER(SEARCH("R135",G375))*135,0)+IFERROR(--ISNUMBER(SEARCH("R136",G375))*136,0)+IFERROR(--ISNUMBER(SEARCH("R137",G375))*137,0)+IFERROR(--ISNUMBER(SEARCH("R138",G375))*138,0)+IFERROR(--ISNUMBER(SEARCH("R139",G375))*139,0)+IFERROR(--ISNUMBER(SEARCH("R140",G375))*140,0)+IFERROR(--ISNUMBER(SEARCH("R141",G375))*141,0))</f>
        <v/>
      </c>
      <c r="V375" s="59">
        <f>IF(A375="","",IF(K375&lt;&gt;"",K375,J375))</f>
        <v/>
      </c>
      <c r="W375" s="59">
        <f>IF(A375="","",IF(AND(V375=29,O375&lt;&gt;"",COUNTIFS($V$6:$V$505,29,$F$6:$F$505,F375,$C$6:$C$505,C375,$O$6:$O$505,"&lt;&gt;")&gt;1),IF(COUNTIFS($V$6:V375,29,$F$6:F375,F375,$C$6:C375,C375,$O$6:O375,"&lt;&gt;")=1,"Esta es la fila que se debe CONSERVAR (aparición 1 de "&amp;COUNTIFS($V$6:$V$505,29,$F$6:$F$505,F375,$C$6:$C$505,C375,$O$6:$O$505,"&lt;&gt;")&amp;" con el mismo tercero y valor, casilla 29). Si hay más filas iguales, bórreles el valor a ELLAS, no a esta.","DUPLICADO — ya existe otra fila con el mismo tercero y valor para casilla 29 (aparición "&amp;COUNTIFS($V$6:V375,29,$F$6:F375,F375,$C$6:C375,C375,$O$6:O375,"&lt;&gt;")&amp;" de "&amp;COUNTIFS($V$6:$V$505,29,$F$6:$F$505,F375,$C$6:$C$505,C375,$O$6:$O$505,"&lt;&gt;")&amp;"). Para resolverlo: seleccione la celda O"&amp;ROW()&amp;" (columna Valor a declarar de ESTA fila) y presione Supr."),""))</f>
        <v/>
      </c>
      <c r="X375" s="463">
        <f>IF(A375="","",F375)</f>
        <v/>
      </c>
      <c r="Y375" s="463">
        <f>IF(A375="","",SUMIF(Entrada_Manual!$I$88:$I$187,A375,Entrada_Manual!$F$88:$F$187))</f>
        <v/>
      </c>
      <c r="Z375" s="463">
        <f>IF(A375="","",X375-Y375)</f>
        <v/>
      </c>
      <c r="AA375">
        <f>IF(A375="","",SUMPRODUCT((Entrada_Manual!$I$88:$I$187=A375)*1))</f>
        <v/>
      </c>
      <c r="AB375">
        <f>IF(A375="","",IF(S375&lt;=1,"",IF(AA375=0,"PENDIENTE — SIN ASIGNAR",IF(Z375=0,"RESUELTO","PARCIAL — DIFERENCIA "&amp;TEXT(Z375,"#,##0")))))</f>
        <v/>
      </c>
    </row>
    <row r="376" ht="14.25" customHeight="1" s="235">
      <c r="A376" s="47">
        <f>IF(Exogena_RAW!E385&lt;&gt;"",ROW()-5,"")</f>
        <v/>
      </c>
      <c r="B376" s="48">
        <f>IF(A376="","",385)</f>
        <v/>
      </c>
      <c r="C376" s="48">
        <f>IF(A376="","",IFERROR(Exogena_RAW!A385,""))</f>
        <v/>
      </c>
      <c r="D376" s="48">
        <f>IF(A376="","",IFERROR(Exogena_RAW!B385,""))</f>
        <v/>
      </c>
      <c r="E376" s="48">
        <f>IF(A376="","",Exogena_RAW!E385)</f>
        <v/>
      </c>
      <c r="F376" s="461">
        <f>IF(A376="","",Exogena_RAW!F385)</f>
        <v/>
      </c>
      <c r="G376" s="48">
        <f>IF(A376="","",IFERROR(Exogena_RAW!G385,""))</f>
        <v/>
      </c>
      <c r="H376" s="48">
        <f>IF(A376="","",IFERROR(Exogena_RAW!H385,""))</f>
        <v/>
      </c>
      <c r="I376" s="48">
        <f>IF(A376="","",IFERROR(IF(S376&gt;1,"VARIAS CASILLAS",IF(S376=1,IF(T376=1,"PROPUESTA DE CASILLA","REVISIÓN: CASILLA NO DIRECTA"),IF(OR(ISNUMBER(SEARCH("TOPE",UPPER(E376))),ISNUMBER(SEARCH("TOPE",UPPER(G376)))),"SOLO CONTROL",IF(ISNUMBER(SEARCH("RETEN",UPPER(E376))),"RETENCIÓN","REVISAR")))),"REVISAR"))</f>
        <v/>
      </c>
      <c r="J376" s="48">
        <f>IF(A376="","",IF(ISNUMBER(SEARCH("ingreso laboral promedio de los últimos seis meses",E376)),"",IFERROR(IF(AND(S376=1,T376=1),U376,""),"")))</f>
        <v/>
      </c>
      <c r="K376" s="216" t="n"/>
      <c r="L376" s="48">
        <f>IF(A376="","",IFERROR(IF(K376&lt;&gt;"","Casilla elegida por usuario",IF(S376&gt;1,"Varias casillas — elegir en K",IF(J376&lt;&gt;"","Sugerencia directa",IF(S376=1,"No trasladar directo — revisar",IF(OR(ISNUMBER(SEARCH("TOPE",UPPER(E376))),ISNUMBER(SEARCH("TOPE",UPPER(G376)))),"Solo control","Revisar manualmente"))))),"Revisar manualmente"))</f>
        <v/>
      </c>
      <c r="M376" s="461">
        <f>IF(A376="","",IF(IF(K376&lt;&gt;"",K376,J376)="",0,IF(COUNTIFS(Reglas!$I$5:$I$118,IF(K376&lt;&gt;"",K376,J376),Reglas!$J$5:$J$118,"Sí")=1,F376,0)))</f>
        <v/>
      </c>
      <c r="N376" s="56" t="n"/>
      <c r="O376" s="462">
        <f>IF(A376="","",IF(M376=0,"",M376))</f>
        <v/>
      </c>
      <c r="P376" s="461">
        <f>IF(A376="","",IF(O376="",0,IF(ISNUMBER(O376),O376,0)))</f>
        <v/>
      </c>
      <c r="Q376" s="48">
        <f>IF(A376="","",IF(Exogena_RAW!$C$4="","BLOQUEADO: FALTA AÑO",IF(Exogena_RAW!$K$10&lt;&gt;Reglas!$B$5,"BLOQUEADO: AÑO",IF(IF(K376&lt;&gt;"",K376,J376)="",IF(S376&gt;1,"REQUIERE ASIGNACIÓN MANUAL (VARIAS CASILLAS)","INFORMATIVO (sin casilla — no se declara)"),IF(COUNTIFS(Reglas!$I$5:$I$118,IF(K376&lt;&gt;"",K376,J376),Reglas!$J$5:$J$118,"Sí")=0,"BLOQUEADO: CASILLA NO DIRECTA",IF(O376="","EXCLUIDO (valor borrado por el usuario)",IF(_xlfn.ISFORMULA(O376),IF(W376&lt;&gt;"","BORRADOR — VALOR SUGERIDO DIAN ⚠ VER ALERTA","BORRADOR — VALOR SUGERIDO DIAN"),IF(W376&lt;&gt;"","ACEPTADO ⚠ VER ALERTA","ACEPTADO"))))))))</f>
        <v/>
      </c>
      <c r="R376" s="218" t="n"/>
      <c r="S376" s="58">
        <f>IF(A376="","",IFERROR(--ISNUMBER(SEARCH("R28",G376)),0)+IFERROR(--ISNUMBER(SEARCH("R29",G376)),0)+IFERROR(--ISNUMBER(SEARCH("R30",G376)),0)+IFERROR(--ISNUMBER(SEARCH("R31",G376)),0)+IFERROR(--ISNUMBER(SEARCH("R32",G376)),0)+IFERROR(--ISNUMBER(SEARCH("R33",G376)),0)+IFERROR(--ISNUMBER(SEARCH("R34",G376)),0)+IFERROR(--ISNUMBER(SEARCH("R35",G376)),0)+IFERROR(--ISNUMBER(SEARCH("R36",G376)),0)+IFERROR(--ISNUMBER(SEARCH("R37",G376)),0)+IFERROR(--ISNUMBER(SEARCH("R38",G376)),0)+IFERROR(--ISNUMBER(SEARCH("R39",G376)),0)+IFERROR(--ISNUMBER(SEARCH("R40",G376)),0)+IFERROR(--ISNUMBER(SEARCH("R41",G376)),0)+IFERROR(--ISNUMBER(SEARCH("R42",G376)),0)+IFERROR(--ISNUMBER(SEARCH("R43",G376)),0)+IFERROR(--ISNUMBER(SEARCH("R44",G376)),0)+IFERROR(--ISNUMBER(SEARCH("R45",G376)),0)+IFERROR(--ISNUMBER(SEARCH("R46",G376)),0)+IFERROR(--ISNUMBER(SEARCH("R47",G376)),0)+IFERROR(--ISNUMBER(SEARCH("R48",G376)),0)+IFERROR(--ISNUMBER(SEARCH("R49",G376)),0)+IFERROR(--ISNUMBER(SEARCH("R50",G376)),0)+IFERROR(--ISNUMBER(SEARCH("R51",G376)),0)+IFERROR(--ISNUMBER(SEARCH("R52",G376)),0)+IFERROR(--ISNUMBER(SEARCH("R53",G376)),0)+IFERROR(--ISNUMBER(SEARCH("R54",G376)),0)+IFERROR(--ISNUMBER(SEARCH("R55",G376)),0)+IFERROR(--ISNUMBER(SEARCH("R56",G376)),0)+IFERROR(--ISNUMBER(SEARCH("R57",G376)),0)+IFERROR(--ISNUMBER(SEARCH("R58",G376)),0)+IFERROR(--ISNUMBER(SEARCH("R59",G376)),0)+IFERROR(--ISNUMBER(SEARCH("R60",G376)),0)+IFERROR(--ISNUMBER(SEARCH("R61",G376)),0)+IFERROR(--ISNUMBER(SEARCH("R62",G376)),0)+IFERROR(--ISNUMBER(SEARCH("R63",G376)),0)+IFERROR(--ISNUMBER(SEARCH("R64",G376)),0)+IFERROR(--ISNUMBER(SEARCH("R65",G376)),0)+IFERROR(--ISNUMBER(SEARCH("R66",G376)),0)+IFERROR(--ISNUMBER(SEARCH("R67",G376)),0)+IFERROR(--ISNUMBER(SEARCH("R68",G376)),0)+IFERROR(--ISNUMBER(SEARCH("R69",G376)),0)+IFERROR(--ISNUMBER(SEARCH("R70",G376)),0)+IFERROR(--ISNUMBER(SEARCH("R71",G376)),0)+IFERROR(--ISNUMBER(SEARCH("R72",G376)),0)+IFERROR(--ISNUMBER(SEARCH("R73",G376)),0)+IFERROR(--ISNUMBER(SEARCH("R74",G376)),0)+IFERROR(--ISNUMBER(SEARCH("R75",G376)),0)+IFERROR(--ISNUMBER(SEARCH("R76",G376)),0)+IFERROR(--ISNUMBER(SEARCH("R77",G376)),0)+IFERROR(--ISNUMBER(SEARCH("R78",G376)),0)+IFERROR(--ISNUMBER(SEARCH("R79",G376)),0)+IFERROR(--ISNUMBER(SEARCH("R80",G376)),0)+IFERROR(--ISNUMBER(SEARCH("R81",G376)),0)+IFERROR(--ISNUMBER(SEARCH("R82",G376)),0)+IFERROR(--ISNUMBER(SEARCH("R83",G376)),0)+IFERROR(--ISNUMBER(SEARCH("R84",G376)),0)+IFERROR(--ISNUMBER(SEARCH("R85",G376)),0)+IFERROR(--ISNUMBER(SEARCH("R86",G376)),0)+IFERROR(--ISNUMBER(SEARCH("R87",G376)),0)+IFERROR(--ISNUMBER(SEARCH("R88",G376)),0)+IFERROR(--ISNUMBER(SEARCH("R89",G376)),0)+IFERROR(--ISNUMBER(SEARCH("R90",G376)),0)+IFERROR(--ISNUMBER(SEARCH("R91",G376)),0)+IFERROR(--ISNUMBER(SEARCH("R92",G376)),0)+IFERROR(--ISNUMBER(SEARCH("R93",G376)),0)+IFERROR(--ISNUMBER(SEARCH("R94",G376)),0)+IFERROR(--ISNUMBER(SEARCH("R95",G376)),0)+IFERROR(--ISNUMBER(SEARCH("R96",G376)),0)+IFERROR(--ISNUMBER(SEARCH("R97",G376)),0)+IFERROR(--ISNUMBER(SEARCH("R98",G376)),0)+IFERROR(--ISNUMBER(SEARCH("R99",G376)),0)+IFERROR(--ISNUMBER(SEARCH("R100",G376)),0)+IFERROR(--ISNUMBER(SEARCH("R101",G376)),0)+IFERROR(--ISNUMBER(SEARCH("R102",G376)),0)+IFERROR(--ISNUMBER(SEARCH("R103",G376)),0)+IFERROR(--ISNUMBER(SEARCH("R104",G376)),0)+IFERROR(--ISNUMBER(SEARCH("R105",G376)),0)+IFERROR(--ISNUMBER(SEARCH("R106",G376)),0)+IFERROR(--ISNUMBER(SEARCH("R107",G376)),0)+IFERROR(--ISNUMBER(SEARCH("R108",G376)),0)+IFERROR(--ISNUMBER(SEARCH("R109",G376)),0)+IFERROR(--ISNUMBER(SEARCH("R110",G376)),0)+IFERROR(--ISNUMBER(SEARCH("R111",G376)),0)+IFERROR(--ISNUMBER(SEARCH("R112",G376)),0)+IFERROR(--ISNUMBER(SEARCH("R113",G376)),0)+IFERROR(--ISNUMBER(SEARCH("R114",G376)),0)+IFERROR(--ISNUMBER(SEARCH("R115",G376)),0)+IFERROR(--ISNUMBER(SEARCH("R116",G376)),0)+IFERROR(--ISNUMBER(SEARCH("R117",G376)),0)+IFERROR(--ISNUMBER(SEARCH("R118",G376)),0)+IFERROR(--ISNUMBER(SEARCH("R119",G376)),0)+IFERROR(--ISNUMBER(SEARCH("R120",G376)),0)+IFERROR(--ISNUMBER(SEARCH("R121",G376)),0)+IFERROR(--ISNUMBER(SEARCH("R122",G376)),0)+IFERROR(--ISNUMBER(SEARCH("R123",G376)),0)+IFERROR(--ISNUMBER(SEARCH("R124",G376)),0)+IFERROR(--ISNUMBER(SEARCH("R125",G376)),0)+IFERROR(--ISNUMBER(SEARCH("R126",G376)),0)+IFERROR(--ISNUMBER(SEARCH("R127",G376)),0)+IFERROR(--ISNUMBER(SEARCH("R128",G376)),0)+IFERROR(--ISNUMBER(SEARCH("R129",G376)),0)+IFERROR(--ISNUMBER(SEARCH("R130",G376)),0)+IFERROR(--ISNUMBER(SEARCH("R131",G376)),0)+IFERROR(--ISNUMBER(SEARCH("R132",G376)),0)+IFERROR(--ISNUMBER(SEARCH("R133",G376)),0)+IFERROR(--ISNUMBER(SEARCH("R134",G376)),0)+IFERROR(--ISNUMBER(SEARCH("R135",G376)),0)+IFERROR(--ISNUMBER(SEARCH("R136",G376)),0)+IFERROR(--ISNUMBER(SEARCH("R137",G376)),0)+IFERROR(--ISNUMBER(SEARCH("R138",G376)),0)+IFERROR(--ISNUMBER(SEARCH("R139",G376)),0)+IFERROR(--ISNUMBER(SEARCH("R140",G376)),0)+IFERROR(--ISNUMBER(SEARCH("R141",G376)),0))</f>
        <v/>
      </c>
      <c r="T376" s="58">
        <f>IF(A376="","",IFERROR(--ISNUMBER(SEARCH("R28",G376)),0)+IFERROR(--ISNUMBER(SEARCH("R29",G376)),0)+IFERROR(--ISNUMBER(SEARCH("R30",G376)),0)+IFERROR(--ISNUMBER(SEARCH("R32",G376)),0)+IFERROR(--ISNUMBER(SEARCH("R33",G376)),0)+IFERROR(--ISNUMBER(SEARCH("R35",G376)),0)+IFERROR(--ISNUMBER(SEARCH("R36",G376)),0)+IFERROR(--ISNUMBER(SEARCH("R38",G376)),0)+IFERROR(--ISNUMBER(SEARCH("R39",G376)),0)+IFERROR(--ISNUMBER(SEARCH("R43",G376)),0)+IFERROR(--ISNUMBER(SEARCH("R44",G376)),0)+IFERROR(--ISNUMBER(SEARCH("R45",G376)),0)+IFERROR(--ISNUMBER(SEARCH("R47",G376)),0)+IFERROR(--ISNUMBER(SEARCH("R48",G376)),0)+IFERROR(--ISNUMBER(SEARCH("R50",G376)),0)+IFERROR(--ISNUMBER(SEARCH("R51",G376)),0)+IFERROR(--ISNUMBER(SEARCH("R56",G376)),0)+IFERROR(--ISNUMBER(SEARCH("R58",G376)),0)+IFERROR(--ISNUMBER(SEARCH("R59",G376)),0)+IFERROR(--ISNUMBER(SEARCH("R60",G376)),0)+IFERROR(--ISNUMBER(SEARCH("R62",G376)),0)+IFERROR(--ISNUMBER(SEARCH("R63",G376)),0)+IFERROR(--ISNUMBER(SEARCH("R64",G376)),0)+IFERROR(--ISNUMBER(SEARCH("R66",G376)),0)+IFERROR(--ISNUMBER(SEARCH("R67",G376)),0)+IFERROR(--ISNUMBER(SEARCH("R72",G376)),0)+IFERROR(--ISNUMBER(SEARCH("R74",G376)),0)+IFERROR(--ISNUMBER(SEARCH("R75",G376)),0)+IFERROR(--ISNUMBER(SEARCH("R76",G376)),0)+IFERROR(--ISNUMBER(SEARCH("R77",G376)),0)+IFERROR(--ISNUMBER(SEARCH("R79",G376)),0)+IFERROR(--ISNUMBER(SEARCH("R80",G376)),0)+IFERROR(--ISNUMBER(SEARCH("R81",G376)),0)+IFERROR(--ISNUMBER(SEARCH("R83",G376)),0)+IFERROR(--ISNUMBER(SEARCH("R84",G376)),0)+IFERROR(--ISNUMBER(SEARCH("R89",G376)),0)+IFERROR(--ISNUMBER(SEARCH("R94",G376)),0)+IFERROR(--ISNUMBER(SEARCH("R95",G376)),0)+IFERROR(--ISNUMBER(SEARCH("R96",G376)),0)+IFERROR(--ISNUMBER(SEARCH("R98",G376)),0)+IFERROR(--ISNUMBER(SEARCH("R99",G376)),0)+IFERROR(--ISNUMBER(SEARCH("R100",G376)),0)+IFERROR(--ISNUMBER(SEARCH("R104",G376)),0)+IFERROR(--ISNUMBER(SEARCH("R105",G376)),0)+IFERROR(--ISNUMBER(SEARCH("R107",G376)),0)+IFERROR(--ISNUMBER(SEARCH("R108",G376)),0)+IFERROR(--ISNUMBER(SEARCH("R109",G376)),0)+IFERROR(--ISNUMBER(SEARCH("R110",G376)),0)+IFERROR(--ISNUMBER(SEARCH("R112",G376)),0)+IFERROR(--ISNUMBER(SEARCH("R113",G376)),0)+IFERROR(--ISNUMBER(SEARCH("R114",G376)),0)+IFERROR(--ISNUMBER(SEARCH("R118",G376)),0)+IFERROR(--ISNUMBER(SEARCH("R119",G376)),0)+IFERROR(--ISNUMBER(SEARCH("R120",G376)),0)+IFERROR(--ISNUMBER(SEARCH("R122",G376)),0)+IFERROR(--ISNUMBER(SEARCH("R123",G376)),0)+IFERROR(--ISNUMBER(SEARCH("R124",G376)),0)+IFERROR(--ISNUMBER(SEARCH("R128",G376)),0)+IFERROR(--ISNUMBER(SEARCH("R130",G376)),0)+IFERROR(--ISNUMBER(SEARCH("R131",G376)),0)+IFERROR(--ISNUMBER(SEARCH("R132",G376)),0)+IFERROR(--ISNUMBER(SEARCH("R135",G376)),0)+IFERROR(--ISNUMBER(SEARCH("R138",G376)),0)+IFERROR(--ISNUMBER(SEARCH("R141",G376)),0))</f>
        <v/>
      </c>
      <c r="U376" s="58">
        <f>IF(A376="","",IFERROR(--ISNUMBER(SEARCH("R28",G376))*28,0)+IFERROR(--ISNUMBER(SEARCH("R29",G376))*29,0)+IFERROR(--ISNUMBER(SEARCH("R30",G376))*30,0)+IFERROR(--ISNUMBER(SEARCH("R31",G376))*31,0)+IFERROR(--ISNUMBER(SEARCH("R32",G376))*32,0)+IFERROR(--ISNUMBER(SEARCH("R33",G376))*33,0)+IFERROR(--ISNUMBER(SEARCH("R34",G376))*34,0)+IFERROR(--ISNUMBER(SEARCH("R35",G376))*35,0)+IFERROR(--ISNUMBER(SEARCH("R36",G376))*36,0)+IFERROR(--ISNUMBER(SEARCH("R37",G376))*37,0)+IFERROR(--ISNUMBER(SEARCH("R38",G376))*38,0)+IFERROR(--ISNUMBER(SEARCH("R39",G376))*39,0)+IFERROR(--ISNUMBER(SEARCH("R40",G376))*40,0)+IFERROR(--ISNUMBER(SEARCH("R41",G376))*41,0)+IFERROR(--ISNUMBER(SEARCH("R42",G376))*42,0)+IFERROR(--ISNUMBER(SEARCH("R43",G376))*43,0)+IFERROR(--ISNUMBER(SEARCH("R44",G376))*44,0)+IFERROR(--ISNUMBER(SEARCH("R45",G376))*45,0)+IFERROR(--ISNUMBER(SEARCH("R46",G376))*46,0)+IFERROR(--ISNUMBER(SEARCH("R47",G376))*47,0)+IFERROR(--ISNUMBER(SEARCH("R48",G376))*48,0)+IFERROR(--ISNUMBER(SEARCH("R49",G376))*49,0)+IFERROR(--ISNUMBER(SEARCH("R50",G376))*50,0)+IFERROR(--ISNUMBER(SEARCH("R51",G376))*51,0)+IFERROR(--ISNUMBER(SEARCH("R52",G376))*52,0)+IFERROR(--ISNUMBER(SEARCH("R53",G376))*53,0)+IFERROR(--ISNUMBER(SEARCH("R54",G376))*54,0)+IFERROR(--ISNUMBER(SEARCH("R55",G376))*55,0)+IFERROR(--ISNUMBER(SEARCH("R56",G376))*56,0)+IFERROR(--ISNUMBER(SEARCH("R57",G376))*57,0)+IFERROR(--ISNUMBER(SEARCH("R58",G376))*58,0)+IFERROR(--ISNUMBER(SEARCH("R59",G376))*59,0)+IFERROR(--ISNUMBER(SEARCH("R60",G376))*60,0)+IFERROR(--ISNUMBER(SEARCH("R61",G376))*61,0)+IFERROR(--ISNUMBER(SEARCH("R62",G376))*62,0)+IFERROR(--ISNUMBER(SEARCH("R63",G376))*63,0)+IFERROR(--ISNUMBER(SEARCH("R64",G376))*64,0)+IFERROR(--ISNUMBER(SEARCH("R65",G376))*65,0)+IFERROR(--ISNUMBER(SEARCH("R66",G376))*66,0)+IFERROR(--ISNUMBER(SEARCH("R67",G376))*67,0)+IFERROR(--ISNUMBER(SEARCH("R68",G376))*68,0)+IFERROR(--ISNUMBER(SEARCH("R69",G376))*69,0)+IFERROR(--ISNUMBER(SEARCH("R70",G376))*70,0)+IFERROR(--ISNUMBER(SEARCH("R71",G376))*71,0)+IFERROR(--ISNUMBER(SEARCH("R72",G376))*72,0)+IFERROR(--ISNUMBER(SEARCH("R73",G376))*73,0)+IFERROR(--ISNUMBER(SEARCH("R74",G376))*74,0)+IFERROR(--ISNUMBER(SEARCH("R75",G376))*75,0)+IFERROR(--ISNUMBER(SEARCH("R76",G376))*76,0)+IFERROR(--ISNUMBER(SEARCH("R77",G376))*77,0)+IFERROR(--ISNUMBER(SEARCH("R78",G376))*78,0)+IFERROR(--ISNUMBER(SEARCH("R79",G376))*79,0)+IFERROR(--ISNUMBER(SEARCH("R80",G376))*80,0)+IFERROR(--ISNUMBER(SEARCH("R81",G376))*81,0)+IFERROR(--ISNUMBER(SEARCH("R82",G376))*82,0)+IFERROR(--ISNUMBER(SEARCH("R83",G376))*83,0)+IFERROR(--ISNUMBER(SEARCH("R84",G376))*84,0)+IFERROR(--ISNUMBER(SEARCH("R85",G376))*85,0)+IFERROR(--ISNUMBER(SEARCH("R86",G376))*86,0)+IFERROR(--ISNUMBER(SEARCH("R87",G376))*87,0)+IFERROR(--ISNUMBER(SEARCH("R88",G376))*88,0)+IFERROR(--ISNUMBER(SEARCH("R89",G376))*89,0)+IFERROR(--ISNUMBER(SEARCH("R90",G376))*90,0)+IFERROR(--ISNUMBER(SEARCH("R91",G376))*91,0)+IFERROR(--ISNUMBER(SEARCH("R92",G376))*92,0)+IFERROR(--ISNUMBER(SEARCH("R93",G376))*93,0)+IFERROR(--ISNUMBER(SEARCH("R94",G376))*94,0)+IFERROR(--ISNUMBER(SEARCH("R95",G376))*95,0)+IFERROR(--ISNUMBER(SEARCH("R96",G376))*96,0)+IFERROR(--ISNUMBER(SEARCH("R97",G376))*97,0)+IFERROR(--ISNUMBER(SEARCH("R98",G376))*98,0)+IFERROR(--ISNUMBER(SEARCH("R99",G376))*99,0)+IFERROR(--ISNUMBER(SEARCH("R100",G376))*100,0)+IFERROR(--ISNUMBER(SEARCH("R101",G376))*101,0)+IFERROR(--ISNUMBER(SEARCH("R102",G376))*102,0)+IFERROR(--ISNUMBER(SEARCH("R103",G376))*103,0)+IFERROR(--ISNUMBER(SEARCH("R104",G376))*104,0)+IFERROR(--ISNUMBER(SEARCH("R105",G376))*105,0)+IFERROR(--ISNUMBER(SEARCH("R106",G376))*106,0)+IFERROR(--ISNUMBER(SEARCH("R107",G376))*107,0)+IFERROR(--ISNUMBER(SEARCH("R108",G376))*108,0)+IFERROR(--ISNUMBER(SEARCH("R109",G376))*109,0)+IFERROR(--ISNUMBER(SEARCH("R110",G376))*110,0)+IFERROR(--ISNUMBER(SEARCH("R111",G376))*111,0)+IFERROR(--ISNUMBER(SEARCH("R112",G376))*112,0)+IFERROR(--ISNUMBER(SEARCH("R113",G376))*113,0)+IFERROR(--ISNUMBER(SEARCH("R114",G376))*114,0)+IFERROR(--ISNUMBER(SEARCH("R115",G376))*115,0)+IFERROR(--ISNUMBER(SEARCH("R116",G376))*116,0)+IFERROR(--ISNUMBER(SEARCH("R117",G376))*117,0)+IFERROR(--ISNUMBER(SEARCH("R118",G376))*118,0)+IFERROR(--ISNUMBER(SEARCH("R119",G376))*119,0)+IFERROR(--ISNUMBER(SEARCH("R120",G376))*120,0)+IFERROR(--ISNUMBER(SEARCH("R121",G376))*121,0)+IFERROR(--ISNUMBER(SEARCH("R122",G376))*122,0)+IFERROR(--ISNUMBER(SEARCH("R123",G376))*123,0)+IFERROR(--ISNUMBER(SEARCH("R124",G376))*124,0)+IFERROR(--ISNUMBER(SEARCH("R125",G376))*125,0)+IFERROR(--ISNUMBER(SEARCH("R126",G376))*126,0)+IFERROR(--ISNUMBER(SEARCH("R127",G376))*127,0)+IFERROR(--ISNUMBER(SEARCH("R128",G376))*128,0)+IFERROR(--ISNUMBER(SEARCH("R129",G376))*129,0)+IFERROR(--ISNUMBER(SEARCH("R130",G376))*130,0)+IFERROR(--ISNUMBER(SEARCH("R131",G376))*131,0)+IFERROR(--ISNUMBER(SEARCH("R132",G376))*132,0)+IFERROR(--ISNUMBER(SEARCH("R133",G376))*133,0)+IFERROR(--ISNUMBER(SEARCH("R134",G376))*134,0)+IFERROR(--ISNUMBER(SEARCH("R135",G376))*135,0)+IFERROR(--ISNUMBER(SEARCH("R136",G376))*136,0)+IFERROR(--ISNUMBER(SEARCH("R137",G376))*137,0)+IFERROR(--ISNUMBER(SEARCH("R138",G376))*138,0)+IFERROR(--ISNUMBER(SEARCH("R139",G376))*139,0)+IFERROR(--ISNUMBER(SEARCH("R140",G376))*140,0)+IFERROR(--ISNUMBER(SEARCH("R141",G376))*141,0))</f>
        <v/>
      </c>
      <c r="V376" s="59">
        <f>IF(A376="","",IF(K376&lt;&gt;"",K376,J376))</f>
        <v/>
      </c>
      <c r="W376" s="59">
        <f>IF(A376="","",IF(AND(V376=29,O376&lt;&gt;"",COUNTIFS($V$6:$V$505,29,$F$6:$F$505,F376,$C$6:$C$505,C376,$O$6:$O$505,"&lt;&gt;")&gt;1),IF(COUNTIFS($V$6:V376,29,$F$6:F376,F376,$C$6:C376,C376,$O$6:O376,"&lt;&gt;")=1,"Esta es la fila que se debe CONSERVAR (aparición 1 de "&amp;COUNTIFS($V$6:$V$505,29,$F$6:$F$505,F376,$C$6:$C$505,C376,$O$6:$O$505,"&lt;&gt;")&amp;" con el mismo tercero y valor, casilla 29). Si hay más filas iguales, bórreles el valor a ELLAS, no a esta.","DUPLICADO — ya existe otra fila con el mismo tercero y valor para casilla 29 (aparición "&amp;COUNTIFS($V$6:V376,29,$F$6:F376,F376,$C$6:C376,C376,$O$6:O376,"&lt;&gt;")&amp;" de "&amp;COUNTIFS($V$6:$V$505,29,$F$6:$F$505,F376,$C$6:$C$505,C376,$O$6:$O$505,"&lt;&gt;")&amp;"). Para resolverlo: seleccione la celda O"&amp;ROW()&amp;" (columna Valor a declarar de ESTA fila) y presione Supr."),""))</f>
        <v/>
      </c>
      <c r="X376" s="463">
        <f>IF(A376="","",F376)</f>
        <v/>
      </c>
      <c r="Y376" s="463">
        <f>IF(A376="","",SUMIF(Entrada_Manual!$I$88:$I$187,A376,Entrada_Manual!$F$88:$F$187))</f>
        <v/>
      </c>
      <c r="Z376" s="463">
        <f>IF(A376="","",X376-Y376)</f>
        <v/>
      </c>
      <c r="AA376">
        <f>IF(A376="","",SUMPRODUCT((Entrada_Manual!$I$88:$I$187=A376)*1))</f>
        <v/>
      </c>
      <c r="AB376">
        <f>IF(A376="","",IF(S376&lt;=1,"",IF(AA376=0,"PENDIENTE — SIN ASIGNAR",IF(Z376=0,"RESUELTO","PARCIAL — DIFERENCIA "&amp;TEXT(Z376,"#,##0")))))</f>
        <v/>
      </c>
    </row>
    <row r="377" ht="14.25" customHeight="1" s="235">
      <c r="A377" s="47">
        <f>IF(Exogena_RAW!E386&lt;&gt;"",ROW()-5,"")</f>
        <v/>
      </c>
      <c r="B377" s="48">
        <f>IF(A377="","",386)</f>
        <v/>
      </c>
      <c r="C377" s="48">
        <f>IF(A377="","",IFERROR(Exogena_RAW!A386,""))</f>
        <v/>
      </c>
      <c r="D377" s="48">
        <f>IF(A377="","",IFERROR(Exogena_RAW!B386,""))</f>
        <v/>
      </c>
      <c r="E377" s="48">
        <f>IF(A377="","",Exogena_RAW!E386)</f>
        <v/>
      </c>
      <c r="F377" s="461">
        <f>IF(A377="","",Exogena_RAW!F386)</f>
        <v/>
      </c>
      <c r="G377" s="48">
        <f>IF(A377="","",IFERROR(Exogena_RAW!G386,""))</f>
        <v/>
      </c>
      <c r="H377" s="48">
        <f>IF(A377="","",IFERROR(Exogena_RAW!H386,""))</f>
        <v/>
      </c>
      <c r="I377" s="48">
        <f>IF(A377="","",IFERROR(IF(S377&gt;1,"VARIAS CASILLAS",IF(S377=1,IF(T377=1,"PROPUESTA DE CASILLA","REVISIÓN: CASILLA NO DIRECTA"),IF(OR(ISNUMBER(SEARCH("TOPE",UPPER(E377))),ISNUMBER(SEARCH("TOPE",UPPER(G377)))),"SOLO CONTROL",IF(ISNUMBER(SEARCH("RETEN",UPPER(E377))),"RETENCIÓN","REVISAR")))),"REVISAR"))</f>
        <v/>
      </c>
      <c r="J377" s="48">
        <f>IF(A377="","",IF(ISNUMBER(SEARCH("ingreso laboral promedio de los últimos seis meses",E377)),"",IFERROR(IF(AND(S377=1,T377=1),U377,""),"")))</f>
        <v/>
      </c>
      <c r="K377" s="216" t="n"/>
      <c r="L377" s="48">
        <f>IF(A377="","",IFERROR(IF(K377&lt;&gt;"","Casilla elegida por usuario",IF(S377&gt;1,"Varias casillas — elegir en K",IF(J377&lt;&gt;"","Sugerencia directa",IF(S377=1,"No trasladar directo — revisar",IF(OR(ISNUMBER(SEARCH("TOPE",UPPER(E377))),ISNUMBER(SEARCH("TOPE",UPPER(G377)))),"Solo control","Revisar manualmente"))))),"Revisar manualmente"))</f>
        <v/>
      </c>
      <c r="M377" s="461">
        <f>IF(A377="","",IF(IF(K377&lt;&gt;"",K377,J377)="",0,IF(COUNTIFS(Reglas!$I$5:$I$118,IF(K377&lt;&gt;"",K377,J377),Reglas!$J$5:$J$118,"Sí")=1,F377,0)))</f>
        <v/>
      </c>
      <c r="N377" s="56" t="n"/>
      <c r="O377" s="462">
        <f>IF(A377="","",IF(M377=0,"",M377))</f>
        <v/>
      </c>
      <c r="P377" s="461">
        <f>IF(A377="","",IF(O377="",0,IF(ISNUMBER(O377),O377,0)))</f>
        <v/>
      </c>
      <c r="Q377" s="48">
        <f>IF(A377="","",IF(Exogena_RAW!$C$4="","BLOQUEADO: FALTA AÑO",IF(Exogena_RAW!$K$10&lt;&gt;Reglas!$B$5,"BLOQUEADO: AÑO",IF(IF(K377&lt;&gt;"",K377,J377)="",IF(S377&gt;1,"REQUIERE ASIGNACIÓN MANUAL (VARIAS CASILLAS)","INFORMATIVO (sin casilla — no se declara)"),IF(COUNTIFS(Reglas!$I$5:$I$118,IF(K377&lt;&gt;"",K377,J377),Reglas!$J$5:$J$118,"Sí")=0,"BLOQUEADO: CASILLA NO DIRECTA",IF(O377="","EXCLUIDO (valor borrado por el usuario)",IF(_xlfn.ISFORMULA(O377),IF(W377&lt;&gt;"","BORRADOR — VALOR SUGERIDO DIAN ⚠ VER ALERTA","BORRADOR — VALOR SUGERIDO DIAN"),IF(W377&lt;&gt;"","ACEPTADO ⚠ VER ALERTA","ACEPTADO"))))))))</f>
        <v/>
      </c>
      <c r="R377" s="218" t="n"/>
      <c r="S377" s="58">
        <f>IF(A377="","",IFERROR(--ISNUMBER(SEARCH("R28",G377)),0)+IFERROR(--ISNUMBER(SEARCH("R29",G377)),0)+IFERROR(--ISNUMBER(SEARCH("R30",G377)),0)+IFERROR(--ISNUMBER(SEARCH("R31",G377)),0)+IFERROR(--ISNUMBER(SEARCH("R32",G377)),0)+IFERROR(--ISNUMBER(SEARCH("R33",G377)),0)+IFERROR(--ISNUMBER(SEARCH("R34",G377)),0)+IFERROR(--ISNUMBER(SEARCH("R35",G377)),0)+IFERROR(--ISNUMBER(SEARCH("R36",G377)),0)+IFERROR(--ISNUMBER(SEARCH("R37",G377)),0)+IFERROR(--ISNUMBER(SEARCH("R38",G377)),0)+IFERROR(--ISNUMBER(SEARCH("R39",G377)),0)+IFERROR(--ISNUMBER(SEARCH("R40",G377)),0)+IFERROR(--ISNUMBER(SEARCH("R41",G377)),0)+IFERROR(--ISNUMBER(SEARCH("R42",G377)),0)+IFERROR(--ISNUMBER(SEARCH("R43",G377)),0)+IFERROR(--ISNUMBER(SEARCH("R44",G377)),0)+IFERROR(--ISNUMBER(SEARCH("R45",G377)),0)+IFERROR(--ISNUMBER(SEARCH("R46",G377)),0)+IFERROR(--ISNUMBER(SEARCH("R47",G377)),0)+IFERROR(--ISNUMBER(SEARCH("R48",G377)),0)+IFERROR(--ISNUMBER(SEARCH("R49",G377)),0)+IFERROR(--ISNUMBER(SEARCH("R50",G377)),0)+IFERROR(--ISNUMBER(SEARCH("R51",G377)),0)+IFERROR(--ISNUMBER(SEARCH("R52",G377)),0)+IFERROR(--ISNUMBER(SEARCH("R53",G377)),0)+IFERROR(--ISNUMBER(SEARCH("R54",G377)),0)+IFERROR(--ISNUMBER(SEARCH("R55",G377)),0)+IFERROR(--ISNUMBER(SEARCH("R56",G377)),0)+IFERROR(--ISNUMBER(SEARCH("R57",G377)),0)+IFERROR(--ISNUMBER(SEARCH("R58",G377)),0)+IFERROR(--ISNUMBER(SEARCH("R59",G377)),0)+IFERROR(--ISNUMBER(SEARCH("R60",G377)),0)+IFERROR(--ISNUMBER(SEARCH("R61",G377)),0)+IFERROR(--ISNUMBER(SEARCH("R62",G377)),0)+IFERROR(--ISNUMBER(SEARCH("R63",G377)),0)+IFERROR(--ISNUMBER(SEARCH("R64",G377)),0)+IFERROR(--ISNUMBER(SEARCH("R65",G377)),0)+IFERROR(--ISNUMBER(SEARCH("R66",G377)),0)+IFERROR(--ISNUMBER(SEARCH("R67",G377)),0)+IFERROR(--ISNUMBER(SEARCH("R68",G377)),0)+IFERROR(--ISNUMBER(SEARCH("R69",G377)),0)+IFERROR(--ISNUMBER(SEARCH("R70",G377)),0)+IFERROR(--ISNUMBER(SEARCH("R71",G377)),0)+IFERROR(--ISNUMBER(SEARCH("R72",G377)),0)+IFERROR(--ISNUMBER(SEARCH("R73",G377)),0)+IFERROR(--ISNUMBER(SEARCH("R74",G377)),0)+IFERROR(--ISNUMBER(SEARCH("R75",G377)),0)+IFERROR(--ISNUMBER(SEARCH("R76",G377)),0)+IFERROR(--ISNUMBER(SEARCH("R77",G377)),0)+IFERROR(--ISNUMBER(SEARCH("R78",G377)),0)+IFERROR(--ISNUMBER(SEARCH("R79",G377)),0)+IFERROR(--ISNUMBER(SEARCH("R80",G377)),0)+IFERROR(--ISNUMBER(SEARCH("R81",G377)),0)+IFERROR(--ISNUMBER(SEARCH("R82",G377)),0)+IFERROR(--ISNUMBER(SEARCH("R83",G377)),0)+IFERROR(--ISNUMBER(SEARCH("R84",G377)),0)+IFERROR(--ISNUMBER(SEARCH("R85",G377)),0)+IFERROR(--ISNUMBER(SEARCH("R86",G377)),0)+IFERROR(--ISNUMBER(SEARCH("R87",G377)),0)+IFERROR(--ISNUMBER(SEARCH("R88",G377)),0)+IFERROR(--ISNUMBER(SEARCH("R89",G377)),0)+IFERROR(--ISNUMBER(SEARCH("R90",G377)),0)+IFERROR(--ISNUMBER(SEARCH("R91",G377)),0)+IFERROR(--ISNUMBER(SEARCH("R92",G377)),0)+IFERROR(--ISNUMBER(SEARCH("R93",G377)),0)+IFERROR(--ISNUMBER(SEARCH("R94",G377)),0)+IFERROR(--ISNUMBER(SEARCH("R95",G377)),0)+IFERROR(--ISNUMBER(SEARCH("R96",G377)),0)+IFERROR(--ISNUMBER(SEARCH("R97",G377)),0)+IFERROR(--ISNUMBER(SEARCH("R98",G377)),0)+IFERROR(--ISNUMBER(SEARCH("R99",G377)),0)+IFERROR(--ISNUMBER(SEARCH("R100",G377)),0)+IFERROR(--ISNUMBER(SEARCH("R101",G377)),0)+IFERROR(--ISNUMBER(SEARCH("R102",G377)),0)+IFERROR(--ISNUMBER(SEARCH("R103",G377)),0)+IFERROR(--ISNUMBER(SEARCH("R104",G377)),0)+IFERROR(--ISNUMBER(SEARCH("R105",G377)),0)+IFERROR(--ISNUMBER(SEARCH("R106",G377)),0)+IFERROR(--ISNUMBER(SEARCH("R107",G377)),0)+IFERROR(--ISNUMBER(SEARCH("R108",G377)),0)+IFERROR(--ISNUMBER(SEARCH("R109",G377)),0)+IFERROR(--ISNUMBER(SEARCH("R110",G377)),0)+IFERROR(--ISNUMBER(SEARCH("R111",G377)),0)+IFERROR(--ISNUMBER(SEARCH("R112",G377)),0)+IFERROR(--ISNUMBER(SEARCH("R113",G377)),0)+IFERROR(--ISNUMBER(SEARCH("R114",G377)),0)+IFERROR(--ISNUMBER(SEARCH("R115",G377)),0)+IFERROR(--ISNUMBER(SEARCH("R116",G377)),0)+IFERROR(--ISNUMBER(SEARCH("R117",G377)),0)+IFERROR(--ISNUMBER(SEARCH("R118",G377)),0)+IFERROR(--ISNUMBER(SEARCH("R119",G377)),0)+IFERROR(--ISNUMBER(SEARCH("R120",G377)),0)+IFERROR(--ISNUMBER(SEARCH("R121",G377)),0)+IFERROR(--ISNUMBER(SEARCH("R122",G377)),0)+IFERROR(--ISNUMBER(SEARCH("R123",G377)),0)+IFERROR(--ISNUMBER(SEARCH("R124",G377)),0)+IFERROR(--ISNUMBER(SEARCH("R125",G377)),0)+IFERROR(--ISNUMBER(SEARCH("R126",G377)),0)+IFERROR(--ISNUMBER(SEARCH("R127",G377)),0)+IFERROR(--ISNUMBER(SEARCH("R128",G377)),0)+IFERROR(--ISNUMBER(SEARCH("R129",G377)),0)+IFERROR(--ISNUMBER(SEARCH("R130",G377)),0)+IFERROR(--ISNUMBER(SEARCH("R131",G377)),0)+IFERROR(--ISNUMBER(SEARCH("R132",G377)),0)+IFERROR(--ISNUMBER(SEARCH("R133",G377)),0)+IFERROR(--ISNUMBER(SEARCH("R134",G377)),0)+IFERROR(--ISNUMBER(SEARCH("R135",G377)),0)+IFERROR(--ISNUMBER(SEARCH("R136",G377)),0)+IFERROR(--ISNUMBER(SEARCH("R137",G377)),0)+IFERROR(--ISNUMBER(SEARCH("R138",G377)),0)+IFERROR(--ISNUMBER(SEARCH("R139",G377)),0)+IFERROR(--ISNUMBER(SEARCH("R140",G377)),0)+IFERROR(--ISNUMBER(SEARCH("R141",G377)),0))</f>
        <v/>
      </c>
      <c r="T377" s="58">
        <f>IF(A377="","",IFERROR(--ISNUMBER(SEARCH("R28",G377)),0)+IFERROR(--ISNUMBER(SEARCH("R29",G377)),0)+IFERROR(--ISNUMBER(SEARCH("R30",G377)),0)+IFERROR(--ISNUMBER(SEARCH("R32",G377)),0)+IFERROR(--ISNUMBER(SEARCH("R33",G377)),0)+IFERROR(--ISNUMBER(SEARCH("R35",G377)),0)+IFERROR(--ISNUMBER(SEARCH("R36",G377)),0)+IFERROR(--ISNUMBER(SEARCH("R38",G377)),0)+IFERROR(--ISNUMBER(SEARCH("R39",G377)),0)+IFERROR(--ISNUMBER(SEARCH("R43",G377)),0)+IFERROR(--ISNUMBER(SEARCH("R44",G377)),0)+IFERROR(--ISNUMBER(SEARCH("R45",G377)),0)+IFERROR(--ISNUMBER(SEARCH("R47",G377)),0)+IFERROR(--ISNUMBER(SEARCH("R48",G377)),0)+IFERROR(--ISNUMBER(SEARCH("R50",G377)),0)+IFERROR(--ISNUMBER(SEARCH("R51",G377)),0)+IFERROR(--ISNUMBER(SEARCH("R56",G377)),0)+IFERROR(--ISNUMBER(SEARCH("R58",G377)),0)+IFERROR(--ISNUMBER(SEARCH("R59",G377)),0)+IFERROR(--ISNUMBER(SEARCH("R60",G377)),0)+IFERROR(--ISNUMBER(SEARCH("R62",G377)),0)+IFERROR(--ISNUMBER(SEARCH("R63",G377)),0)+IFERROR(--ISNUMBER(SEARCH("R64",G377)),0)+IFERROR(--ISNUMBER(SEARCH("R66",G377)),0)+IFERROR(--ISNUMBER(SEARCH("R67",G377)),0)+IFERROR(--ISNUMBER(SEARCH("R72",G377)),0)+IFERROR(--ISNUMBER(SEARCH("R74",G377)),0)+IFERROR(--ISNUMBER(SEARCH("R75",G377)),0)+IFERROR(--ISNUMBER(SEARCH("R76",G377)),0)+IFERROR(--ISNUMBER(SEARCH("R77",G377)),0)+IFERROR(--ISNUMBER(SEARCH("R79",G377)),0)+IFERROR(--ISNUMBER(SEARCH("R80",G377)),0)+IFERROR(--ISNUMBER(SEARCH("R81",G377)),0)+IFERROR(--ISNUMBER(SEARCH("R83",G377)),0)+IFERROR(--ISNUMBER(SEARCH("R84",G377)),0)+IFERROR(--ISNUMBER(SEARCH("R89",G377)),0)+IFERROR(--ISNUMBER(SEARCH("R94",G377)),0)+IFERROR(--ISNUMBER(SEARCH("R95",G377)),0)+IFERROR(--ISNUMBER(SEARCH("R96",G377)),0)+IFERROR(--ISNUMBER(SEARCH("R98",G377)),0)+IFERROR(--ISNUMBER(SEARCH("R99",G377)),0)+IFERROR(--ISNUMBER(SEARCH("R100",G377)),0)+IFERROR(--ISNUMBER(SEARCH("R104",G377)),0)+IFERROR(--ISNUMBER(SEARCH("R105",G377)),0)+IFERROR(--ISNUMBER(SEARCH("R107",G377)),0)+IFERROR(--ISNUMBER(SEARCH("R108",G377)),0)+IFERROR(--ISNUMBER(SEARCH("R109",G377)),0)+IFERROR(--ISNUMBER(SEARCH("R110",G377)),0)+IFERROR(--ISNUMBER(SEARCH("R112",G377)),0)+IFERROR(--ISNUMBER(SEARCH("R113",G377)),0)+IFERROR(--ISNUMBER(SEARCH("R114",G377)),0)+IFERROR(--ISNUMBER(SEARCH("R118",G377)),0)+IFERROR(--ISNUMBER(SEARCH("R119",G377)),0)+IFERROR(--ISNUMBER(SEARCH("R120",G377)),0)+IFERROR(--ISNUMBER(SEARCH("R122",G377)),0)+IFERROR(--ISNUMBER(SEARCH("R123",G377)),0)+IFERROR(--ISNUMBER(SEARCH("R124",G377)),0)+IFERROR(--ISNUMBER(SEARCH("R128",G377)),0)+IFERROR(--ISNUMBER(SEARCH("R130",G377)),0)+IFERROR(--ISNUMBER(SEARCH("R131",G377)),0)+IFERROR(--ISNUMBER(SEARCH("R132",G377)),0)+IFERROR(--ISNUMBER(SEARCH("R135",G377)),0)+IFERROR(--ISNUMBER(SEARCH("R138",G377)),0)+IFERROR(--ISNUMBER(SEARCH("R141",G377)),0))</f>
        <v/>
      </c>
      <c r="U377" s="58">
        <f>IF(A377="","",IFERROR(--ISNUMBER(SEARCH("R28",G377))*28,0)+IFERROR(--ISNUMBER(SEARCH("R29",G377))*29,0)+IFERROR(--ISNUMBER(SEARCH("R30",G377))*30,0)+IFERROR(--ISNUMBER(SEARCH("R31",G377))*31,0)+IFERROR(--ISNUMBER(SEARCH("R32",G377))*32,0)+IFERROR(--ISNUMBER(SEARCH("R33",G377))*33,0)+IFERROR(--ISNUMBER(SEARCH("R34",G377))*34,0)+IFERROR(--ISNUMBER(SEARCH("R35",G377))*35,0)+IFERROR(--ISNUMBER(SEARCH("R36",G377))*36,0)+IFERROR(--ISNUMBER(SEARCH("R37",G377))*37,0)+IFERROR(--ISNUMBER(SEARCH("R38",G377))*38,0)+IFERROR(--ISNUMBER(SEARCH("R39",G377))*39,0)+IFERROR(--ISNUMBER(SEARCH("R40",G377))*40,0)+IFERROR(--ISNUMBER(SEARCH("R41",G377))*41,0)+IFERROR(--ISNUMBER(SEARCH("R42",G377))*42,0)+IFERROR(--ISNUMBER(SEARCH("R43",G377))*43,0)+IFERROR(--ISNUMBER(SEARCH("R44",G377))*44,0)+IFERROR(--ISNUMBER(SEARCH("R45",G377))*45,0)+IFERROR(--ISNUMBER(SEARCH("R46",G377))*46,0)+IFERROR(--ISNUMBER(SEARCH("R47",G377))*47,0)+IFERROR(--ISNUMBER(SEARCH("R48",G377))*48,0)+IFERROR(--ISNUMBER(SEARCH("R49",G377))*49,0)+IFERROR(--ISNUMBER(SEARCH("R50",G377))*50,0)+IFERROR(--ISNUMBER(SEARCH("R51",G377))*51,0)+IFERROR(--ISNUMBER(SEARCH("R52",G377))*52,0)+IFERROR(--ISNUMBER(SEARCH("R53",G377))*53,0)+IFERROR(--ISNUMBER(SEARCH("R54",G377))*54,0)+IFERROR(--ISNUMBER(SEARCH("R55",G377))*55,0)+IFERROR(--ISNUMBER(SEARCH("R56",G377))*56,0)+IFERROR(--ISNUMBER(SEARCH("R57",G377))*57,0)+IFERROR(--ISNUMBER(SEARCH("R58",G377))*58,0)+IFERROR(--ISNUMBER(SEARCH("R59",G377))*59,0)+IFERROR(--ISNUMBER(SEARCH("R60",G377))*60,0)+IFERROR(--ISNUMBER(SEARCH("R61",G377))*61,0)+IFERROR(--ISNUMBER(SEARCH("R62",G377))*62,0)+IFERROR(--ISNUMBER(SEARCH("R63",G377))*63,0)+IFERROR(--ISNUMBER(SEARCH("R64",G377))*64,0)+IFERROR(--ISNUMBER(SEARCH("R65",G377))*65,0)+IFERROR(--ISNUMBER(SEARCH("R66",G377))*66,0)+IFERROR(--ISNUMBER(SEARCH("R67",G377))*67,0)+IFERROR(--ISNUMBER(SEARCH("R68",G377))*68,0)+IFERROR(--ISNUMBER(SEARCH("R69",G377))*69,0)+IFERROR(--ISNUMBER(SEARCH("R70",G377))*70,0)+IFERROR(--ISNUMBER(SEARCH("R71",G377))*71,0)+IFERROR(--ISNUMBER(SEARCH("R72",G377))*72,0)+IFERROR(--ISNUMBER(SEARCH("R73",G377))*73,0)+IFERROR(--ISNUMBER(SEARCH("R74",G377))*74,0)+IFERROR(--ISNUMBER(SEARCH("R75",G377))*75,0)+IFERROR(--ISNUMBER(SEARCH("R76",G377))*76,0)+IFERROR(--ISNUMBER(SEARCH("R77",G377))*77,0)+IFERROR(--ISNUMBER(SEARCH("R78",G377))*78,0)+IFERROR(--ISNUMBER(SEARCH("R79",G377))*79,0)+IFERROR(--ISNUMBER(SEARCH("R80",G377))*80,0)+IFERROR(--ISNUMBER(SEARCH("R81",G377))*81,0)+IFERROR(--ISNUMBER(SEARCH("R82",G377))*82,0)+IFERROR(--ISNUMBER(SEARCH("R83",G377))*83,0)+IFERROR(--ISNUMBER(SEARCH("R84",G377))*84,0)+IFERROR(--ISNUMBER(SEARCH("R85",G377))*85,0)+IFERROR(--ISNUMBER(SEARCH("R86",G377))*86,0)+IFERROR(--ISNUMBER(SEARCH("R87",G377))*87,0)+IFERROR(--ISNUMBER(SEARCH("R88",G377))*88,0)+IFERROR(--ISNUMBER(SEARCH("R89",G377))*89,0)+IFERROR(--ISNUMBER(SEARCH("R90",G377))*90,0)+IFERROR(--ISNUMBER(SEARCH("R91",G377))*91,0)+IFERROR(--ISNUMBER(SEARCH("R92",G377))*92,0)+IFERROR(--ISNUMBER(SEARCH("R93",G377))*93,0)+IFERROR(--ISNUMBER(SEARCH("R94",G377))*94,0)+IFERROR(--ISNUMBER(SEARCH("R95",G377))*95,0)+IFERROR(--ISNUMBER(SEARCH("R96",G377))*96,0)+IFERROR(--ISNUMBER(SEARCH("R97",G377))*97,0)+IFERROR(--ISNUMBER(SEARCH("R98",G377))*98,0)+IFERROR(--ISNUMBER(SEARCH("R99",G377))*99,0)+IFERROR(--ISNUMBER(SEARCH("R100",G377))*100,0)+IFERROR(--ISNUMBER(SEARCH("R101",G377))*101,0)+IFERROR(--ISNUMBER(SEARCH("R102",G377))*102,0)+IFERROR(--ISNUMBER(SEARCH("R103",G377))*103,0)+IFERROR(--ISNUMBER(SEARCH("R104",G377))*104,0)+IFERROR(--ISNUMBER(SEARCH("R105",G377))*105,0)+IFERROR(--ISNUMBER(SEARCH("R106",G377))*106,0)+IFERROR(--ISNUMBER(SEARCH("R107",G377))*107,0)+IFERROR(--ISNUMBER(SEARCH("R108",G377))*108,0)+IFERROR(--ISNUMBER(SEARCH("R109",G377))*109,0)+IFERROR(--ISNUMBER(SEARCH("R110",G377))*110,0)+IFERROR(--ISNUMBER(SEARCH("R111",G377))*111,0)+IFERROR(--ISNUMBER(SEARCH("R112",G377))*112,0)+IFERROR(--ISNUMBER(SEARCH("R113",G377))*113,0)+IFERROR(--ISNUMBER(SEARCH("R114",G377))*114,0)+IFERROR(--ISNUMBER(SEARCH("R115",G377))*115,0)+IFERROR(--ISNUMBER(SEARCH("R116",G377))*116,0)+IFERROR(--ISNUMBER(SEARCH("R117",G377))*117,0)+IFERROR(--ISNUMBER(SEARCH("R118",G377))*118,0)+IFERROR(--ISNUMBER(SEARCH("R119",G377))*119,0)+IFERROR(--ISNUMBER(SEARCH("R120",G377))*120,0)+IFERROR(--ISNUMBER(SEARCH("R121",G377))*121,0)+IFERROR(--ISNUMBER(SEARCH("R122",G377))*122,0)+IFERROR(--ISNUMBER(SEARCH("R123",G377))*123,0)+IFERROR(--ISNUMBER(SEARCH("R124",G377))*124,0)+IFERROR(--ISNUMBER(SEARCH("R125",G377))*125,0)+IFERROR(--ISNUMBER(SEARCH("R126",G377))*126,0)+IFERROR(--ISNUMBER(SEARCH("R127",G377))*127,0)+IFERROR(--ISNUMBER(SEARCH("R128",G377))*128,0)+IFERROR(--ISNUMBER(SEARCH("R129",G377))*129,0)+IFERROR(--ISNUMBER(SEARCH("R130",G377))*130,0)+IFERROR(--ISNUMBER(SEARCH("R131",G377))*131,0)+IFERROR(--ISNUMBER(SEARCH("R132",G377))*132,0)+IFERROR(--ISNUMBER(SEARCH("R133",G377))*133,0)+IFERROR(--ISNUMBER(SEARCH("R134",G377))*134,0)+IFERROR(--ISNUMBER(SEARCH("R135",G377))*135,0)+IFERROR(--ISNUMBER(SEARCH("R136",G377))*136,0)+IFERROR(--ISNUMBER(SEARCH("R137",G377))*137,0)+IFERROR(--ISNUMBER(SEARCH("R138",G377))*138,0)+IFERROR(--ISNUMBER(SEARCH("R139",G377))*139,0)+IFERROR(--ISNUMBER(SEARCH("R140",G377))*140,0)+IFERROR(--ISNUMBER(SEARCH("R141",G377))*141,0))</f>
        <v/>
      </c>
      <c r="V377" s="59">
        <f>IF(A377="","",IF(K377&lt;&gt;"",K377,J377))</f>
        <v/>
      </c>
      <c r="W377" s="59">
        <f>IF(A377="","",IF(AND(V377=29,O377&lt;&gt;"",COUNTIFS($V$6:$V$505,29,$F$6:$F$505,F377,$C$6:$C$505,C377,$O$6:$O$505,"&lt;&gt;")&gt;1),IF(COUNTIFS($V$6:V377,29,$F$6:F377,F377,$C$6:C377,C377,$O$6:O377,"&lt;&gt;")=1,"Esta es la fila que se debe CONSERVAR (aparición 1 de "&amp;COUNTIFS($V$6:$V$505,29,$F$6:$F$505,F377,$C$6:$C$505,C377,$O$6:$O$505,"&lt;&gt;")&amp;" con el mismo tercero y valor, casilla 29). Si hay más filas iguales, bórreles el valor a ELLAS, no a esta.","DUPLICADO — ya existe otra fila con el mismo tercero y valor para casilla 29 (aparición "&amp;COUNTIFS($V$6:V377,29,$F$6:F377,F377,$C$6:C377,C377,$O$6:O377,"&lt;&gt;")&amp;" de "&amp;COUNTIFS($V$6:$V$505,29,$F$6:$F$505,F377,$C$6:$C$505,C377,$O$6:$O$505,"&lt;&gt;")&amp;"). Para resolverlo: seleccione la celda O"&amp;ROW()&amp;" (columna Valor a declarar de ESTA fila) y presione Supr."),""))</f>
        <v/>
      </c>
      <c r="X377" s="463">
        <f>IF(A377="","",F377)</f>
        <v/>
      </c>
      <c r="Y377" s="463">
        <f>IF(A377="","",SUMIF(Entrada_Manual!$I$88:$I$187,A377,Entrada_Manual!$F$88:$F$187))</f>
        <v/>
      </c>
      <c r="Z377" s="463">
        <f>IF(A377="","",X377-Y377)</f>
        <v/>
      </c>
      <c r="AA377">
        <f>IF(A377="","",SUMPRODUCT((Entrada_Manual!$I$88:$I$187=A377)*1))</f>
        <v/>
      </c>
      <c r="AB377">
        <f>IF(A377="","",IF(S377&lt;=1,"",IF(AA377=0,"PENDIENTE — SIN ASIGNAR",IF(Z377=0,"RESUELTO","PARCIAL — DIFERENCIA "&amp;TEXT(Z377,"#,##0")))))</f>
        <v/>
      </c>
    </row>
    <row r="378" ht="14.25" customHeight="1" s="235">
      <c r="A378" s="47">
        <f>IF(Exogena_RAW!E387&lt;&gt;"",ROW()-5,"")</f>
        <v/>
      </c>
      <c r="B378" s="48">
        <f>IF(A378="","",387)</f>
        <v/>
      </c>
      <c r="C378" s="48">
        <f>IF(A378="","",IFERROR(Exogena_RAW!A387,""))</f>
        <v/>
      </c>
      <c r="D378" s="48">
        <f>IF(A378="","",IFERROR(Exogena_RAW!B387,""))</f>
        <v/>
      </c>
      <c r="E378" s="48">
        <f>IF(A378="","",Exogena_RAW!E387)</f>
        <v/>
      </c>
      <c r="F378" s="461">
        <f>IF(A378="","",Exogena_RAW!F387)</f>
        <v/>
      </c>
      <c r="G378" s="48">
        <f>IF(A378="","",IFERROR(Exogena_RAW!G387,""))</f>
        <v/>
      </c>
      <c r="H378" s="48">
        <f>IF(A378="","",IFERROR(Exogena_RAW!H387,""))</f>
        <v/>
      </c>
      <c r="I378" s="48">
        <f>IF(A378="","",IFERROR(IF(S378&gt;1,"VARIAS CASILLAS",IF(S378=1,IF(T378=1,"PROPUESTA DE CASILLA","REVISIÓN: CASILLA NO DIRECTA"),IF(OR(ISNUMBER(SEARCH("TOPE",UPPER(E378))),ISNUMBER(SEARCH("TOPE",UPPER(G378)))),"SOLO CONTROL",IF(ISNUMBER(SEARCH("RETEN",UPPER(E378))),"RETENCIÓN","REVISAR")))),"REVISAR"))</f>
        <v/>
      </c>
      <c r="J378" s="48">
        <f>IF(A378="","",IF(ISNUMBER(SEARCH("ingreso laboral promedio de los últimos seis meses",E378)),"",IFERROR(IF(AND(S378=1,T378=1),U378,""),"")))</f>
        <v/>
      </c>
      <c r="K378" s="216" t="n"/>
      <c r="L378" s="48">
        <f>IF(A378="","",IFERROR(IF(K378&lt;&gt;"","Casilla elegida por usuario",IF(S378&gt;1,"Varias casillas — elegir en K",IF(J378&lt;&gt;"","Sugerencia directa",IF(S378=1,"No trasladar directo — revisar",IF(OR(ISNUMBER(SEARCH("TOPE",UPPER(E378))),ISNUMBER(SEARCH("TOPE",UPPER(G378)))),"Solo control","Revisar manualmente"))))),"Revisar manualmente"))</f>
        <v/>
      </c>
      <c r="M378" s="461">
        <f>IF(A378="","",IF(IF(K378&lt;&gt;"",K378,J378)="",0,IF(COUNTIFS(Reglas!$I$5:$I$118,IF(K378&lt;&gt;"",K378,J378),Reglas!$J$5:$J$118,"Sí")=1,F378,0)))</f>
        <v/>
      </c>
      <c r="N378" s="56" t="n"/>
      <c r="O378" s="462">
        <f>IF(A378="","",IF(M378=0,"",M378))</f>
        <v/>
      </c>
      <c r="P378" s="461">
        <f>IF(A378="","",IF(O378="",0,IF(ISNUMBER(O378),O378,0)))</f>
        <v/>
      </c>
      <c r="Q378" s="48">
        <f>IF(A378="","",IF(Exogena_RAW!$C$4="","BLOQUEADO: FALTA AÑO",IF(Exogena_RAW!$K$10&lt;&gt;Reglas!$B$5,"BLOQUEADO: AÑO",IF(IF(K378&lt;&gt;"",K378,J378)="",IF(S378&gt;1,"REQUIERE ASIGNACIÓN MANUAL (VARIAS CASILLAS)","INFORMATIVO (sin casilla — no se declara)"),IF(COUNTIFS(Reglas!$I$5:$I$118,IF(K378&lt;&gt;"",K378,J378),Reglas!$J$5:$J$118,"Sí")=0,"BLOQUEADO: CASILLA NO DIRECTA",IF(O378="","EXCLUIDO (valor borrado por el usuario)",IF(_xlfn.ISFORMULA(O378),IF(W378&lt;&gt;"","BORRADOR — VALOR SUGERIDO DIAN ⚠ VER ALERTA","BORRADOR — VALOR SUGERIDO DIAN"),IF(W378&lt;&gt;"","ACEPTADO ⚠ VER ALERTA","ACEPTADO"))))))))</f>
        <v/>
      </c>
      <c r="R378" s="218" t="n"/>
      <c r="S378" s="58">
        <f>IF(A378="","",IFERROR(--ISNUMBER(SEARCH("R28",G378)),0)+IFERROR(--ISNUMBER(SEARCH("R29",G378)),0)+IFERROR(--ISNUMBER(SEARCH("R30",G378)),0)+IFERROR(--ISNUMBER(SEARCH("R31",G378)),0)+IFERROR(--ISNUMBER(SEARCH("R32",G378)),0)+IFERROR(--ISNUMBER(SEARCH("R33",G378)),0)+IFERROR(--ISNUMBER(SEARCH("R34",G378)),0)+IFERROR(--ISNUMBER(SEARCH("R35",G378)),0)+IFERROR(--ISNUMBER(SEARCH("R36",G378)),0)+IFERROR(--ISNUMBER(SEARCH("R37",G378)),0)+IFERROR(--ISNUMBER(SEARCH("R38",G378)),0)+IFERROR(--ISNUMBER(SEARCH("R39",G378)),0)+IFERROR(--ISNUMBER(SEARCH("R40",G378)),0)+IFERROR(--ISNUMBER(SEARCH("R41",G378)),0)+IFERROR(--ISNUMBER(SEARCH("R42",G378)),0)+IFERROR(--ISNUMBER(SEARCH("R43",G378)),0)+IFERROR(--ISNUMBER(SEARCH("R44",G378)),0)+IFERROR(--ISNUMBER(SEARCH("R45",G378)),0)+IFERROR(--ISNUMBER(SEARCH("R46",G378)),0)+IFERROR(--ISNUMBER(SEARCH("R47",G378)),0)+IFERROR(--ISNUMBER(SEARCH("R48",G378)),0)+IFERROR(--ISNUMBER(SEARCH("R49",G378)),0)+IFERROR(--ISNUMBER(SEARCH("R50",G378)),0)+IFERROR(--ISNUMBER(SEARCH("R51",G378)),0)+IFERROR(--ISNUMBER(SEARCH("R52",G378)),0)+IFERROR(--ISNUMBER(SEARCH("R53",G378)),0)+IFERROR(--ISNUMBER(SEARCH("R54",G378)),0)+IFERROR(--ISNUMBER(SEARCH("R55",G378)),0)+IFERROR(--ISNUMBER(SEARCH("R56",G378)),0)+IFERROR(--ISNUMBER(SEARCH("R57",G378)),0)+IFERROR(--ISNUMBER(SEARCH("R58",G378)),0)+IFERROR(--ISNUMBER(SEARCH("R59",G378)),0)+IFERROR(--ISNUMBER(SEARCH("R60",G378)),0)+IFERROR(--ISNUMBER(SEARCH("R61",G378)),0)+IFERROR(--ISNUMBER(SEARCH("R62",G378)),0)+IFERROR(--ISNUMBER(SEARCH("R63",G378)),0)+IFERROR(--ISNUMBER(SEARCH("R64",G378)),0)+IFERROR(--ISNUMBER(SEARCH("R65",G378)),0)+IFERROR(--ISNUMBER(SEARCH("R66",G378)),0)+IFERROR(--ISNUMBER(SEARCH("R67",G378)),0)+IFERROR(--ISNUMBER(SEARCH("R68",G378)),0)+IFERROR(--ISNUMBER(SEARCH("R69",G378)),0)+IFERROR(--ISNUMBER(SEARCH("R70",G378)),0)+IFERROR(--ISNUMBER(SEARCH("R71",G378)),0)+IFERROR(--ISNUMBER(SEARCH("R72",G378)),0)+IFERROR(--ISNUMBER(SEARCH("R73",G378)),0)+IFERROR(--ISNUMBER(SEARCH("R74",G378)),0)+IFERROR(--ISNUMBER(SEARCH("R75",G378)),0)+IFERROR(--ISNUMBER(SEARCH("R76",G378)),0)+IFERROR(--ISNUMBER(SEARCH("R77",G378)),0)+IFERROR(--ISNUMBER(SEARCH("R78",G378)),0)+IFERROR(--ISNUMBER(SEARCH("R79",G378)),0)+IFERROR(--ISNUMBER(SEARCH("R80",G378)),0)+IFERROR(--ISNUMBER(SEARCH("R81",G378)),0)+IFERROR(--ISNUMBER(SEARCH("R82",G378)),0)+IFERROR(--ISNUMBER(SEARCH("R83",G378)),0)+IFERROR(--ISNUMBER(SEARCH("R84",G378)),0)+IFERROR(--ISNUMBER(SEARCH("R85",G378)),0)+IFERROR(--ISNUMBER(SEARCH("R86",G378)),0)+IFERROR(--ISNUMBER(SEARCH("R87",G378)),0)+IFERROR(--ISNUMBER(SEARCH("R88",G378)),0)+IFERROR(--ISNUMBER(SEARCH("R89",G378)),0)+IFERROR(--ISNUMBER(SEARCH("R90",G378)),0)+IFERROR(--ISNUMBER(SEARCH("R91",G378)),0)+IFERROR(--ISNUMBER(SEARCH("R92",G378)),0)+IFERROR(--ISNUMBER(SEARCH("R93",G378)),0)+IFERROR(--ISNUMBER(SEARCH("R94",G378)),0)+IFERROR(--ISNUMBER(SEARCH("R95",G378)),0)+IFERROR(--ISNUMBER(SEARCH("R96",G378)),0)+IFERROR(--ISNUMBER(SEARCH("R97",G378)),0)+IFERROR(--ISNUMBER(SEARCH("R98",G378)),0)+IFERROR(--ISNUMBER(SEARCH("R99",G378)),0)+IFERROR(--ISNUMBER(SEARCH("R100",G378)),0)+IFERROR(--ISNUMBER(SEARCH("R101",G378)),0)+IFERROR(--ISNUMBER(SEARCH("R102",G378)),0)+IFERROR(--ISNUMBER(SEARCH("R103",G378)),0)+IFERROR(--ISNUMBER(SEARCH("R104",G378)),0)+IFERROR(--ISNUMBER(SEARCH("R105",G378)),0)+IFERROR(--ISNUMBER(SEARCH("R106",G378)),0)+IFERROR(--ISNUMBER(SEARCH("R107",G378)),0)+IFERROR(--ISNUMBER(SEARCH("R108",G378)),0)+IFERROR(--ISNUMBER(SEARCH("R109",G378)),0)+IFERROR(--ISNUMBER(SEARCH("R110",G378)),0)+IFERROR(--ISNUMBER(SEARCH("R111",G378)),0)+IFERROR(--ISNUMBER(SEARCH("R112",G378)),0)+IFERROR(--ISNUMBER(SEARCH("R113",G378)),0)+IFERROR(--ISNUMBER(SEARCH("R114",G378)),0)+IFERROR(--ISNUMBER(SEARCH("R115",G378)),0)+IFERROR(--ISNUMBER(SEARCH("R116",G378)),0)+IFERROR(--ISNUMBER(SEARCH("R117",G378)),0)+IFERROR(--ISNUMBER(SEARCH("R118",G378)),0)+IFERROR(--ISNUMBER(SEARCH("R119",G378)),0)+IFERROR(--ISNUMBER(SEARCH("R120",G378)),0)+IFERROR(--ISNUMBER(SEARCH("R121",G378)),0)+IFERROR(--ISNUMBER(SEARCH("R122",G378)),0)+IFERROR(--ISNUMBER(SEARCH("R123",G378)),0)+IFERROR(--ISNUMBER(SEARCH("R124",G378)),0)+IFERROR(--ISNUMBER(SEARCH("R125",G378)),0)+IFERROR(--ISNUMBER(SEARCH("R126",G378)),0)+IFERROR(--ISNUMBER(SEARCH("R127",G378)),0)+IFERROR(--ISNUMBER(SEARCH("R128",G378)),0)+IFERROR(--ISNUMBER(SEARCH("R129",G378)),0)+IFERROR(--ISNUMBER(SEARCH("R130",G378)),0)+IFERROR(--ISNUMBER(SEARCH("R131",G378)),0)+IFERROR(--ISNUMBER(SEARCH("R132",G378)),0)+IFERROR(--ISNUMBER(SEARCH("R133",G378)),0)+IFERROR(--ISNUMBER(SEARCH("R134",G378)),0)+IFERROR(--ISNUMBER(SEARCH("R135",G378)),0)+IFERROR(--ISNUMBER(SEARCH("R136",G378)),0)+IFERROR(--ISNUMBER(SEARCH("R137",G378)),0)+IFERROR(--ISNUMBER(SEARCH("R138",G378)),0)+IFERROR(--ISNUMBER(SEARCH("R139",G378)),0)+IFERROR(--ISNUMBER(SEARCH("R140",G378)),0)+IFERROR(--ISNUMBER(SEARCH("R141",G378)),0))</f>
        <v/>
      </c>
      <c r="T378" s="58">
        <f>IF(A378="","",IFERROR(--ISNUMBER(SEARCH("R28",G378)),0)+IFERROR(--ISNUMBER(SEARCH("R29",G378)),0)+IFERROR(--ISNUMBER(SEARCH("R30",G378)),0)+IFERROR(--ISNUMBER(SEARCH("R32",G378)),0)+IFERROR(--ISNUMBER(SEARCH("R33",G378)),0)+IFERROR(--ISNUMBER(SEARCH("R35",G378)),0)+IFERROR(--ISNUMBER(SEARCH("R36",G378)),0)+IFERROR(--ISNUMBER(SEARCH("R38",G378)),0)+IFERROR(--ISNUMBER(SEARCH("R39",G378)),0)+IFERROR(--ISNUMBER(SEARCH("R43",G378)),0)+IFERROR(--ISNUMBER(SEARCH("R44",G378)),0)+IFERROR(--ISNUMBER(SEARCH("R45",G378)),0)+IFERROR(--ISNUMBER(SEARCH("R47",G378)),0)+IFERROR(--ISNUMBER(SEARCH("R48",G378)),0)+IFERROR(--ISNUMBER(SEARCH("R50",G378)),0)+IFERROR(--ISNUMBER(SEARCH("R51",G378)),0)+IFERROR(--ISNUMBER(SEARCH("R56",G378)),0)+IFERROR(--ISNUMBER(SEARCH("R58",G378)),0)+IFERROR(--ISNUMBER(SEARCH("R59",G378)),0)+IFERROR(--ISNUMBER(SEARCH("R60",G378)),0)+IFERROR(--ISNUMBER(SEARCH("R62",G378)),0)+IFERROR(--ISNUMBER(SEARCH("R63",G378)),0)+IFERROR(--ISNUMBER(SEARCH("R64",G378)),0)+IFERROR(--ISNUMBER(SEARCH("R66",G378)),0)+IFERROR(--ISNUMBER(SEARCH("R67",G378)),0)+IFERROR(--ISNUMBER(SEARCH("R72",G378)),0)+IFERROR(--ISNUMBER(SEARCH("R74",G378)),0)+IFERROR(--ISNUMBER(SEARCH("R75",G378)),0)+IFERROR(--ISNUMBER(SEARCH("R76",G378)),0)+IFERROR(--ISNUMBER(SEARCH("R77",G378)),0)+IFERROR(--ISNUMBER(SEARCH("R79",G378)),0)+IFERROR(--ISNUMBER(SEARCH("R80",G378)),0)+IFERROR(--ISNUMBER(SEARCH("R81",G378)),0)+IFERROR(--ISNUMBER(SEARCH("R83",G378)),0)+IFERROR(--ISNUMBER(SEARCH("R84",G378)),0)+IFERROR(--ISNUMBER(SEARCH("R89",G378)),0)+IFERROR(--ISNUMBER(SEARCH("R94",G378)),0)+IFERROR(--ISNUMBER(SEARCH("R95",G378)),0)+IFERROR(--ISNUMBER(SEARCH("R96",G378)),0)+IFERROR(--ISNUMBER(SEARCH("R98",G378)),0)+IFERROR(--ISNUMBER(SEARCH("R99",G378)),0)+IFERROR(--ISNUMBER(SEARCH("R100",G378)),0)+IFERROR(--ISNUMBER(SEARCH("R104",G378)),0)+IFERROR(--ISNUMBER(SEARCH("R105",G378)),0)+IFERROR(--ISNUMBER(SEARCH("R107",G378)),0)+IFERROR(--ISNUMBER(SEARCH("R108",G378)),0)+IFERROR(--ISNUMBER(SEARCH("R109",G378)),0)+IFERROR(--ISNUMBER(SEARCH("R110",G378)),0)+IFERROR(--ISNUMBER(SEARCH("R112",G378)),0)+IFERROR(--ISNUMBER(SEARCH("R113",G378)),0)+IFERROR(--ISNUMBER(SEARCH("R114",G378)),0)+IFERROR(--ISNUMBER(SEARCH("R118",G378)),0)+IFERROR(--ISNUMBER(SEARCH("R119",G378)),0)+IFERROR(--ISNUMBER(SEARCH("R120",G378)),0)+IFERROR(--ISNUMBER(SEARCH("R122",G378)),0)+IFERROR(--ISNUMBER(SEARCH("R123",G378)),0)+IFERROR(--ISNUMBER(SEARCH("R124",G378)),0)+IFERROR(--ISNUMBER(SEARCH("R128",G378)),0)+IFERROR(--ISNUMBER(SEARCH("R130",G378)),0)+IFERROR(--ISNUMBER(SEARCH("R131",G378)),0)+IFERROR(--ISNUMBER(SEARCH("R132",G378)),0)+IFERROR(--ISNUMBER(SEARCH("R135",G378)),0)+IFERROR(--ISNUMBER(SEARCH("R138",G378)),0)+IFERROR(--ISNUMBER(SEARCH("R141",G378)),0))</f>
        <v/>
      </c>
      <c r="U378" s="58">
        <f>IF(A378="","",IFERROR(--ISNUMBER(SEARCH("R28",G378))*28,0)+IFERROR(--ISNUMBER(SEARCH("R29",G378))*29,0)+IFERROR(--ISNUMBER(SEARCH("R30",G378))*30,0)+IFERROR(--ISNUMBER(SEARCH("R31",G378))*31,0)+IFERROR(--ISNUMBER(SEARCH("R32",G378))*32,0)+IFERROR(--ISNUMBER(SEARCH("R33",G378))*33,0)+IFERROR(--ISNUMBER(SEARCH("R34",G378))*34,0)+IFERROR(--ISNUMBER(SEARCH("R35",G378))*35,0)+IFERROR(--ISNUMBER(SEARCH("R36",G378))*36,0)+IFERROR(--ISNUMBER(SEARCH("R37",G378))*37,0)+IFERROR(--ISNUMBER(SEARCH("R38",G378))*38,0)+IFERROR(--ISNUMBER(SEARCH("R39",G378))*39,0)+IFERROR(--ISNUMBER(SEARCH("R40",G378))*40,0)+IFERROR(--ISNUMBER(SEARCH("R41",G378))*41,0)+IFERROR(--ISNUMBER(SEARCH("R42",G378))*42,0)+IFERROR(--ISNUMBER(SEARCH("R43",G378))*43,0)+IFERROR(--ISNUMBER(SEARCH("R44",G378))*44,0)+IFERROR(--ISNUMBER(SEARCH("R45",G378))*45,0)+IFERROR(--ISNUMBER(SEARCH("R46",G378))*46,0)+IFERROR(--ISNUMBER(SEARCH("R47",G378))*47,0)+IFERROR(--ISNUMBER(SEARCH("R48",G378))*48,0)+IFERROR(--ISNUMBER(SEARCH("R49",G378))*49,0)+IFERROR(--ISNUMBER(SEARCH("R50",G378))*50,0)+IFERROR(--ISNUMBER(SEARCH("R51",G378))*51,0)+IFERROR(--ISNUMBER(SEARCH("R52",G378))*52,0)+IFERROR(--ISNUMBER(SEARCH("R53",G378))*53,0)+IFERROR(--ISNUMBER(SEARCH("R54",G378))*54,0)+IFERROR(--ISNUMBER(SEARCH("R55",G378))*55,0)+IFERROR(--ISNUMBER(SEARCH("R56",G378))*56,0)+IFERROR(--ISNUMBER(SEARCH("R57",G378))*57,0)+IFERROR(--ISNUMBER(SEARCH("R58",G378))*58,0)+IFERROR(--ISNUMBER(SEARCH("R59",G378))*59,0)+IFERROR(--ISNUMBER(SEARCH("R60",G378))*60,0)+IFERROR(--ISNUMBER(SEARCH("R61",G378))*61,0)+IFERROR(--ISNUMBER(SEARCH("R62",G378))*62,0)+IFERROR(--ISNUMBER(SEARCH("R63",G378))*63,0)+IFERROR(--ISNUMBER(SEARCH("R64",G378))*64,0)+IFERROR(--ISNUMBER(SEARCH("R65",G378))*65,0)+IFERROR(--ISNUMBER(SEARCH("R66",G378))*66,0)+IFERROR(--ISNUMBER(SEARCH("R67",G378))*67,0)+IFERROR(--ISNUMBER(SEARCH("R68",G378))*68,0)+IFERROR(--ISNUMBER(SEARCH("R69",G378))*69,0)+IFERROR(--ISNUMBER(SEARCH("R70",G378))*70,0)+IFERROR(--ISNUMBER(SEARCH("R71",G378))*71,0)+IFERROR(--ISNUMBER(SEARCH("R72",G378))*72,0)+IFERROR(--ISNUMBER(SEARCH("R73",G378))*73,0)+IFERROR(--ISNUMBER(SEARCH("R74",G378))*74,0)+IFERROR(--ISNUMBER(SEARCH("R75",G378))*75,0)+IFERROR(--ISNUMBER(SEARCH("R76",G378))*76,0)+IFERROR(--ISNUMBER(SEARCH("R77",G378))*77,0)+IFERROR(--ISNUMBER(SEARCH("R78",G378))*78,0)+IFERROR(--ISNUMBER(SEARCH("R79",G378))*79,0)+IFERROR(--ISNUMBER(SEARCH("R80",G378))*80,0)+IFERROR(--ISNUMBER(SEARCH("R81",G378))*81,0)+IFERROR(--ISNUMBER(SEARCH("R82",G378))*82,0)+IFERROR(--ISNUMBER(SEARCH("R83",G378))*83,0)+IFERROR(--ISNUMBER(SEARCH("R84",G378))*84,0)+IFERROR(--ISNUMBER(SEARCH("R85",G378))*85,0)+IFERROR(--ISNUMBER(SEARCH("R86",G378))*86,0)+IFERROR(--ISNUMBER(SEARCH("R87",G378))*87,0)+IFERROR(--ISNUMBER(SEARCH("R88",G378))*88,0)+IFERROR(--ISNUMBER(SEARCH("R89",G378))*89,0)+IFERROR(--ISNUMBER(SEARCH("R90",G378))*90,0)+IFERROR(--ISNUMBER(SEARCH("R91",G378))*91,0)+IFERROR(--ISNUMBER(SEARCH("R92",G378))*92,0)+IFERROR(--ISNUMBER(SEARCH("R93",G378))*93,0)+IFERROR(--ISNUMBER(SEARCH("R94",G378))*94,0)+IFERROR(--ISNUMBER(SEARCH("R95",G378))*95,0)+IFERROR(--ISNUMBER(SEARCH("R96",G378))*96,0)+IFERROR(--ISNUMBER(SEARCH("R97",G378))*97,0)+IFERROR(--ISNUMBER(SEARCH("R98",G378))*98,0)+IFERROR(--ISNUMBER(SEARCH("R99",G378))*99,0)+IFERROR(--ISNUMBER(SEARCH("R100",G378))*100,0)+IFERROR(--ISNUMBER(SEARCH("R101",G378))*101,0)+IFERROR(--ISNUMBER(SEARCH("R102",G378))*102,0)+IFERROR(--ISNUMBER(SEARCH("R103",G378))*103,0)+IFERROR(--ISNUMBER(SEARCH("R104",G378))*104,0)+IFERROR(--ISNUMBER(SEARCH("R105",G378))*105,0)+IFERROR(--ISNUMBER(SEARCH("R106",G378))*106,0)+IFERROR(--ISNUMBER(SEARCH("R107",G378))*107,0)+IFERROR(--ISNUMBER(SEARCH("R108",G378))*108,0)+IFERROR(--ISNUMBER(SEARCH("R109",G378))*109,0)+IFERROR(--ISNUMBER(SEARCH("R110",G378))*110,0)+IFERROR(--ISNUMBER(SEARCH("R111",G378))*111,0)+IFERROR(--ISNUMBER(SEARCH("R112",G378))*112,0)+IFERROR(--ISNUMBER(SEARCH("R113",G378))*113,0)+IFERROR(--ISNUMBER(SEARCH("R114",G378))*114,0)+IFERROR(--ISNUMBER(SEARCH("R115",G378))*115,0)+IFERROR(--ISNUMBER(SEARCH("R116",G378))*116,0)+IFERROR(--ISNUMBER(SEARCH("R117",G378))*117,0)+IFERROR(--ISNUMBER(SEARCH("R118",G378))*118,0)+IFERROR(--ISNUMBER(SEARCH("R119",G378))*119,0)+IFERROR(--ISNUMBER(SEARCH("R120",G378))*120,0)+IFERROR(--ISNUMBER(SEARCH("R121",G378))*121,0)+IFERROR(--ISNUMBER(SEARCH("R122",G378))*122,0)+IFERROR(--ISNUMBER(SEARCH("R123",G378))*123,0)+IFERROR(--ISNUMBER(SEARCH("R124",G378))*124,0)+IFERROR(--ISNUMBER(SEARCH("R125",G378))*125,0)+IFERROR(--ISNUMBER(SEARCH("R126",G378))*126,0)+IFERROR(--ISNUMBER(SEARCH("R127",G378))*127,0)+IFERROR(--ISNUMBER(SEARCH("R128",G378))*128,0)+IFERROR(--ISNUMBER(SEARCH("R129",G378))*129,0)+IFERROR(--ISNUMBER(SEARCH("R130",G378))*130,0)+IFERROR(--ISNUMBER(SEARCH("R131",G378))*131,0)+IFERROR(--ISNUMBER(SEARCH("R132",G378))*132,0)+IFERROR(--ISNUMBER(SEARCH("R133",G378))*133,0)+IFERROR(--ISNUMBER(SEARCH("R134",G378))*134,0)+IFERROR(--ISNUMBER(SEARCH("R135",G378))*135,0)+IFERROR(--ISNUMBER(SEARCH("R136",G378))*136,0)+IFERROR(--ISNUMBER(SEARCH("R137",G378))*137,0)+IFERROR(--ISNUMBER(SEARCH("R138",G378))*138,0)+IFERROR(--ISNUMBER(SEARCH("R139",G378))*139,0)+IFERROR(--ISNUMBER(SEARCH("R140",G378))*140,0)+IFERROR(--ISNUMBER(SEARCH("R141",G378))*141,0))</f>
        <v/>
      </c>
      <c r="V378" s="59">
        <f>IF(A378="","",IF(K378&lt;&gt;"",K378,J378))</f>
        <v/>
      </c>
      <c r="W378" s="59">
        <f>IF(A378="","",IF(AND(V378=29,O378&lt;&gt;"",COUNTIFS($V$6:$V$505,29,$F$6:$F$505,F378,$C$6:$C$505,C378,$O$6:$O$505,"&lt;&gt;")&gt;1),IF(COUNTIFS($V$6:V378,29,$F$6:F378,F378,$C$6:C378,C378,$O$6:O378,"&lt;&gt;")=1,"Esta es la fila que se debe CONSERVAR (aparición 1 de "&amp;COUNTIFS($V$6:$V$505,29,$F$6:$F$505,F378,$C$6:$C$505,C378,$O$6:$O$505,"&lt;&gt;")&amp;" con el mismo tercero y valor, casilla 29). Si hay más filas iguales, bórreles el valor a ELLAS, no a esta.","DUPLICADO — ya existe otra fila con el mismo tercero y valor para casilla 29 (aparición "&amp;COUNTIFS($V$6:V378,29,$F$6:F378,F378,$C$6:C378,C378,$O$6:O378,"&lt;&gt;")&amp;" de "&amp;COUNTIFS($V$6:$V$505,29,$F$6:$F$505,F378,$C$6:$C$505,C378,$O$6:$O$505,"&lt;&gt;")&amp;"). Para resolverlo: seleccione la celda O"&amp;ROW()&amp;" (columna Valor a declarar de ESTA fila) y presione Supr."),""))</f>
        <v/>
      </c>
      <c r="X378" s="463">
        <f>IF(A378="","",F378)</f>
        <v/>
      </c>
      <c r="Y378" s="463">
        <f>IF(A378="","",SUMIF(Entrada_Manual!$I$88:$I$187,A378,Entrada_Manual!$F$88:$F$187))</f>
        <v/>
      </c>
      <c r="Z378" s="463">
        <f>IF(A378="","",X378-Y378)</f>
        <v/>
      </c>
      <c r="AA378">
        <f>IF(A378="","",SUMPRODUCT((Entrada_Manual!$I$88:$I$187=A378)*1))</f>
        <v/>
      </c>
      <c r="AB378">
        <f>IF(A378="","",IF(S378&lt;=1,"",IF(AA378=0,"PENDIENTE — SIN ASIGNAR",IF(Z378=0,"RESUELTO","PARCIAL — DIFERENCIA "&amp;TEXT(Z378,"#,##0")))))</f>
        <v/>
      </c>
    </row>
    <row r="379" ht="14.25" customHeight="1" s="235">
      <c r="A379" s="47">
        <f>IF(Exogena_RAW!E388&lt;&gt;"",ROW()-5,"")</f>
        <v/>
      </c>
      <c r="B379" s="48">
        <f>IF(A379="","",388)</f>
        <v/>
      </c>
      <c r="C379" s="48">
        <f>IF(A379="","",IFERROR(Exogena_RAW!A388,""))</f>
        <v/>
      </c>
      <c r="D379" s="48">
        <f>IF(A379="","",IFERROR(Exogena_RAW!B388,""))</f>
        <v/>
      </c>
      <c r="E379" s="48">
        <f>IF(A379="","",Exogena_RAW!E388)</f>
        <v/>
      </c>
      <c r="F379" s="461">
        <f>IF(A379="","",Exogena_RAW!F388)</f>
        <v/>
      </c>
      <c r="G379" s="48">
        <f>IF(A379="","",IFERROR(Exogena_RAW!G388,""))</f>
        <v/>
      </c>
      <c r="H379" s="48">
        <f>IF(A379="","",IFERROR(Exogena_RAW!H388,""))</f>
        <v/>
      </c>
      <c r="I379" s="48">
        <f>IF(A379="","",IFERROR(IF(S379&gt;1,"VARIAS CASILLAS",IF(S379=1,IF(T379=1,"PROPUESTA DE CASILLA","REVISIÓN: CASILLA NO DIRECTA"),IF(OR(ISNUMBER(SEARCH("TOPE",UPPER(E379))),ISNUMBER(SEARCH("TOPE",UPPER(G379)))),"SOLO CONTROL",IF(ISNUMBER(SEARCH("RETEN",UPPER(E379))),"RETENCIÓN","REVISAR")))),"REVISAR"))</f>
        <v/>
      </c>
      <c r="J379" s="48">
        <f>IF(A379="","",IF(ISNUMBER(SEARCH("ingreso laboral promedio de los últimos seis meses",E379)),"",IFERROR(IF(AND(S379=1,T379=1),U379,""),"")))</f>
        <v/>
      </c>
      <c r="K379" s="216" t="n"/>
      <c r="L379" s="48">
        <f>IF(A379="","",IFERROR(IF(K379&lt;&gt;"","Casilla elegida por usuario",IF(S379&gt;1,"Varias casillas — elegir en K",IF(J379&lt;&gt;"","Sugerencia directa",IF(S379=1,"No trasladar directo — revisar",IF(OR(ISNUMBER(SEARCH("TOPE",UPPER(E379))),ISNUMBER(SEARCH("TOPE",UPPER(G379)))),"Solo control","Revisar manualmente"))))),"Revisar manualmente"))</f>
        <v/>
      </c>
      <c r="M379" s="461">
        <f>IF(A379="","",IF(IF(K379&lt;&gt;"",K379,J379)="",0,IF(COUNTIFS(Reglas!$I$5:$I$118,IF(K379&lt;&gt;"",K379,J379),Reglas!$J$5:$J$118,"Sí")=1,F379,0)))</f>
        <v/>
      </c>
      <c r="N379" s="56" t="n"/>
      <c r="O379" s="462">
        <f>IF(A379="","",IF(M379=0,"",M379))</f>
        <v/>
      </c>
      <c r="P379" s="461">
        <f>IF(A379="","",IF(O379="",0,IF(ISNUMBER(O379),O379,0)))</f>
        <v/>
      </c>
      <c r="Q379" s="48">
        <f>IF(A379="","",IF(Exogena_RAW!$C$4="","BLOQUEADO: FALTA AÑO",IF(Exogena_RAW!$K$10&lt;&gt;Reglas!$B$5,"BLOQUEADO: AÑO",IF(IF(K379&lt;&gt;"",K379,J379)="",IF(S379&gt;1,"REQUIERE ASIGNACIÓN MANUAL (VARIAS CASILLAS)","INFORMATIVO (sin casilla — no se declara)"),IF(COUNTIFS(Reglas!$I$5:$I$118,IF(K379&lt;&gt;"",K379,J379),Reglas!$J$5:$J$118,"Sí")=0,"BLOQUEADO: CASILLA NO DIRECTA",IF(O379="","EXCLUIDO (valor borrado por el usuario)",IF(_xlfn.ISFORMULA(O379),IF(W379&lt;&gt;"","BORRADOR — VALOR SUGERIDO DIAN ⚠ VER ALERTA","BORRADOR — VALOR SUGERIDO DIAN"),IF(W379&lt;&gt;"","ACEPTADO ⚠ VER ALERTA","ACEPTADO"))))))))</f>
        <v/>
      </c>
      <c r="R379" s="218" t="n"/>
      <c r="S379" s="58">
        <f>IF(A379="","",IFERROR(--ISNUMBER(SEARCH("R28",G379)),0)+IFERROR(--ISNUMBER(SEARCH("R29",G379)),0)+IFERROR(--ISNUMBER(SEARCH("R30",G379)),0)+IFERROR(--ISNUMBER(SEARCH("R31",G379)),0)+IFERROR(--ISNUMBER(SEARCH("R32",G379)),0)+IFERROR(--ISNUMBER(SEARCH("R33",G379)),0)+IFERROR(--ISNUMBER(SEARCH("R34",G379)),0)+IFERROR(--ISNUMBER(SEARCH("R35",G379)),0)+IFERROR(--ISNUMBER(SEARCH("R36",G379)),0)+IFERROR(--ISNUMBER(SEARCH("R37",G379)),0)+IFERROR(--ISNUMBER(SEARCH("R38",G379)),0)+IFERROR(--ISNUMBER(SEARCH("R39",G379)),0)+IFERROR(--ISNUMBER(SEARCH("R40",G379)),0)+IFERROR(--ISNUMBER(SEARCH("R41",G379)),0)+IFERROR(--ISNUMBER(SEARCH("R42",G379)),0)+IFERROR(--ISNUMBER(SEARCH("R43",G379)),0)+IFERROR(--ISNUMBER(SEARCH("R44",G379)),0)+IFERROR(--ISNUMBER(SEARCH("R45",G379)),0)+IFERROR(--ISNUMBER(SEARCH("R46",G379)),0)+IFERROR(--ISNUMBER(SEARCH("R47",G379)),0)+IFERROR(--ISNUMBER(SEARCH("R48",G379)),0)+IFERROR(--ISNUMBER(SEARCH("R49",G379)),0)+IFERROR(--ISNUMBER(SEARCH("R50",G379)),0)+IFERROR(--ISNUMBER(SEARCH("R51",G379)),0)+IFERROR(--ISNUMBER(SEARCH("R52",G379)),0)+IFERROR(--ISNUMBER(SEARCH("R53",G379)),0)+IFERROR(--ISNUMBER(SEARCH("R54",G379)),0)+IFERROR(--ISNUMBER(SEARCH("R55",G379)),0)+IFERROR(--ISNUMBER(SEARCH("R56",G379)),0)+IFERROR(--ISNUMBER(SEARCH("R57",G379)),0)+IFERROR(--ISNUMBER(SEARCH("R58",G379)),0)+IFERROR(--ISNUMBER(SEARCH("R59",G379)),0)+IFERROR(--ISNUMBER(SEARCH("R60",G379)),0)+IFERROR(--ISNUMBER(SEARCH("R61",G379)),0)+IFERROR(--ISNUMBER(SEARCH("R62",G379)),0)+IFERROR(--ISNUMBER(SEARCH("R63",G379)),0)+IFERROR(--ISNUMBER(SEARCH("R64",G379)),0)+IFERROR(--ISNUMBER(SEARCH("R65",G379)),0)+IFERROR(--ISNUMBER(SEARCH("R66",G379)),0)+IFERROR(--ISNUMBER(SEARCH("R67",G379)),0)+IFERROR(--ISNUMBER(SEARCH("R68",G379)),0)+IFERROR(--ISNUMBER(SEARCH("R69",G379)),0)+IFERROR(--ISNUMBER(SEARCH("R70",G379)),0)+IFERROR(--ISNUMBER(SEARCH("R71",G379)),0)+IFERROR(--ISNUMBER(SEARCH("R72",G379)),0)+IFERROR(--ISNUMBER(SEARCH("R73",G379)),0)+IFERROR(--ISNUMBER(SEARCH("R74",G379)),0)+IFERROR(--ISNUMBER(SEARCH("R75",G379)),0)+IFERROR(--ISNUMBER(SEARCH("R76",G379)),0)+IFERROR(--ISNUMBER(SEARCH("R77",G379)),0)+IFERROR(--ISNUMBER(SEARCH("R78",G379)),0)+IFERROR(--ISNUMBER(SEARCH("R79",G379)),0)+IFERROR(--ISNUMBER(SEARCH("R80",G379)),0)+IFERROR(--ISNUMBER(SEARCH("R81",G379)),0)+IFERROR(--ISNUMBER(SEARCH("R82",G379)),0)+IFERROR(--ISNUMBER(SEARCH("R83",G379)),0)+IFERROR(--ISNUMBER(SEARCH("R84",G379)),0)+IFERROR(--ISNUMBER(SEARCH("R85",G379)),0)+IFERROR(--ISNUMBER(SEARCH("R86",G379)),0)+IFERROR(--ISNUMBER(SEARCH("R87",G379)),0)+IFERROR(--ISNUMBER(SEARCH("R88",G379)),0)+IFERROR(--ISNUMBER(SEARCH("R89",G379)),0)+IFERROR(--ISNUMBER(SEARCH("R90",G379)),0)+IFERROR(--ISNUMBER(SEARCH("R91",G379)),0)+IFERROR(--ISNUMBER(SEARCH("R92",G379)),0)+IFERROR(--ISNUMBER(SEARCH("R93",G379)),0)+IFERROR(--ISNUMBER(SEARCH("R94",G379)),0)+IFERROR(--ISNUMBER(SEARCH("R95",G379)),0)+IFERROR(--ISNUMBER(SEARCH("R96",G379)),0)+IFERROR(--ISNUMBER(SEARCH("R97",G379)),0)+IFERROR(--ISNUMBER(SEARCH("R98",G379)),0)+IFERROR(--ISNUMBER(SEARCH("R99",G379)),0)+IFERROR(--ISNUMBER(SEARCH("R100",G379)),0)+IFERROR(--ISNUMBER(SEARCH("R101",G379)),0)+IFERROR(--ISNUMBER(SEARCH("R102",G379)),0)+IFERROR(--ISNUMBER(SEARCH("R103",G379)),0)+IFERROR(--ISNUMBER(SEARCH("R104",G379)),0)+IFERROR(--ISNUMBER(SEARCH("R105",G379)),0)+IFERROR(--ISNUMBER(SEARCH("R106",G379)),0)+IFERROR(--ISNUMBER(SEARCH("R107",G379)),0)+IFERROR(--ISNUMBER(SEARCH("R108",G379)),0)+IFERROR(--ISNUMBER(SEARCH("R109",G379)),0)+IFERROR(--ISNUMBER(SEARCH("R110",G379)),0)+IFERROR(--ISNUMBER(SEARCH("R111",G379)),0)+IFERROR(--ISNUMBER(SEARCH("R112",G379)),0)+IFERROR(--ISNUMBER(SEARCH("R113",G379)),0)+IFERROR(--ISNUMBER(SEARCH("R114",G379)),0)+IFERROR(--ISNUMBER(SEARCH("R115",G379)),0)+IFERROR(--ISNUMBER(SEARCH("R116",G379)),0)+IFERROR(--ISNUMBER(SEARCH("R117",G379)),0)+IFERROR(--ISNUMBER(SEARCH("R118",G379)),0)+IFERROR(--ISNUMBER(SEARCH("R119",G379)),0)+IFERROR(--ISNUMBER(SEARCH("R120",G379)),0)+IFERROR(--ISNUMBER(SEARCH("R121",G379)),0)+IFERROR(--ISNUMBER(SEARCH("R122",G379)),0)+IFERROR(--ISNUMBER(SEARCH("R123",G379)),0)+IFERROR(--ISNUMBER(SEARCH("R124",G379)),0)+IFERROR(--ISNUMBER(SEARCH("R125",G379)),0)+IFERROR(--ISNUMBER(SEARCH("R126",G379)),0)+IFERROR(--ISNUMBER(SEARCH("R127",G379)),0)+IFERROR(--ISNUMBER(SEARCH("R128",G379)),0)+IFERROR(--ISNUMBER(SEARCH("R129",G379)),0)+IFERROR(--ISNUMBER(SEARCH("R130",G379)),0)+IFERROR(--ISNUMBER(SEARCH("R131",G379)),0)+IFERROR(--ISNUMBER(SEARCH("R132",G379)),0)+IFERROR(--ISNUMBER(SEARCH("R133",G379)),0)+IFERROR(--ISNUMBER(SEARCH("R134",G379)),0)+IFERROR(--ISNUMBER(SEARCH("R135",G379)),0)+IFERROR(--ISNUMBER(SEARCH("R136",G379)),0)+IFERROR(--ISNUMBER(SEARCH("R137",G379)),0)+IFERROR(--ISNUMBER(SEARCH("R138",G379)),0)+IFERROR(--ISNUMBER(SEARCH("R139",G379)),0)+IFERROR(--ISNUMBER(SEARCH("R140",G379)),0)+IFERROR(--ISNUMBER(SEARCH("R141",G379)),0))</f>
        <v/>
      </c>
      <c r="T379" s="58">
        <f>IF(A379="","",IFERROR(--ISNUMBER(SEARCH("R28",G379)),0)+IFERROR(--ISNUMBER(SEARCH("R29",G379)),0)+IFERROR(--ISNUMBER(SEARCH("R30",G379)),0)+IFERROR(--ISNUMBER(SEARCH("R32",G379)),0)+IFERROR(--ISNUMBER(SEARCH("R33",G379)),0)+IFERROR(--ISNUMBER(SEARCH("R35",G379)),0)+IFERROR(--ISNUMBER(SEARCH("R36",G379)),0)+IFERROR(--ISNUMBER(SEARCH("R38",G379)),0)+IFERROR(--ISNUMBER(SEARCH("R39",G379)),0)+IFERROR(--ISNUMBER(SEARCH("R43",G379)),0)+IFERROR(--ISNUMBER(SEARCH("R44",G379)),0)+IFERROR(--ISNUMBER(SEARCH("R45",G379)),0)+IFERROR(--ISNUMBER(SEARCH("R47",G379)),0)+IFERROR(--ISNUMBER(SEARCH("R48",G379)),0)+IFERROR(--ISNUMBER(SEARCH("R50",G379)),0)+IFERROR(--ISNUMBER(SEARCH("R51",G379)),0)+IFERROR(--ISNUMBER(SEARCH("R56",G379)),0)+IFERROR(--ISNUMBER(SEARCH("R58",G379)),0)+IFERROR(--ISNUMBER(SEARCH("R59",G379)),0)+IFERROR(--ISNUMBER(SEARCH("R60",G379)),0)+IFERROR(--ISNUMBER(SEARCH("R62",G379)),0)+IFERROR(--ISNUMBER(SEARCH("R63",G379)),0)+IFERROR(--ISNUMBER(SEARCH("R64",G379)),0)+IFERROR(--ISNUMBER(SEARCH("R66",G379)),0)+IFERROR(--ISNUMBER(SEARCH("R67",G379)),0)+IFERROR(--ISNUMBER(SEARCH("R72",G379)),0)+IFERROR(--ISNUMBER(SEARCH("R74",G379)),0)+IFERROR(--ISNUMBER(SEARCH("R75",G379)),0)+IFERROR(--ISNUMBER(SEARCH("R76",G379)),0)+IFERROR(--ISNUMBER(SEARCH("R77",G379)),0)+IFERROR(--ISNUMBER(SEARCH("R79",G379)),0)+IFERROR(--ISNUMBER(SEARCH("R80",G379)),0)+IFERROR(--ISNUMBER(SEARCH("R81",G379)),0)+IFERROR(--ISNUMBER(SEARCH("R83",G379)),0)+IFERROR(--ISNUMBER(SEARCH("R84",G379)),0)+IFERROR(--ISNUMBER(SEARCH("R89",G379)),0)+IFERROR(--ISNUMBER(SEARCH("R94",G379)),0)+IFERROR(--ISNUMBER(SEARCH("R95",G379)),0)+IFERROR(--ISNUMBER(SEARCH("R96",G379)),0)+IFERROR(--ISNUMBER(SEARCH("R98",G379)),0)+IFERROR(--ISNUMBER(SEARCH("R99",G379)),0)+IFERROR(--ISNUMBER(SEARCH("R100",G379)),0)+IFERROR(--ISNUMBER(SEARCH("R104",G379)),0)+IFERROR(--ISNUMBER(SEARCH("R105",G379)),0)+IFERROR(--ISNUMBER(SEARCH("R107",G379)),0)+IFERROR(--ISNUMBER(SEARCH("R108",G379)),0)+IFERROR(--ISNUMBER(SEARCH("R109",G379)),0)+IFERROR(--ISNUMBER(SEARCH("R110",G379)),0)+IFERROR(--ISNUMBER(SEARCH("R112",G379)),0)+IFERROR(--ISNUMBER(SEARCH("R113",G379)),0)+IFERROR(--ISNUMBER(SEARCH("R114",G379)),0)+IFERROR(--ISNUMBER(SEARCH("R118",G379)),0)+IFERROR(--ISNUMBER(SEARCH("R119",G379)),0)+IFERROR(--ISNUMBER(SEARCH("R120",G379)),0)+IFERROR(--ISNUMBER(SEARCH("R122",G379)),0)+IFERROR(--ISNUMBER(SEARCH("R123",G379)),0)+IFERROR(--ISNUMBER(SEARCH("R124",G379)),0)+IFERROR(--ISNUMBER(SEARCH("R128",G379)),0)+IFERROR(--ISNUMBER(SEARCH("R130",G379)),0)+IFERROR(--ISNUMBER(SEARCH("R131",G379)),0)+IFERROR(--ISNUMBER(SEARCH("R132",G379)),0)+IFERROR(--ISNUMBER(SEARCH("R135",G379)),0)+IFERROR(--ISNUMBER(SEARCH("R138",G379)),0)+IFERROR(--ISNUMBER(SEARCH("R141",G379)),0))</f>
        <v/>
      </c>
      <c r="U379" s="58">
        <f>IF(A379="","",IFERROR(--ISNUMBER(SEARCH("R28",G379))*28,0)+IFERROR(--ISNUMBER(SEARCH("R29",G379))*29,0)+IFERROR(--ISNUMBER(SEARCH("R30",G379))*30,0)+IFERROR(--ISNUMBER(SEARCH("R31",G379))*31,0)+IFERROR(--ISNUMBER(SEARCH("R32",G379))*32,0)+IFERROR(--ISNUMBER(SEARCH("R33",G379))*33,0)+IFERROR(--ISNUMBER(SEARCH("R34",G379))*34,0)+IFERROR(--ISNUMBER(SEARCH("R35",G379))*35,0)+IFERROR(--ISNUMBER(SEARCH("R36",G379))*36,0)+IFERROR(--ISNUMBER(SEARCH("R37",G379))*37,0)+IFERROR(--ISNUMBER(SEARCH("R38",G379))*38,0)+IFERROR(--ISNUMBER(SEARCH("R39",G379))*39,0)+IFERROR(--ISNUMBER(SEARCH("R40",G379))*40,0)+IFERROR(--ISNUMBER(SEARCH("R41",G379))*41,0)+IFERROR(--ISNUMBER(SEARCH("R42",G379))*42,0)+IFERROR(--ISNUMBER(SEARCH("R43",G379))*43,0)+IFERROR(--ISNUMBER(SEARCH("R44",G379))*44,0)+IFERROR(--ISNUMBER(SEARCH("R45",G379))*45,0)+IFERROR(--ISNUMBER(SEARCH("R46",G379))*46,0)+IFERROR(--ISNUMBER(SEARCH("R47",G379))*47,0)+IFERROR(--ISNUMBER(SEARCH("R48",G379))*48,0)+IFERROR(--ISNUMBER(SEARCH("R49",G379))*49,0)+IFERROR(--ISNUMBER(SEARCH("R50",G379))*50,0)+IFERROR(--ISNUMBER(SEARCH("R51",G379))*51,0)+IFERROR(--ISNUMBER(SEARCH("R52",G379))*52,0)+IFERROR(--ISNUMBER(SEARCH("R53",G379))*53,0)+IFERROR(--ISNUMBER(SEARCH("R54",G379))*54,0)+IFERROR(--ISNUMBER(SEARCH("R55",G379))*55,0)+IFERROR(--ISNUMBER(SEARCH("R56",G379))*56,0)+IFERROR(--ISNUMBER(SEARCH("R57",G379))*57,0)+IFERROR(--ISNUMBER(SEARCH("R58",G379))*58,0)+IFERROR(--ISNUMBER(SEARCH("R59",G379))*59,0)+IFERROR(--ISNUMBER(SEARCH("R60",G379))*60,0)+IFERROR(--ISNUMBER(SEARCH("R61",G379))*61,0)+IFERROR(--ISNUMBER(SEARCH("R62",G379))*62,0)+IFERROR(--ISNUMBER(SEARCH("R63",G379))*63,0)+IFERROR(--ISNUMBER(SEARCH("R64",G379))*64,0)+IFERROR(--ISNUMBER(SEARCH("R65",G379))*65,0)+IFERROR(--ISNUMBER(SEARCH("R66",G379))*66,0)+IFERROR(--ISNUMBER(SEARCH("R67",G379))*67,0)+IFERROR(--ISNUMBER(SEARCH("R68",G379))*68,0)+IFERROR(--ISNUMBER(SEARCH("R69",G379))*69,0)+IFERROR(--ISNUMBER(SEARCH("R70",G379))*70,0)+IFERROR(--ISNUMBER(SEARCH("R71",G379))*71,0)+IFERROR(--ISNUMBER(SEARCH("R72",G379))*72,0)+IFERROR(--ISNUMBER(SEARCH("R73",G379))*73,0)+IFERROR(--ISNUMBER(SEARCH("R74",G379))*74,0)+IFERROR(--ISNUMBER(SEARCH("R75",G379))*75,0)+IFERROR(--ISNUMBER(SEARCH("R76",G379))*76,0)+IFERROR(--ISNUMBER(SEARCH("R77",G379))*77,0)+IFERROR(--ISNUMBER(SEARCH("R78",G379))*78,0)+IFERROR(--ISNUMBER(SEARCH("R79",G379))*79,0)+IFERROR(--ISNUMBER(SEARCH("R80",G379))*80,0)+IFERROR(--ISNUMBER(SEARCH("R81",G379))*81,0)+IFERROR(--ISNUMBER(SEARCH("R82",G379))*82,0)+IFERROR(--ISNUMBER(SEARCH("R83",G379))*83,0)+IFERROR(--ISNUMBER(SEARCH("R84",G379))*84,0)+IFERROR(--ISNUMBER(SEARCH("R85",G379))*85,0)+IFERROR(--ISNUMBER(SEARCH("R86",G379))*86,0)+IFERROR(--ISNUMBER(SEARCH("R87",G379))*87,0)+IFERROR(--ISNUMBER(SEARCH("R88",G379))*88,0)+IFERROR(--ISNUMBER(SEARCH("R89",G379))*89,0)+IFERROR(--ISNUMBER(SEARCH("R90",G379))*90,0)+IFERROR(--ISNUMBER(SEARCH("R91",G379))*91,0)+IFERROR(--ISNUMBER(SEARCH("R92",G379))*92,0)+IFERROR(--ISNUMBER(SEARCH("R93",G379))*93,0)+IFERROR(--ISNUMBER(SEARCH("R94",G379))*94,0)+IFERROR(--ISNUMBER(SEARCH("R95",G379))*95,0)+IFERROR(--ISNUMBER(SEARCH("R96",G379))*96,0)+IFERROR(--ISNUMBER(SEARCH("R97",G379))*97,0)+IFERROR(--ISNUMBER(SEARCH("R98",G379))*98,0)+IFERROR(--ISNUMBER(SEARCH("R99",G379))*99,0)+IFERROR(--ISNUMBER(SEARCH("R100",G379))*100,0)+IFERROR(--ISNUMBER(SEARCH("R101",G379))*101,0)+IFERROR(--ISNUMBER(SEARCH("R102",G379))*102,0)+IFERROR(--ISNUMBER(SEARCH("R103",G379))*103,0)+IFERROR(--ISNUMBER(SEARCH("R104",G379))*104,0)+IFERROR(--ISNUMBER(SEARCH("R105",G379))*105,0)+IFERROR(--ISNUMBER(SEARCH("R106",G379))*106,0)+IFERROR(--ISNUMBER(SEARCH("R107",G379))*107,0)+IFERROR(--ISNUMBER(SEARCH("R108",G379))*108,0)+IFERROR(--ISNUMBER(SEARCH("R109",G379))*109,0)+IFERROR(--ISNUMBER(SEARCH("R110",G379))*110,0)+IFERROR(--ISNUMBER(SEARCH("R111",G379))*111,0)+IFERROR(--ISNUMBER(SEARCH("R112",G379))*112,0)+IFERROR(--ISNUMBER(SEARCH("R113",G379))*113,0)+IFERROR(--ISNUMBER(SEARCH("R114",G379))*114,0)+IFERROR(--ISNUMBER(SEARCH("R115",G379))*115,0)+IFERROR(--ISNUMBER(SEARCH("R116",G379))*116,0)+IFERROR(--ISNUMBER(SEARCH("R117",G379))*117,0)+IFERROR(--ISNUMBER(SEARCH("R118",G379))*118,0)+IFERROR(--ISNUMBER(SEARCH("R119",G379))*119,0)+IFERROR(--ISNUMBER(SEARCH("R120",G379))*120,0)+IFERROR(--ISNUMBER(SEARCH("R121",G379))*121,0)+IFERROR(--ISNUMBER(SEARCH("R122",G379))*122,0)+IFERROR(--ISNUMBER(SEARCH("R123",G379))*123,0)+IFERROR(--ISNUMBER(SEARCH("R124",G379))*124,0)+IFERROR(--ISNUMBER(SEARCH("R125",G379))*125,0)+IFERROR(--ISNUMBER(SEARCH("R126",G379))*126,0)+IFERROR(--ISNUMBER(SEARCH("R127",G379))*127,0)+IFERROR(--ISNUMBER(SEARCH("R128",G379))*128,0)+IFERROR(--ISNUMBER(SEARCH("R129",G379))*129,0)+IFERROR(--ISNUMBER(SEARCH("R130",G379))*130,0)+IFERROR(--ISNUMBER(SEARCH("R131",G379))*131,0)+IFERROR(--ISNUMBER(SEARCH("R132",G379))*132,0)+IFERROR(--ISNUMBER(SEARCH("R133",G379))*133,0)+IFERROR(--ISNUMBER(SEARCH("R134",G379))*134,0)+IFERROR(--ISNUMBER(SEARCH("R135",G379))*135,0)+IFERROR(--ISNUMBER(SEARCH("R136",G379))*136,0)+IFERROR(--ISNUMBER(SEARCH("R137",G379))*137,0)+IFERROR(--ISNUMBER(SEARCH("R138",G379))*138,0)+IFERROR(--ISNUMBER(SEARCH("R139",G379))*139,0)+IFERROR(--ISNUMBER(SEARCH("R140",G379))*140,0)+IFERROR(--ISNUMBER(SEARCH("R141",G379))*141,0))</f>
        <v/>
      </c>
      <c r="V379" s="59">
        <f>IF(A379="","",IF(K379&lt;&gt;"",K379,J379))</f>
        <v/>
      </c>
      <c r="W379" s="59">
        <f>IF(A379="","",IF(AND(V379=29,O379&lt;&gt;"",COUNTIFS($V$6:$V$505,29,$F$6:$F$505,F379,$C$6:$C$505,C379,$O$6:$O$505,"&lt;&gt;")&gt;1),IF(COUNTIFS($V$6:V379,29,$F$6:F379,F379,$C$6:C379,C379,$O$6:O379,"&lt;&gt;")=1,"Esta es la fila que se debe CONSERVAR (aparición 1 de "&amp;COUNTIFS($V$6:$V$505,29,$F$6:$F$505,F379,$C$6:$C$505,C379,$O$6:$O$505,"&lt;&gt;")&amp;" con el mismo tercero y valor, casilla 29). Si hay más filas iguales, bórreles el valor a ELLAS, no a esta.","DUPLICADO — ya existe otra fila con el mismo tercero y valor para casilla 29 (aparición "&amp;COUNTIFS($V$6:V379,29,$F$6:F379,F379,$C$6:C379,C379,$O$6:O379,"&lt;&gt;")&amp;" de "&amp;COUNTIFS($V$6:$V$505,29,$F$6:$F$505,F379,$C$6:$C$505,C379,$O$6:$O$505,"&lt;&gt;")&amp;"). Para resolverlo: seleccione la celda O"&amp;ROW()&amp;" (columna Valor a declarar de ESTA fila) y presione Supr."),""))</f>
        <v/>
      </c>
      <c r="X379" s="463">
        <f>IF(A379="","",F379)</f>
        <v/>
      </c>
      <c r="Y379" s="463">
        <f>IF(A379="","",SUMIF(Entrada_Manual!$I$88:$I$187,A379,Entrada_Manual!$F$88:$F$187))</f>
        <v/>
      </c>
      <c r="Z379" s="463">
        <f>IF(A379="","",X379-Y379)</f>
        <v/>
      </c>
      <c r="AA379">
        <f>IF(A379="","",SUMPRODUCT((Entrada_Manual!$I$88:$I$187=A379)*1))</f>
        <v/>
      </c>
      <c r="AB379">
        <f>IF(A379="","",IF(S379&lt;=1,"",IF(AA379=0,"PENDIENTE — SIN ASIGNAR",IF(Z379=0,"RESUELTO","PARCIAL — DIFERENCIA "&amp;TEXT(Z379,"#,##0")))))</f>
        <v/>
      </c>
    </row>
    <row r="380" ht="14.25" customHeight="1" s="235">
      <c r="A380" s="47">
        <f>IF(Exogena_RAW!E389&lt;&gt;"",ROW()-5,"")</f>
        <v/>
      </c>
      <c r="B380" s="48">
        <f>IF(A380="","",389)</f>
        <v/>
      </c>
      <c r="C380" s="48">
        <f>IF(A380="","",IFERROR(Exogena_RAW!A389,""))</f>
        <v/>
      </c>
      <c r="D380" s="48">
        <f>IF(A380="","",IFERROR(Exogena_RAW!B389,""))</f>
        <v/>
      </c>
      <c r="E380" s="48">
        <f>IF(A380="","",Exogena_RAW!E389)</f>
        <v/>
      </c>
      <c r="F380" s="461">
        <f>IF(A380="","",Exogena_RAW!F389)</f>
        <v/>
      </c>
      <c r="G380" s="48">
        <f>IF(A380="","",IFERROR(Exogena_RAW!G389,""))</f>
        <v/>
      </c>
      <c r="H380" s="48">
        <f>IF(A380="","",IFERROR(Exogena_RAW!H389,""))</f>
        <v/>
      </c>
      <c r="I380" s="48">
        <f>IF(A380="","",IFERROR(IF(S380&gt;1,"VARIAS CASILLAS",IF(S380=1,IF(T380=1,"PROPUESTA DE CASILLA","REVISIÓN: CASILLA NO DIRECTA"),IF(OR(ISNUMBER(SEARCH("TOPE",UPPER(E380))),ISNUMBER(SEARCH("TOPE",UPPER(G380)))),"SOLO CONTROL",IF(ISNUMBER(SEARCH("RETEN",UPPER(E380))),"RETENCIÓN","REVISAR")))),"REVISAR"))</f>
        <v/>
      </c>
      <c r="J380" s="48">
        <f>IF(A380="","",IF(ISNUMBER(SEARCH("ingreso laboral promedio de los últimos seis meses",E380)),"",IFERROR(IF(AND(S380=1,T380=1),U380,""),"")))</f>
        <v/>
      </c>
      <c r="K380" s="216" t="n"/>
      <c r="L380" s="48">
        <f>IF(A380="","",IFERROR(IF(K380&lt;&gt;"","Casilla elegida por usuario",IF(S380&gt;1,"Varias casillas — elegir en K",IF(J380&lt;&gt;"","Sugerencia directa",IF(S380=1,"No trasladar directo — revisar",IF(OR(ISNUMBER(SEARCH("TOPE",UPPER(E380))),ISNUMBER(SEARCH("TOPE",UPPER(G380)))),"Solo control","Revisar manualmente"))))),"Revisar manualmente"))</f>
        <v/>
      </c>
      <c r="M380" s="461">
        <f>IF(A380="","",IF(IF(K380&lt;&gt;"",K380,J380)="",0,IF(COUNTIFS(Reglas!$I$5:$I$118,IF(K380&lt;&gt;"",K380,J380),Reglas!$J$5:$J$118,"Sí")=1,F380,0)))</f>
        <v/>
      </c>
      <c r="N380" s="56" t="n"/>
      <c r="O380" s="462">
        <f>IF(A380="","",IF(M380=0,"",M380))</f>
        <v/>
      </c>
      <c r="P380" s="461">
        <f>IF(A380="","",IF(O380="",0,IF(ISNUMBER(O380),O380,0)))</f>
        <v/>
      </c>
      <c r="Q380" s="48">
        <f>IF(A380="","",IF(Exogena_RAW!$C$4="","BLOQUEADO: FALTA AÑO",IF(Exogena_RAW!$K$10&lt;&gt;Reglas!$B$5,"BLOQUEADO: AÑO",IF(IF(K380&lt;&gt;"",K380,J380)="",IF(S380&gt;1,"REQUIERE ASIGNACIÓN MANUAL (VARIAS CASILLAS)","INFORMATIVO (sin casilla — no se declara)"),IF(COUNTIFS(Reglas!$I$5:$I$118,IF(K380&lt;&gt;"",K380,J380),Reglas!$J$5:$J$118,"Sí")=0,"BLOQUEADO: CASILLA NO DIRECTA",IF(O380="","EXCLUIDO (valor borrado por el usuario)",IF(_xlfn.ISFORMULA(O380),IF(W380&lt;&gt;"","BORRADOR — VALOR SUGERIDO DIAN ⚠ VER ALERTA","BORRADOR — VALOR SUGERIDO DIAN"),IF(W380&lt;&gt;"","ACEPTADO ⚠ VER ALERTA","ACEPTADO"))))))))</f>
        <v/>
      </c>
      <c r="R380" s="218" t="n"/>
      <c r="S380" s="58">
        <f>IF(A380="","",IFERROR(--ISNUMBER(SEARCH("R28",G380)),0)+IFERROR(--ISNUMBER(SEARCH("R29",G380)),0)+IFERROR(--ISNUMBER(SEARCH("R30",G380)),0)+IFERROR(--ISNUMBER(SEARCH("R31",G380)),0)+IFERROR(--ISNUMBER(SEARCH("R32",G380)),0)+IFERROR(--ISNUMBER(SEARCH("R33",G380)),0)+IFERROR(--ISNUMBER(SEARCH("R34",G380)),0)+IFERROR(--ISNUMBER(SEARCH("R35",G380)),0)+IFERROR(--ISNUMBER(SEARCH("R36",G380)),0)+IFERROR(--ISNUMBER(SEARCH("R37",G380)),0)+IFERROR(--ISNUMBER(SEARCH("R38",G380)),0)+IFERROR(--ISNUMBER(SEARCH("R39",G380)),0)+IFERROR(--ISNUMBER(SEARCH("R40",G380)),0)+IFERROR(--ISNUMBER(SEARCH("R41",G380)),0)+IFERROR(--ISNUMBER(SEARCH("R42",G380)),0)+IFERROR(--ISNUMBER(SEARCH("R43",G380)),0)+IFERROR(--ISNUMBER(SEARCH("R44",G380)),0)+IFERROR(--ISNUMBER(SEARCH("R45",G380)),0)+IFERROR(--ISNUMBER(SEARCH("R46",G380)),0)+IFERROR(--ISNUMBER(SEARCH("R47",G380)),0)+IFERROR(--ISNUMBER(SEARCH("R48",G380)),0)+IFERROR(--ISNUMBER(SEARCH("R49",G380)),0)+IFERROR(--ISNUMBER(SEARCH("R50",G380)),0)+IFERROR(--ISNUMBER(SEARCH("R51",G380)),0)+IFERROR(--ISNUMBER(SEARCH("R52",G380)),0)+IFERROR(--ISNUMBER(SEARCH("R53",G380)),0)+IFERROR(--ISNUMBER(SEARCH("R54",G380)),0)+IFERROR(--ISNUMBER(SEARCH("R55",G380)),0)+IFERROR(--ISNUMBER(SEARCH("R56",G380)),0)+IFERROR(--ISNUMBER(SEARCH("R57",G380)),0)+IFERROR(--ISNUMBER(SEARCH("R58",G380)),0)+IFERROR(--ISNUMBER(SEARCH("R59",G380)),0)+IFERROR(--ISNUMBER(SEARCH("R60",G380)),0)+IFERROR(--ISNUMBER(SEARCH("R61",G380)),0)+IFERROR(--ISNUMBER(SEARCH("R62",G380)),0)+IFERROR(--ISNUMBER(SEARCH("R63",G380)),0)+IFERROR(--ISNUMBER(SEARCH("R64",G380)),0)+IFERROR(--ISNUMBER(SEARCH("R65",G380)),0)+IFERROR(--ISNUMBER(SEARCH("R66",G380)),0)+IFERROR(--ISNUMBER(SEARCH("R67",G380)),0)+IFERROR(--ISNUMBER(SEARCH("R68",G380)),0)+IFERROR(--ISNUMBER(SEARCH("R69",G380)),0)+IFERROR(--ISNUMBER(SEARCH("R70",G380)),0)+IFERROR(--ISNUMBER(SEARCH("R71",G380)),0)+IFERROR(--ISNUMBER(SEARCH("R72",G380)),0)+IFERROR(--ISNUMBER(SEARCH("R73",G380)),0)+IFERROR(--ISNUMBER(SEARCH("R74",G380)),0)+IFERROR(--ISNUMBER(SEARCH("R75",G380)),0)+IFERROR(--ISNUMBER(SEARCH("R76",G380)),0)+IFERROR(--ISNUMBER(SEARCH("R77",G380)),0)+IFERROR(--ISNUMBER(SEARCH("R78",G380)),0)+IFERROR(--ISNUMBER(SEARCH("R79",G380)),0)+IFERROR(--ISNUMBER(SEARCH("R80",G380)),0)+IFERROR(--ISNUMBER(SEARCH("R81",G380)),0)+IFERROR(--ISNUMBER(SEARCH("R82",G380)),0)+IFERROR(--ISNUMBER(SEARCH("R83",G380)),0)+IFERROR(--ISNUMBER(SEARCH("R84",G380)),0)+IFERROR(--ISNUMBER(SEARCH("R85",G380)),0)+IFERROR(--ISNUMBER(SEARCH("R86",G380)),0)+IFERROR(--ISNUMBER(SEARCH("R87",G380)),0)+IFERROR(--ISNUMBER(SEARCH("R88",G380)),0)+IFERROR(--ISNUMBER(SEARCH("R89",G380)),0)+IFERROR(--ISNUMBER(SEARCH("R90",G380)),0)+IFERROR(--ISNUMBER(SEARCH("R91",G380)),0)+IFERROR(--ISNUMBER(SEARCH("R92",G380)),0)+IFERROR(--ISNUMBER(SEARCH("R93",G380)),0)+IFERROR(--ISNUMBER(SEARCH("R94",G380)),0)+IFERROR(--ISNUMBER(SEARCH("R95",G380)),0)+IFERROR(--ISNUMBER(SEARCH("R96",G380)),0)+IFERROR(--ISNUMBER(SEARCH("R97",G380)),0)+IFERROR(--ISNUMBER(SEARCH("R98",G380)),0)+IFERROR(--ISNUMBER(SEARCH("R99",G380)),0)+IFERROR(--ISNUMBER(SEARCH("R100",G380)),0)+IFERROR(--ISNUMBER(SEARCH("R101",G380)),0)+IFERROR(--ISNUMBER(SEARCH("R102",G380)),0)+IFERROR(--ISNUMBER(SEARCH("R103",G380)),0)+IFERROR(--ISNUMBER(SEARCH("R104",G380)),0)+IFERROR(--ISNUMBER(SEARCH("R105",G380)),0)+IFERROR(--ISNUMBER(SEARCH("R106",G380)),0)+IFERROR(--ISNUMBER(SEARCH("R107",G380)),0)+IFERROR(--ISNUMBER(SEARCH("R108",G380)),0)+IFERROR(--ISNUMBER(SEARCH("R109",G380)),0)+IFERROR(--ISNUMBER(SEARCH("R110",G380)),0)+IFERROR(--ISNUMBER(SEARCH("R111",G380)),0)+IFERROR(--ISNUMBER(SEARCH("R112",G380)),0)+IFERROR(--ISNUMBER(SEARCH("R113",G380)),0)+IFERROR(--ISNUMBER(SEARCH("R114",G380)),0)+IFERROR(--ISNUMBER(SEARCH("R115",G380)),0)+IFERROR(--ISNUMBER(SEARCH("R116",G380)),0)+IFERROR(--ISNUMBER(SEARCH("R117",G380)),0)+IFERROR(--ISNUMBER(SEARCH("R118",G380)),0)+IFERROR(--ISNUMBER(SEARCH("R119",G380)),0)+IFERROR(--ISNUMBER(SEARCH("R120",G380)),0)+IFERROR(--ISNUMBER(SEARCH("R121",G380)),0)+IFERROR(--ISNUMBER(SEARCH("R122",G380)),0)+IFERROR(--ISNUMBER(SEARCH("R123",G380)),0)+IFERROR(--ISNUMBER(SEARCH("R124",G380)),0)+IFERROR(--ISNUMBER(SEARCH("R125",G380)),0)+IFERROR(--ISNUMBER(SEARCH("R126",G380)),0)+IFERROR(--ISNUMBER(SEARCH("R127",G380)),0)+IFERROR(--ISNUMBER(SEARCH("R128",G380)),0)+IFERROR(--ISNUMBER(SEARCH("R129",G380)),0)+IFERROR(--ISNUMBER(SEARCH("R130",G380)),0)+IFERROR(--ISNUMBER(SEARCH("R131",G380)),0)+IFERROR(--ISNUMBER(SEARCH("R132",G380)),0)+IFERROR(--ISNUMBER(SEARCH("R133",G380)),0)+IFERROR(--ISNUMBER(SEARCH("R134",G380)),0)+IFERROR(--ISNUMBER(SEARCH("R135",G380)),0)+IFERROR(--ISNUMBER(SEARCH("R136",G380)),0)+IFERROR(--ISNUMBER(SEARCH("R137",G380)),0)+IFERROR(--ISNUMBER(SEARCH("R138",G380)),0)+IFERROR(--ISNUMBER(SEARCH("R139",G380)),0)+IFERROR(--ISNUMBER(SEARCH("R140",G380)),0)+IFERROR(--ISNUMBER(SEARCH("R141",G380)),0))</f>
        <v/>
      </c>
      <c r="T380" s="58">
        <f>IF(A380="","",IFERROR(--ISNUMBER(SEARCH("R28",G380)),0)+IFERROR(--ISNUMBER(SEARCH("R29",G380)),0)+IFERROR(--ISNUMBER(SEARCH("R30",G380)),0)+IFERROR(--ISNUMBER(SEARCH("R32",G380)),0)+IFERROR(--ISNUMBER(SEARCH("R33",G380)),0)+IFERROR(--ISNUMBER(SEARCH("R35",G380)),0)+IFERROR(--ISNUMBER(SEARCH("R36",G380)),0)+IFERROR(--ISNUMBER(SEARCH("R38",G380)),0)+IFERROR(--ISNUMBER(SEARCH("R39",G380)),0)+IFERROR(--ISNUMBER(SEARCH("R43",G380)),0)+IFERROR(--ISNUMBER(SEARCH("R44",G380)),0)+IFERROR(--ISNUMBER(SEARCH("R45",G380)),0)+IFERROR(--ISNUMBER(SEARCH("R47",G380)),0)+IFERROR(--ISNUMBER(SEARCH("R48",G380)),0)+IFERROR(--ISNUMBER(SEARCH("R50",G380)),0)+IFERROR(--ISNUMBER(SEARCH("R51",G380)),0)+IFERROR(--ISNUMBER(SEARCH("R56",G380)),0)+IFERROR(--ISNUMBER(SEARCH("R58",G380)),0)+IFERROR(--ISNUMBER(SEARCH("R59",G380)),0)+IFERROR(--ISNUMBER(SEARCH("R60",G380)),0)+IFERROR(--ISNUMBER(SEARCH("R62",G380)),0)+IFERROR(--ISNUMBER(SEARCH("R63",G380)),0)+IFERROR(--ISNUMBER(SEARCH("R64",G380)),0)+IFERROR(--ISNUMBER(SEARCH("R66",G380)),0)+IFERROR(--ISNUMBER(SEARCH("R67",G380)),0)+IFERROR(--ISNUMBER(SEARCH("R72",G380)),0)+IFERROR(--ISNUMBER(SEARCH("R74",G380)),0)+IFERROR(--ISNUMBER(SEARCH("R75",G380)),0)+IFERROR(--ISNUMBER(SEARCH("R76",G380)),0)+IFERROR(--ISNUMBER(SEARCH("R77",G380)),0)+IFERROR(--ISNUMBER(SEARCH("R79",G380)),0)+IFERROR(--ISNUMBER(SEARCH("R80",G380)),0)+IFERROR(--ISNUMBER(SEARCH("R81",G380)),0)+IFERROR(--ISNUMBER(SEARCH("R83",G380)),0)+IFERROR(--ISNUMBER(SEARCH("R84",G380)),0)+IFERROR(--ISNUMBER(SEARCH("R89",G380)),0)+IFERROR(--ISNUMBER(SEARCH("R94",G380)),0)+IFERROR(--ISNUMBER(SEARCH("R95",G380)),0)+IFERROR(--ISNUMBER(SEARCH("R96",G380)),0)+IFERROR(--ISNUMBER(SEARCH("R98",G380)),0)+IFERROR(--ISNUMBER(SEARCH("R99",G380)),0)+IFERROR(--ISNUMBER(SEARCH("R100",G380)),0)+IFERROR(--ISNUMBER(SEARCH("R104",G380)),0)+IFERROR(--ISNUMBER(SEARCH("R105",G380)),0)+IFERROR(--ISNUMBER(SEARCH("R107",G380)),0)+IFERROR(--ISNUMBER(SEARCH("R108",G380)),0)+IFERROR(--ISNUMBER(SEARCH("R109",G380)),0)+IFERROR(--ISNUMBER(SEARCH("R110",G380)),0)+IFERROR(--ISNUMBER(SEARCH("R112",G380)),0)+IFERROR(--ISNUMBER(SEARCH("R113",G380)),0)+IFERROR(--ISNUMBER(SEARCH("R114",G380)),0)+IFERROR(--ISNUMBER(SEARCH("R118",G380)),0)+IFERROR(--ISNUMBER(SEARCH("R119",G380)),0)+IFERROR(--ISNUMBER(SEARCH("R120",G380)),0)+IFERROR(--ISNUMBER(SEARCH("R122",G380)),0)+IFERROR(--ISNUMBER(SEARCH("R123",G380)),0)+IFERROR(--ISNUMBER(SEARCH("R124",G380)),0)+IFERROR(--ISNUMBER(SEARCH("R128",G380)),0)+IFERROR(--ISNUMBER(SEARCH("R130",G380)),0)+IFERROR(--ISNUMBER(SEARCH("R131",G380)),0)+IFERROR(--ISNUMBER(SEARCH("R132",G380)),0)+IFERROR(--ISNUMBER(SEARCH("R135",G380)),0)+IFERROR(--ISNUMBER(SEARCH("R138",G380)),0)+IFERROR(--ISNUMBER(SEARCH("R141",G380)),0))</f>
        <v/>
      </c>
      <c r="U380" s="58">
        <f>IF(A380="","",IFERROR(--ISNUMBER(SEARCH("R28",G380))*28,0)+IFERROR(--ISNUMBER(SEARCH("R29",G380))*29,0)+IFERROR(--ISNUMBER(SEARCH("R30",G380))*30,0)+IFERROR(--ISNUMBER(SEARCH("R31",G380))*31,0)+IFERROR(--ISNUMBER(SEARCH("R32",G380))*32,0)+IFERROR(--ISNUMBER(SEARCH("R33",G380))*33,0)+IFERROR(--ISNUMBER(SEARCH("R34",G380))*34,0)+IFERROR(--ISNUMBER(SEARCH("R35",G380))*35,0)+IFERROR(--ISNUMBER(SEARCH("R36",G380))*36,0)+IFERROR(--ISNUMBER(SEARCH("R37",G380))*37,0)+IFERROR(--ISNUMBER(SEARCH("R38",G380))*38,0)+IFERROR(--ISNUMBER(SEARCH("R39",G380))*39,0)+IFERROR(--ISNUMBER(SEARCH("R40",G380))*40,0)+IFERROR(--ISNUMBER(SEARCH("R41",G380))*41,0)+IFERROR(--ISNUMBER(SEARCH("R42",G380))*42,0)+IFERROR(--ISNUMBER(SEARCH("R43",G380))*43,0)+IFERROR(--ISNUMBER(SEARCH("R44",G380))*44,0)+IFERROR(--ISNUMBER(SEARCH("R45",G380))*45,0)+IFERROR(--ISNUMBER(SEARCH("R46",G380))*46,0)+IFERROR(--ISNUMBER(SEARCH("R47",G380))*47,0)+IFERROR(--ISNUMBER(SEARCH("R48",G380))*48,0)+IFERROR(--ISNUMBER(SEARCH("R49",G380))*49,0)+IFERROR(--ISNUMBER(SEARCH("R50",G380))*50,0)+IFERROR(--ISNUMBER(SEARCH("R51",G380))*51,0)+IFERROR(--ISNUMBER(SEARCH("R52",G380))*52,0)+IFERROR(--ISNUMBER(SEARCH("R53",G380))*53,0)+IFERROR(--ISNUMBER(SEARCH("R54",G380))*54,0)+IFERROR(--ISNUMBER(SEARCH("R55",G380))*55,0)+IFERROR(--ISNUMBER(SEARCH("R56",G380))*56,0)+IFERROR(--ISNUMBER(SEARCH("R57",G380))*57,0)+IFERROR(--ISNUMBER(SEARCH("R58",G380))*58,0)+IFERROR(--ISNUMBER(SEARCH("R59",G380))*59,0)+IFERROR(--ISNUMBER(SEARCH("R60",G380))*60,0)+IFERROR(--ISNUMBER(SEARCH("R61",G380))*61,0)+IFERROR(--ISNUMBER(SEARCH("R62",G380))*62,0)+IFERROR(--ISNUMBER(SEARCH("R63",G380))*63,0)+IFERROR(--ISNUMBER(SEARCH("R64",G380))*64,0)+IFERROR(--ISNUMBER(SEARCH("R65",G380))*65,0)+IFERROR(--ISNUMBER(SEARCH("R66",G380))*66,0)+IFERROR(--ISNUMBER(SEARCH("R67",G380))*67,0)+IFERROR(--ISNUMBER(SEARCH("R68",G380))*68,0)+IFERROR(--ISNUMBER(SEARCH("R69",G380))*69,0)+IFERROR(--ISNUMBER(SEARCH("R70",G380))*70,0)+IFERROR(--ISNUMBER(SEARCH("R71",G380))*71,0)+IFERROR(--ISNUMBER(SEARCH("R72",G380))*72,0)+IFERROR(--ISNUMBER(SEARCH("R73",G380))*73,0)+IFERROR(--ISNUMBER(SEARCH("R74",G380))*74,0)+IFERROR(--ISNUMBER(SEARCH("R75",G380))*75,0)+IFERROR(--ISNUMBER(SEARCH("R76",G380))*76,0)+IFERROR(--ISNUMBER(SEARCH("R77",G380))*77,0)+IFERROR(--ISNUMBER(SEARCH("R78",G380))*78,0)+IFERROR(--ISNUMBER(SEARCH("R79",G380))*79,0)+IFERROR(--ISNUMBER(SEARCH("R80",G380))*80,0)+IFERROR(--ISNUMBER(SEARCH("R81",G380))*81,0)+IFERROR(--ISNUMBER(SEARCH("R82",G380))*82,0)+IFERROR(--ISNUMBER(SEARCH("R83",G380))*83,0)+IFERROR(--ISNUMBER(SEARCH("R84",G380))*84,0)+IFERROR(--ISNUMBER(SEARCH("R85",G380))*85,0)+IFERROR(--ISNUMBER(SEARCH("R86",G380))*86,0)+IFERROR(--ISNUMBER(SEARCH("R87",G380))*87,0)+IFERROR(--ISNUMBER(SEARCH("R88",G380))*88,0)+IFERROR(--ISNUMBER(SEARCH("R89",G380))*89,0)+IFERROR(--ISNUMBER(SEARCH("R90",G380))*90,0)+IFERROR(--ISNUMBER(SEARCH("R91",G380))*91,0)+IFERROR(--ISNUMBER(SEARCH("R92",G380))*92,0)+IFERROR(--ISNUMBER(SEARCH("R93",G380))*93,0)+IFERROR(--ISNUMBER(SEARCH("R94",G380))*94,0)+IFERROR(--ISNUMBER(SEARCH("R95",G380))*95,0)+IFERROR(--ISNUMBER(SEARCH("R96",G380))*96,0)+IFERROR(--ISNUMBER(SEARCH("R97",G380))*97,0)+IFERROR(--ISNUMBER(SEARCH("R98",G380))*98,0)+IFERROR(--ISNUMBER(SEARCH("R99",G380))*99,0)+IFERROR(--ISNUMBER(SEARCH("R100",G380))*100,0)+IFERROR(--ISNUMBER(SEARCH("R101",G380))*101,0)+IFERROR(--ISNUMBER(SEARCH("R102",G380))*102,0)+IFERROR(--ISNUMBER(SEARCH("R103",G380))*103,0)+IFERROR(--ISNUMBER(SEARCH("R104",G380))*104,0)+IFERROR(--ISNUMBER(SEARCH("R105",G380))*105,0)+IFERROR(--ISNUMBER(SEARCH("R106",G380))*106,0)+IFERROR(--ISNUMBER(SEARCH("R107",G380))*107,0)+IFERROR(--ISNUMBER(SEARCH("R108",G380))*108,0)+IFERROR(--ISNUMBER(SEARCH("R109",G380))*109,0)+IFERROR(--ISNUMBER(SEARCH("R110",G380))*110,0)+IFERROR(--ISNUMBER(SEARCH("R111",G380))*111,0)+IFERROR(--ISNUMBER(SEARCH("R112",G380))*112,0)+IFERROR(--ISNUMBER(SEARCH("R113",G380))*113,0)+IFERROR(--ISNUMBER(SEARCH("R114",G380))*114,0)+IFERROR(--ISNUMBER(SEARCH("R115",G380))*115,0)+IFERROR(--ISNUMBER(SEARCH("R116",G380))*116,0)+IFERROR(--ISNUMBER(SEARCH("R117",G380))*117,0)+IFERROR(--ISNUMBER(SEARCH("R118",G380))*118,0)+IFERROR(--ISNUMBER(SEARCH("R119",G380))*119,0)+IFERROR(--ISNUMBER(SEARCH("R120",G380))*120,0)+IFERROR(--ISNUMBER(SEARCH("R121",G380))*121,0)+IFERROR(--ISNUMBER(SEARCH("R122",G380))*122,0)+IFERROR(--ISNUMBER(SEARCH("R123",G380))*123,0)+IFERROR(--ISNUMBER(SEARCH("R124",G380))*124,0)+IFERROR(--ISNUMBER(SEARCH("R125",G380))*125,0)+IFERROR(--ISNUMBER(SEARCH("R126",G380))*126,0)+IFERROR(--ISNUMBER(SEARCH("R127",G380))*127,0)+IFERROR(--ISNUMBER(SEARCH("R128",G380))*128,0)+IFERROR(--ISNUMBER(SEARCH("R129",G380))*129,0)+IFERROR(--ISNUMBER(SEARCH("R130",G380))*130,0)+IFERROR(--ISNUMBER(SEARCH("R131",G380))*131,0)+IFERROR(--ISNUMBER(SEARCH("R132",G380))*132,0)+IFERROR(--ISNUMBER(SEARCH("R133",G380))*133,0)+IFERROR(--ISNUMBER(SEARCH("R134",G380))*134,0)+IFERROR(--ISNUMBER(SEARCH("R135",G380))*135,0)+IFERROR(--ISNUMBER(SEARCH("R136",G380))*136,0)+IFERROR(--ISNUMBER(SEARCH("R137",G380))*137,0)+IFERROR(--ISNUMBER(SEARCH("R138",G380))*138,0)+IFERROR(--ISNUMBER(SEARCH("R139",G380))*139,0)+IFERROR(--ISNUMBER(SEARCH("R140",G380))*140,0)+IFERROR(--ISNUMBER(SEARCH("R141",G380))*141,0))</f>
        <v/>
      </c>
      <c r="V380" s="59">
        <f>IF(A380="","",IF(K380&lt;&gt;"",K380,J380))</f>
        <v/>
      </c>
      <c r="W380" s="59">
        <f>IF(A380="","",IF(AND(V380=29,O380&lt;&gt;"",COUNTIFS($V$6:$V$505,29,$F$6:$F$505,F380,$C$6:$C$505,C380,$O$6:$O$505,"&lt;&gt;")&gt;1),IF(COUNTIFS($V$6:V380,29,$F$6:F380,F380,$C$6:C380,C380,$O$6:O380,"&lt;&gt;")=1,"Esta es la fila que se debe CONSERVAR (aparición 1 de "&amp;COUNTIFS($V$6:$V$505,29,$F$6:$F$505,F380,$C$6:$C$505,C380,$O$6:$O$505,"&lt;&gt;")&amp;" con el mismo tercero y valor, casilla 29). Si hay más filas iguales, bórreles el valor a ELLAS, no a esta.","DUPLICADO — ya existe otra fila con el mismo tercero y valor para casilla 29 (aparición "&amp;COUNTIFS($V$6:V380,29,$F$6:F380,F380,$C$6:C380,C380,$O$6:O380,"&lt;&gt;")&amp;" de "&amp;COUNTIFS($V$6:$V$505,29,$F$6:$F$505,F380,$C$6:$C$505,C380,$O$6:$O$505,"&lt;&gt;")&amp;"). Para resolverlo: seleccione la celda O"&amp;ROW()&amp;" (columna Valor a declarar de ESTA fila) y presione Supr."),""))</f>
        <v/>
      </c>
      <c r="X380" s="463">
        <f>IF(A380="","",F380)</f>
        <v/>
      </c>
      <c r="Y380" s="463">
        <f>IF(A380="","",SUMIF(Entrada_Manual!$I$88:$I$187,A380,Entrada_Manual!$F$88:$F$187))</f>
        <v/>
      </c>
      <c r="Z380" s="463">
        <f>IF(A380="","",X380-Y380)</f>
        <v/>
      </c>
      <c r="AA380">
        <f>IF(A380="","",SUMPRODUCT((Entrada_Manual!$I$88:$I$187=A380)*1))</f>
        <v/>
      </c>
      <c r="AB380">
        <f>IF(A380="","",IF(S380&lt;=1,"",IF(AA380=0,"PENDIENTE — SIN ASIGNAR",IF(Z380=0,"RESUELTO","PARCIAL — DIFERENCIA "&amp;TEXT(Z380,"#,##0")))))</f>
        <v/>
      </c>
    </row>
    <row r="381" ht="14.25" customHeight="1" s="235">
      <c r="A381" s="47">
        <f>IF(Exogena_RAW!E390&lt;&gt;"",ROW()-5,"")</f>
        <v/>
      </c>
      <c r="B381" s="48">
        <f>IF(A381="","",390)</f>
        <v/>
      </c>
      <c r="C381" s="48">
        <f>IF(A381="","",IFERROR(Exogena_RAW!A390,""))</f>
        <v/>
      </c>
      <c r="D381" s="48">
        <f>IF(A381="","",IFERROR(Exogena_RAW!B390,""))</f>
        <v/>
      </c>
      <c r="E381" s="48">
        <f>IF(A381="","",Exogena_RAW!E390)</f>
        <v/>
      </c>
      <c r="F381" s="461">
        <f>IF(A381="","",Exogena_RAW!F390)</f>
        <v/>
      </c>
      <c r="G381" s="48">
        <f>IF(A381="","",IFERROR(Exogena_RAW!G390,""))</f>
        <v/>
      </c>
      <c r="H381" s="48">
        <f>IF(A381="","",IFERROR(Exogena_RAW!H390,""))</f>
        <v/>
      </c>
      <c r="I381" s="48">
        <f>IF(A381="","",IFERROR(IF(S381&gt;1,"VARIAS CASILLAS",IF(S381=1,IF(T381=1,"PROPUESTA DE CASILLA","REVISIÓN: CASILLA NO DIRECTA"),IF(OR(ISNUMBER(SEARCH("TOPE",UPPER(E381))),ISNUMBER(SEARCH("TOPE",UPPER(G381)))),"SOLO CONTROL",IF(ISNUMBER(SEARCH("RETEN",UPPER(E381))),"RETENCIÓN","REVISAR")))),"REVISAR"))</f>
        <v/>
      </c>
      <c r="J381" s="48">
        <f>IF(A381="","",IF(ISNUMBER(SEARCH("ingreso laboral promedio de los últimos seis meses",E381)),"",IFERROR(IF(AND(S381=1,T381=1),U381,""),"")))</f>
        <v/>
      </c>
      <c r="K381" s="216" t="n"/>
      <c r="L381" s="48">
        <f>IF(A381="","",IFERROR(IF(K381&lt;&gt;"","Casilla elegida por usuario",IF(S381&gt;1,"Varias casillas — elegir en K",IF(J381&lt;&gt;"","Sugerencia directa",IF(S381=1,"No trasladar directo — revisar",IF(OR(ISNUMBER(SEARCH("TOPE",UPPER(E381))),ISNUMBER(SEARCH("TOPE",UPPER(G381)))),"Solo control","Revisar manualmente"))))),"Revisar manualmente"))</f>
        <v/>
      </c>
      <c r="M381" s="461">
        <f>IF(A381="","",IF(IF(K381&lt;&gt;"",K381,J381)="",0,IF(COUNTIFS(Reglas!$I$5:$I$118,IF(K381&lt;&gt;"",K381,J381),Reglas!$J$5:$J$118,"Sí")=1,F381,0)))</f>
        <v/>
      </c>
      <c r="N381" s="56" t="n"/>
      <c r="O381" s="462">
        <f>IF(A381="","",IF(M381=0,"",M381))</f>
        <v/>
      </c>
      <c r="P381" s="461">
        <f>IF(A381="","",IF(O381="",0,IF(ISNUMBER(O381),O381,0)))</f>
        <v/>
      </c>
      <c r="Q381" s="48">
        <f>IF(A381="","",IF(Exogena_RAW!$C$4="","BLOQUEADO: FALTA AÑO",IF(Exogena_RAW!$K$10&lt;&gt;Reglas!$B$5,"BLOQUEADO: AÑO",IF(IF(K381&lt;&gt;"",K381,J381)="",IF(S381&gt;1,"REQUIERE ASIGNACIÓN MANUAL (VARIAS CASILLAS)","INFORMATIVO (sin casilla — no se declara)"),IF(COUNTIFS(Reglas!$I$5:$I$118,IF(K381&lt;&gt;"",K381,J381),Reglas!$J$5:$J$118,"Sí")=0,"BLOQUEADO: CASILLA NO DIRECTA",IF(O381="","EXCLUIDO (valor borrado por el usuario)",IF(_xlfn.ISFORMULA(O381),IF(W381&lt;&gt;"","BORRADOR — VALOR SUGERIDO DIAN ⚠ VER ALERTA","BORRADOR — VALOR SUGERIDO DIAN"),IF(W381&lt;&gt;"","ACEPTADO ⚠ VER ALERTA","ACEPTADO"))))))))</f>
        <v/>
      </c>
      <c r="R381" s="218" t="n"/>
      <c r="S381" s="58">
        <f>IF(A381="","",IFERROR(--ISNUMBER(SEARCH("R28",G381)),0)+IFERROR(--ISNUMBER(SEARCH("R29",G381)),0)+IFERROR(--ISNUMBER(SEARCH("R30",G381)),0)+IFERROR(--ISNUMBER(SEARCH("R31",G381)),0)+IFERROR(--ISNUMBER(SEARCH("R32",G381)),0)+IFERROR(--ISNUMBER(SEARCH("R33",G381)),0)+IFERROR(--ISNUMBER(SEARCH("R34",G381)),0)+IFERROR(--ISNUMBER(SEARCH("R35",G381)),0)+IFERROR(--ISNUMBER(SEARCH("R36",G381)),0)+IFERROR(--ISNUMBER(SEARCH("R37",G381)),0)+IFERROR(--ISNUMBER(SEARCH("R38",G381)),0)+IFERROR(--ISNUMBER(SEARCH("R39",G381)),0)+IFERROR(--ISNUMBER(SEARCH("R40",G381)),0)+IFERROR(--ISNUMBER(SEARCH("R41",G381)),0)+IFERROR(--ISNUMBER(SEARCH("R42",G381)),0)+IFERROR(--ISNUMBER(SEARCH("R43",G381)),0)+IFERROR(--ISNUMBER(SEARCH("R44",G381)),0)+IFERROR(--ISNUMBER(SEARCH("R45",G381)),0)+IFERROR(--ISNUMBER(SEARCH("R46",G381)),0)+IFERROR(--ISNUMBER(SEARCH("R47",G381)),0)+IFERROR(--ISNUMBER(SEARCH("R48",G381)),0)+IFERROR(--ISNUMBER(SEARCH("R49",G381)),0)+IFERROR(--ISNUMBER(SEARCH("R50",G381)),0)+IFERROR(--ISNUMBER(SEARCH("R51",G381)),0)+IFERROR(--ISNUMBER(SEARCH("R52",G381)),0)+IFERROR(--ISNUMBER(SEARCH("R53",G381)),0)+IFERROR(--ISNUMBER(SEARCH("R54",G381)),0)+IFERROR(--ISNUMBER(SEARCH("R55",G381)),0)+IFERROR(--ISNUMBER(SEARCH("R56",G381)),0)+IFERROR(--ISNUMBER(SEARCH("R57",G381)),0)+IFERROR(--ISNUMBER(SEARCH("R58",G381)),0)+IFERROR(--ISNUMBER(SEARCH("R59",G381)),0)+IFERROR(--ISNUMBER(SEARCH("R60",G381)),0)+IFERROR(--ISNUMBER(SEARCH("R61",G381)),0)+IFERROR(--ISNUMBER(SEARCH("R62",G381)),0)+IFERROR(--ISNUMBER(SEARCH("R63",G381)),0)+IFERROR(--ISNUMBER(SEARCH("R64",G381)),0)+IFERROR(--ISNUMBER(SEARCH("R65",G381)),0)+IFERROR(--ISNUMBER(SEARCH("R66",G381)),0)+IFERROR(--ISNUMBER(SEARCH("R67",G381)),0)+IFERROR(--ISNUMBER(SEARCH("R68",G381)),0)+IFERROR(--ISNUMBER(SEARCH("R69",G381)),0)+IFERROR(--ISNUMBER(SEARCH("R70",G381)),0)+IFERROR(--ISNUMBER(SEARCH("R71",G381)),0)+IFERROR(--ISNUMBER(SEARCH("R72",G381)),0)+IFERROR(--ISNUMBER(SEARCH("R73",G381)),0)+IFERROR(--ISNUMBER(SEARCH("R74",G381)),0)+IFERROR(--ISNUMBER(SEARCH("R75",G381)),0)+IFERROR(--ISNUMBER(SEARCH("R76",G381)),0)+IFERROR(--ISNUMBER(SEARCH("R77",G381)),0)+IFERROR(--ISNUMBER(SEARCH("R78",G381)),0)+IFERROR(--ISNUMBER(SEARCH("R79",G381)),0)+IFERROR(--ISNUMBER(SEARCH("R80",G381)),0)+IFERROR(--ISNUMBER(SEARCH("R81",G381)),0)+IFERROR(--ISNUMBER(SEARCH("R82",G381)),0)+IFERROR(--ISNUMBER(SEARCH("R83",G381)),0)+IFERROR(--ISNUMBER(SEARCH("R84",G381)),0)+IFERROR(--ISNUMBER(SEARCH("R85",G381)),0)+IFERROR(--ISNUMBER(SEARCH("R86",G381)),0)+IFERROR(--ISNUMBER(SEARCH("R87",G381)),0)+IFERROR(--ISNUMBER(SEARCH("R88",G381)),0)+IFERROR(--ISNUMBER(SEARCH("R89",G381)),0)+IFERROR(--ISNUMBER(SEARCH("R90",G381)),0)+IFERROR(--ISNUMBER(SEARCH("R91",G381)),0)+IFERROR(--ISNUMBER(SEARCH("R92",G381)),0)+IFERROR(--ISNUMBER(SEARCH("R93",G381)),0)+IFERROR(--ISNUMBER(SEARCH("R94",G381)),0)+IFERROR(--ISNUMBER(SEARCH("R95",G381)),0)+IFERROR(--ISNUMBER(SEARCH("R96",G381)),0)+IFERROR(--ISNUMBER(SEARCH("R97",G381)),0)+IFERROR(--ISNUMBER(SEARCH("R98",G381)),0)+IFERROR(--ISNUMBER(SEARCH("R99",G381)),0)+IFERROR(--ISNUMBER(SEARCH("R100",G381)),0)+IFERROR(--ISNUMBER(SEARCH("R101",G381)),0)+IFERROR(--ISNUMBER(SEARCH("R102",G381)),0)+IFERROR(--ISNUMBER(SEARCH("R103",G381)),0)+IFERROR(--ISNUMBER(SEARCH("R104",G381)),0)+IFERROR(--ISNUMBER(SEARCH("R105",G381)),0)+IFERROR(--ISNUMBER(SEARCH("R106",G381)),0)+IFERROR(--ISNUMBER(SEARCH("R107",G381)),0)+IFERROR(--ISNUMBER(SEARCH("R108",G381)),0)+IFERROR(--ISNUMBER(SEARCH("R109",G381)),0)+IFERROR(--ISNUMBER(SEARCH("R110",G381)),0)+IFERROR(--ISNUMBER(SEARCH("R111",G381)),0)+IFERROR(--ISNUMBER(SEARCH("R112",G381)),0)+IFERROR(--ISNUMBER(SEARCH("R113",G381)),0)+IFERROR(--ISNUMBER(SEARCH("R114",G381)),0)+IFERROR(--ISNUMBER(SEARCH("R115",G381)),0)+IFERROR(--ISNUMBER(SEARCH("R116",G381)),0)+IFERROR(--ISNUMBER(SEARCH("R117",G381)),0)+IFERROR(--ISNUMBER(SEARCH("R118",G381)),0)+IFERROR(--ISNUMBER(SEARCH("R119",G381)),0)+IFERROR(--ISNUMBER(SEARCH("R120",G381)),0)+IFERROR(--ISNUMBER(SEARCH("R121",G381)),0)+IFERROR(--ISNUMBER(SEARCH("R122",G381)),0)+IFERROR(--ISNUMBER(SEARCH("R123",G381)),0)+IFERROR(--ISNUMBER(SEARCH("R124",G381)),0)+IFERROR(--ISNUMBER(SEARCH("R125",G381)),0)+IFERROR(--ISNUMBER(SEARCH("R126",G381)),0)+IFERROR(--ISNUMBER(SEARCH("R127",G381)),0)+IFERROR(--ISNUMBER(SEARCH("R128",G381)),0)+IFERROR(--ISNUMBER(SEARCH("R129",G381)),0)+IFERROR(--ISNUMBER(SEARCH("R130",G381)),0)+IFERROR(--ISNUMBER(SEARCH("R131",G381)),0)+IFERROR(--ISNUMBER(SEARCH("R132",G381)),0)+IFERROR(--ISNUMBER(SEARCH("R133",G381)),0)+IFERROR(--ISNUMBER(SEARCH("R134",G381)),0)+IFERROR(--ISNUMBER(SEARCH("R135",G381)),0)+IFERROR(--ISNUMBER(SEARCH("R136",G381)),0)+IFERROR(--ISNUMBER(SEARCH("R137",G381)),0)+IFERROR(--ISNUMBER(SEARCH("R138",G381)),0)+IFERROR(--ISNUMBER(SEARCH("R139",G381)),0)+IFERROR(--ISNUMBER(SEARCH("R140",G381)),0)+IFERROR(--ISNUMBER(SEARCH("R141",G381)),0))</f>
        <v/>
      </c>
      <c r="T381" s="58">
        <f>IF(A381="","",IFERROR(--ISNUMBER(SEARCH("R28",G381)),0)+IFERROR(--ISNUMBER(SEARCH("R29",G381)),0)+IFERROR(--ISNUMBER(SEARCH("R30",G381)),0)+IFERROR(--ISNUMBER(SEARCH("R32",G381)),0)+IFERROR(--ISNUMBER(SEARCH("R33",G381)),0)+IFERROR(--ISNUMBER(SEARCH("R35",G381)),0)+IFERROR(--ISNUMBER(SEARCH("R36",G381)),0)+IFERROR(--ISNUMBER(SEARCH("R38",G381)),0)+IFERROR(--ISNUMBER(SEARCH("R39",G381)),0)+IFERROR(--ISNUMBER(SEARCH("R43",G381)),0)+IFERROR(--ISNUMBER(SEARCH("R44",G381)),0)+IFERROR(--ISNUMBER(SEARCH("R45",G381)),0)+IFERROR(--ISNUMBER(SEARCH("R47",G381)),0)+IFERROR(--ISNUMBER(SEARCH("R48",G381)),0)+IFERROR(--ISNUMBER(SEARCH("R50",G381)),0)+IFERROR(--ISNUMBER(SEARCH("R51",G381)),0)+IFERROR(--ISNUMBER(SEARCH("R56",G381)),0)+IFERROR(--ISNUMBER(SEARCH("R58",G381)),0)+IFERROR(--ISNUMBER(SEARCH("R59",G381)),0)+IFERROR(--ISNUMBER(SEARCH("R60",G381)),0)+IFERROR(--ISNUMBER(SEARCH("R62",G381)),0)+IFERROR(--ISNUMBER(SEARCH("R63",G381)),0)+IFERROR(--ISNUMBER(SEARCH("R64",G381)),0)+IFERROR(--ISNUMBER(SEARCH("R66",G381)),0)+IFERROR(--ISNUMBER(SEARCH("R67",G381)),0)+IFERROR(--ISNUMBER(SEARCH("R72",G381)),0)+IFERROR(--ISNUMBER(SEARCH("R74",G381)),0)+IFERROR(--ISNUMBER(SEARCH("R75",G381)),0)+IFERROR(--ISNUMBER(SEARCH("R76",G381)),0)+IFERROR(--ISNUMBER(SEARCH("R77",G381)),0)+IFERROR(--ISNUMBER(SEARCH("R79",G381)),0)+IFERROR(--ISNUMBER(SEARCH("R80",G381)),0)+IFERROR(--ISNUMBER(SEARCH("R81",G381)),0)+IFERROR(--ISNUMBER(SEARCH("R83",G381)),0)+IFERROR(--ISNUMBER(SEARCH("R84",G381)),0)+IFERROR(--ISNUMBER(SEARCH("R89",G381)),0)+IFERROR(--ISNUMBER(SEARCH("R94",G381)),0)+IFERROR(--ISNUMBER(SEARCH("R95",G381)),0)+IFERROR(--ISNUMBER(SEARCH("R96",G381)),0)+IFERROR(--ISNUMBER(SEARCH("R98",G381)),0)+IFERROR(--ISNUMBER(SEARCH("R99",G381)),0)+IFERROR(--ISNUMBER(SEARCH("R100",G381)),0)+IFERROR(--ISNUMBER(SEARCH("R104",G381)),0)+IFERROR(--ISNUMBER(SEARCH("R105",G381)),0)+IFERROR(--ISNUMBER(SEARCH("R107",G381)),0)+IFERROR(--ISNUMBER(SEARCH("R108",G381)),0)+IFERROR(--ISNUMBER(SEARCH("R109",G381)),0)+IFERROR(--ISNUMBER(SEARCH("R110",G381)),0)+IFERROR(--ISNUMBER(SEARCH("R112",G381)),0)+IFERROR(--ISNUMBER(SEARCH("R113",G381)),0)+IFERROR(--ISNUMBER(SEARCH("R114",G381)),0)+IFERROR(--ISNUMBER(SEARCH("R118",G381)),0)+IFERROR(--ISNUMBER(SEARCH("R119",G381)),0)+IFERROR(--ISNUMBER(SEARCH("R120",G381)),0)+IFERROR(--ISNUMBER(SEARCH("R122",G381)),0)+IFERROR(--ISNUMBER(SEARCH("R123",G381)),0)+IFERROR(--ISNUMBER(SEARCH("R124",G381)),0)+IFERROR(--ISNUMBER(SEARCH("R128",G381)),0)+IFERROR(--ISNUMBER(SEARCH("R130",G381)),0)+IFERROR(--ISNUMBER(SEARCH("R131",G381)),0)+IFERROR(--ISNUMBER(SEARCH("R132",G381)),0)+IFERROR(--ISNUMBER(SEARCH("R135",G381)),0)+IFERROR(--ISNUMBER(SEARCH("R138",G381)),0)+IFERROR(--ISNUMBER(SEARCH("R141",G381)),0))</f>
        <v/>
      </c>
      <c r="U381" s="58">
        <f>IF(A381="","",IFERROR(--ISNUMBER(SEARCH("R28",G381))*28,0)+IFERROR(--ISNUMBER(SEARCH("R29",G381))*29,0)+IFERROR(--ISNUMBER(SEARCH("R30",G381))*30,0)+IFERROR(--ISNUMBER(SEARCH("R31",G381))*31,0)+IFERROR(--ISNUMBER(SEARCH("R32",G381))*32,0)+IFERROR(--ISNUMBER(SEARCH("R33",G381))*33,0)+IFERROR(--ISNUMBER(SEARCH("R34",G381))*34,0)+IFERROR(--ISNUMBER(SEARCH("R35",G381))*35,0)+IFERROR(--ISNUMBER(SEARCH("R36",G381))*36,0)+IFERROR(--ISNUMBER(SEARCH("R37",G381))*37,0)+IFERROR(--ISNUMBER(SEARCH("R38",G381))*38,0)+IFERROR(--ISNUMBER(SEARCH("R39",G381))*39,0)+IFERROR(--ISNUMBER(SEARCH("R40",G381))*40,0)+IFERROR(--ISNUMBER(SEARCH("R41",G381))*41,0)+IFERROR(--ISNUMBER(SEARCH("R42",G381))*42,0)+IFERROR(--ISNUMBER(SEARCH("R43",G381))*43,0)+IFERROR(--ISNUMBER(SEARCH("R44",G381))*44,0)+IFERROR(--ISNUMBER(SEARCH("R45",G381))*45,0)+IFERROR(--ISNUMBER(SEARCH("R46",G381))*46,0)+IFERROR(--ISNUMBER(SEARCH("R47",G381))*47,0)+IFERROR(--ISNUMBER(SEARCH("R48",G381))*48,0)+IFERROR(--ISNUMBER(SEARCH("R49",G381))*49,0)+IFERROR(--ISNUMBER(SEARCH("R50",G381))*50,0)+IFERROR(--ISNUMBER(SEARCH("R51",G381))*51,0)+IFERROR(--ISNUMBER(SEARCH("R52",G381))*52,0)+IFERROR(--ISNUMBER(SEARCH("R53",G381))*53,0)+IFERROR(--ISNUMBER(SEARCH("R54",G381))*54,0)+IFERROR(--ISNUMBER(SEARCH("R55",G381))*55,0)+IFERROR(--ISNUMBER(SEARCH("R56",G381))*56,0)+IFERROR(--ISNUMBER(SEARCH("R57",G381))*57,0)+IFERROR(--ISNUMBER(SEARCH("R58",G381))*58,0)+IFERROR(--ISNUMBER(SEARCH("R59",G381))*59,0)+IFERROR(--ISNUMBER(SEARCH("R60",G381))*60,0)+IFERROR(--ISNUMBER(SEARCH("R61",G381))*61,0)+IFERROR(--ISNUMBER(SEARCH("R62",G381))*62,0)+IFERROR(--ISNUMBER(SEARCH("R63",G381))*63,0)+IFERROR(--ISNUMBER(SEARCH("R64",G381))*64,0)+IFERROR(--ISNUMBER(SEARCH("R65",G381))*65,0)+IFERROR(--ISNUMBER(SEARCH("R66",G381))*66,0)+IFERROR(--ISNUMBER(SEARCH("R67",G381))*67,0)+IFERROR(--ISNUMBER(SEARCH("R68",G381))*68,0)+IFERROR(--ISNUMBER(SEARCH("R69",G381))*69,0)+IFERROR(--ISNUMBER(SEARCH("R70",G381))*70,0)+IFERROR(--ISNUMBER(SEARCH("R71",G381))*71,0)+IFERROR(--ISNUMBER(SEARCH("R72",G381))*72,0)+IFERROR(--ISNUMBER(SEARCH("R73",G381))*73,0)+IFERROR(--ISNUMBER(SEARCH("R74",G381))*74,0)+IFERROR(--ISNUMBER(SEARCH("R75",G381))*75,0)+IFERROR(--ISNUMBER(SEARCH("R76",G381))*76,0)+IFERROR(--ISNUMBER(SEARCH("R77",G381))*77,0)+IFERROR(--ISNUMBER(SEARCH("R78",G381))*78,0)+IFERROR(--ISNUMBER(SEARCH("R79",G381))*79,0)+IFERROR(--ISNUMBER(SEARCH("R80",G381))*80,0)+IFERROR(--ISNUMBER(SEARCH("R81",G381))*81,0)+IFERROR(--ISNUMBER(SEARCH("R82",G381))*82,0)+IFERROR(--ISNUMBER(SEARCH("R83",G381))*83,0)+IFERROR(--ISNUMBER(SEARCH("R84",G381))*84,0)+IFERROR(--ISNUMBER(SEARCH("R85",G381))*85,0)+IFERROR(--ISNUMBER(SEARCH("R86",G381))*86,0)+IFERROR(--ISNUMBER(SEARCH("R87",G381))*87,0)+IFERROR(--ISNUMBER(SEARCH("R88",G381))*88,0)+IFERROR(--ISNUMBER(SEARCH("R89",G381))*89,0)+IFERROR(--ISNUMBER(SEARCH("R90",G381))*90,0)+IFERROR(--ISNUMBER(SEARCH("R91",G381))*91,0)+IFERROR(--ISNUMBER(SEARCH("R92",G381))*92,0)+IFERROR(--ISNUMBER(SEARCH("R93",G381))*93,0)+IFERROR(--ISNUMBER(SEARCH("R94",G381))*94,0)+IFERROR(--ISNUMBER(SEARCH("R95",G381))*95,0)+IFERROR(--ISNUMBER(SEARCH("R96",G381))*96,0)+IFERROR(--ISNUMBER(SEARCH("R97",G381))*97,0)+IFERROR(--ISNUMBER(SEARCH("R98",G381))*98,0)+IFERROR(--ISNUMBER(SEARCH("R99",G381))*99,0)+IFERROR(--ISNUMBER(SEARCH("R100",G381))*100,0)+IFERROR(--ISNUMBER(SEARCH("R101",G381))*101,0)+IFERROR(--ISNUMBER(SEARCH("R102",G381))*102,0)+IFERROR(--ISNUMBER(SEARCH("R103",G381))*103,0)+IFERROR(--ISNUMBER(SEARCH("R104",G381))*104,0)+IFERROR(--ISNUMBER(SEARCH("R105",G381))*105,0)+IFERROR(--ISNUMBER(SEARCH("R106",G381))*106,0)+IFERROR(--ISNUMBER(SEARCH("R107",G381))*107,0)+IFERROR(--ISNUMBER(SEARCH("R108",G381))*108,0)+IFERROR(--ISNUMBER(SEARCH("R109",G381))*109,0)+IFERROR(--ISNUMBER(SEARCH("R110",G381))*110,0)+IFERROR(--ISNUMBER(SEARCH("R111",G381))*111,0)+IFERROR(--ISNUMBER(SEARCH("R112",G381))*112,0)+IFERROR(--ISNUMBER(SEARCH("R113",G381))*113,0)+IFERROR(--ISNUMBER(SEARCH("R114",G381))*114,0)+IFERROR(--ISNUMBER(SEARCH("R115",G381))*115,0)+IFERROR(--ISNUMBER(SEARCH("R116",G381))*116,0)+IFERROR(--ISNUMBER(SEARCH("R117",G381))*117,0)+IFERROR(--ISNUMBER(SEARCH("R118",G381))*118,0)+IFERROR(--ISNUMBER(SEARCH("R119",G381))*119,0)+IFERROR(--ISNUMBER(SEARCH("R120",G381))*120,0)+IFERROR(--ISNUMBER(SEARCH("R121",G381))*121,0)+IFERROR(--ISNUMBER(SEARCH("R122",G381))*122,0)+IFERROR(--ISNUMBER(SEARCH("R123",G381))*123,0)+IFERROR(--ISNUMBER(SEARCH("R124",G381))*124,0)+IFERROR(--ISNUMBER(SEARCH("R125",G381))*125,0)+IFERROR(--ISNUMBER(SEARCH("R126",G381))*126,0)+IFERROR(--ISNUMBER(SEARCH("R127",G381))*127,0)+IFERROR(--ISNUMBER(SEARCH("R128",G381))*128,0)+IFERROR(--ISNUMBER(SEARCH("R129",G381))*129,0)+IFERROR(--ISNUMBER(SEARCH("R130",G381))*130,0)+IFERROR(--ISNUMBER(SEARCH("R131",G381))*131,0)+IFERROR(--ISNUMBER(SEARCH("R132",G381))*132,0)+IFERROR(--ISNUMBER(SEARCH("R133",G381))*133,0)+IFERROR(--ISNUMBER(SEARCH("R134",G381))*134,0)+IFERROR(--ISNUMBER(SEARCH("R135",G381))*135,0)+IFERROR(--ISNUMBER(SEARCH("R136",G381))*136,0)+IFERROR(--ISNUMBER(SEARCH("R137",G381))*137,0)+IFERROR(--ISNUMBER(SEARCH("R138",G381))*138,0)+IFERROR(--ISNUMBER(SEARCH("R139",G381))*139,0)+IFERROR(--ISNUMBER(SEARCH("R140",G381))*140,0)+IFERROR(--ISNUMBER(SEARCH("R141",G381))*141,0))</f>
        <v/>
      </c>
      <c r="V381" s="59">
        <f>IF(A381="","",IF(K381&lt;&gt;"",K381,J381))</f>
        <v/>
      </c>
      <c r="W381" s="59">
        <f>IF(A381="","",IF(AND(V381=29,O381&lt;&gt;"",COUNTIFS($V$6:$V$505,29,$F$6:$F$505,F381,$C$6:$C$505,C381,$O$6:$O$505,"&lt;&gt;")&gt;1),IF(COUNTIFS($V$6:V381,29,$F$6:F381,F381,$C$6:C381,C381,$O$6:O381,"&lt;&gt;")=1,"Esta es la fila que se debe CONSERVAR (aparición 1 de "&amp;COUNTIFS($V$6:$V$505,29,$F$6:$F$505,F381,$C$6:$C$505,C381,$O$6:$O$505,"&lt;&gt;")&amp;" con el mismo tercero y valor, casilla 29). Si hay más filas iguales, bórreles el valor a ELLAS, no a esta.","DUPLICADO — ya existe otra fila con el mismo tercero y valor para casilla 29 (aparición "&amp;COUNTIFS($V$6:V381,29,$F$6:F381,F381,$C$6:C381,C381,$O$6:O381,"&lt;&gt;")&amp;" de "&amp;COUNTIFS($V$6:$V$505,29,$F$6:$F$505,F381,$C$6:$C$505,C381,$O$6:$O$505,"&lt;&gt;")&amp;"). Para resolverlo: seleccione la celda O"&amp;ROW()&amp;" (columna Valor a declarar de ESTA fila) y presione Supr."),""))</f>
        <v/>
      </c>
      <c r="X381" s="463">
        <f>IF(A381="","",F381)</f>
        <v/>
      </c>
      <c r="Y381" s="463">
        <f>IF(A381="","",SUMIF(Entrada_Manual!$I$88:$I$187,A381,Entrada_Manual!$F$88:$F$187))</f>
        <v/>
      </c>
      <c r="Z381" s="463">
        <f>IF(A381="","",X381-Y381)</f>
        <v/>
      </c>
      <c r="AA381">
        <f>IF(A381="","",SUMPRODUCT((Entrada_Manual!$I$88:$I$187=A381)*1))</f>
        <v/>
      </c>
      <c r="AB381">
        <f>IF(A381="","",IF(S381&lt;=1,"",IF(AA381=0,"PENDIENTE — SIN ASIGNAR",IF(Z381=0,"RESUELTO","PARCIAL — DIFERENCIA "&amp;TEXT(Z381,"#,##0")))))</f>
        <v/>
      </c>
    </row>
    <row r="382" ht="14.25" customHeight="1" s="235">
      <c r="A382" s="47">
        <f>IF(Exogena_RAW!E391&lt;&gt;"",ROW()-5,"")</f>
        <v/>
      </c>
      <c r="B382" s="48">
        <f>IF(A382="","",391)</f>
        <v/>
      </c>
      <c r="C382" s="48">
        <f>IF(A382="","",IFERROR(Exogena_RAW!A391,""))</f>
        <v/>
      </c>
      <c r="D382" s="48">
        <f>IF(A382="","",IFERROR(Exogena_RAW!B391,""))</f>
        <v/>
      </c>
      <c r="E382" s="48">
        <f>IF(A382="","",Exogena_RAW!E391)</f>
        <v/>
      </c>
      <c r="F382" s="461">
        <f>IF(A382="","",Exogena_RAW!F391)</f>
        <v/>
      </c>
      <c r="G382" s="48">
        <f>IF(A382="","",IFERROR(Exogena_RAW!G391,""))</f>
        <v/>
      </c>
      <c r="H382" s="48">
        <f>IF(A382="","",IFERROR(Exogena_RAW!H391,""))</f>
        <v/>
      </c>
      <c r="I382" s="48">
        <f>IF(A382="","",IFERROR(IF(S382&gt;1,"VARIAS CASILLAS",IF(S382=1,IF(T382=1,"PROPUESTA DE CASILLA","REVISIÓN: CASILLA NO DIRECTA"),IF(OR(ISNUMBER(SEARCH("TOPE",UPPER(E382))),ISNUMBER(SEARCH("TOPE",UPPER(G382)))),"SOLO CONTROL",IF(ISNUMBER(SEARCH("RETEN",UPPER(E382))),"RETENCIÓN","REVISAR")))),"REVISAR"))</f>
        <v/>
      </c>
      <c r="J382" s="48">
        <f>IF(A382="","",IF(ISNUMBER(SEARCH("ingreso laboral promedio de los últimos seis meses",E382)),"",IFERROR(IF(AND(S382=1,T382=1),U382,""),"")))</f>
        <v/>
      </c>
      <c r="K382" s="216" t="n"/>
      <c r="L382" s="48">
        <f>IF(A382="","",IFERROR(IF(K382&lt;&gt;"","Casilla elegida por usuario",IF(S382&gt;1,"Varias casillas — elegir en K",IF(J382&lt;&gt;"","Sugerencia directa",IF(S382=1,"No trasladar directo — revisar",IF(OR(ISNUMBER(SEARCH("TOPE",UPPER(E382))),ISNUMBER(SEARCH("TOPE",UPPER(G382)))),"Solo control","Revisar manualmente"))))),"Revisar manualmente"))</f>
        <v/>
      </c>
      <c r="M382" s="461">
        <f>IF(A382="","",IF(IF(K382&lt;&gt;"",K382,J382)="",0,IF(COUNTIFS(Reglas!$I$5:$I$118,IF(K382&lt;&gt;"",K382,J382),Reglas!$J$5:$J$118,"Sí")=1,F382,0)))</f>
        <v/>
      </c>
      <c r="N382" s="56" t="n"/>
      <c r="O382" s="462">
        <f>IF(A382="","",IF(M382=0,"",M382))</f>
        <v/>
      </c>
      <c r="P382" s="461">
        <f>IF(A382="","",IF(O382="",0,IF(ISNUMBER(O382),O382,0)))</f>
        <v/>
      </c>
      <c r="Q382" s="48">
        <f>IF(A382="","",IF(Exogena_RAW!$C$4="","BLOQUEADO: FALTA AÑO",IF(Exogena_RAW!$K$10&lt;&gt;Reglas!$B$5,"BLOQUEADO: AÑO",IF(IF(K382&lt;&gt;"",K382,J382)="",IF(S382&gt;1,"REQUIERE ASIGNACIÓN MANUAL (VARIAS CASILLAS)","INFORMATIVO (sin casilla — no se declara)"),IF(COUNTIFS(Reglas!$I$5:$I$118,IF(K382&lt;&gt;"",K382,J382),Reglas!$J$5:$J$118,"Sí")=0,"BLOQUEADO: CASILLA NO DIRECTA",IF(O382="","EXCLUIDO (valor borrado por el usuario)",IF(_xlfn.ISFORMULA(O382),IF(W382&lt;&gt;"","BORRADOR — VALOR SUGERIDO DIAN ⚠ VER ALERTA","BORRADOR — VALOR SUGERIDO DIAN"),IF(W382&lt;&gt;"","ACEPTADO ⚠ VER ALERTA","ACEPTADO"))))))))</f>
        <v/>
      </c>
      <c r="R382" s="218" t="n"/>
      <c r="S382" s="58">
        <f>IF(A382="","",IFERROR(--ISNUMBER(SEARCH("R28",G382)),0)+IFERROR(--ISNUMBER(SEARCH("R29",G382)),0)+IFERROR(--ISNUMBER(SEARCH("R30",G382)),0)+IFERROR(--ISNUMBER(SEARCH("R31",G382)),0)+IFERROR(--ISNUMBER(SEARCH("R32",G382)),0)+IFERROR(--ISNUMBER(SEARCH("R33",G382)),0)+IFERROR(--ISNUMBER(SEARCH("R34",G382)),0)+IFERROR(--ISNUMBER(SEARCH("R35",G382)),0)+IFERROR(--ISNUMBER(SEARCH("R36",G382)),0)+IFERROR(--ISNUMBER(SEARCH("R37",G382)),0)+IFERROR(--ISNUMBER(SEARCH("R38",G382)),0)+IFERROR(--ISNUMBER(SEARCH("R39",G382)),0)+IFERROR(--ISNUMBER(SEARCH("R40",G382)),0)+IFERROR(--ISNUMBER(SEARCH("R41",G382)),0)+IFERROR(--ISNUMBER(SEARCH("R42",G382)),0)+IFERROR(--ISNUMBER(SEARCH("R43",G382)),0)+IFERROR(--ISNUMBER(SEARCH("R44",G382)),0)+IFERROR(--ISNUMBER(SEARCH("R45",G382)),0)+IFERROR(--ISNUMBER(SEARCH("R46",G382)),0)+IFERROR(--ISNUMBER(SEARCH("R47",G382)),0)+IFERROR(--ISNUMBER(SEARCH("R48",G382)),0)+IFERROR(--ISNUMBER(SEARCH("R49",G382)),0)+IFERROR(--ISNUMBER(SEARCH("R50",G382)),0)+IFERROR(--ISNUMBER(SEARCH("R51",G382)),0)+IFERROR(--ISNUMBER(SEARCH("R52",G382)),0)+IFERROR(--ISNUMBER(SEARCH("R53",G382)),0)+IFERROR(--ISNUMBER(SEARCH("R54",G382)),0)+IFERROR(--ISNUMBER(SEARCH("R55",G382)),0)+IFERROR(--ISNUMBER(SEARCH("R56",G382)),0)+IFERROR(--ISNUMBER(SEARCH("R57",G382)),0)+IFERROR(--ISNUMBER(SEARCH("R58",G382)),0)+IFERROR(--ISNUMBER(SEARCH("R59",G382)),0)+IFERROR(--ISNUMBER(SEARCH("R60",G382)),0)+IFERROR(--ISNUMBER(SEARCH("R61",G382)),0)+IFERROR(--ISNUMBER(SEARCH("R62",G382)),0)+IFERROR(--ISNUMBER(SEARCH("R63",G382)),0)+IFERROR(--ISNUMBER(SEARCH("R64",G382)),0)+IFERROR(--ISNUMBER(SEARCH("R65",G382)),0)+IFERROR(--ISNUMBER(SEARCH("R66",G382)),0)+IFERROR(--ISNUMBER(SEARCH("R67",G382)),0)+IFERROR(--ISNUMBER(SEARCH("R68",G382)),0)+IFERROR(--ISNUMBER(SEARCH("R69",G382)),0)+IFERROR(--ISNUMBER(SEARCH("R70",G382)),0)+IFERROR(--ISNUMBER(SEARCH("R71",G382)),0)+IFERROR(--ISNUMBER(SEARCH("R72",G382)),0)+IFERROR(--ISNUMBER(SEARCH("R73",G382)),0)+IFERROR(--ISNUMBER(SEARCH("R74",G382)),0)+IFERROR(--ISNUMBER(SEARCH("R75",G382)),0)+IFERROR(--ISNUMBER(SEARCH("R76",G382)),0)+IFERROR(--ISNUMBER(SEARCH("R77",G382)),0)+IFERROR(--ISNUMBER(SEARCH("R78",G382)),0)+IFERROR(--ISNUMBER(SEARCH("R79",G382)),0)+IFERROR(--ISNUMBER(SEARCH("R80",G382)),0)+IFERROR(--ISNUMBER(SEARCH("R81",G382)),0)+IFERROR(--ISNUMBER(SEARCH("R82",G382)),0)+IFERROR(--ISNUMBER(SEARCH("R83",G382)),0)+IFERROR(--ISNUMBER(SEARCH("R84",G382)),0)+IFERROR(--ISNUMBER(SEARCH("R85",G382)),0)+IFERROR(--ISNUMBER(SEARCH("R86",G382)),0)+IFERROR(--ISNUMBER(SEARCH("R87",G382)),0)+IFERROR(--ISNUMBER(SEARCH("R88",G382)),0)+IFERROR(--ISNUMBER(SEARCH("R89",G382)),0)+IFERROR(--ISNUMBER(SEARCH("R90",G382)),0)+IFERROR(--ISNUMBER(SEARCH("R91",G382)),0)+IFERROR(--ISNUMBER(SEARCH("R92",G382)),0)+IFERROR(--ISNUMBER(SEARCH("R93",G382)),0)+IFERROR(--ISNUMBER(SEARCH("R94",G382)),0)+IFERROR(--ISNUMBER(SEARCH("R95",G382)),0)+IFERROR(--ISNUMBER(SEARCH("R96",G382)),0)+IFERROR(--ISNUMBER(SEARCH("R97",G382)),0)+IFERROR(--ISNUMBER(SEARCH("R98",G382)),0)+IFERROR(--ISNUMBER(SEARCH("R99",G382)),0)+IFERROR(--ISNUMBER(SEARCH("R100",G382)),0)+IFERROR(--ISNUMBER(SEARCH("R101",G382)),0)+IFERROR(--ISNUMBER(SEARCH("R102",G382)),0)+IFERROR(--ISNUMBER(SEARCH("R103",G382)),0)+IFERROR(--ISNUMBER(SEARCH("R104",G382)),0)+IFERROR(--ISNUMBER(SEARCH("R105",G382)),0)+IFERROR(--ISNUMBER(SEARCH("R106",G382)),0)+IFERROR(--ISNUMBER(SEARCH("R107",G382)),0)+IFERROR(--ISNUMBER(SEARCH("R108",G382)),0)+IFERROR(--ISNUMBER(SEARCH("R109",G382)),0)+IFERROR(--ISNUMBER(SEARCH("R110",G382)),0)+IFERROR(--ISNUMBER(SEARCH("R111",G382)),0)+IFERROR(--ISNUMBER(SEARCH("R112",G382)),0)+IFERROR(--ISNUMBER(SEARCH("R113",G382)),0)+IFERROR(--ISNUMBER(SEARCH("R114",G382)),0)+IFERROR(--ISNUMBER(SEARCH("R115",G382)),0)+IFERROR(--ISNUMBER(SEARCH("R116",G382)),0)+IFERROR(--ISNUMBER(SEARCH("R117",G382)),0)+IFERROR(--ISNUMBER(SEARCH("R118",G382)),0)+IFERROR(--ISNUMBER(SEARCH("R119",G382)),0)+IFERROR(--ISNUMBER(SEARCH("R120",G382)),0)+IFERROR(--ISNUMBER(SEARCH("R121",G382)),0)+IFERROR(--ISNUMBER(SEARCH("R122",G382)),0)+IFERROR(--ISNUMBER(SEARCH("R123",G382)),0)+IFERROR(--ISNUMBER(SEARCH("R124",G382)),0)+IFERROR(--ISNUMBER(SEARCH("R125",G382)),0)+IFERROR(--ISNUMBER(SEARCH("R126",G382)),0)+IFERROR(--ISNUMBER(SEARCH("R127",G382)),0)+IFERROR(--ISNUMBER(SEARCH("R128",G382)),0)+IFERROR(--ISNUMBER(SEARCH("R129",G382)),0)+IFERROR(--ISNUMBER(SEARCH("R130",G382)),0)+IFERROR(--ISNUMBER(SEARCH("R131",G382)),0)+IFERROR(--ISNUMBER(SEARCH("R132",G382)),0)+IFERROR(--ISNUMBER(SEARCH("R133",G382)),0)+IFERROR(--ISNUMBER(SEARCH("R134",G382)),0)+IFERROR(--ISNUMBER(SEARCH("R135",G382)),0)+IFERROR(--ISNUMBER(SEARCH("R136",G382)),0)+IFERROR(--ISNUMBER(SEARCH("R137",G382)),0)+IFERROR(--ISNUMBER(SEARCH("R138",G382)),0)+IFERROR(--ISNUMBER(SEARCH("R139",G382)),0)+IFERROR(--ISNUMBER(SEARCH("R140",G382)),0)+IFERROR(--ISNUMBER(SEARCH("R141",G382)),0))</f>
        <v/>
      </c>
      <c r="T382" s="58">
        <f>IF(A382="","",IFERROR(--ISNUMBER(SEARCH("R28",G382)),0)+IFERROR(--ISNUMBER(SEARCH("R29",G382)),0)+IFERROR(--ISNUMBER(SEARCH("R30",G382)),0)+IFERROR(--ISNUMBER(SEARCH("R32",G382)),0)+IFERROR(--ISNUMBER(SEARCH("R33",G382)),0)+IFERROR(--ISNUMBER(SEARCH("R35",G382)),0)+IFERROR(--ISNUMBER(SEARCH("R36",G382)),0)+IFERROR(--ISNUMBER(SEARCH("R38",G382)),0)+IFERROR(--ISNUMBER(SEARCH("R39",G382)),0)+IFERROR(--ISNUMBER(SEARCH("R43",G382)),0)+IFERROR(--ISNUMBER(SEARCH("R44",G382)),0)+IFERROR(--ISNUMBER(SEARCH("R45",G382)),0)+IFERROR(--ISNUMBER(SEARCH("R47",G382)),0)+IFERROR(--ISNUMBER(SEARCH("R48",G382)),0)+IFERROR(--ISNUMBER(SEARCH("R50",G382)),0)+IFERROR(--ISNUMBER(SEARCH("R51",G382)),0)+IFERROR(--ISNUMBER(SEARCH("R56",G382)),0)+IFERROR(--ISNUMBER(SEARCH("R58",G382)),0)+IFERROR(--ISNUMBER(SEARCH("R59",G382)),0)+IFERROR(--ISNUMBER(SEARCH("R60",G382)),0)+IFERROR(--ISNUMBER(SEARCH("R62",G382)),0)+IFERROR(--ISNUMBER(SEARCH("R63",G382)),0)+IFERROR(--ISNUMBER(SEARCH("R64",G382)),0)+IFERROR(--ISNUMBER(SEARCH("R66",G382)),0)+IFERROR(--ISNUMBER(SEARCH("R67",G382)),0)+IFERROR(--ISNUMBER(SEARCH("R72",G382)),0)+IFERROR(--ISNUMBER(SEARCH("R74",G382)),0)+IFERROR(--ISNUMBER(SEARCH("R75",G382)),0)+IFERROR(--ISNUMBER(SEARCH("R76",G382)),0)+IFERROR(--ISNUMBER(SEARCH("R77",G382)),0)+IFERROR(--ISNUMBER(SEARCH("R79",G382)),0)+IFERROR(--ISNUMBER(SEARCH("R80",G382)),0)+IFERROR(--ISNUMBER(SEARCH("R81",G382)),0)+IFERROR(--ISNUMBER(SEARCH("R83",G382)),0)+IFERROR(--ISNUMBER(SEARCH("R84",G382)),0)+IFERROR(--ISNUMBER(SEARCH("R89",G382)),0)+IFERROR(--ISNUMBER(SEARCH("R94",G382)),0)+IFERROR(--ISNUMBER(SEARCH("R95",G382)),0)+IFERROR(--ISNUMBER(SEARCH("R96",G382)),0)+IFERROR(--ISNUMBER(SEARCH("R98",G382)),0)+IFERROR(--ISNUMBER(SEARCH("R99",G382)),0)+IFERROR(--ISNUMBER(SEARCH("R100",G382)),0)+IFERROR(--ISNUMBER(SEARCH("R104",G382)),0)+IFERROR(--ISNUMBER(SEARCH("R105",G382)),0)+IFERROR(--ISNUMBER(SEARCH("R107",G382)),0)+IFERROR(--ISNUMBER(SEARCH("R108",G382)),0)+IFERROR(--ISNUMBER(SEARCH("R109",G382)),0)+IFERROR(--ISNUMBER(SEARCH("R110",G382)),0)+IFERROR(--ISNUMBER(SEARCH("R112",G382)),0)+IFERROR(--ISNUMBER(SEARCH("R113",G382)),0)+IFERROR(--ISNUMBER(SEARCH("R114",G382)),0)+IFERROR(--ISNUMBER(SEARCH("R118",G382)),0)+IFERROR(--ISNUMBER(SEARCH("R119",G382)),0)+IFERROR(--ISNUMBER(SEARCH("R120",G382)),0)+IFERROR(--ISNUMBER(SEARCH("R122",G382)),0)+IFERROR(--ISNUMBER(SEARCH("R123",G382)),0)+IFERROR(--ISNUMBER(SEARCH("R124",G382)),0)+IFERROR(--ISNUMBER(SEARCH("R128",G382)),0)+IFERROR(--ISNUMBER(SEARCH("R130",G382)),0)+IFERROR(--ISNUMBER(SEARCH("R131",G382)),0)+IFERROR(--ISNUMBER(SEARCH("R132",G382)),0)+IFERROR(--ISNUMBER(SEARCH("R135",G382)),0)+IFERROR(--ISNUMBER(SEARCH("R138",G382)),0)+IFERROR(--ISNUMBER(SEARCH("R141",G382)),0))</f>
        <v/>
      </c>
      <c r="U382" s="58">
        <f>IF(A382="","",IFERROR(--ISNUMBER(SEARCH("R28",G382))*28,0)+IFERROR(--ISNUMBER(SEARCH("R29",G382))*29,0)+IFERROR(--ISNUMBER(SEARCH("R30",G382))*30,0)+IFERROR(--ISNUMBER(SEARCH("R31",G382))*31,0)+IFERROR(--ISNUMBER(SEARCH("R32",G382))*32,0)+IFERROR(--ISNUMBER(SEARCH("R33",G382))*33,0)+IFERROR(--ISNUMBER(SEARCH("R34",G382))*34,0)+IFERROR(--ISNUMBER(SEARCH("R35",G382))*35,0)+IFERROR(--ISNUMBER(SEARCH("R36",G382))*36,0)+IFERROR(--ISNUMBER(SEARCH("R37",G382))*37,0)+IFERROR(--ISNUMBER(SEARCH("R38",G382))*38,0)+IFERROR(--ISNUMBER(SEARCH("R39",G382))*39,0)+IFERROR(--ISNUMBER(SEARCH("R40",G382))*40,0)+IFERROR(--ISNUMBER(SEARCH("R41",G382))*41,0)+IFERROR(--ISNUMBER(SEARCH("R42",G382))*42,0)+IFERROR(--ISNUMBER(SEARCH("R43",G382))*43,0)+IFERROR(--ISNUMBER(SEARCH("R44",G382))*44,0)+IFERROR(--ISNUMBER(SEARCH("R45",G382))*45,0)+IFERROR(--ISNUMBER(SEARCH("R46",G382))*46,0)+IFERROR(--ISNUMBER(SEARCH("R47",G382))*47,0)+IFERROR(--ISNUMBER(SEARCH("R48",G382))*48,0)+IFERROR(--ISNUMBER(SEARCH("R49",G382))*49,0)+IFERROR(--ISNUMBER(SEARCH("R50",G382))*50,0)+IFERROR(--ISNUMBER(SEARCH("R51",G382))*51,0)+IFERROR(--ISNUMBER(SEARCH("R52",G382))*52,0)+IFERROR(--ISNUMBER(SEARCH("R53",G382))*53,0)+IFERROR(--ISNUMBER(SEARCH("R54",G382))*54,0)+IFERROR(--ISNUMBER(SEARCH("R55",G382))*55,0)+IFERROR(--ISNUMBER(SEARCH("R56",G382))*56,0)+IFERROR(--ISNUMBER(SEARCH("R57",G382))*57,0)+IFERROR(--ISNUMBER(SEARCH("R58",G382))*58,0)+IFERROR(--ISNUMBER(SEARCH("R59",G382))*59,0)+IFERROR(--ISNUMBER(SEARCH("R60",G382))*60,0)+IFERROR(--ISNUMBER(SEARCH("R61",G382))*61,0)+IFERROR(--ISNUMBER(SEARCH("R62",G382))*62,0)+IFERROR(--ISNUMBER(SEARCH("R63",G382))*63,0)+IFERROR(--ISNUMBER(SEARCH("R64",G382))*64,0)+IFERROR(--ISNUMBER(SEARCH("R65",G382))*65,0)+IFERROR(--ISNUMBER(SEARCH("R66",G382))*66,0)+IFERROR(--ISNUMBER(SEARCH("R67",G382))*67,0)+IFERROR(--ISNUMBER(SEARCH("R68",G382))*68,0)+IFERROR(--ISNUMBER(SEARCH("R69",G382))*69,0)+IFERROR(--ISNUMBER(SEARCH("R70",G382))*70,0)+IFERROR(--ISNUMBER(SEARCH("R71",G382))*71,0)+IFERROR(--ISNUMBER(SEARCH("R72",G382))*72,0)+IFERROR(--ISNUMBER(SEARCH("R73",G382))*73,0)+IFERROR(--ISNUMBER(SEARCH("R74",G382))*74,0)+IFERROR(--ISNUMBER(SEARCH("R75",G382))*75,0)+IFERROR(--ISNUMBER(SEARCH("R76",G382))*76,0)+IFERROR(--ISNUMBER(SEARCH("R77",G382))*77,0)+IFERROR(--ISNUMBER(SEARCH("R78",G382))*78,0)+IFERROR(--ISNUMBER(SEARCH("R79",G382))*79,0)+IFERROR(--ISNUMBER(SEARCH("R80",G382))*80,0)+IFERROR(--ISNUMBER(SEARCH("R81",G382))*81,0)+IFERROR(--ISNUMBER(SEARCH("R82",G382))*82,0)+IFERROR(--ISNUMBER(SEARCH("R83",G382))*83,0)+IFERROR(--ISNUMBER(SEARCH("R84",G382))*84,0)+IFERROR(--ISNUMBER(SEARCH("R85",G382))*85,0)+IFERROR(--ISNUMBER(SEARCH("R86",G382))*86,0)+IFERROR(--ISNUMBER(SEARCH("R87",G382))*87,0)+IFERROR(--ISNUMBER(SEARCH("R88",G382))*88,0)+IFERROR(--ISNUMBER(SEARCH("R89",G382))*89,0)+IFERROR(--ISNUMBER(SEARCH("R90",G382))*90,0)+IFERROR(--ISNUMBER(SEARCH("R91",G382))*91,0)+IFERROR(--ISNUMBER(SEARCH("R92",G382))*92,0)+IFERROR(--ISNUMBER(SEARCH("R93",G382))*93,0)+IFERROR(--ISNUMBER(SEARCH("R94",G382))*94,0)+IFERROR(--ISNUMBER(SEARCH("R95",G382))*95,0)+IFERROR(--ISNUMBER(SEARCH("R96",G382))*96,0)+IFERROR(--ISNUMBER(SEARCH("R97",G382))*97,0)+IFERROR(--ISNUMBER(SEARCH("R98",G382))*98,0)+IFERROR(--ISNUMBER(SEARCH("R99",G382))*99,0)+IFERROR(--ISNUMBER(SEARCH("R100",G382))*100,0)+IFERROR(--ISNUMBER(SEARCH("R101",G382))*101,0)+IFERROR(--ISNUMBER(SEARCH("R102",G382))*102,0)+IFERROR(--ISNUMBER(SEARCH("R103",G382))*103,0)+IFERROR(--ISNUMBER(SEARCH("R104",G382))*104,0)+IFERROR(--ISNUMBER(SEARCH("R105",G382))*105,0)+IFERROR(--ISNUMBER(SEARCH("R106",G382))*106,0)+IFERROR(--ISNUMBER(SEARCH("R107",G382))*107,0)+IFERROR(--ISNUMBER(SEARCH("R108",G382))*108,0)+IFERROR(--ISNUMBER(SEARCH("R109",G382))*109,0)+IFERROR(--ISNUMBER(SEARCH("R110",G382))*110,0)+IFERROR(--ISNUMBER(SEARCH("R111",G382))*111,0)+IFERROR(--ISNUMBER(SEARCH("R112",G382))*112,0)+IFERROR(--ISNUMBER(SEARCH("R113",G382))*113,0)+IFERROR(--ISNUMBER(SEARCH("R114",G382))*114,0)+IFERROR(--ISNUMBER(SEARCH("R115",G382))*115,0)+IFERROR(--ISNUMBER(SEARCH("R116",G382))*116,0)+IFERROR(--ISNUMBER(SEARCH("R117",G382))*117,0)+IFERROR(--ISNUMBER(SEARCH("R118",G382))*118,0)+IFERROR(--ISNUMBER(SEARCH("R119",G382))*119,0)+IFERROR(--ISNUMBER(SEARCH("R120",G382))*120,0)+IFERROR(--ISNUMBER(SEARCH("R121",G382))*121,0)+IFERROR(--ISNUMBER(SEARCH("R122",G382))*122,0)+IFERROR(--ISNUMBER(SEARCH("R123",G382))*123,0)+IFERROR(--ISNUMBER(SEARCH("R124",G382))*124,0)+IFERROR(--ISNUMBER(SEARCH("R125",G382))*125,0)+IFERROR(--ISNUMBER(SEARCH("R126",G382))*126,0)+IFERROR(--ISNUMBER(SEARCH("R127",G382))*127,0)+IFERROR(--ISNUMBER(SEARCH("R128",G382))*128,0)+IFERROR(--ISNUMBER(SEARCH("R129",G382))*129,0)+IFERROR(--ISNUMBER(SEARCH("R130",G382))*130,0)+IFERROR(--ISNUMBER(SEARCH("R131",G382))*131,0)+IFERROR(--ISNUMBER(SEARCH("R132",G382))*132,0)+IFERROR(--ISNUMBER(SEARCH("R133",G382))*133,0)+IFERROR(--ISNUMBER(SEARCH("R134",G382))*134,0)+IFERROR(--ISNUMBER(SEARCH("R135",G382))*135,0)+IFERROR(--ISNUMBER(SEARCH("R136",G382))*136,0)+IFERROR(--ISNUMBER(SEARCH("R137",G382))*137,0)+IFERROR(--ISNUMBER(SEARCH("R138",G382))*138,0)+IFERROR(--ISNUMBER(SEARCH("R139",G382))*139,0)+IFERROR(--ISNUMBER(SEARCH("R140",G382))*140,0)+IFERROR(--ISNUMBER(SEARCH("R141",G382))*141,0))</f>
        <v/>
      </c>
      <c r="V382" s="59">
        <f>IF(A382="","",IF(K382&lt;&gt;"",K382,J382))</f>
        <v/>
      </c>
      <c r="W382" s="59">
        <f>IF(A382="","",IF(AND(V382=29,O382&lt;&gt;"",COUNTIFS($V$6:$V$505,29,$F$6:$F$505,F382,$C$6:$C$505,C382,$O$6:$O$505,"&lt;&gt;")&gt;1),IF(COUNTIFS($V$6:V382,29,$F$6:F382,F382,$C$6:C382,C382,$O$6:O382,"&lt;&gt;")=1,"Esta es la fila que se debe CONSERVAR (aparición 1 de "&amp;COUNTIFS($V$6:$V$505,29,$F$6:$F$505,F382,$C$6:$C$505,C382,$O$6:$O$505,"&lt;&gt;")&amp;" con el mismo tercero y valor, casilla 29). Si hay más filas iguales, bórreles el valor a ELLAS, no a esta.","DUPLICADO — ya existe otra fila con el mismo tercero y valor para casilla 29 (aparición "&amp;COUNTIFS($V$6:V382,29,$F$6:F382,F382,$C$6:C382,C382,$O$6:O382,"&lt;&gt;")&amp;" de "&amp;COUNTIFS($V$6:$V$505,29,$F$6:$F$505,F382,$C$6:$C$505,C382,$O$6:$O$505,"&lt;&gt;")&amp;"). Para resolverlo: seleccione la celda O"&amp;ROW()&amp;" (columna Valor a declarar de ESTA fila) y presione Supr."),""))</f>
        <v/>
      </c>
      <c r="X382" s="463">
        <f>IF(A382="","",F382)</f>
        <v/>
      </c>
      <c r="Y382" s="463">
        <f>IF(A382="","",SUMIF(Entrada_Manual!$I$88:$I$187,A382,Entrada_Manual!$F$88:$F$187))</f>
        <v/>
      </c>
      <c r="Z382" s="463">
        <f>IF(A382="","",X382-Y382)</f>
        <v/>
      </c>
      <c r="AA382">
        <f>IF(A382="","",SUMPRODUCT((Entrada_Manual!$I$88:$I$187=A382)*1))</f>
        <v/>
      </c>
      <c r="AB382">
        <f>IF(A382="","",IF(S382&lt;=1,"",IF(AA382=0,"PENDIENTE — SIN ASIGNAR",IF(Z382=0,"RESUELTO","PARCIAL — DIFERENCIA "&amp;TEXT(Z382,"#,##0")))))</f>
        <v/>
      </c>
    </row>
    <row r="383" ht="14.25" customHeight="1" s="235">
      <c r="A383" s="47">
        <f>IF(Exogena_RAW!E392&lt;&gt;"",ROW()-5,"")</f>
        <v/>
      </c>
      <c r="B383" s="48">
        <f>IF(A383="","",392)</f>
        <v/>
      </c>
      <c r="C383" s="48">
        <f>IF(A383="","",IFERROR(Exogena_RAW!A392,""))</f>
        <v/>
      </c>
      <c r="D383" s="48">
        <f>IF(A383="","",IFERROR(Exogena_RAW!B392,""))</f>
        <v/>
      </c>
      <c r="E383" s="48">
        <f>IF(A383="","",Exogena_RAW!E392)</f>
        <v/>
      </c>
      <c r="F383" s="461">
        <f>IF(A383="","",Exogena_RAW!F392)</f>
        <v/>
      </c>
      <c r="G383" s="48">
        <f>IF(A383="","",IFERROR(Exogena_RAW!G392,""))</f>
        <v/>
      </c>
      <c r="H383" s="48">
        <f>IF(A383="","",IFERROR(Exogena_RAW!H392,""))</f>
        <v/>
      </c>
      <c r="I383" s="48">
        <f>IF(A383="","",IFERROR(IF(S383&gt;1,"VARIAS CASILLAS",IF(S383=1,IF(T383=1,"PROPUESTA DE CASILLA","REVISIÓN: CASILLA NO DIRECTA"),IF(OR(ISNUMBER(SEARCH("TOPE",UPPER(E383))),ISNUMBER(SEARCH("TOPE",UPPER(G383)))),"SOLO CONTROL",IF(ISNUMBER(SEARCH("RETEN",UPPER(E383))),"RETENCIÓN","REVISAR")))),"REVISAR"))</f>
        <v/>
      </c>
      <c r="J383" s="48">
        <f>IF(A383="","",IF(ISNUMBER(SEARCH("ingreso laboral promedio de los últimos seis meses",E383)),"",IFERROR(IF(AND(S383=1,T383=1),U383,""),"")))</f>
        <v/>
      </c>
      <c r="K383" s="216" t="n"/>
      <c r="L383" s="48">
        <f>IF(A383="","",IFERROR(IF(K383&lt;&gt;"","Casilla elegida por usuario",IF(S383&gt;1,"Varias casillas — elegir en K",IF(J383&lt;&gt;"","Sugerencia directa",IF(S383=1,"No trasladar directo — revisar",IF(OR(ISNUMBER(SEARCH("TOPE",UPPER(E383))),ISNUMBER(SEARCH("TOPE",UPPER(G383)))),"Solo control","Revisar manualmente"))))),"Revisar manualmente"))</f>
        <v/>
      </c>
      <c r="M383" s="461">
        <f>IF(A383="","",IF(IF(K383&lt;&gt;"",K383,J383)="",0,IF(COUNTIFS(Reglas!$I$5:$I$118,IF(K383&lt;&gt;"",K383,J383),Reglas!$J$5:$J$118,"Sí")=1,F383,0)))</f>
        <v/>
      </c>
      <c r="N383" s="56" t="n"/>
      <c r="O383" s="462">
        <f>IF(A383="","",IF(M383=0,"",M383))</f>
        <v/>
      </c>
      <c r="P383" s="461">
        <f>IF(A383="","",IF(O383="",0,IF(ISNUMBER(O383),O383,0)))</f>
        <v/>
      </c>
      <c r="Q383" s="48">
        <f>IF(A383="","",IF(Exogena_RAW!$C$4="","BLOQUEADO: FALTA AÑO",IF(Exogena_RAW!$K$10&lt;&gt;Reglas!$B$5,"BLOQUEADO: AÑO",IF(IF(K383&lt;&gt;"",K383,J383)="",IF(S383&gt;1,"REQUIERE ASIGNACIÓN MANUAL (VARIAS CASILLAS)","INFORMATIVO (sin casilla — no se declara)"),IF(COUNTIFS(Reglas!$I$5:$I$118,IF(K383&lt;&gt;"",K383,J383),Reglas!$J$5:$J$118,"Sí")=0,"BLOQUEADO: CASILLA NO DIRECTA",IF(O383="","EXCLUIDO (valor borrado por el usuario)",IF(_xlfn.ISFORMULA(O383),IF(W383&lt;&gt;"","BORRADOR — VALOR SUGERIDO DIAN ⚠ VER ALERTA","BORRADOR — VALOR SUGERIDO DIAN"),IF(W383&lt;&gt;"","ACEPTADO ⚠ VER ALERTA","ACEPTADO"))))))))</f>
        <v/>
      </c>
      <c r="R383" s="218" t="n"/>
      <c r="S383" s="58">
        <f>IF(A383="","",IFERROR(--ISNUMBER(SEARCH("R28",G383)),0)+IFERROR(--ISNUMBER(SEARCH("R29",G383)),0)+IFERROR(--ISNUMBER(SEARCH("R30",G383)),0)+IFERROR(--ISNUMBER(SEARCH("R31",G383)),0)+IFERROR(--ISNUMBER(SEARCH("R32",G383)),0)+IFERROR(--ISNUMBER(SEARCH("R33",G383)),0)+IFERROR(--ISNUMBER(SEARCH("R34",G383)),0)+IFERROR(--ISNUMBER(SEARCH("R35",G383)),0)+IFERROR(--ISNUMBER(SEARCH("R36",G383)),0)+IFERROR(--ISNUMBER(SEARCH("R37",G383)),0)+IFERROR(--ISNUMBER(SEARCH("R38",G383)),0)+IFERROR(--ISNUMBER(SEARCH("R39",G383)),0)+IFERROR(--ISNUMBER(SEARCH("R40",G383)),0)+IFERROR(--ISNUMBER(SEARCH("R41",G383)),0)+IFERROR(--ISNUMBER(SEARCH("R42",G383)),0)+IFERROR(--ISNUMBER(SEARCH("R43",G383)),0)+IFERROR(--ISNUMBER(SEARCH("R44",G383)),0)+IFERROR(--ISNUMBER(SEARCH("R45",G383)),0)+IFERROR(--ISNUMBER(SEARCH("R46",G383)),0)+IFERROR(--ISNUMBER(SEARCH("R47",G383)),0)+IFERROR(--ISNUMBER(SEARCH("R48",G383)),0)+IFERROR(--ISNUMBER(SEARCH("R49",G383)),0)+IFERROR(--ISNUMBER(SEARCH("R50",G383)),0)+IFERROR(--ISNUMBER(SEARCH("R51",G383)),0)+IFERROR(--ISNUMBER(SEARCH("R52",G383)),0)+IFERROR(--ISNUMBER(SEARCH("R53",G383)),0)+IFERROR(--ISNUMBER(SEARCH("R54",G383)),0)+IFERROR(--ISNUMBER(SEARCH("R55",G383)),0)+IFERROR(--ISNUMBER(SEARCH("R56",G383)),0)+IFERROR(--ISNUMBER(SEARCH("R57",G383)),0)+IFERROR(--ISNUMBER(SEARCH("R58",G383)),0)+IFERROR(--ISNUMBER(SEARCH("R59",G383)),0)+IFERROR(--ISNUMBER(SEARCH("R60",G383)),0)+IFERROR(--ISNUMBER(SEARCH("R61",G383)),0)+IFERROR(--ISNUMBER(SEARCH("R62",G383)),0)+IFERROR(--ISNUMBER(SEARCH("R63",G383)),0)+IFERROR(--ISNUMBER(SEARCH("R64",G383)),0)+IFERROR(--ISNUMBER(SEARCH("R65",G383)),0)+IFERROR(--ISNUMBER(SEARCH("R66",G383)),0)+IFERROR(--ISNUMBER(SEARCH("R67",G383)),0)+IFERROR(--ISNUMBER(SEARCH("R68",G383)),0)+IFERROR(--ISNUMBER(SEARCH("R69",G383)),0)+IFERROR(--ISNUMBER(SEARCH("R70",G383)),0)+IFERROR(--ISNUMBER(SEARCH("R71",G383)),0)+IFERROR(--ISNUMBER(SEARCH("R72",G383)),0)+IFERROR(--ISNUMBER(SEARCH("R73",G383)),0)+IFERROR(--ISNUMBER(SEARCH("R74",G383)),0)+IFERROR(--ISNUMBER(SEARCH("R75",G383)),0)+IFERROR(--ISNUMBER(SEARCH("R76",G383)),0)+IFERROR(--ISNUMBER(SEARCH("R77",G383)),0)+IFERROR(--ISNUMBER(SEARCH("R78",G383)),0)+IFERROR(--ISNUMBER(SEARCH("R79",G383)),0)+IFERROR(--ISNUMBER(SEARCH("R80",G383)),0)+IFERROR(--ISNUMBER(SEARCH("R81",G383)),0)+IFERROR(--ISNUMBER(SEARCH("R82",G383)),0)+IFERROR(--ISNUMBER(SEARCH("R83",G383)),0)+IFERROR(--ISNUMBER(SEARCH("R84",G383)),0)+IFERROR(--ISNUMBER(SEARCH("R85",G383)),0)+IFERROR(--ISNUMBER(SEARCH("R86",G383)),0)+IFERROR(--ISNUMBER(SEARCH("R87",G383)),0)+IFERROR(--ISNUMBER(SEARCH("R88",G383)),0)+IFERROR(--ISNUMBER(SEARCH("R89",G383)),0)+IFERROR(--ISNUMBER(SEARCH("R90",G383)),0)+IFERROR(--ISNUMBER(SEARCH("R91",G383)),0)+IFERROR(--ISNUMBER(SEARCH("R92",G383)),0)+IFERROR(--ISNUMBER(SEARCH("R93",G383)),0)+IFERROR(--ISNUMBER(SEARCH("R94",G383)),0)+IFERROR(--ISNUMBER(SEARCH("R95",G383)),0)+IFERROR(--ISNUMBER(SEARCH("R96",G383)),0)+IFERROR(--ISNUMBER(SEARCH("R97",G383)),0)+IFERROR(--ISNUMBER(SEARCH("R98",G383)),0)+IFERROR(--ISNUMBER(SEARCH("R99",G383)),0)+IFERROR(--ISNUMBER(SEARCH("R100",G383)),0)+IFERROR(--ISNUMBER(SEARCH("R101",G383)),0)+IFERROR(--ISNUMBER(SEARCH("R102",G383)),0)+IFERROR(--ISNUMBER(SEARCH("R103",G383)),0)+IFERROR(--ISNUMBER(SEARCH("R104",G383)),0)+IFERROR(--ISNUMBER(SEARCH("R105",G383)),0)+IFERROR(--ISNUMBER(SEARCH("R106",G383)),0)+IFERROR(--ISNUMBER(SEARCH("R107",G383)),0)+IFERROR(--ISNUMBER(SEARCH("R108",G383)),0)+IFERROR(--ISNUMBER(SEARCH("R109",G383)),0)+IFERROR(--ISNUMBER(SEARCH("R110",G383)),0)+IFERROR(--ISNUMBER(SEARCH("R111",G383)),0)+IFERROR(--ISNUMBER(SEARCH("R112",G383)),0)+IFERROR(--ISNUMBER(SEARCH("R113",G383)),0)+IFERROR(--ISNUMBER(SEARCH("R114",G383)),0)+IFERROR(--ISNUMBER(SEARCH("R115",G383)),0)+IFERROR(--ISNUMBER(SEARCH("R116",G383)),0)+IFERROR(--ISNUMBER(SEARCH("R117",G383)),0)+IFERROR(--ISNUMBER(SEARCH("R118",G383)),0)+IFERROR(--ISNUMBER(SEARCH("R119",G383)),0)+IFERROR(--ISNUMBER(SEARCH("R120",G383)),0)+IFERROR(--ISNUMBER(SEARCH("R121",G383)),0)+IFERROR(--ISNUMBER(SEARCH("R122",G383)),0)+IFERROR(--ISNUMBER(SEARCH("R123",G383)),0)+IFERROR(--ISNUMBER(SEARCH("R124",G383)),0)+IFERROR(--ISNUMBER(SEARCH("R125",G383)),0)+IFERROR(--ISNUMBER(SEARCH("R126",G383)),0)+IFERROR(--ISNUMBER(SEARCH("R127",G383)),0)+IFERROR(--ISNUMBER(SEARCH("R128",G383)),0)+IFERROR(--ISNUMBER(SEARCH("R129",G383)),0)+IFERROR(--ISNUMBER(SEARCH("R130",G383)),0)+IFERROR(--ISNUMBER(SEARCH("R131",G383)),0)+IFERROR(--ISNUMBER(SEARCH("R132",G383)),0)+IFERROR(--ISNUMBER(SEARCH("R133",G383)),0)+IFERROR(--ISNUMBER(SEARCH("R134",G383)),0)+IFERROR(--ISNUMBER(SEARCH("R135",G383)),0)+IFERROR(--ISNUMBER(SEARCH("R136",G383)),0)+IFERROR(--ISNUMBER(SEARCH("R137",G383)),0)+IFERROR(--ISNUMBER(SEARCH("R138",G383)),0)+IFERROR(--ISNUMBER(SEARCH("R139",G383)),0)+IFERROR(--ISNUMBER(SEARCH("R140",G383)),0)+IFERROR(--ISNUMBER(SEARCH("R141",G383)),0))</f>
        <v/>
      </c>
      <c r="T383" s="58">
        <f>IF(A383="","",IFERROR(--ISNUMBER(SEARCH("R28",G383)),0)+IFERROR(--ISNUMBER(SEARCH("R29",G383)),0)+IFERROR(--ISNUMBER(SEARCH("R30",G383)),0)+IFERROR(--ISNUMBER(SEARCH("R32",G383)),0)+IFERROR(--ISNUMBER(SEARCH("R33",G383)),0)+IFERROR(--ISNUMBER(SEARCH("R35",G383)),0)+IFERROR(--ISNUMBER(SEARCH("R36",G383)),0)+IFERROR(--ISNUMBER(SEARCH("R38",G383)),0)+IFERROR(--ISNUMBER(SEARCH("R39",G383)),0)+IFERROR(--ISNUMBER(SEARCH("R43",G383)),0)+IFERROR(--ISNUMBER(SEARCH("R44",G383)),0)+IFERROR(--ISNUMBER(SEARCH("R45",G383)),0)+IFERROR(--ISNUMBER(SEARCH("R47",G383)),0)+IFERROR(--ISNUMBER(SEARCH("R48",G383)),0)+IFERROR(--ISNUMBER(SEARCH("R50",G383)),0)+IFERROR(--ISNUMBER(SEARCH("R51",G383)),0)+IFERROR(--ISNUMBER(SEARCH("R56",G383)),0)+IFERROR(--ISNUMBER(SEARCH("R58",G383)),0)+IFERROR(--ISNUMBER(SEARCH("R59",G383)),0)+IFERROR(--ISNUMBER(SEARCH("R60",G383)),0)+IFERROR(--ISNUMBER(SEARCH("R62",G383)),0)+IFERROR(--ISNUMBER(SEARCH("R63",G383)),0)+IFERROR(--ISNUMBER(SEARCH("R64",G383)),0)+IFERROR(--ISNUMBER(SEARCH("R66",G383)),0)+IFERROR(--ISNUMBER(SEARCH("R67",G383)),0)+IFERROR(--ISNUMBER(SEARCH("R72",G383)),0)+IFERROR(--ISNUMBER(SEARCH("R74",G383)),0)+IFERROR(--ISNUMBER(SEARCH("R75",G383)),0)+IFERROR(--ISNUMBER(SEARCH("R76",G383)),0)+IFERROR(--ISNUMBER(SEARCH("R77",G383)),0)+IFERROR(--ISNUMBER(SEARCH("R79",G383)),0)+IFERROR(--ISNUMBER(SEARCH("R80",G383)),0)+IFERROR(--ISNUMBER(SEARCH("R81",G383)),0)+IFERROR(--ISNUMBER(SEARCH("R83",G383)),0)+IFERROR(--ISNUMBER(SEARCH("R84",G383)),0)+IFERROR(--ISNUMBER(SEARCH("R89",G383)),0)+IFERROR(--ISNUMBER(SEARCH("R94",G383)),0)+IFERROR(--ISNUMBER(SEARCH("R95",G383)),0)+IFERROR(--ISNUMBER(SEARCH("R96",G383)),0)+IFERROR(--ISNUMBER(SEARCH("R98",G383)),0)+IFERROR(--ISNUMBER(SEARCH("R99",G383)),0)+IFERROR(--ISNUMBER(SEARCH("R100",G383)),0)+IFERROR(--ISNUMBER(SEARCH("R104",G383)),0)+IFERROR(--ISNUMBER(SEARCH("R105",G383)),0)+IFERROR(--ISNUMBER(SEARCH("R107",G383)),0)+IFERROR(--ISNUMBER(SEARCH("R108",G383)),0)+IFERROR(--ISNUMBER(SEARCH("R109",G383)),0)+IFERROR(--ISNUMBER(SEARCH("R110",G383)),0)+IFERROR(--ISNUMBER(SEARCH("R112",G383)),0)+IFERROR(--ISNUMBER(SEARCH("R113",G383)),0)+IFERROR(--ISNUMBER(SEARCH("R114",G383)),0)+IFERROR(--ISNUMBER(SEARCH("R118",G383)),0)+IFERROR(--ISNUMBER(SEARCH("R119",G383)),0)+IFERROR(--ISNUMBER(SEARCH("R120",G383)),0)+IFERROR(--ISNUMBER(SEARCH("R122",G383)),0)+IFERROR(--ISNUMBER(SEARCH("R123",G383)),0)+IFERROR(--ISNUMBER(SEARCH("R124",G383)),0)+IFERROR(--ISNUMBER(SEARCH("R128",G383)),0)+IFERROR(--ISNUMBER(SEARCH("R130",G383)),0)+IFERROR(--ISNUMBER(SEARCH("R131",G383)),0)+IFERROR(--ISNUMBER(SEARCH("R132",G383)),0)+IFERROR(--ISNUMBER(SEARCH("R135",G383)),0)+IFERROR(--ISNUMBER(SEARCH("R138",G383)),0)+IFERROR(--ISNUMBER(SEARCH("R141",G383)),0))</f>
        <v/>
      </c>
      <c r="U383" s="58">
        <f>IF(A383="","",IFERROR(--ISNUMBER(SEARCH("R28",G383))*28,0)+IFERROR(--ISNUMBER(SEARCH("R29",G383))*29,0)+IFERROR(--ISNUMBER(SEARCH("R30",G383))*30,0)+IFERROR(--ISNUMBER(SEARCH("R31",G383))*31,0)+IFERROR(--ISNUMBER(SEARCH("R32",G383))*32,0)+IFERROR(--ISNUMBER(SEARCH("R33",G383))*33,0)+IFERROR(--ISNUMBER(SEARCH("R34",G383))*34,0)+IFERROR(--ISNUMBER(SEARCH("R35",G383))*35,0)+IFERROR(--ISNUMBER(SEARCH("R36",G383))*36,0)+IFERROR(--ISNUMBER(SEARCH("R37",G383))*37,0)+IFERROR(--ISNUMBER(SEARCH("R38",G383))*38,0)+IFERROR(--ISNUMBER(SEARCH("R39",G383))*39,0)+IFERROR(--ISNUMBER(SEARCH("R40",G383))*40,0)+IFERROR(--ISNUMBER(SEARCH("R41",G383))*41,0)+IFERROR(--ISNUMBER(SEARCH("R42",G383))*42,0)+IFERROR(--ISNUMBER(SEARCH("R43",G383))*43,0)+IFERROR(--ISNUMBER(SEARCH("R44",G383))*44,0)+IFERROR(--ISNUMBER(SEARCH("R45",G383))*45,0)+IFERROR(--ISNUMBER(SEARCH("R46",G383))*46,0)+IFERROR(--ISNUMBER(SEARCH("R47",G383))*47,0)+IFERROR(--ISNUMBER(SEARCH("R48",G383))*48,0)+IFERROR(--ISNUMBER(SEARCH("R49",G383))*49,0)+IFERROR(--ISNUMBER(SEARCH("R50",G383))*50,0)+IFERROR(--ISNUMBER(SEARCH("R51",G383))*51,0)+IFERROR(--ISNUMBER(SEARCH("R52",G383))*52,0)+IFERROR(--ISNUMBER(SEARCH("R53",G383))*53,0)+IFERROR(--ISNUMBER(SEARCH("R54",G383))*54,0)+IFERROR(--ISNUMBER(SEARCH("R55",G383))*55,0)+IFERROR(--ISNUMBER(SEARCH("R56",G383))*56,0)+IFERROR(--ISNUMBER(SEARCH("R57",G383))*57,0)+IFERROR(--ISNUMBER(SEARCH("R58",G383))*58,0)+IFERROR(--ISNUMBER(SEARCH("R59",G383))*59,0)+IFERROR(--ISNUMBER(SEARCH("R60",G383))*60,0)+IFERROR(--ISNUMBER(SEARCH("R61",G383))*61,0)+IFERROR(--ISNUMBER(SEARCH("R62",G383))*62,0)+IFERROR(--ISNUMBER(SEARCH("R63",G383))*63,0)+IFERROR(--ISNUMBER(SEARCH("R64",G383))*64,0)+IFERROR(--ISNUMBER(SEARCH("R65",G383))*65,0)+IFERROR(--ISNUMBER(SEARCH("R66",G383))*66,0)+IFERROR(--ISNUMBER(SEARCH("R67",G383))*67,0)+IFERROR(--ISNUMBER(SEARCH("R68",G383))*68,0)+IFERROR(--ISNUMBER(SEARCH("R69",G383))*69,0)+IFERROR(--ISNUMBER(SEARCH("R70",G383))*70,0)+IFERROR(--ISNUMBER(SEARCH("R71",G383))*71,0)+IFERROR(--ISNUMBER(SEARCH("R72",G383))*72,0)+IFERROR(--ISNUMBER(SEARCH("R73",G383))*73,0)+IFERROR(--ISNUMBER(SEARCH("R74",G383))*74,0)+IFERROR(--ISNUMBER(SEARCH("R75",G383))*75,0)+IFERROR(--ISNUMBER(SEARCH("R76",G383))*76,0)+IFERROR(--ISNUMBER(SEARCH("R77",G383))*77,0)+IFERROR(--ISNUMBER(SEARCH("R78",G383))*78,0)+IFERROR(--ISNUMBER(SEARCH("R79",G383))*79,0)+IFERROR(--ISNUMBER(SEARCH("R80",G383))*80,0)+IFERROR(--ISNUMBER(SEARCH("R81",G383))*81,0)+IFERROR(--ISNUMBER(SEARCH("R82",G383))*82,0)+IFERROR(--ISNUMBER(SEARCH("R83",G383))*83,0)+IFERROR(--ISNUMBER(SEARCH("R84",G383))*84,0)+IFERROR(--ISNUMBER(SEARCH("R85",G383))*85,0)+IFERROR(--ISNUMBER(SEARCH("R86",G383))*86,0)+IFERROR(--ISNUMBER(SEARCH("R87",G383))*87,0)+IFERROR(--ISNUMBER(SEARCH("R88",G383))*88,0)+IFERROR(--ISNUMBER(SEARCH("R89",G383))*89,0)+IFERROR(--ISNUMBER(SEARCH("R90",G383))*90,0)+IFERROR(--ISNUMBER(SEARCH("R91",G383))*91,0)+IFERROR(--ISNUMBER(SEARCH("R92",G383))*92,0)+IFERROR(--ISNUMBER(SEARCH("R93",G383))*93,0)+IFERROR(--ISNUMBER(SEARCH("R94",G383))*94,0)+IFERROR(--ISNUMBER(SEARCH("R95",G383))*95,0)+IFERROR(--ISNUMBER(SEARCH("R96",G383))*96,0)+IFERROR(--ISNUMBER(SEARCH("R97",G383))*97,0)+IFERROR(--ISNUMBER(SEARCH("R98",G383))*98,0)+IFERROR(--ISNUMBER(SEARCH("R99",G383))*99,0)+IFERROR(--ISNUMBER(SEARCH("R100",G383))*100,0)+IFERROR(--ISNUMBER(SEARCH("R101",G383))*101,0)+IFERROR(--ISNUMBER(SEARCH("R102",G383))*102,0)+IFERROR(--ISNUMBER(SEARCH("R103",G383))*103,0)+IFERROR(--ISNUMBER(SEARCH("R104",G383))*104,0)+IFERROR(--ISNUMBER(SEARCH("R105",G383))*105,0)+IFERROR(--ISNUMBER(SEARCH("R106",G383))*106,0)+IFERROR(--ISNUMBER(SEARCH("R107",G383))*107,0)+IFERROR(--ISNUMBER(SEARCH("R108",G383))*108,0)+IFERROR(--ISNUMBER(SEARCH("R109",G383))*109,0)+IFERROR(--ISNUMBER(SEARCH("R110",G383))*110,0)+IFERROR(--ISNUMBER(SEARCH("R111",G383))*111,0)+IFERROR(--ISNUMBER(SEARCH("R112",G383))*112,0)+IFERROR(--ISNUMBER(SEARCH("R113",G383))*113,0)+IFERROR(--ISNUMBER(SEARCH("R114",G383))*114,0)+IFERROR(--ISNUMBER(SEARCH("R115",G383))*115,0)+IFERROR(--ISNUMBER(SEARCH("R116",G383))*116,0)+IFERROR(--ISNUMBER(SEARCH("R117",G383))*117,0)+IFERROR(--ISNUMBER(SEARCH("R118",G383))*118,0)+IFERROR(--ISNUMBER(SEARCH("R119",G383))*119,0)+IFERROR(--ISNUMBER(SEARCH("R120",G383))*120,0)+IFERROR(--ISNUMBER(SEARCH("R121",G383))*121,0)+IFERROR(--ISNUMBER(SEARCH("R122",G383))*122,0)+IFERROR(--ISNUMBER(SEARCH("R123",G383))*123,0)+IFERROR(--ISNUMBER(SEARCH("R124",G383))*124,0)+IFERROR(--ISNUMBER(SEARCH("R125",G383))*125,0)+IFERROR(--ISNUMBER(SEARCH("R126",G383))*126,0)+IFERROR(--ISNUMBER(SEARCH("R127",G383))*127,0)+IFERROR(--ISNUMBER(SEARCH("R128",G383))*128,0)+IFERROR(--ISNUMBER(SEARCH("R129",G383))*129,0)+IFERROR(--ISNUMBER(SEARCH("R130",G383))*130,0)+IFERROR(--ISNUMBER(SEARCH("R131",G383))*131,0)+IFERROR(--ISNUMBER(SEARCH("R132",G383))*132,0)+IFERROR(--ISNUMBER(SEARCH("R133",G383))*133,0)+IFERROR(--ISNUMBER(SEARCH("R134",G383))*134,0)+IFERROR(--ISNUMBER(SEARCH("R135",G383))*135,0)+IFERROR(--ISNUMBER(SEARCH("R136",G383))*136,0)+IFERROR(--ISNUMBER(SEARCH("R137",G383))*137,0)+IFERROR(--ISNUMBER(SEARCH("R138",G383))*138,0)+IFERROR(--ISNUMBER(SEARCH("R139",G383))*139,0)+IFERROR(--ISNUMBER(SEARCH("R140",G383))*140,0)+IFERROR(--ISNUMBER(SEARCH("R141",G383))*141,0))</f>
        <v/>
      </c>
      <c r="V383" s="59">
        <f>IF(A383="","",IF(K383&lt;&gt;"",K383,J383))</f>
        <v/>
      </c>
      <c r="W383" s="59">
        <f>IF(A383="","",IF(AND(V383=29,O383&lt;&gt;"",COUNTIFS($V$6:$V$505,29,$F$6:$F$505,F383,$C$6:$C$505,C383,$O$6:$O$505,"&lt;&gt;")&gt;1),IF(COUNTIFS($V$6:V383,29,$F$6:F383,F383,$C$6:C383,C383,$O$6:O383,"&lt;&gt;")=1,"Esta es la fila que se debe CONSERVAR (aparición 1 de "&amp;COUNTIFS($V$6:$V$505,29,$F$6:$F$505,F383,$C$6:$C$505,C383,$O$6:$O$505,"&lt;&gt;")&amp;" con el mismo tercero y valor, casilla 29). Si hay más filas iguales, bórreles el valor a ELLAS, no a esta.","DUPLICADO — ya existe otra fila con el mismo tercero y valor para casilla 29 (aparición "&amp;COUNTIFS($V$6:V383,29,$F$6:F383,F383,$C$6:C383,C383,$O$6:O383,"&lt;&gt;")&amp;" de "&amp;COUNTIFS($V$6:$V$505,29,$F$6:$F$505,F383,$C$6:$C$505,C383,$O$6:$O$505,"&lt;&gt;")&amp;"). Para resolverlo: seleccione la celda O"&amp;ROW()&amp;" (columna Valor a declarar de ESTA fila) y presione Supr."),""))</f>
        <v/>
      </c>
      <c r="X383" s="463">
        <f>IF(A383="","",F383)</f>
        <v/>
      </c>
      <c r="Y383" s="463">
        <f>IF(A383="","",SUMIF(Entrada_Manual!$I$88:$I$187,A383,Entrada_Manual!$F$88:$F$187))</f>
        <v/>
      </c>
      <c r="Z383" s="463">
        <f>IF(A383="","",X383-Y383)</f>
        <v/>
      </c>
      <c r="AA383">
        <f>IF(A383="","",SUMPRODUCT((Entrada_Manual!$I$88:$I$187=A383)*1))</f>
        <v/>
      </c>
      <c r="AB383">
        <f>IF(A383="","",IF(S383&lt;=1,"",IF(AA383=0,"PENDIENTE — SIN ASIGNAR",IF(Z383=0,"RESUELTO","PARCIAL — DIFERENCIA "&amp;TEXT(Z383,"#,##0")))))</f>
        <v/>
      </c>
    </row>
    <row r="384" ht="14.25" customHeight="1" s="235">
      <c r="A384" s="47">
        <f>IF(Exogena_RAW!E393&lt;&gt;"",ROW()-5,"")</f>
        <v/>
      </c>
      <c r="B384" s="48">
        <f>IF(A384="","",393)</f>
        <v/>
      </c>
      <c r="C384" s="48">
        <f>IF(A384="","",IFERROR(Exogena_RAW!A393,""))</f>
        <v/>
      </c>
      <c r="D384" s="48">
        <f>IF(A384="","",IFERROR(Exogena_RAW!B393,""))</f>
        <v/>
      </c>
      <c r="E384" s="48">
        <f>IF(A384="","",Exogena_RAW!E393)</f>
        <v/>
      </c>
      <c r="F384" s="461">
        <f>IF(A384="","",Exogena_RAW!F393)</f>
        <v/>
      </c>
      <c r="G384" s="48">
        <f>IF(A384="","",IFERROR(Exogena_RAW!G393,""))</f>
        <v/>
      </c>
      <c r="H384" s="48">
        <f>IF(A384="","",IFERROR(Exogena_RAW!H393,""))</f>
        <v/>
      </c>
      <c r="I384" s="48">
        <f>IF(A384="","",IFERROR(IF(S384&gt;1,"VARIAS CASILLAS",IF(S384=1,IF(T384=1,"PROPUESTA DE CASILLA","REVISIÓN: CASILLA NO DIRECTA"),IF(OR(ISNUMBER(SEARCH("TOPE",UPPER(E384))),ISNUMBER(SEARCH("TOPE",UPPER(G384)))),"SOLO CONTROL",IF(ISNUMBER(SEARCH("RETEN",UPPER(E384))),"RETENCIÓN","REVISAR")))),"REVISAR"))</f>
        <v/>
      </c>
      <c r="J384" s="48">
        <f>IF(A384="","",IF(ISNUMBER(SEARCH("ingreso laboral promedio de los últimos seis meses",E384)),"",IFERROR(IF(AND(S384=1,T384=1),U384,""),"")))</f>
        <v/>
      </c>
      <c r="K384" s="216" t="n"/>
      <c r="L384" s="48">
        <f>IF(A384="","",IFERROR(IF(K384&lt;&gt;"","Casilla elegida por usuario",IF(S384&gt;1,"Varias casillas — elegir en K",IF(J384&lt;&gt;"","Sugerencia directa",IF(S384=1,"No trasladar directo — revisar",IF(OR(ISNUMBER(SEARCH("TOPE",UPPER(E384))),ISNUMBER(SEARCH("TOPE",UPPER(G384)))),"Solo control","Revisar manualmente"))))),"Revisar manualmente"))</f>
        <v/>
      </c>
      <c r="M384" s="461">
        <f>IF(A384="","",IF(IF(K384&lt;&gt;"",K384,J384)="",0,IF(COUNTIFS(Reglas!$I$5:$I$118,IF(K384&lt;&gt;"",K384,J384),Reglas!$J$5:$J$118,"Sí")=1,F384,0)))</f>
        <v/>
      </c>
      <c r="N384" s="56" t="n"/>
      <c r="O384" s="462">
        <f>IF(A384="","",IF(M384=0,"",M384))</f>
        <v/>
      </c>
      <c r="P384" s="461">
        <f>IF(A384="","",IF(O384="",0,IF(ISNUMBER(O384),O384,0)))</f>
        <v/>
      </c>
      <c r="Q384" s="48">
        <f>IF(A384="","",IF(Exogena_RAW!$C$4="","BLOQUEADO: FALTA AÑO",IF(Exogena_RAW!$K$10&lt;&gt;Reglas!$B$5,"BLOQUEADO: AÑO",IF(IF(K384&lt;&gt;"",K384,J384)="",IF(S384&gt;1,"REQUIERE ASIGNACIÓN MANUAL (VARIAS CASILLAS)","INFORMATIVO (sin casilla — no se declara)"),IF(COUNTIFS(Reglas!$I$5:$I$118,IF(K384&lt;&gt;"",K384,J384),Reglas!$J$5:$J$118,"Sí")=0,"BLOQUEADO: CASILLA NO DIRECTA",IF(O384="","EXCLUIDO (valor borrado por el usuario)",IF(_xlfn.ISFORMULA(O384),IF(W384&lt;&gt;"","BORRADOR — VALOR SUGERIDO DIAN ⚠ VER ALERTA","BORRADOR — VALOR SUGERIDO DIAN"),IF(W384&lt;&gt;"","ACEPTADO ⚠ VER ALERTA","ACEPTADO"))))))))</f>
        <v/>
      </c>
      <c r="R384" s="218" t="n"/>
      <c r="S384" s="58">
        <f>IF(A384="","",IFERROR(--ISNUMBER(SEARCH("R28",G384)),0)+IFERROR(--ISNUMBER(SEARCH("R29",G384)),0)+IFERROR(--ISNUMBER(SEARCH("R30",G384)),0)+IFERROR(--ISNUMBER(SEARCH("R31",G384)),0)+IFERROR(--ISNUMBER(SEARCH("R32",G384)),0)+IFERROR(--ISNUMBER(SEARCH("R33",G384)),0)+IFERROR(--ISNUMBER(SEARCH("R34",G384)),0)+IFERROR(--ISNUMBER(SEARCH("R35",G384)),0)+IFERROR(--ISNUMBER(SEARCH("R36",G384)),0)+IFERROR(--ISNUMBER(SEARCH("R37",G384)),0)+IFERROR(--ISNUMBER(SEARCH("R38",G384)),0)+IFERROR(--ISNUMBER(SEARCH("R39",G384)),0)+IFERROR(--ISNUMBER(SEARCH("R40",G384)),0)+IFERROR(--ISNUMBER(SEARCH("R41",G384)),0)+IFERROR(--ISNUMBER(SEARCH("R42",G384)),0)+IFERROR(--ISNUMBER(SEARCH("R43",G384)),0)+IFERROR(--ISNUMBER(SEARCH("R44",G384)),0)+IFERROR(--ISNUMBER(SEARCH("R45",G384)),0)+IFERROR(--ISNUMBER(SEARCH("R46",G384)),0)+IFERROR(--ISNUMBER(SEARCH("R47",G384)),0)+IFERROR(--ISNUMBER(SEARCH("R48",G384)),0)+IFERROR(--ISNUMBER(SEARCH("R49",G384)),0)+IFERROR(--ISNUMBER(SEARCH("R50",G384)),0)+IFERROR(--ISNUMBER(SEARCH("R51",G384)),0)+IFERROR(--ISNUMBER(SEARCH("R52",G384)),0)+IFERROR(--ISNUMBER(SEARCH("R53",G384)),0)+IFERROR(--ISNUMBER(SEARCH("R54",G384)),0)+IFERROR(--ISNUMBER(SEARCH("R55",G384)),0)+IFERROR(--ISNUMBER(SEARCH("R56",G384)),0)+IFERROR(--ISNUMBER(SEARCH("R57",G384)),0)+IFERROR(--ISNUMBER(SEARCH("R58",G384)),0)+IFERROR(--ISNUMBER(SEARCH("R59",G384)),0)+IFERROR(--ISNUMBER(SEARCH("R60",G384)),0)+IFERROR(--ISNUMBER(SEARCH("R61",G384)),0)+IFERROR(--ISNUMBER(SEARCH("R62",G384)),0)+IFERROR(--ISNUMBER(SEARCH("R63",G384)),0)+IFERROR(--ISNUMBER(SEARCH("R64",G384)),0)+IFERROR(--ISNUMBER(SEARCH("R65",G384)),0)+IFERROR(--ISNUMBER(SEARCH("R66",G384)),0)+IFERROR(--ISNUMBER(SEARCH("R67",G384)),0)+IFERROR(--ISNUMBER(SEARCH("R68",G384)),0)+IFERROR(--ISNUMBER(SEARCH("R69",G384)),0)+IFERROR(--ISNUMBER(SEARCH("R70",G384)),0)+IFERROR(--ISNUMBER(SEARCH("R71",G384)),0)+IFERROR(--ISNUMBER(SEARCH("R72",G384)),0)+IFERROR(--ISNUMBER(SEARCH("R73",G384)),0)+IFERROR(--ISNUMBER(SEARCH("R74",G384)),0)+IFERROR(--ISNUMBER(SEARCH("R75",G384)),0)+IFERROR(--ISNUMBER(SEARCH("R76",G384)),0)+IFERROR(--ISNUMBER(SEARCH("R77",G384)),0)+IFERROR(--ISNUMBER(SEARCH("R78",G384)),0)+IFERROR(--ISNUMBER(SEARCH("R79",G384)),0)+IFERROR(--ISNUMBER(SEARCH("R80",G384)),0)+IFERROR(--ISNUMBER(SEARCH("R81",G384)),0)+IFERROR(--ISNUMBER(SEARCH("R82",G384)),0)+IFERROR(--ISNUMBER(SEARCH("R83",G384)),0)+IFERROR(--ISNUMBER(SEARCH("R84",G384)),0)+IFERROR(--ISNUMBER(SEARCH("R85",G384)),0)+IFERROR(--ISNUMBER(SEARCH("R86",G384)),0)+IFERROR(--ISNUMBER(SEARCH("R87",G384)),0)+IFERROR(--ISNUMBER(SEARCH("R88",G384)),0)+IFERROR(--ISNUMBER(SEARCH("R89",G384)),0)+IFERROR(--ISNUMBER(SEARCH("R90",G384)),0)+IFERROR(--ISNUMBER(SEARCH("R91",G384)),0)+IFERROR(--ISNUMBER(SEARCH("R92",G384)),0)+IFERROR(--ISNUMBER(SEARCH("R93",G384)),0)+IFERROR(--ISNUMBER(SEARCH("R94",G384)),0)+IFERROR(--ISNUMBER(SEARCH("R95",G384)),0)+IFERROR(--ISNUMBER(SEARCH("R96",G384)),0)+IFERROR(--ISNUMBER(SEARCH("R97",G384)),0)+IFERROR(--ISNUMBER(SEARCH("R98",G384)),0)+IFERROR(--ISNUMBER(SEARCH("R99",G384)),0)+IFERROR(--ISNUMBER(SEARCH("R100",G384)),0)+IFERROR(--ISNUMBER(SEARCH("R101",G384)),0)+IFERROR(--ISNUMBER(SEARCH("R102",G384)),0)+IFERROR(--ISNUMBER(SEARCH("R103",G384)),0)+IFERROR(--ISNUMBER(SEARCH("R104",G384)),0)+IFERROR(--ISNUMBER(SEARCH("R105",G384)),0)+IFERROR(--ISNUMBER(SEARCH("R106",G384)),0)+IFERROR(--ISNUMBER(SEARCH("R107",G384)),0)+IFERROR(--ISNUMBER(SEARCH("R108",G384)),0)+IFERROR(--ISNUMBER(SEARCH("R109",G384)),0)+IFERROR(--ISNUMBER(SEARCH("R110",G384)),0)+IFERROR(--ISNUMBER(SEARCH("R111",G384)),0)+IFERROR(--ISNUMBER(SEARCH("R112",G384)),0)+IFERROR(--ISNUMBER(SEARCH("R113",G384)),0)+IFERROR(--ISNUMBER(SEARCH("R114",G384)),0)+IFERROR(--ISNUMBER(SEARCH("R115",G384)),0)+IFERROR(--ISNUMBER(SEARCH("R116",G384)),0)+IFERROR(--ISNUMBER(SEARCH("R117",G384)),0)+IFERROR(--ISNUMBER(SEARCH("R118",G384)),0)+IFERROR(--ISNUMBER(SEARCH("R119",G384)),0)+IFERROR(--ISNUMBER(SEARCH("R120",G384)),0)+IFERROR(--ISNUMBER(SEARCH("R121",G384)),0)+IFERROR(--ISNUMBER(SEARCH("R122",G384)),0)+IFERROR(--ISNUMBER(SEARCH("R123",G384)),0)+IFERROR(--ISNUMBER(SEARCH("R124",G384)),0)+IFERROR(--ISNUMBER(SEARCH("R125",G384)),0)+IFERROR(--ISNUMBER(SEARCH("R126",G384)),0)+IFERROR(--ISNUMBER(SEARCH("R127",G384)),0)+IFERROR(--ISNUMBER(SEARCH("R128",G384)),0)+IFERROR(--ISNUMBER(SEARCH("R129",G384)),0)+IFERROR(--ISNUMBER(SEARCH("R130",G384)),0)+IFERROR(--ISNUMBER(SEARCH("R131",G384)),0)+IFERROR(--ISNUMBER(SEARCH("R132",G384)),0)+IFERROR(--ISNUMBER(SEARCH("R133",G384)),0)+IFERROR(--ISNUMBER(SEARCH("R134",G384)),0)+IFERROR(--ISNUMBER(SEARCH("R135",G384)),0)+IFERROR(--ISNUMBER(SEARCH("R136",G384)),0)+IFERROR(--ISNUMBER(SEARCH("R137",G384)),0)+IFERROR(--ISNUMBER(SEARCH("R138",G384)),0)+IFERROR(--ISNUMBER(SEARCH("R139",G384)),0)+IFERROR(--ISNUMBER(SEARCH("R140",G384)),0)+IFERROR(--ISNUMBER(SEARCH("R141",G384)),0))</f>
        <v/>
      </c>
      <c r="T384" s="58">
        <f>IF(A384="","",IFERROR(--ISNUMBER(SEARCH("R28",G384)),0)+IFERROR(--ISNUMBER(SEARCH("R29",G384)),0)+IFERROR(--ISNUMBER(SEARCH("R30",G384)),0)+IFERROR(--ISNUMBER(SEARCH("R32",G384)),0)+IFERROR(--ISNUMBER(SEARCH("R33",G384)),0)+IFERROR(--ISNUMBER(SEARCH("R35",G384)),0)+IFERROR(--ISNUMBER(SEARCH("R36",G384)),0)+IFERROR(--ISNUMBER(SEARCH("R38",G384)),0)+IFERROR(--ISNUMBER(SEARCH("R39",G384)),0)+IFERROR(--ISNUMBER(SEARCH("R43",G384)),0)+IFERROR(--ISNUMBER(SEARCH("R44",G384)),0)+IFERROR(--ISNUMBER(SEARCH("R45",G384)),0)+IFERROR(--ISNUMBER(SEARCH("R47",G384)),0)+IFERROR(--ISNUMBER(SEARCH("R48",G384)),0)+IFERROR(--ISNUMBER(SEARCH("R50",G384)),0)+IFERROR(--ISNUMBER(SEARCH("R51",G384)),0)+IFERROR(--ISNUMBER(SEARCH("R56",G384)),0)+IFERROR(--ISNUMBER(SEARCH("R58",G384)),0)+IFERROR(--ISNUMBER(SEARCH("R59",G384)),0)+IFERROR(--ISNUMBER(SEARCH("R60",G384)),0)+IFERROR(--ISNUMBER(SEARCH("R62",G384)),0)+IFERROR(--ISNUMBER(SEARCH("R63",G384)),0)+IFERROR(--ISNUMBER(SEARCH("R64",G384)),0)+IFERROR(--ISNUMBER(SEARCH("R66",G384)),0)+IFERROR(--ISNUMBER(SEARCH("R67",G384)),0)+IFERROR(--ISNUMBER(SEARCH("R72",G384)),0)+IFERROR(--ISNUMBER(SEARCH("R74",G384)),0)+IFERROR(--ISNUMBER(SEARCH("R75",G384)),0)+IFERROR(--ISNUMBER(SEARCH("R76",G384)),0)+IFERROR(--ISNUMBER(SEARCH("R77",G384)),0)+IFERROR(--ISNUMBER(SEARCH("R79",G384)),0)+IFERROR(--ISNUMBER(SEARCH("R80",G384)),0)+IFERROR(--ISNUMBER(SEARCH("R81",G384)),0)+IFERROR(--ISNUMBER(SEARCH("R83",G384)),0)+IFERROR(--ISNUMBER(SEARCH("R84",G384)),0)+IFERROR(--ISNUMBER(SEARCH("R89",G384)),0)+IFERROR(--ISNUMBER(SEARCH("R94",G384)),0)+IFERROR(--ISNUMBER(SEARCH("R95",G384)),0)+IFERROR(--ISNUMBER(SEARCH("R96",G384)),0)+IFERROR(--ISNUMBER(SEARCH("R98",G384)),0)+IFERROR(--ISNUMBER(SEARCH("R99",G384)),0)+IFERROR(--ISNUMBER(SEARCH("R100",G384)),0)+IFERROR(--ISNUMBER(SEARCH("R104",G384)),0)+IFERROR(--ISNUMBER(SEARCH("R105",G384)),0)+IFERROR(--ISNUMBER(SEARCH("R107",G384)),0)+IFERROR(--ISNUMBER(SEARCH("R108",G384)),0)+IFERROR(--ISNUMBER(SEARCH("R109",G384)),0)+IFERROR(--ISNUMBER(SEARCH("R110",G384)),0)+IFERROR(--ISNUMBER(SEARCH("R112",G384)),0)+IFERROR(--ISNUMBER(SEARCH("R113",G384)),0)+IFERROR(--ISNUMBER(SEARCH("R114",G384)),0)+IFERROR(--ISNUMBER(SEARCH("R118",G384)),0)+IFERROR(--ISNUMBER(SEARCH("R119",G384)),0)+IFERROR(--ISNUMBER(SEARCH("R120",G384)),0)+IFERROR(--ISNUMBER(SEARCH("R122",G384)),0)+IFERROR(--ISNUMBER(SEARCH("R123",G384)),0)+IFERROR(--ISNUMBER(SEARCH("R124",G384)),0)+IFERROR(--ISNUMBER(SEARCH("R128",G384)),0)+IFERROR(--ISNUMBER(SEARCH("R130",G384)),0)+IFERROR(--ISNUMBER(SEARCH("R131",G384)),0)+IFERROR(--ISNUMBER(SEARCH("R132",G384)),0)+IFERROR(--ISNUMBER(SEARCH("R135",G384)),0)+IFERROR(--ISNUMBER(SEARCH("R138",G384)),0)+IFERROR(--ISNUMBER(SEARCH("R141",G384)),0))</f>
        <v/>
      </c>
      <c r="U384" s="58">
        <f>IF(A384="","",IFERROR(--ISNUMBER(SEARCH("R28",G384))*28,0)+IFERROR(--ISNUMBER(SEARCH("R29",G384))*29,0)+IFERROR(--ISNUMBER(SEARCH("R30",G384))*30,0)+IFERROR(--ISNUMBER(SEARCH("R31",G384))*31,0)+IFERROR(--ISNUMBER(SEARCH("R32",G384))*32,0)+IFERROR(--ISNUMBER(SEARCH("R33",G384))*33,0)+IFERROR(--ISNUMBER(SEARCH("R34",G384))*34,0)+IFERROR(--ISNUMBER(SEARCH("R35",G384))*35,0)+IFERROR(--ISNUMBER(SEARCH("R36",G384))*36,0)+IFERROR(--ISNUMBER(SEARCH("R37",G384))*37,0)+IFERROR(--ISNUMBER(SEARCH("R38",G384))*38,0)+IFERROR(--ISNUMBER(SEARCH("R39",G384))*39,0)+IFERROR(--ISNUMBER(SEARCH("R40",G384))*40,0)+IFERROR(--ISNUMBER(SEARCH("R41",G384))*41,0)+IFERROR(--ISNUMBER(SEARCH("R42",G384))*42,0)+IFERROR(--ISNUMBER(SEARCH("R43",G384))*43,0)+IFERROR(--ISNUMBER(SEARCH("R44",G384))*44,0)+IFERROR(--ISNUMBER(SEARCH("R45",G384))*45,0)+IFERROR(--ISNUMBER(SEARCH("R46",G384))*46,0)+IFERROR(--ISNUMBER(SEARCH("R47",G384))*47,0)+IFERROR(--ISNUMBER(SEARCH("R48",G384))*48,0)+IFERROR(--ISNUMBER(SEARCH("R49",G384))*49,0)+IFERROR(--ISNUMBER(SEARCH("R50",G384))*50,0)+IFERROR(--ISNUMBER(SEARCH("R51",G384))*51,0)+IFERROR(--ISNUMBER(SEARCH("R52",G384))*52,0)+IFERROR(--ISNUMBER(SEARCH("R53",G384))*53,0)+IFERROR(--ISNUMBER(SEARCH("R54",G384))*54,0)+IFERROR(--ISNUMBER(SEARCH("R55",G384))*55,0)+IFERROR(--ISNUMBER(SEARCH("R56",G384))*56,0)+IFERROR(--ISNUMBER(SEARCH("R57",G384))*57,0)+IFERROR(--ISNUMBER(SEARCH("R58",G384))*58,0)+IFERROR(--ISNUMBER(SEARCH("R59",G384))*59,0)+IFERROR(--ISNUMBER(SEARCH("R60",G384))*60,0)+IFERROR(--ISNUMBER(SEARCH("R61",G384))*61,0)+IFERROR(--ISNUMBER(SEARCH("R62",G384))*62,0)+IFERROR(--ISNUMBER(SEARCH("R63",G384))*63,0)+IFERROR(--ISNUMBER(SEARCH("R64",G384))*64,0)+IFERROR(--ISNUMBER(SEARCH("R65",G384))*65,0)+IFERROR(--ISNUMBER(SEARCH("R66",G384))*66,0)+IFERROR(--ISNUMBER(SEARCH("R67",G384))*67,0)+IFERROR(--ISNUMBER(SEARCH("R68",G384))*68,0)+IFERROR(--ISNUMBER(SEARCH("R69",G384))*69,0)+IFERROR(--ISNUMBER(SEARCH("R70",G384))*70,0)+IFERROR(--ISNUMBER(SEARCH("R71",G384))*71,0)+IFERROR(--ISNUMBER(SEARCH("R72",G384))*72,0)+IFERROR(--ISNUMBER(SEARCH("R73",G384))*73,0)+IFERROR(--ISNUMBER(SEARCH("R74",G384))*74,0)+IFERROR(--ISNUMBER(SEARCH("R75",G384))*75,0)+IFERROR(--ISNUMBER(SEARCH("R76",G384))*76,0)+IFERROR(--ISNUMBER(SEARCH("R77",G384))*77,0)+IFERROR(--ISNUMBER(SEARCH("R78",G384))*78,0)+IFERROR(--ISNUMBER(SEARCH("R79",G384))*79,0)+IFERROR(--ISNUMBER(SEARCH("R80",G384))*80,0)+IFERROR(--ISNUMBER(SEARCH("R81",G384))*81,0)+IFERROR(--ISNUMBER(SEARCH("R82",G384))*82,0)+IFERROR(--ISNUMBER(SEARCH("R83",G384))*83,0)+IFERROR(--ISNUMBER(SEARCH("R84",G384))*84,0)+IFERROR(--ISNUMBER(SEARCH("R85",G384))*85,0)+IFERROR(--ISNUMBER(SEARCH("R86",G384))*86,0)+IFERROR(--ISNUMBER(SEARCH("R87",G384))*87,0)+IFERROR(--ISNUMBER(SEARCH("R88",G384))*88,0)+IFERROR(--ISNUMBER(SEARCH("R89",G384))*89,0)+IFERROR(--ISNUMBER(SEARCH("R90",G384))*90,0)+IFERROR(--ISNUMBER(SEARCH("R91",G384))*91,0)+IFERROR(--ISNUMBER(SEARCH("R92",G384))*92,0)+IFERROR(--ISNUMBER(SEARCH("R93",G384))*93,0)+IFERROR(--ISNUMBER(SEARCH("R94",G384))*94,0)+IFERROR(--ISNUMBER(SEARCH("R95",G384))*95,0)+IFERROR(--ISNUMBER(SEARCH("R96",G384))*96,0)+IFERROR(--ISNUMBER(SEARCH("R97",G384))*97,0)+IFERROR(--ISNUMBER(SEARCH("R98",G384))*98,0)+IFERROR(--ISNUMBER(SEARCH("R99",G384))*99,0)+IFERROR(--ISNUMBER(SEARCH("R100",G384))*100,0)+IFERROR(--ISNUMBER(SEARCH("R101",G384))*101,0)+IFERROR(--ISNUMBER(SEARCH("R102",G384))*102,0)+IFERROR(--ISNUMBER(SEARCH("R103",G384))*103,0)+IFERROR(--ISNUMBER(SEARCH("R104",G384))*104,0)+IFERROR(--ISNUMBER(SEARCH("R105",G384))*105,0)+IFERROR(--ISNUMBER(SEARCH("R106",G384))*106,0)+IFERROR(--ISNUMBER(SEARCH("R107",G384))*107,0)+IFERROR(--ISNUMBER(SEARCH("R108",G384))*108,0)+IFERROR(--ISNUMBER(SEARCH("R109",G384))*109,0)+IFERROR(--ISNUMBER(SEARCH("R110",G384))*110,0)+IFERROR(--ISNUMBER(SEARCH("R111",G384))*111,0)+IFERROR(--ISNUMBER(SEARCH("R112",G384))*112,0)+IFERROR(--ISNUMBER(SEARCH("R113",G384))*113,0)+IFERROR(--ISNUMBER(SEARCH("R114",G384))*114,0)+IFERROR(--ISNUMBER(SEARCH("R115",G384))*115,0)+IFERROR(--ISNUMBER(SEARCH("R116",G384))*116,0)+IFERROR(--ISNUMBER(SEARCH("R117",G384))*117,0)+IFERROR(--ISNUMBER(SEARCH("R118",G384))*118,0)+IFERROR(--ISNUMBER(SEARCH("R119",G384))*119,0)+IFERROR(--ISNUMBER(SEARCH("R120",G384))*120,0)+IFERROR(--ISNUMBER(SEARCH("R121",G384))*121,0)+IFERROR(--ISNUMBER(SEARCH("R122",G384))*122,0)+IFERROR(--ISNUMBER(SEARCH("R123",G384))*123,0)+IFERROR(--ISNUMBER(SEARCH("R124",G384))*124,0)+IFERROR(--ISNUMBER(SEARCH("R125",G384))*125,0)+IFERROR(--ISNUMBER(SEARCH("R126",G384))*126,0)+IFERROR(--ISNUMBER(SEARCH("R127",G384))*127,0)+IFERROR(--ISNUMBER(SEARCH("R128",G384))*128,0)+IFERROR(--ISNUMBER(SEARCH("R129",G384))*129,0)+IFERROR(--ISNUMBER(SEARCH("R130",G384))*130,0)+IFERROR(--ISNUMBER(SEARCH("R131",G384))*131,0)+IFERROR(--ISNUMBER(SEARCH("R132",G384))*132,0)+IFERROR(--ISNUMBER(SEARCH("R133",G384))*133,0)+IFERROR(--ISNUMBER(SEARCH("R134",G384))*134,0)+IFERROR(--ISNUMBER(SEARCH("R135",G384))*135,0)+IFERROR(--ISNUMBER(SEARCH("R136",G384))*136,0)+IFERROR(--ISNUMBER(SEARCH("R137",G384))*137,0)+IFERROR(--ISNUMBER(SEARCH("R138",G384))*138,0)+IFERROR(--ISNUMBER(SEARCH("R139",G384))*139,0)+IFERROR(--ISNUMBER(SEARCH("R140",G384))*140,0)+IFERROR(--ISNUMBER(SEARCH("R141",G384))*141,0))</f>
        <v/>
      </c>
      <c r="V384" s="59">
        <f>IF(A384="","",IF(K384&lt;&gt;"",K384,J384))</f>
        <v/>
      </c>
      <c r="W384" s="59">
        <f>IF(A384="","",IF(AND(V384=29,O384&lt;&gt;"",COUNTIFS($V$6:$V$505,29,$F$6:$F$505,F384,$C$6:$C$505,C384,$O$6:$O$505,"&lt;&gt;")&gt;1),IF(COUNTIFS($V$6:V384,29,$F$6:F384,F384,$C$6:C384,C384,$O$6:O384,"&lt;&gt;")=1,"Esta es la fila que se debe CONSERVAR (aparición 1 de "&amp;COUNTIFS($V$6:$V$505,29,$F$6:$F$505,F384,$C$6:$C$505,C384,$O$6:$O$505,"&lt;&gt;")&amp;" con el mismo tercero y valor, casilla 29). Si hay más filas iguales, bórreles el valor a ELLAS, no a esta.","DUPLICADO — ya existe otra fila con el mismo tercero y valor para casilla 29 (aparición "&amp;COUNTIFS($V$6:V384,29,$F$6:F384,F384,$C$6:C384,C384,$O$6:O384,"&lt;&gt;")&amp;" de "&amp;COUNTIFS($V$6:$V$505,29,$F$6:$F$505,F384,$C$6:$C$505,C384,$O$6:$O$505,"&lt;&gt;")&amp;"). Para resolverlo: seleccione la celda O"&amp;ROW()&amp;" (columna Valor a declarar de ESTA fila) y presione Supr."),""))</f>
        <v/>
      </c>
      <c r="X384" s="463">
        <f>IF(A384="","",F384)</f>
        <v/>
      </c>
      <c r="Y384" s="463">
        <f>IF(A384="","",SUMIF(Entrada_Manual!$I$88:$I$187,A384,Entrada_Manual!$F$88:$F$187))</f>
        <v/>
      </c>
      <c r="Z384" s="463">
        <f>IF(A384="","",X384-Y384)</f>
        <v/>
      </c>
      <c r="AA384">
        <f>IF(A384="","",SUMPRODUCT((Entrada_Manual!$I$88:$I$187=A384)*1))</f>
        <v/>
      </c>
      <c r="AB384">
        <f>IF(A384="","",IF(S384&lt;=1,"",IF(AA384=0,"PENDIENTE — SIN ASIGNAR",IF(Z384=0,"RESUELTO","PARCIAL — DIFERENCIA "&amp;TEXT(Z384,"#,##0")))))</f>
        <v/>
      </c>
    </row>
    <row r="385" ht="14.25" customHeight="1" s="235">
      <c r="A385" s="47">
        <f>IF(Exogena_RAW!E394&lt;&gt;"",ROW()-5,"")</f>
        <v/>
      </c>
      <c r="B385" s="48">
        <f>IF(A385="","",394)</f>
        <v/>
      </c>
      <c r="C385" s="48">
        <f>IF(A385="","",IFERROR(Exogena_RAW!A394,""))</f>
        <v/>
      </c>
      <c r="D385" s="48">
        <f>IF(A385="","",IFERROR(Exogena_RAW!B394,""))</f>
        <v/>
      </c>
      <c r="E385" s="48">
        <f>IF(A385="","",Exogena_RAW!E394)</f>
        <v/>
      </c>
      <c r="F385" s="461">
        <f>IF(A385="","",Exogena_RAW!F394)</f>
        <v/>
      </c>
      <c r="G385" s="48">
        <f>IF(A385="","",IFERROR(Exogena_RAW!G394,""))</f>
        <v/>
      </c>
      <c r="H385" s="48">
        <f>IF(A385="","",IFERROR(Exogena_RAW!H394,""))</f>
        <v/>
      </c>
      <c r="I385" s="48">
        <f>IF(A385="","",IFERROR(IF(S385&gt;1,"VARIAS CASILLAS",IF(S385=1,IF(T385=1,"PROPUESTA DE CASILLA","REVISIÓN: CASILLA NO DIRECTA"),IF(OR(ISNUMBER(SEARCH("TOPE",UPPER(E385))),ISNUMBER(SEARCH("TOPE",UPPER(G385)))),"SOLO CONTROL",IF(ISNUMBER(SEARCH("RETEN",UPPER(E385))),"RETENCIÓN","REVISAR")))),"REVISAR"))</f>
        <v/>
      </c>
      <c r="J385" s="48">
        <f>IF(A385="","",IF(ISNUMBER(SEARCH("ingreso laboral promedio de los últimos seis meses",E385)),"",IFERROR(IF(AND(S385=1,T385=1),U385,""),"")))</f>
        <v/>
      </c>
      <c r="K385" s="216" t="n"/>
      <c r="L385" s="48">
        <f>IF(A385="","",IFERROR(IF(K385&lt;&gt;"","Casilla elegida por usuario",IF(S385&gt;1,"Varias casillas — elegir en K",IF(J385&lt;&gt;"","Sugerencia directa",IF(S385=1,"No trasladar directo — revisar",IF(OR(ISNUMBER(SEARCH("TOPE",UPPER(E385))),ISNUMBER(SEARCH("TOPE",UPPER(G385)))),"Solo control","Revisar manualmente"))))),"Revisar manualmente"))</f>
        <v/>
      </c>
      <c r="M385" s="461">
        <f>IF(A385="","",IF(IF(K385&lt;&gt;"",K385,J385)="",0,IF(COUNTIFS(Reglas!$I$5:$I$118,IF(K385&lt;&gt;"",K385,J385),Reglas!$J$5:$J$118,"Sí")=1,F385,0)))</f>
        <v/>
      </c>
      <c r="N385" s="56" t="n"/>
      <c r="O385" s="462">
        <f>IF(A385="","",IF(M385=0,"",M385))</f>
        <v/>
      </c>
      <c r="P385" s="461">
        <f>IF(A385="","",IF(O385="",0,IF(ISNUMBER(O385),O385,0)))</f>
        <v/>
      </c>
      <c r="Q385" s="48">
        <f>IF(A385="","",IF(Exogena_RAW!$C$4="","BLOQUEADO: FALTA AÑO",IF(Exogena_RAW!$K$10&lt;&gt;Reglas!$B$5,"BLOQUEADO: AÑO",IF(IF(K385&lt;&gt;"",K385,J385)="",IF(S385&gt;1,"REQUIERE ASIGNACIÓN MANUAL (VARIAS CASILLAS)","INFORMATIVO (sin casilla — no se declara)"),IF(COUNTIFS(Reglas!$I$5:$I$118,IF(K385&lt;&gt;"",K385,J385),Reglas!$J$5:$J$118,"Sí")=0,"BLOQUEADO: CASILLA NO DIRECTA",IF(O385="","EXCLUIDO (valor borrado por el usuario)",IF(_xlfn.ISFORMULA(O385),IF(W385&lt;&gt;"","BORRADOR — VALOR SUGERIDO DIAN ⚠ VER ALERTA","BORRADOR — VALOR SUGERIDO DIAN"),IF(W385&lt;&gt;"","ACEPTADO ⚠ VER ALERTA","ACEPTADO"))))))))</f>
        <v/>
      </c>
      <c r="R385" s="218" t="n"/>
      <c r="S385" s="58">
        <f>IF(A385="","",IFERROR(--ISNUMBER(SEARCH("R28",G385)),0)+IFERROR(--ISNUMBER(SEARCH("R29",G385)),0)+IFERROR(--ISNUMBER(SEARCH("R30",G385)),0)+IFERROR(--ISNUMBER(SEARCH("R31",G385)),0)+IFERROR(--ISNUMBER(SEARCH("R32",G385)),0)+IFERROR(--ISNUMBER(SEARCH("R33",G385)),0)+IFERROR(--ISNUMBER(SEARCH("R34",G385)),0)+IFERROR(--ISNUMBER(SEARCH("R35",G385)),0)+IFERROR(--ISNUMBER(SEARCH("R36",G385)),0)+IFERROR(--ISNUMBER(SEARCH("R37",G385)),0)+IFERROR(--ISNUMBER(SEARCH("R38",G385)),0)+IFERROR(--ISNUMBER(SEARCH("R39",G385)),0)+IFERROR(--ISNUMBER(SEARCH("R40",G385)),0)+IFERROR(--ISNUMBER(SEARCH("R41",G385)),0)+IFERROR(--ISNUMBER(SEARCH("R42",G385)),0)+IFERROR(--ISNUMBER(SEARCH("R43",G385)),0)+IFERROR(--ISNUMBER(SEARCH("R44",G385)),0)+IFERROR(--ISNUMBER(SEARCH("R45",G385)),0)+IFERROR(--ISNUMBER(SEARCH("R46",G385)),0)+IFERROR(--ISNUMBER(SEARCH("R47",G385)),0)+IFERROR(--ISNUMBER(SEARCH("R48",G385)),0)+IFERROR(--ISNUMBER(SEARCH("R49",G385)),0)+IFERROR(--ISNUMBER(SEARCH("R50",G385)),0)+IFERROR(--ISNUMBER(SEARCH("R51",G385)),0)+IFERROR(--ISNUMBER(SEARCH("R52",G385)),0)+IFERROR(--ISNUMBER(SEARCH("R53",G385)),0)+IFERROR(--ISNUMBER(SEARCH("R54",G385)),0)+IFERROR(--ISNUMBER(SEARCH("R55",G385)),0)+IFERROR(--ISNUMBER(SEARCH("R56",G385)),0)+IFERROR(--ISNUMBER(SEARCH("R57",G385)),0)+IFERROR(--ISNUMBER(SEARCH("R58",G385)),0)+IFERROR(--ISNUMBER(SEARCH("R59",G385)),0)+IFERROR(--ISNUMBER(SEARCH("R60",G385)),0)+IFERROR(--ISNUMBER(SEARCH("R61",G385)),0)+IFERROR(--ISNUMBER(SEARCH("R62",G385)),0)+IFERROR(--ISNUMBER(SEARCH("R63",G385)),0)+IFERROR(--ISNUMBER(SEARCH("R64",G385)),0)+IFERROR(--ISNUMBER(SEARCH("R65",G385)),0)+IFERROR(--ISNUMBER(SEARCH("R66",G385)),0)+IFERROR(--ISNUMBER(SEARCH("R67",G385)),0)+IFERROR(--ISNUMBER(SEARCH("R68",G385)),0)+IFERROR(--ISNUMBER(SEARCH("R69",G385)),0)+IFERROR(--ISNUMBER(SEARCH("R70",G385)),0)+IFERROR(--ISNUMBER(SEARCH("R71",G385)),0)+IFERROR(--ISNUMBER(SEARCH("R72",G385)),0)+IFERROR(--ISNUMBER(SEARCH("R73",G385)),0)+IFERROR(--ISNUMBER(SEARCH("R74",G385)),0)+IFERROR(--ISNUMBER(SEARCH("R75",G385)),0)+IFERROR(--ISNUMBER(SEARCH("R76",G385)),0)+IFERROR(--ISNUMBER(SEARCH("R77",G385)),0)+IFERROR(--ISNUMBER(SEARCH("R78",G385)),0)+IFERROR(--ISNUMBER(SEARCH("R79",G385)),0)+IFERROR(--ISNUMBER(SEARCH("R80",G385)),0)+IFERROR(--ISNUMBER(SEARCH("R81",G385)),0)+IFERROR(--ISNUMBER(SEARCH("R82",G385)),0)+IFERROR(--ISNUMBER(SEARCH("R83",G385)),0)+IFERROR(--ISNUMBER(SEARCH("R84",G385)),0)+IFERROR(--ISNUMBER(SEARCH("R85",G385)),0)+IFERROR(--ISNUMBER(SEARCH("R86",G385)),0)+IFERROR(--ISNUMBER(SEARCH("R87",G385)),0)+IFERROR(--ISNUMBER(SEARCH("R88",G385)),0)+IFERROR(--ISNUMBER(SEARCH("R89",G385)),0)+IFERROR(--ISNUMBER(SEARCH("R90",G385)),0)+IFERROR(--ISNUMBER(SEARCH("R91",G385)),0)+IFERROR(--ISNUMBER(SEARCH("R92",G385)),0)+IFERROR(--ISNUMBER(SEARCH("R93",G385)),0)+IFERROR(--ISNUMBER(SEARCH("R94",G385)),0)+IFERROR(--ISNUMBER(SEARCH("R95",G385)),0)+IFERROR(--ISNUMBER(SEARCH("R96",G385)),0)+IFERROR(--ISNUMBER(SEARCH("R97",G385)),0)+IFERROR(--ISNUMBER(SEARCH("R98",G385)),0)+IFERROR(--ISNUMBER(SEARCH("R99",G385)),0)+IFERROR(--ISNUMBER(SEARCH("R100",G385)),0)+IFERROR(--ISNUMBER(SEARCH("R101",G385)),0)+IFERROR(--ISNUMBER(SEARCH("R102",G385)),0)+IFERROR(--ISNUMBER(SEARCH("R103",G385)),0)+IFERROR(--ISNUMBER(SEARCH("R104",G385)),0)+IFERROR(--ISNUMBER(SEARCH("R105",G385)),0)+IFERROR(--ISNUMBER(SEARCH("R106",G385)),0)+IFERROR(--ISNUMBER(SEARCH("R107",G385)),0)+IFERROR(--ISNUMBER(SEARCH("R108",G385)),0)+IFERROR(--ISNUMBER(SEARCH("R109",G385)),0)+IFERROR(--ISNUMBER(SEARCH("R110",G385)),0)+IFERROR(--ISNUMBER(SEARCH("R111",G385)),0)+IFERROR(--ISNUMBER(SEARCH("R112",G385)),0)+IFERROR(--ISNUMBER(SEARCH("R113",G385)),0)+IFERROR(--ISNUMBER(SEARCH("R114",G385)),0)+IFERROR(--ISNUMBER(SEARCH("R115",G385)),0)+IFERROR(--ISNUMBER(SEARCH("R116",G385)),0)+IFERROR(--ISNUMBER(SEARCH("R117",G385)),0)+IFERROR(--ISNUMBER(SEARCH("R118",G385)),0)+IFERROR(--ISNUMBER(SEARCH("R119",G385)),0)+IFERROR(--ISNUMBER(SEARCH("R120",G385)),0)+IFERROR(--ISNUMBER(SEARCH("R121",G385)),0)+IFERROR(--ISNUMBER(SEARCH("R122",G385)),0)+IFERROR(--ISNUMBER(SEARCH("R123",G385)),0)+IFERROR(--ISNUMBER(SEARCH("R124",G385)),0)+IFERROR(--ISNUMBER(SEARCH("R125",G385)),0)+IFERROR(--ISNUMBER(SEARCH("R126",G385)),0)+IFERROR(--ISNUMBER(SEARCH("R127",G385)),0)+IFERROR(--ISNUMBER(SEARCH("R128",G385)),0)+IFERROR(--ISNUMBER(SEARCH("R129",G385)),0)+IFERROR(--ISNUMBER(SEARCH("R130",G385)),0)+IFERROR(--ISNUMBER(SEARCH("R131",G385)),0)+IFERROR(--ISNUMBER(SEARCH("R132",G385)),0)+IFERROR(--ISNUMBER(SEARCH("R133",G385)),0)+IFERROR(--ISNUMBER(SEARCH("R134",G385)),0)+IFERROR(--ISNUMBER(SEARCH("R135",G385)),0)+IFERROR(--ISNUMBER(SEARCH("R136",G385)),0)+IFERROR(--ISNUMBER(SEARCH("R137",G385)),0)+IFERROR(--ISNUMBER(SEARCH("R138",G385)),0)+IFERROR(--ISNUMBER(SEARCH("R139",G385)),0)+IFERROR(--ISNUMBER(SEARCH("R140",G385)),0)+IFERROR(--ISNUMBER(SEARCH("R141",G385)),0))</f>
        <v/>
      </c>
      <c r="T385" s="58">
        <f>IF(A385="","",IFERROR(--ISNUMBER(SEARCH("R28",G385)),0)+IFERROR(--ISNUMBER(SEARCH("R29",G385)),0)+IFERROR(--ISNUMBER(SEARCH("R30",G385)),0)+IFERROR(--ISNUMBER(SEARCH("R32",G385)),0)+IFERROR(--ISNUMBER(SEARCH("R33",G385)),0)+IFERROR(--ISNUMBER(SEARCH("R35",G385)),0)+IFERROR(--ISNUMBER(SEARCH("R36",G385)),0)+IFERROR(--ISNUMBER(SEARCH("R38",G385)),0)+IFERROR(--ISNUMBER(SEARCH("R39",G385)),0)+IFERROR(--ISNUMBER(SEARCH("R43",G385)),0)+IFERROR(--ISNUMBER(SEARCH("R44",G385)),0)+IFERROR(--ISNUMBER(SEARCH("R45",G385)),0)+IFERROR(--ISNUMBER(SEARCH("R47",G385)),0)+IFERROR(--ISNUMBER(SEARCH("R48",G385)),0)+IFERROR(--ISNUMBER(SEARCH("R50",G385)),0)+IFERROR(--ISNUMBER(SEARCH("R51",G385)),0)+IFERROR(--ISNUMBER(SEARCH("R56",G385)),0)+IFERROR(--ISNUMBER(SEARCH("R58",G385)),0)+IFERROR(--ISNUMBER(SEARCH("R59",G385)),0)+IFERROR(--ISNUMBER(SEARCH("R60",G385)),0)+IFERROR(--ISNUMBER(SEARCH("R62",G385)),0)+IFERROR(--ISNUMBER(SEARCH("R63",G385)),0)+IFERROR(--ISNUMBER(SEARCH("R64",G385)),0)+IFERROR(--ISNUMBER(SEARCH("R66",G385)),0)+IFERROR(--ISNUMBER(SEARCH("R67",G385)),0)+IFERROR(--ISNUMBER(SEARCH("R72",G385)),0)+IFERROR(--ISNUMBER(SEARCH("R74",G385)),0)+IFERROR(--ISNUMBER(SEARCH("R75",G385)),0)+IFERROR(--ISNUMBER(SEARCH("R76",G385)),0)+IFERROR(--ISNUMBER(SEARCH("R77",G385)),0)+IFERROR(--ISNUMBER(SEARCH("R79",G385)),0)+IFERROR(--ISNUMBER(SEARCH("R80",G385)),0)+IFERROR(--ISNUMBER(SEARCH("R81",G385)),0)+IFERROR(--ISNUMBER(SEARCH("R83",G385)),0)+IFERROR(--ISNUMBER(SEARCH("R84",G385)),0)+IFERROR(--ISNUMBER(SEARCH("R89",G385)),0)+IFERROR(--ISNUMBER(SEARCH("R94",G385)),0)+IFERROR(--ISNUMBER(SEARCH("R95",G385)),0)+IFERROR(--ISNUMBER(SEARCH("R96",G385)),0)+IFERROR(--ISNUMBER(SEARCH("R98",G385)),0)+IFERROR(--ISNUMBER(SEARCH("R99",G385)),0)+IFERROR(--ISNUMBER(SEARCH("R100",G385)),0)+IFERROR(--ISNUMBER(SEARCH("R104",G385)),0)+IFERROR(--ISNUMBER(SEARCH("R105",G385)),0)+IFERROR(--ISNUMBER(SEARCH("R107",G385)),0)+IFERROR(--ISNUMBER(SEARCH("R108",G385)),0)+IFERROR(--ISNUMBER(SEARCH("R109",G385)),0)+IFERROR(--ISNUMBER(SEARCH("R110",G385)),0)+IFERROR(--ISNUMBER(SEARCH("R112",G385)),0)+IFERROR(--ISNUMBER(SEARCH("R113",G385)),0)+IFERROR(--ISNUMBER(SEARCH("R114",G385)),0)+IFERROR(--ISNUMBER(SEARCH("R118",G385)),0)+IFERROR(--ISNUMBER(SEARCH("R119",G385)),0)+IFERROR(--ISNUMBER(SEARCH("R120",G385)),0)+IFERROR(--ISNUMBER(SEARCH("R122",G385)),0)+IFERROR(--ISNUMBER(SEARCH("R123",G385)),0)+IFERROR(--ISNUMBER(SEARCH("R124",G385)),0)+IFERROR(--ISNUMBER(SEARCH("R128",G385)),0)+IFERROR(--ISNUMBER(SEARCH("R130",G385)),0)+IFERROR(--ISNUMBER(SEARCH("R131",G385)),0)+IFERROR(--ISNUMBER(SEARCH("R132",G385)),0)+IFERROR(--ISNUMBER(SEARCH("R135",G385)),0)+IFERROR(--ISNUMBER(SEARCH("R138",G385)),0)+IFERROR(--ISNUMBER(SEARCH("R141",G385)),0))</f>
        <v/>
      </c>
      <c r="U385" s="58">
        <f>IF(A385="","",IFERROR(--ISNUMBER(SEARCH("R28",G385))*28,0)+IFERROR(--ISNUMBER(SEARCH("R29",G385))*29,0)+IFERROR(--ISNUMBER(SEARCH("R30",G385))*30,0)+IFERROR(--ISNUMBER(SEARCH("R31",G385))*31,0)+IFERROR(--ISNUMBER(SEARCH("R32",G385))*32,0)+IFERROR(--ISNUMBER(SEARCH("R33",G385))*33,0)+IFERROR(--ISNUMBER(SEARCH("R34",G385))*34,0)+IFERROR(--ISNUMBER(SEARCH("R35",G385))*35,0)+IFERROR(--ISNUMBER(SEARCH("R36",G385))*36,0)+IFERROR(--ISNUMBER(SEARCH("R37",G385))*37,0)+IFERROR(--ISNUMBER(SEARCH("R38",G385))*38,0)+IFERROR(--ISNUMBER(SEARCH("R39",G385))*39,0)+IFERROR(--ISNUMBER(SEARCH("R40",G385))*40,0)+IFERROR(--ISNUMBER(SEARCH("R41",G385))*41,0)+IFERROR(--ISNUMBER(SEARCH("R42",G385))*42,0)+IFERROR(--ISNUMBER(SEARCH("R43",G385))*43,0)+IFERROR(--ISNUMBER(SEARCH("R44",G385))*44,0)+IFERROR(--ISNUMBER(SEARCH("R45",G385))*45,0)+IFERROR(--ISNUMBER(SEARCH("R46",G385))*46,0)+IFERROR(--ISNUMBER(SEARCH("R47",G385))*47,0)+IFERROR(--ISNUMBER(SEARCH("R48",G385))*48,0)+IFERROR(--ISNUMBER(SEARCH("R49",G385))*49,0)+IFERROR(--ISNUMBER(SEARCH("R50",G385))*50,0)+IFERROR(--ISNUMBER(SEARCH("R51",G385))*51,0)+IFERROR(--ISNUMBER(SEARCH("R52",G385))*52,0)+IFERROR(--ISNUMBER(SEARCH("R53",G385))*53,0)+IFERROR(--ISNUMBER(SEARCH("R54",G385))*54,0)+IFERROR(--ISNUMBER(SEARCH("R55",G385))*55,0)+IFERROR(--ISNUMBER(SEARCH("R56",G385))*56,0)+IFERROR(--ISNUMBER(SEARCH("R57",G385))*57,0)+IFERROR(--ISNUMBER(SEARCH("R58",G385))*58,0)+IFERROR(--ISNUMBER(SEARCH("R59",G385))*59,0)+IFERROR(--ISNUMBER(SEARCH("R60",G385))*60,0)+IFERROR(--ISNUMBER(SEARCH("R61",G385))*61,0)+IFERROR(--ISNUMBER(SEARCH("R62",G385))*62,0)+IFERROR(--ISNUMBER(SEARCH("R63",G385))*63,0)+IFERROR(--ISNUMBER(SEARCH("R64",G385))*64,0)+IFERROR(--ISNUMBER(SEARCH("R65",G385))*65,0)+IFERROR(--ISNUMBER(SEARCH("R66",G385))*66,0)+IFERROR(--ISNUMBER(SEARCH("R67",G385))*67,0)+IFERROR(--ISNUMBER(SEARCH("R68",G385))*68,0)+IFERROR(--ISNUMBER(SEARCH("R69",G385))*69,0)+IFERROR(--ISNUMBER(SEARCH("R70",G385))*70,0)+IFERROR(--ISNUMBER(SEARCH("R71",G385))*71,0)+IFERROR(--ISNUMBER(SEARCH("R72",G385))*72,0)+IFERROR(--ISNUMBER(SEARCH("R73",G385))*73,0)+IFERROR(--ISNUMBER(SEARCH("R74",G385))*74,0)+IFERROR(--ISNUMBER(SEARCH("R75",G385))*75,0)+IFERROR(--ISNUMBER(SEARCH("R76",G385))*76,0)+IFERROR(--ISNUMBER(SEARCH("R77",G385))*77,0)+IFERROR(--ISNUMBER(SEARCH("R78",G385))*78,0)+IFERROR(--ISNUMBER(SEARCH("R79",G385))*79,0)+IFERROR(--ISNUMBER(SEARCH("R80",G385))*80,0)+IFERROR(--ISNUMBER(SEARCH("R81",G385))*81,0)+IFERROR(--ISNUMBER(SEARCH("R82",G385))*82,0)+IFERROR(--ISNUMBER(SEARCH("R83",G385))*83,0)+IFERROR(--ISNUMBER(SEARCH("R84",G385))*84,0)+IFERROR(--ISNUMBER(SEARCH("R85",G385))*85,0)+IFERROR(--ISNUMBER(SEARCH("R86",G385))*86,0)+IFERROR(--ISNUMBER(SEARCH("R87",G385))*87,0)+IFERROR(--ISNUMBER(SEARCH("R88",G385))*88,0)+IFERROR(--ISNUMBER(SEARCH("R89",G385))*89,0)+IFERROR(--ISNUMBER(SEARCH("R90",G385))*90,0)+IFERROR(--ISNUMBER(SEARCH("R91",G385))*91,0)+IFERROR(--ISNUMBER(SEARCH("R92",G385))*92,0)+IFERROR(--ISNUMBER(SEARCH("R93",G385))*93,0)+IFERROR(--ISNUMBER(SEARCH("R94",G385))*94,0)+IFERROR(--ISNUMBER(SEARCH("R95",G385))*95,0)+IFERROR(--ISNUMBER(SEARCH("R96",G385))*96,0)+IFERROR(--ISNUMBER(SEARCH("R97",G385))*97,0)+IFERROR(--ISNUMBER(SEARCH("R98",G385))*98,0)+IFERROR(--ISNUMBER(SEARCH("R99",G385))*99,0)+IFERROR(--ISNUMBER(SEARCH("R100",G385))*100,0)+IFERROR(--ISNUMBER(SEARCH("R101",G385))*101,0)+IFERROR(--ISNUMBER(SEARCH("R102",G385))*102,0)+IFERROR(--ISNUMBER(SEARCH("R103",G385))*103,0)+IFERROR(--ISNUMBER(SEARCH("R104",G385))*104,0)+IFERROR(--ISNUMBER(SEARCH("R105",G385))*105,0)+IFERROR(--ISNUMBER(SEARCH("R106",G385))*106,0)+IFERROR(--ISNUMBER(SEARCH("R107",G385))*107,0)+IFERROR(--ISNUMBER(SEARCH("R108",G385))*108,0)+IFERROR(--ISNUMBER(SEARCH("R109",G385))*109,0)+IFERROR(--ISNUMBER(SEARCH("R110",G385))*110,0)+IFERROR(--ISNUMBER(SEARCH("R111",G385))*111,0)+IFERROR(--ISNUMBER(SEARCH("R112",G385))*112,0)+IFERROR(--ISNUMBER(SEARCH("R113",G385))*113,0)+IFERROR(--ISNUMBER(SEARCH("R114",G385))*114,0)+IFERROR(--ISNUMBER(SEARCH("R115",G385))*115,0)+IFERROR(--ISNUMBER(SEARCH("R116",G385))*116,0)+IFERROR(--ISNUMBER(SEARCH("R117",G385))*117,0)+IFERROR(--ISNUMBER(SEARCH("R118",G385))*118,0)+IFERROR(--ISNUMBER(SEARCH("R119",G385))*119,0)+IFERROR(--ISNUMBER(SEARCH("R120",G385))*120,0)+IFERROR(--ISNUMBER(SEARCH("R121",G385))*121,0)+IFERROR(--ISNUMBER(SEARCH("R122",G385))*122,0)+IFERROR(--ISNUMBER(SEARCH("R123",G385))*123,0)+IFERROR(--ISNUMBER(SEARCH("R124",G385))*124,0)+IFERROR(--ISNUMBER(SEARCH("R125",G385))*125,0)+IFERROR(--ISNUMBER(SEARCH("R126",G385))*126,0)+IFERROR(--ISNUMBER(SEARCH("R127",G385))*127,0)+IFERROR(--ISNUMBER(SEARCH("R128",G385))*128,0)+IFERROR(--ISNUMBER(SEARCH("R129",G385))*129,0)+IFERROR(--ISNUMBER(SEARCH("R130",G385))*130,0)+IFERROR(--ISNUMBER(SEARCH("R131",G385))*131,0)+IFERROR(--ISNUMBER(SEARCH("R132",G385))*132,0)+IFERROR(--ISNUMBER(SEARCH("R133",G385))*133,0)+IFERROR(--ISNUMBER(SEARCH("R134",G385))*134,0)+IFERROR(--ISNUMBER(SEARCH("R135",G385))*135,0)+IFERROR(--ISNUMBER(SEARCH("R136",G385))*136,0)+IFERROR(--ISNUMBER(SEARCH("R137",G385))*137,0)+IFERROR(--ISNUMBER(SEARCH("R138",G385))*138,0)+IFERROR(--ISNUMBER(SEARCH("R139",G385))*139,0)+IFERROR(--ISNUMBER(SEARCH("R140",G385))*140,0)+IFERROR(--ISNUMBER(SEARCH("R141",G385))*141,0))</f>
        <v/>
      </c>
      <c r="V385" s="59">
        <f>IF(A385="","",IF(K385&lt;&gt;"",K385,J385))</f>
        <v/>
      </c>
      <c r="W385" s="59">
        <f>IF(A385="","",IF(AND(V385=29,O385&lt;&gt;"",COUNTIFS($V$6:$V$505,29,$F$6:$F$505,F385,$C$6:$C$505,C385,$O$6:$O$505,"&lt;&gt;")&gt;1),IF(COUNTIFS($V$6:V385,29,$F$6:F385,F385,$C$6:C385,C385,$O$6:O385,"&lt;&gt;")=1,"Esta es la fila que se debe CONSERVAR (aparición 1 de "&amp;COUNTIFS($V$6:$V$505,29,$F$6:$F$505,F385,$C$6:$C$505,C385,$O$6:$O$505,"&lt;&gt;")&amp;" con el mismo tercero y valor, casilla 29). Si hay más filas iguales, bórreles el valor a ELLAS, no a esta.","DUPLICADO — ya existe otra fila con el mismo tercero y valor para casilla 29 (aparición "&amp;COUNTIFS($V$6:V385,29,$F$6:F385,F385,$C$6:C385,C385,$O$6:O385,"&lt;&gt;")&amp;" de "&amp;COUNTIFS($V$6:$V$505,29,$F$6:$F$505,F385,$C$6:$C$505,C385,$O$6:$O$505,"&lt;&gt;")&amp;"). Para resolverlo: seleccione la celda O"&amp;ROW()&amp;" (columna Valor a declarar de ESTA fila) y presione Supr."),""))</f>
        <v/>
      </c>
      <c r="X385" s="463">
        <f>IF(A385="","",F385)</f>
        <v/>
      </c>
      <c r="Y385" s="463">
        <f>IF(A385="","",SUMIF(Entrada_Manual!$I$88:$I$187,A385,Entrada_Manual!$F$88:$F$187))</f>
        <v/>
      </c>
      <c r="Z385" s="463">
        <f>IF(A385="","",X385-Y385)</f>
        <v/>
      </c>
      <c r="AA385">
        <f>IF(A385="","",SUMPRODUCT((Entrada_Manual!$I$88:$I$187=A385)*1))</f>
        <v/>
      </c>
      <c r="AB385">
        <f>IF(A385="","",IF(S385&lt;=1,"",IF(AA385=0,"PENDIENTE — SIN ASIGNAR",IF(Z385=0,"RESUELTO","PARCIAL — DIFERENCIA "&amp;TEXT(Z385,"#,##0")))))</f>
        <v/>
      </c>
    </row>
    <row r="386" ht="14.25" customHeight="1" s="235">
      <c r="A386" s="47">
        <f>IF(Exogena_RAW!E395&lt;&gt;"",ROW()-5,"")</f>
        <v/>
      </c>
      <c r="B386" s="48">
        <f>IF(A386="","",395)</f>
        <v/>
      </c>
      <c r="C386" s="48">
        <f>IF(A386="","",IFERROR(Exogena_RAW!A395,""))</f>
        <v/>
      </c>
      <c r="D386" s="48">
        <f>IF(A386="","",IFERROR(Exogena_RAW!B395,""))</f>
        <v/>
      </c>
      <c r="E386" s="48">
        <f>IF(A386="","",Exogena_RAW!E395)</f>
        <v/>
      </c>
      <c r="F386" s="461">
        <f>IF(A386="","",Exogena_RAW!F395)</f>
        <v/>
      </c>
      <c r="G386" s="48">
        <f>IF(A386="","",IFERROR(Exogena_RAW!G395,""))</f>
        <v/>
      </c>
      <c r="H386" s="48">
        <f>IF(A386="","",IFERROR(Exogena_RAW!H395,""))</f>
        <v/>
      </c>
      <c r="I386" s="48">
        <f>IF(A386="","",IFERROR(IF(S386&gt;1,"VARIAS CASILLAS",IF(S386=1,IF(T386=1,"PROPUESTA DE CASILLA","REVISIÓN: CASILLA NO DIRECTA"),IF(OR(ISNUMBER(SEARCH("TOPE",UPPER(E386))),ISNUMBER(SEARCH("TOPE",UPPER(G386)))),"SOLO CONTROL",IF(ISNUMBER(SEARCH("RETEN",UPPER(E386))),"RETENCIÓN","REVISAR")))),"REVISAR"))</f>
        <v/>
      </c>
      <c r="J386" s="48">
        <f>IF(A386="","",IF(ISNUMBER(SEARCH("ingreso laboral promedio de los últimos seis meses",E386)),"",IFERROR(IF(AND(S386=1,T386=1),U386,""),"")))</f>
        <v/>
      </c>
      <c r="K386" s="216" t="n"/>
      <c r="L386" s="48">
        <f>IF(A386="","",IFERROR(IF(K386&lt;&gt;"","Casilla elegida por usuario",IF(S386&gt;1,"Varias casillas — elegir en K",IF(J386&lt;&gt;"","Sugerencia directa",IF(S386=1,"No trasladar directo — revisar",IF(OR(ISNUMBER(SEARCH("TOPE",UPPER(E386))),ISNUMBER(SEARCH("TOPE",UPPER(G386)))),"Solo control","Revisar manualmente"))))),"Revisar manualmente"))</f>
        <v/>
      </c>
      <c r="M386" s="461">
        <f>IF(A386="","",IF(IF(K386&lt;&gt;"",K386,J386)="",0,IF(COUNTIFS(Reglas!$I$5:$I$118,IF(K386&lt;&gt;"",K386,J386),Reglas!$J$5:$J$118,"Sí")=1,F386,0)))</f>
        <v/>
      </c>
      <c r="N386" s="56" t="n"/>
      <c r="O386" s="462">
        <f>IF(A386="","",IF(M386=0,"",M386))</f>
        <v/>
      </c>
      <c r="P386" s="461">
        <f>IF(A386="","",IF(O386="",0,IF(ISNUMBER(O386),O386,0)))</f>
        <v/>
      </c>
      <c r="Q386" s="48">
        <f>IF(A386="","",IF(Exogena_RAW!$C$4="","BLOQUEADO: FALTA AÑO",IF(Exogena_RAW!$K$10&lt;&gt;Reglas!$B$5,"BLOQUEADO: AÑO",IF(IF(K386&lt;&gt;"",K386,J386)="",IF(S386&gt;1,"REQUIERE ASIGNACIÓN MANUAL (VARIAS CASILLAS)","INFORMATIVO (sin casilla — no se declara)"),IF(COUNTIFS(Reglas!$I$5:$I$118,IF(K386&lt;&gt;"",K386,J386),Reglas!$J$5:$J$118,"Sí")=0,"BLOQUEADO: CASILLA NO DIRECTA",IF(O386="","EXCLUIDO (valor borrado por el usuario)",IF(_xlfn.ISFORMULA(O386),IF(W386&lt;&gt;"","BORRADOR — VALOR SUGERIDO DIAN ⚠ VER ALERTA","BORRADOR — VALOR SUGERIDO DIAN"),IF(W386&lt;&gt;"","ACEPTADO ⚠ VER ALERTA","ACEPTADO"))))))))</f>
        <v/>
      </c>
      <c r="R386" s="218" t="n"/>
      <c r="S386" s="58">
        <f>IF(A386="","",IFERROR(--ISNUMBER(SEARCH("R28",G386)),0)+IFERROR(--ISNUMBER(SEARCH("R29",G386)),0)+IFERROR(--ISNUMBER(SEARCH("R30",G386)),0)+IFERROR(--ISNUMBER(SEARCH("R31",G386)),0)+IFERROR(--ISNUMBER(SEARCH("R32",G386)),0)+IFERROR(--ISNUMBER(SEARCH("R33",G386)),0)+IFERROR(--ISNUMBER(SEARCH("R34",G386)),0)+IFERROR(--ISNUMBER(SEARCH("R35",G386)),0)+IFERROR(--ISNUMBER(SEARCH("R36",G386)),0)+IFERROR(--ISNUMBER(SEARCH("R37",G386)),0)+IFERROR(--ISNUMBER(SEARCH("R38",G386)),0)+IFERROR(--ISNUMBER(SEARCH("R39",G386)),0)+IFERROR(--ISNUMBER(SEARCH("R40",G386)),0)+IFERROR(--ISNUMBER(SEARCH("R41",G386)),0)+IFERROR(--ISNUMBER(SEARCH("R42",G386)),0)+IFERROR(--ISNUMBER(SEARCH("R43",G386)),0)+IFERROR(--ISNUMBER(SEARCH("R44",G386)),0)+IFERROR(--ISNUMBER(SEARCH("R45",G386)),0)+IFERROR(--ISNUMBER(SEARCH("R46",G386)),0)+IFERROR(--ISNUMBER(SEARCH("R47",G386)),0)+IFERROR(--ISNUMBER(SEARCH("R48",G386)),0)+IFERROR(--ISNUMBER(SEARCH("R49",G386)),0)+IFERROR(--ISNUMBER(SEARCH("R50",G386)),0)+IFERROR(--ISNUMBER(SEARCH("R51",G386)),0)+IFERROR(--ISNUMBER(SEARCH("R52",G386)),0)+IFERROR(--ISNUMBER(SEARCH("R53",G386)),0)+IFERROR(--ISNUMBER(SEARCH("R54",G386)),0)+IFERROR(--ISNUMBER(SEARCH("R55",G386)),0)+IFERROR(--ISNUMBER(SEARCH("R56",G386)),0)+IFERROR(--ISNUMBER(SEARCH("R57",G386)),0)+IFERROR(--ISNUMBER(SEARCH("R58",G386)),0)+IFERROR(--ISNUMBER(SEARCH("R59",G386)),0)+IFERROR(--ISNUMBER(SEARCH("R60",G386)),0)+IFERROR(--ISNUMBER(SEARCH("R61",G386)),0)+IFERROR(--ISNUMBER(SEARCH("R62",G386)),0)+IFERROR(--ISNUMBER(SEARCH("R63",G386)),0)+IFERROR(--ISNUMBER(SEARCH("R64",G386)),0)+IFERROR(--ISNUMBER(SEARCH("R65",G386)),0)+IFERROR(--ISNUMBER(SEARCH("R66",G386)),0)+IFERROR(--ISNUMBER(SEARCH("R67",G386)),0)+IFERROR(--ISNUMBER(SEARCH("R68",G386)),0)+IFERROR(--ISNUMBER(SEARCH("R69",G386)),0)+IFERROR(--ISNUMBER(SEARCH("R70",G386)),0)+IFERROR(--ISNUMBER(SEARCH("R71",G386)),0)+IFERROR(--ISNUMBER(SEARCH("R72",G386)),0)+IFERROR(--ISNUMBER(SEARCH("R73",G386)),0)+IFERROR(--ISNUMBER(SEARCH("R74",G386)),0)+IFERROR(--ISNUMBER(SEARCH("R75",G386)),0)+IFERROR(--ISNUMBER(SEARCH("R76",G386)),0)+IFERROR(--ISNUMBER(SEARCH("R77",G386)),0)+IFERROR(--ISNUMBER(SEARCH("R78",G386)),0)+IFERROR(--ISNUMBER(SEARCH("R79",G386)),0)+IFERROR(--ISNUMBER(SEARCH("R80",G386)),0)+IFERROR(--ISNUMBER(SEARCH("R81",G386)),0)+IFERROR(--ISNUMBER(SEARCH("R82",G386)),0)+IFERROR(--ISNUMBER(SEARCH("R83",G386)),0)+IFERROR(--ISNUMBER(SEARCH("R84",G386)),0)+IFERROR(--ISNUMBER(SEARCH("R85",G386)),0)+IFERROR(--ISNUMBER(SEARCH("R86",G386)),0)+IFERROR(--ISNUMBER(SEARCH("R87",G386)),0)+IFERROR(--ISNUMBER(SEARCH("R88",G386)),0)+IFERROR(--ISNUMBER(SEARCH("R89",G386)),0)+IFERROR(--ISNUMBER(SEARCH("R90",G386)),0)+IFERROR(--ISNUMBER(SEARCH("R91",G386)),0)+IFERROR(--ISNUMBER(SEARCH("R92",G386)),0)+IFERROR(--ISNUMBER(SEARCH("R93",G386)),0)+IFERROR(--ISNUMBER(SEARCH("R94",G386)),0)+IFERROR(--ISNUMBER(SEARCH("R95",G386)),0)+IFERROR(--ISNUMBER(SEARCH("R96",G386)),0)+IFERROR(--ISNUMBER(SEARCH("R97",G386)),0)+IFERROR(--ISNUMBER(SEARCH("R98",G386)),0)+IFERROR(--ISNUMBER(SEARCH("R99",G386)),0)+IFERROR(--ISNUMBER(SEARCH("R100",G386)),0)+IFERROR(--ISNUMBER(SEARCH("R101",G386)),0)+IFERROR(--ISNUMBER(SEARCH("R102",G386)),0)+IFERROR(--ISNUMBER(SEARCH("R103",G386)),0)+IFERROR(--ISNUMBER(SEARCH("R104",G386)),0)+IFERROR(--ISNUMBER(SEARCH("R105",G386)),0)+IFERROR(--ISNUMBER(SEARCH("R106",G386)),0)+IFERROR(--ISNUMBER(SEARCH("R107",G386)),0)+IFERROR(--ISNUMBER(SEARCH("R108",G386)),0)+IFERROR(--ISNUMBER(SEARCH("R109",G386)),0)+IFERROR(--ISNUMBER(SEARCH("R110",G386)),0)+IFERROR(--ISNUMBER(SEARCH("R111",G386)),0)+IFERROR(--ISNUMBER(SEARCH("R112",G386)),0)+IFERROR(--ISNUMBER(SEARCH("R113",G386)),0)+IFERROR(--ISNUMBER(SEARCH("R114",G386)),0)+IFERROR(--ISNUMBER(SEARCH("R115",G386)),0)+IFERROR(--ISNUMBER(SEARCH("R116",G386)),0)+IFERROR(--ISNUMBER(SEARCH("R117",G386)),0)+IFERROR(--ISNUMBER(SEARCH("R118",G386)),0)+IFERROR(--ISNUMBER(SEARCH("R119",G386)),0)+IFERROR(--ISNUMBER(SEARCH("R120",G386)),0)+IFERROR(--ISNUMBER(SEARCH("R121",G386)),0)+IFERROR(--ISNUMBER(SEARCH("R122",G386)),0)+IFERROR(--ISNUMBER(SEARCH("R123",G386)),0)+IFERROR(--ISNUMBER(SEARCH("R124",G386)),0)+IFERROR(--ISNUMBER(SEARCH("R125",G386)),0)+IFERROR(--ISNUMBER(SEARCH("R126",G386)),0)+IFERROR(--ISNUMBER(SEARCH("R127",G386)),0)+IFERROR(--ISNUMBER(SEARCH("R128",G386)),0)+IFERROR(--ISNUMBER(SEARCH("R129",G386)),0)+IFERROR(--ISNUMBER(SEARCH("R130",G386)),0)+IFERROR(--ISNUMBER(SEARCH("R131",G386)),0)+IFERROR(--ISNUMBER(SEARCH("R132",G386)),0)+IFERROR(--ISNUMBER(SEARCH("R133",G386)),0)+IFERROR(--ISNUMBER(SEARCH("R134",G386)),0)+IFERROR(--ISNUMBER(SEARCH("R135",G386)),0)+IFERROR(--ISNUMBER(SEARCH("R136",G386)),0)+IFERROR(--ISNUMBER(SEARCH("R137",G386)),0)+IFERROR(--ISNUMBER(SEARCH("R138",G386)),0)+IFERROR(--ISNUMBER(SEARCH("R139",G386)),0)+IFERROR(--ISNUMBER(SEARCH("R140",G386)),0)+IFERROR(--ISNUMBER(SEARCH("R141",G386)),0))</f>
        <v/>
      </c>
      <c r="T386" s="58">
        <f>IF(A386="","",IFERROR(--ISNUMBER(SEARCH("R28",G386)),0)+IFERROR(--ISNUMBER(SEARCH("R29",G386)),0)+IFERROR(--ISNUMBER(SEARCH("R30",G386)),0)+IFERROR(--ISNUMBER(SEARCH("R32",G386)),0)+IFERROR(--ISNUMBER(SEARCH("R33",G386)),0)+IFERROR(--ISNUMBER(SEARCH("R35",G386)),0)+IFERROR(--ISNUMBER(SEARCH("R36",G386)),0)+IFERROR(--ISNUMBER(SEARCH("R38",G386)),0)+IFERROR(--ISNUMBER(SEARCH("R39",G386)),0)+IFERROR(--ISNUMBER(SEARCH("R43",G386)),0)+IFERROR(--ISNUMBER(SEARCH("R44",G386)),0)+IFERROR(--ISNUMBER(SEARCH("R45",G386)),0)+IFERROR(--ISNUMBER(SEARCH("R47",G386)),0)+IFERROR(--ISNUMBER(SEARCH("R48",G386)),0)+IFERROR(--ISNUMBER(SEARCH("R50",G386)),0)+IFERROR(--ISNUMBER(SEARCH("R51",G386)),0)+IFERROR(--ISNUMBER(SEARCH("R56",G386)),0)+IFERROR(--ISNUMBER(SEARCH("R58",G386)),0)+IFERROR(--ISNUMBER(SEARCH("R59",G386)),0)+IFERROR(--ISNUMBER(SEARCH("R60",G386)),0)+IFERROR(--ISNUMBER(SEARCH("R62",G386)),0)+IFERROR(--ISNUMBER(SEARCH("R63",G386)),0)+IFERROR(--ISNUMBER(SEARCH("R64",G386)),0)+IFERROR(--ISNUMBER(SEARCH("R66",G386)),0)+IFERROR(--ISNUMBER(SEARCH("R67",G386)),0)+IFERROR(--ISNUMBER(SEARCH("R72",G386)),0)+IFERROR(--ISNUMBER(SEARCH("R74",G386)),0)+IFERROR(--ISNUMBER(SEARCH("R75",G386)),0)+IFERROR(--ISNUMBER(SEARCH("R76",G386)),0)+IFERROR(--ISNUMBER(SEARCH("R77",G386)),0)+IFERROR(--ISNUMBER(SEARCH("R79",G386)),0)+IFERROR(--ISNUMBER(SEARCH("R80",G386)),0)+IFERROR(--ISNUMBER(SEARCH("R81",G386)),0)+IFERROR(--ISNUMBER(SEARCH("R83",G386)),0)+IFERROR(--ISNUMBER(SEARCH("R84",G386)),0)+IFERROR(--ISNUMBER(SEARCH("R89",G386)),0)+IFERROR(--ISNUMBER(SEARCH("R94",G386)),0)+IFERROR(--ISNUMBER(SEARCH("R95",G386)),0)+IFERROR(--ISNUMBER(SEARCH("R96",G386)),0)+IFERROR(--ISNUMBER(SEARCH("R98",G386)),0)+IFERROR(--ISNUMBER(SEARCH("R99",G386)),0)+IFERROR(--ISNUMBER(SEARCH("R100",G386)),0)+IFERROR(--ISNUMBER(SEARCH("R104",G386)),0)+IFERROR(--ISNUMBER(SEARCH("R105",G386)),0)+IFERROR(--ISNUMBER(SEARCH("R107",G386)),0)+IFERROR(--ISNUMBER(SEARCH("R108",G386)),0)+IFERROR(--ISNUMBER(SEARCH("R109",G386)),0)+IFERROR(--ISNUMBER(SEARCH("R110",G386)),0)+IFERROR(--ISNUMBER(SEARCH("R112",G386)),0)+IFERROR(--ISNUMBER(SEARCH("R113",G386)),0)+IFERROR(--ISNUMBER(SEARCH("R114",G386)),0)+IFERROR(--ISNUMBER(SEARCH("R118",G386)),0)+IFERROR(--ISNUMBER(SEARCH("R119",G386)),0)+IFERROR(--ISNUMBER(SEARCH("R120",G386)),0)+IFERROR(--ISNUMBER(SEARCH("R122",G386)),0)+IFERROR(--ISNUMBER(SEARCH("R123",G386)),0)+IFERROR(--ISNUMBER(SEARCH("R124",G386)),0)+IFERROR(--ISNUMBER(SEARCH("R128",G386)),0)+IFERROR(--ISNUMBER(SEARCH("R130",G386)),0)+IFERROR(--ISNUMBER(SEARCH("R131",G386)),0)+IFERROR(--ISNUMBER(SEARCH("R132",G386)),0)+IFERROR(--ISNUMBER(SEARCH("R135",G386)),0)+IFERROR(--ISNUMBER(SEARCH("R138",G386)),0)+IFERROR(--ISNUMBER(SEARCH("R141",G386)),0))</f>
        <v/>
      </c>
      <c r="U386" s="58">
        <f>IF(A386="","",IFERROR(--ISNUMBER(SEARCH("R28",G386))*28,0)+IFERROR(--ISNUMBER(SEARCH("R29",G386))*29,0)+IFERROR(--ISNUMBER(SEARCH("R30",G386))*30,0)+IFERROR(--ISNUMBER(SEARCH("R31",G386))*31,0)+IFERROR(--ISNUMBER(SEARCH("R32",G386))*32,0)+IFERROR(--ISNUMBER(SEARCH("R33",G386))*33,0)+IFERROR(--ISNUMBER(SEARCH("R34",G386))*34,0)+IFERROR(--ISNUMBER(SEARCH("R35",G386))*35,0)+IFERROR(--ISNUMBER(SEARCH("R36",G386))*36,0)+IFERROR(--ISNUMBER(SEARCH("R37",G386))*37,0)+IFERROR(--ISNUMBER(SEARCH("R38",G386))*38,0)+IFERROR(--ISNUMBER(SEARCH("R39",G386))*39,0)+IFERROR(--ISNUMBER(SEARCH("R40",G386))*40,0)+IFERROR(--ISNUMBER(SEARCH("R41",G386))*41,0)+IFERROR(--ISNUMBER(SEARCH("R42",G386))*42,0)+IFERROR(--ISNUMBER(SEARCH("R43",G386))*43,0)+IFERROR(--ISNUMBER(SEARCH("R44",G386))*44,0)+IFERROR(--ISNUMBER(SEARCH("R45",G386))*45,0)+IFERROR(--ISNUMBER(SEARCH("R46",G386))*46,0)+IFERROR(--ISNUMBER(SEARCH("R47",G386))*47,0)+IFERROR(--ISNUMBER(SEARCH("R48",G386))*48,0)+IFERROR(--ISNUMBER(SEARCH("R49",G386))*49,0)+IFERROR(--ISNUMBER(SEARCH("R50",G386))*50,0)+IFERROR(--ISNUMBER(SEARCH("R51",G386))*51,0)+IFERROR(--ISNUMBER(SEARCH("R52",G386))*52,0)+IFERROR(--ISNUMBER(SEARCH("R53",G386))*53,0)+IFERROR(--ISNUMBER(SEARCH("R54",G386))*54,0)+IFERROR(--ISNUMBER(SEARCH("R55",G386))*55,0)+IFERROR(--ISNUMBER(SEARCH("R56",G386))*56,0)+IFERROR(--ISNUMBER(SEARCH("R57",G386))*57,0)+IFERROR(--ISNUMBER(SEARCH("R58",G386))*58,0)+IFERROR(--ISNUMBER(SEARCH("R59",G386))*59,0)+IFERROR(--ISNUMBER(SEARCH("R60",G386))*60,0)+IFERROR(--ISNUMBER(SEARCH("R61",G386))*61,0)+IFERROR(--ISNUMBER(SEARCH("R62",G386))*62,0)+IFERROR(--ISNUMBER(SEARCH("R63",G386))*63,0)+IFERROR(--ISNUMBER(SEARCH("R64",G386))*64,0)+IFERROR(--ISNUMBER(SEARCH("R65",G386))*65,0)+IFERROR(--ISNUMBER(SEARCH("R66",G386))*66,0)+IFERROR(--ISNUMBER(SEARCH("R67",G386))*67,0)+IFERROR(--ISNUMBER(SEARCH("R68",G386))*68,0)+IFERROR(--ISNUMBER(SEARCH("R69",G386))*69,0)+IFERROR(--ISNUMBER(SEARCH("R70",G386))*70,0)+IFERROR(--ISNUMBER(SEARCH("R71",G386))*71,0)+IFERROR(--ISNUMBER(SEARCH("R72",G386))*72,0)+IFERROR(--ISNUMBER(SEARCH("R73",G386))*73,0)+IFERROR(--ISNUMBER(SEARCH("R74",G386))*74,0)+IFERROR(--ISNUMBER(SEARCH("R75",G386))*75,0)+IFERROR(--ISNUMBER(SEARCH("R76",G386))*76,0)+IFERROR(--ISNUMBER(SEARCH("R77",G386))*77,0)+IFERROR(--ISNUMBER(SEARCH("R78",G386))*78,0)+IFERROR(--ISNUMBER(SEARCH("R79",G386))*79,0)+IFERROR(--ISNUMBER(SEARCH("R80",G386))*80,0)+IFERROR(--ISNUMBER(SEARCH("R81",G386))*81,0)+IFERROR(--ISNUMBER(SEARCH("R82",G386))*82,0)+IFERROR(--ISNUMBER(SEARCH("R83",G386))*83,0)+IFERROR(--ISNUMBER(SEARCH("R84",G386))*84,0)+IFERROR(--ISNUMBER(SEARCH("R85",G386))*85,0)+IFERROR(--ISNUMBER(SEARCH("R86",G386))*86,0)+IFERROR(--ISNUMBER(SEARCH("R87",G386))*87,0)+IFERROR(--ISNUMBER(SEARCH("R88",G386))*88,0)+IFERROR(--ISNUMBER(SEARCH("R89",G386))*89,0)+IFERROR(--ISNUMBER(SEARCH("R90",G386))*90,0)+IFERROR(--ISNUMBER(SEARCH("R91",G386))*91,0)+IFERROR(--ISNUMBER(SEARCH("R92",G386))*92,0)+IFERROR(--ISNUMBER(SEARCH("R93",G386))*93,0)+IFERROR(--ISNUMBER(SEARCH("R94",G386))*94,0)+IFERROR(--ISNUMBER(SEARCH("R95",G386))*95,0)+IFERROR(--ISNUMBER(SEARCH("R96",G386))*96,0)+IFERROR(--ISNUMBER(SEARCH("R97",G386))*97,0)+IFERROR(--ISNUMBER(SEARCH("R98",G386))*98,0)+IFERROR(--ISNUMBER(SEARCH("R99",G386))*99,0)+IFERROR(--ISNUMBER(SEARCH("R100",G386))*100,0)+IFERROR(--ISNUMBER(SEARCH("R101",G386))*101,0)+IFERROR(--ISNUMBER(SEARCH("R102",G386))*102,0)+IFERROR(--ISNUMBER(SEARCH("R103",G386))*103,0)+IFERROR(--ISNUMBER(SEARCH("R104",G386))*104,0)+IFERROR(--ISNUMBER(SEARCH("R105",G386))*105,0)+IFERROR(--ISNUMBER(SEARCH("R106",G386))*106,0)+IFERROR(--ISNUMBER(SEARCH("R107",G386))*107,0)+IFERROR(--ISNUMBER(SEARCH("R108",G386))*108,0)+IFERROR(--ISNUMBER(SEARCH("R109",G386))*109,0)+IFERROR(--ISNUMBER(SEARCH("R110",G386))*110,0)+IFERROR(--ISNUMBER(SEARCH("R111",G386))*111,0)+IFERROR(--ISNUMBER(SEARCH("R112",G386))*112,0)+IFERROR(--ISNUMBER(SEARCH("R113",G386))*113,0)+IFERROR(--ISNUMBER(SEARCH("R114",G386))*114,0)+IFERROR(--ISNUMBER(SEARCH("R115",G386))*115,0)+IFERROR(--ISNUMBER(SEARCH("R116",G386))*116,0)+IFERROR(--ISNUMBER(SEARCH("R117",G386))*117,0)+IFERROR(--ISNUMBER(SEARCH("R118",G386))*118,0)+IFERROR(--ISNUMBER(SEARCH("R119",G386))*119,0)+IFERROR(--ISNUMBER(SEARCH("R120",G386))*120,0)+IFERROR(--ISNUMBER(SEARCH("R121",G386))*121,0)+IFERROR(--ISNUMBER(SEARCH("R122",G386))*122,0)+IFERROR(--ISNUMBER(SEARCH("R123",G386))*123,0)+IFERROR(--ISNUMBER(SEARCH("R124",G386))*124,0)+IFERROR(--ISNUMBER(SEARCH("R125",G386))*125,0)+IFERROR(--ISNUMBER(SEARCH("R126",G386))*126,0)+IFERROR(--ISNUMBER(SEARCH("R127",G386))*127,0)+IFERROR(--ISNUMBER(SEARCH("R128",G386))*128,0)+IFERROR(--ISNUMBER(SEARCH("R129",G386))*129,0)+IFERROR(--ISNUMBER(SEARCH("R130",G386))*130,0)+IFERROR(--ISNUMBER(SEARCH("R131",G386))*131,0)+IFERROR(--ISNUMBER(SEARCH("R132",G386))*132,0)+IFERROR(--ISNUMBER(SEARCH("R133",G386))*133,0)+IFERROR(--ISNUMBER(SEARCH("R134",G386))*134,0)+IFERROR(--ISNUMBER(SEARCH("R135",G386))*135,0)+IFERROR(--ISNUMBER(SEARCH("R136",G386))*136,0)+IFERROR(--ISNUMBER(SEARCH("R137",G386))*137,0)+IFERROR(--ISNUMBER(SEARCH("R138",G386))*138,0)+IFERROR(--ISNUMBER(SEARCH("R139",G386))*139,0)+IFERROR(--ISNUMBER(SEARCH("R140",G386))*140,0)+IFERROR(--ISNUMBER(SEARCH("R141",G386))*141,0))</f>
        <v/>
      </c>
      <c r="V386" s="59">
        <f>IF(A386="","",IF(K386&lt;&gt;"",K386,J386))</f>
        <v/>
      </c>
      <c r="W386" s="59">
        <f>IF(A386="","",IF(AND(V386=29,O386&lt;&gt;"",COUNTIFS($V$6:$V$505,29,$F$6:$F$505,F386,$C$6:$C$505,C386,$O$6:$O$505,"&lt;&gt;")&gt;1),IF(COUNTIFS($V$6:V386,29,$F$6:F386,F386,$C$6:C386,C386,$O$6:O386,"&lt;&gt;")=1,"Esta es la fila que se debe CONSERVAR (aparición 1 de "&amp;COUNTIFS($V$6:$V$505,29,$F$6:$F$505,F386,$C$6:$C$505,C386,$O$6:$O$505,"&lt;&gt;")&amp;" con el mismo tercero y valor, casilla 29). Si hay más filas iguales, bórreles el valor a ELLAS, no a esta.","DUPLICADO — ya existe otra fila con el mismo tercero y valor para casilla 29 (aparición "&amp;COUNTIFS($V$6:V386,29,$F$6:F386,F386,$C$6:C386,C386,$O$6:O386,"&lt;&gt;")&amp;" de "&amp;COUNTIFS($V$6:$V$505,29,$F$6:$F$505,F386,$C$6:$C$505,C386,$O$6:$O$505,"&lt;&gt;")&amp;"). Para resolverlo: seleccione la celda O"&amp;ROW()&amp;" (columna Valor a declarar de ESTA fila) y presione Supr."),""))</f>
        <v/>
      </c>
      <c r="X386" s="463">
        <f>IF(A386="","",F386)</f>
        <v/>
      </c>
      <c r="Y386" s="463">
        <f>IF(A386="","",SUMIF(Entrada_Manual!$I$88:$I$187,A386,Entrada_Manual!$F$88:$F$187))</f>
        <v/>
      </c>
      <c r="Z386" s="463">
        <f>IF(A386="","",X386-Y386)</f>
        <v/>
      </c>
      <c r="AA386">
        <f>IF(A386="","",SUMPRODUCT((Entrada_Manual!$I$88:$I$187=A386)*1))</f>
        <v/>
      </c>
      <c r="AB386">
        <f>IF(A386="","",IF(S386&lt;=1,"",IF(AA386=0,"PENDIENTE — SIN ASIGNAR",IF(Z386=0,"RESUELTO","PARCIAL — DIFERENCIA "&amp;TEXT(Z386,"#,##0")))))</f>
        <v/>
      </c>
    </row>
    <row r="387" ht="14.25" customHeight="1" s="235">
      <c r="A387" s="47">
        <f>IF(Exogena_RAW!E396&lt;&gt;"",ROW()-5,"")</f>
        <v/>
      </c>
      <c r="B387" s="48">
        <f>IF(A387="","",396)</f>
        <v/>
      </c>
      <c r="C387" s="48">
        <f>IF(A387="","",IFERROR(Exogena_RAW!A396,""))</f>
        <v/>
      </c>
      <c r="D387" s="48">
        <f>IF(A387="","",IFERROR(Exogena_RAW!B396,""))</f>
        <v/>
      </c>
      <c r="E387" s="48">
        <f>IF(A387="","",Exogena_RAW!E396)</f>
        <v/>
      </c>
      <c r="F387" s="461">
        <f>IF(A387="","",Exogena_RAW!F396)</f>
        <v/>
      </c>
      <c r="G387" s="48">
        <f>IF(A387="","",IFERROR(Exogena_RAW!G396,""))</f>
        <v/>
      </c>
      <c r="H387" s="48">
        <f>IF(A387="","",IFERROR(Exogena_RAW!H396,""))</f>
        <v/>
      </c>
      <c r="I387" s="48">
        <f>IF(A387="","",IFERROR(IF(S387&gt;1,"VARIAS CASILLAS",IF(S387=1,IF(T387=1,"PROPUESTA DE CASILLA","REVISIÓN: CASILLA NO DIRECTA"),IF(OR(ISNUMBER(SEARCH("TOPE",UPPER(E387))),ISNUMBER(SEARCH("TOPE",UPPER(G387)))),"SOLO CONTROL",IF(ISNUMBER(SEARCH("RETEN",UPPER(E387))),"RETENCIÓN","REVISAR")))),"REVISAR"))</f>
        <v/>
      </c>
      <c r="J387" s="48">
        <f>IF(A387="","",IF(ISNUMBER(SEARCH("ingreso laboral promedio de los últimos seis meses",E387)),"",IFERROR(IF(AND(S387=1,T387=1),U387,""),"")))</f>
        <v/>
      </c>
      <c r="K387" s="216" t="n"/>
      <c r="L387" s="48">
        <f>IF(A387="","",IFERROR(IF(K387&lt;&gt;"","Casilla elegida por usuario",IF(S387&gt;1,"Varias casillas — elegir en K",IF(J387&lt;&gt;"","Sugerencia directa",IF(S387=1,"No trasladar directo — revisar",IF(OR(ISNUMBER(SEARCH("TOPE",UPPER(E387))),ISNUMBER(SEARCH("TOPE",UPPER(G387)))),"Solo control","Revisar manualmente"))))),"Revisar manualmente"))</f>
        <v/>
      </c>
      <c r="M387" s="461">
        <f>IF(A387="","",IF(IF(K387&lt;&gt;"",K387,J387)="",0,IF(COUNTIFS(Reglas!$I$5:$I$118,IF(K387&lt;&gt;"",K387,J387),Reglas!$J$5:$J$118,"Sí")=1,F387,0)))</f>
        <v/>
      </c>
      <c r="N387" s="56" t="n"/>
      <c r="O387" s="462">
        <f>IF(A387="","",IF(M387=0,"",M387))</f>
        <v/>
      </c>
      <c r="P387" s="461">
        <f>IF(A387="","",IF(O387="",0,IF(ISNUMBER(O387),O387,0)))</f>
        <v/>
      </c>
      <c r="Q387" s="48">
        <f>IF(A387="","",IF(Exogena_RAW!$C$4="","BLOQUEADO: FALTA AÑO",IF(Exogena_RAW!$K$10&lt;&gt;Reglas!$B$5,"BLOQUEADO: AÑO",IF(IF(K387&lt;&gt;"",K387,J387)="",IF(S387&gt;1,"REQUIERE ASIGNACIÓN MANUAL (VARIAS CASILLAS)","INFORMATIVO (sin casilla — no se declara)"),IF(COUNTIFS(Reglas!$I$5:$I$118,IF(K387&lt;&gt;"",K387,J387),Reglas!$J$5:$J$118,"Sí")=0,"BLOQUEADO: CASILLA NO DIRECTA",IF(O387="","EXCLUIDO (valor borrado por el usuario)",IF(_xlfn.ISFORMULA(O387),IF(W387&lt;&gt;"","BORRADOR — VALOR SUGERIDO DIAN ⚠ VER ALERTA","BORRADOR — VALOR SUGERIDO DIAN"),IF(W387&lt;&gt;"","ACEPTADO ⚠ VER ALERTA","ACEPTADO"))))))))</f>
        <v/>
      </c>
      <c r="R387" s="218" t="n"/>
      <c r="S387" s="58">
        <f>IF(A387="","",IFERROR(--ISNUMBER(SEARCH("R28",G387)),0)+IFERROR(--ISNUMBER(SEARCH("R29",G387)),0)+IFERROR(--ISNUMBER(SEARCH("R30",G387)),0)+IFERROR(--ISNUMBER(SEARCH("R31",G387)),0)+IFERROR(--ISNUMBER(SEARCH("R32",G387)),0)+IFERROR(--ISNUMBER(SEARCH("R33",G387)),0)+IFERROR(--ISNUMBER(SEARCH("R34",G387)),0)+IFERROR(--ISNUMBER(SEARCH("R35",G387)),0)+IFERROR(--ISNUMBER(SEARCH("R36",G387)),0)+IFERROR(--ISNUMBER(SEARCH("R37",G387)),0)+IFERROR(--ISNUMBER(SEARCH("R38",G387)),0)+IFERROR(--ISNUMBER(SEARCH("R39",G387)),0)+IFERROR(--ISNUMBER(SEARCH("R40",G387)),0)+IFERROR(--ISNUMBER(SEARCH("R41",G387)),0)+IFERROR(--ISNUMBER(SEARCH("R42",G387)),0)+IFERROR(--ISNUMBER(SEARCH("R43",G387)),0)+IFERROR(--ISNUMBER(SEARCH("R44",G387)),0)+IFERROR(--ISNUMBER(SEARCH("R45",G387)),0)+IFERROR(--ISNUMBER(SEARCH("R46",G387)),0)+IFERROR(--ISNUMBER(SEARCH("R47",G387)),0)+IFERROR(--ISNUMBER(SEARCH("R48",G387)),0)+IFERROR(--ISNUMBER(SEARCH("R49",G387)),0)+IFERROR(--ISNUMBER(SEARCH("R50",G387)),0)+IFERROR(--ISNUMBER(SEARCH("R51",G387)),0)+IFERROR(--ISNUMBER(SEARCH("R52",G387)),0)+IFERROR(--ISNUMBER(SEARCH("R53",G387)),0)+IFERROR(--ISNUMBER(SEARCH("R54",G387)),0)+IFERROR(--ISNUMBER(SEARCH("R55",G387)),0)+IFERROR(--ISNUMBER(SEARCH("R56",G387)),0)+IFERROR(--ISNUMBER(SEARCH("R57",G387)),0)+IFERROR(--ISNUMBER(SEARCH("R58",G387)),0)+IFERROR(--ISNUMBER(SEARCH("R59",G387)),0)+IFERROR(--ISNUMBER(SEARCH("R60",G387)),0)+IFERROR(--ISNUMBER(SEARCH("R61",G387)),0)+IFERROR(--ISNUMBER(SEARCH("R62",G387)),0)+IFERROR(--ISNUMBER(SEARCH("R63",G387)),0)+IFERROR(--ISNUMBER(SEARCH("R64",G387)),0)+IFERROR(--ISNUMBER(SEARCH("R65",G387)),0)+IFERROR(--ISNUMBER(SEARCH("R66",G387)),0)+IFERROR(--ISNUMBER(SEARCH("R67",G387)),0)+IFERROR(--ISNUMBER(SEARCH("R68",G387)),0)+IFERROR(--ISNUMBER(SEARCH("R69",G387)),0)+IFERROR(--ISNUMBER(SEARCH("R70",G387)),0)+IFERROR(--ISNUMBER(SEARCH("R71",G387)),0)+IFERROR(--ISNUMBER(SEARCH("R72",G387)),0)+IFERROR(--ISNUMBER(SEARCH("R73",G387)),0)+IFERROR(--ISNUMBER(SEARCH("R74",G387)),0)+IFERROR(--ISNUMBER(SEARCH("R75",G387)),0)+IFERROR(--ISNUMBER(SEARCH("R76",G387)),0)+IFERROR(--ISNUMBER(SEARCH("R77",G387)),0)+IFERROR(--ISNUMBER(SEARCH("R78",G387)),0)+IFERROR(--ISNUMBER(SEARCH("R79",G387)),0)+IFERROR(--ISNUMBER(SEARCH("R80",G387)),0)+IFERROR(--ISNUMBER(SEARCH("R81",G387)),0)+IFERROR(--ISNUMBER(SEARCH("R82",G387)),0)+IFERROR(--ISNUMBER(SEARCH("R83",G387)),0)+IFERROR(--ISNUMBER(SEARCH("R84",G387)),0)+IFERROR(--ISNUMBER(SEARCH("R85",G387)),0)+IFERROR(--ISNUMBER(SEARCH("R86",G387)),0)+IFERROR(--ISNUMBER(SEARCH("R87",G387)),0)+IFERROR(--ISNUMBER(SEARCH("R88",G387)),0)+IFERROR(--ISNUMBER(SEARCH("R89",G387)),0)+IFERROR(--ISNUMBER(SEARCH("R90",G387)),0)+IFERROR(--ISNUMBER(SEARCH("R91",G387)),0)+IFERROR(--ISNUMBER(SEARCH("R92",G387)),0)+IFERROR(--ISNUMBER(SEARCH("R93",G387)),0)+IFERROR(--ISNUMBER(SEARCH("R94",G387)),0)+IFERROR(--ISNUMBER(SEARCH("R95",G387)),0)+IFERROR(--ISNUMBER(SEARCH("R96",G387)),0)+IFERROR(--ISNUMBER(SEARCH("R97",G387)),0)+IFERROR(--ISNUMBER(SEARCH("R98",G387)),0)+IFERROR(--ISNUMBER(SEARCH("R99",G387)),0)+IFERROR(--ISNUMBER(SEARCH("R100",G387)),0)+IFERROR(--ISNUMBER(SEARCH("R101",G387)),0)+IFERROR(--ISNUMBER(SEARCH("R102",G387)),0)+IFERROR(--ISNUMBER(SEARCH("R103",G387)),0)+IFERROR(--ISNUMBER(SEARCH("R104",G387)),0)+IFERROR(--ISNUMBER(SEARCH("R105",G387)),0)+IFERROR(--ISNUMBER(SEARCH("R106",G387)),0)+IFERROR(--ISNUMBER(SEARCH("R107",G387)),0)+IFERROR(--ISNUMBER(SEARCH("R108",G387)),0)+IFERROR(--ISNUMBER(SEARCH("R109",G387)),0)+IFERROR(--ISNUMBER(SEARCH("R110",G387)),0)+IFERROR(--ISNUMBER(SEARCH("R111",G387)),0)+IFERROR(--ISNUMBER(SEARCH("R112",G387)),0)+IFERROR(--ISNUMBER(SEARCH("R113",G387)),0)+IFERROR(--ISNUMBER(SEARCH("R114",G387)),0)+IFERROR(--ISNUMBER(SEARCH("R115",G387)),0)+IFERROR(--ISNUMBER(SEARCH("R116",G387)),0)+IFERROR(--ISNUMBER(SEARCH("R117",G387)),0)+IFERROR(--ISNUMBER(SEARCH("R118",G387)),0)+IFERROR(--ISNUMBER(SEARCH("R119",G387)),0)+IFERROR(--ISNUMBER(SEARCH("R120",G387)),0)+IFERROR(--ISNUMBER(SEARCH("R121",G387)),0)+IFERROR(--ISNUMBER(SEARCH("R122",G387)),0)+IFERROR(--ISNUMBER(SEARCH("R123",G387)),0)+IFERROR(--ISNUMBER(SEARCH("R124",G387)),0)+IFERROR(--ISNUMBER(SEARCH("R125",G387)),0)+IFERROR(--ISNUMBER(SEARCH("R126",G387)),0)+IFERROR(--ISNUMBER(SEARCH("R127",G387)),0)+IFERROR(--ISNUMBER(SEARCH("R128",G387)),0)+IFERROR(--ISNUMBER(SEARCH("R129",G387)),0)+IFERROR(--ISNUMBER(SEARCH("R130",G387)),0)+IFERROR(--ISNUMBER(SEARCH("R131",G387)),0)+IFERROR(--ISNUMBER(SEARCH("R132",G387)),0)+IFERROR(--ISNUMBER(SEARCH("R133",G387)),0)+IFERROR(--ISNUMBER(SEARCH("R134",G387)),0)+IFERROR(--ISNUMBER(SEARCH("R135",G387)),0)+IFERROR(--ISNUMBER(SEARCH("R136",G387)),0)+IFERROR(--ISNUMBER(SEARCH("R137",G387)),0)+IFERROR(--ISNUMBER(SEARCH("R138",G387)),0)+IFERROR(--ISNUMBER(SEARCH("R139",G387)),0)+IFERROR(--ISNUMBER(SEARCH("R140",G387)),0)+IFERROR(--ISNUMBER(SEARCH("R141",G387)),0))</f>
        <v/>
      </c>
      <c r="T387" s="58">
        <f>IF(A387="","",IFERROR(--ISNUMBER(SEARCH("R28",G387)),0)+IFERROR(--ISNUMBER(SEARCH("R29",G387)),0)+IFERROR(--ISNUMBER(SEARCH("R30",G387)),0)+IFERROR(--ISNUMBER(SEARCH("R32",G387)),0)+IFERROR(--ISNUMBER(SEARCH("R33",G387)),0)+IFERROR(--ISNUMBER(SEARCH("R35",G387)),0)+IFERROR(--ISNUMBER(SEARCH("R36",G387)),0)+IFERROR(--ISNUMBER(SEARCH("R38",G387)),0)+IFERROR(--ISNUMBER(SEARCH("R39",G387)),0)+IFERROR(--ISNUMBER(SEARCH("R43",G387)),0)+IFERROR(--ISNUMBER(SEARCH("R44",G387)),0)+IFERROR(--ISNUMBER(SEARCH("R45",G387)),0)+IFERROR(--ISNUMBER(SEARCH("R47",G387)),0)+IFERROR(--ISNUMBER(SEARCH("R48",G387)),0)+IFERROR(--ISNUMBER(SEARCH("R50",G387)),0)+IFERROR(--ISNUMBER(SEARCH("R51",G387)),0)+IFERROR(--ISNUMBER(SEARCH("R56",G387)),0)+IFERROR(--ISNUMBER(SEARCH("R58",G387)),0)+IFERROR(--ISNUMBER(SEARCH("R59",G387)),0)+IFERROR(--ISNUMBER(SEARCH("R60",G387)),0)+IFERROR(--ISNUMBER(SEARCH("R62",G387)),0)+IFERROR(--ISNUMBER(SEARCH("R63",G387)),0)+IFERROR(--ISNUMBER(SEARCH("R64",G387)),0)+IFERROR(--ISNUMBER(SEARCH("R66",G387)),0)+IFERROR(--ISNUMBER(SEARCH("R67",G387)),0)+IFERROR(--ISNUMBER(SEARCH("R72",G387)),0)+IFERROR(--ISNUMBER(SEARCH("R74",G387)),0)+IFERROR(--ISNUMBER(SEARCH("R75",G387)),0)+IFERROR(--ISNUMBER(SEARCH("R76",G387)),0)+IFERROR(--ISNUMBER(SEARCH("R77",G387)),0)+IFERROR(--ISNUMBER(SEARCH("R79",G387)),0)+IFERROR(--ISNUMBER(SEARCH("R80",G387)),0)+IFERROR(--ISNUMBER(SEARCH("R81",G387)),0)+IFERROR(--ISNUMBER(SEARCH("R83",G387)),0)+IFERROR(--ISNUMBER(SEARCH("R84",G387)),0)+IFERROR(--ISNUMBER(SEARCH("R89",G387)),0)+IFERROR(--ISNUMBER(SEARCH("R94",G387)),0)+IFERROR(--ISNUMBER(SEARCH("R95",G387)),0)+IFERROR(--ISNUMBER(SEARCH("R96",G387)),0)+IFERROR(--ISNUMBER(SEARCH("R98",G387)),0)+IFERROR(--ISNUMBER(SEARCH("R99",G387)),0)+IFERROR(--ISNUMBER(SEARCH("R100",G387)),0)+IFERROR(--ISNUMBER(SEARCH("R104",G387)),0)+IFERROR(--ISNUMBER(SEARCH("R105",G387)),0)+IFERROR(--ISNUMBER(SEARCH("R107",G387)),0)+IFERROR(--ISNUMBER(SEARCH("R108",G387)),0)+IFERROR(--ISNUMBER(SEARCH("R109",G387)),0)+IFERROR(--ISNUMBER(SEARCH("R110",G387)),0)+IFERROR(--ISNUMBER(SEARCH("R112",G387)),0)+IFERROR(--ISNUMBER(SEARCH("R113",G387)),0)+IFERROR(--ISNUMBER(SEARCH("R114",G387)),0)+IFERROR(--ISNUMBER(SEARCH("R118",G387)),0)+IFERROR(--ISNUMBER(SEARCH("R119",G387)),0)+IFERROR(--ISNUMBER(SEARCH("R120",G387)),0)+IFERROR(--ISNUMBER(SEARCH("R122",G387)),0)+IFERROR(--ISNUMBER(SEARCH("R123",G387)),0)+IFERROR(--ISNUMBER(SEARCH("R124",G387)),0)+IFERROR(--ISNUMBER(SEARCH("R128",G387)),0)+IFERROR(--ISNUMBER(SEARCH("R130",G387)),0)+IFERROR(--ISNUMBER(SEARCH("R131",G387)),0)+IFERROR(--ISNUMBER(SEARCH("R132",G387)),0)+IFERROR(--ISNUMBER(SEARCH("R135",G387)),0)+IFERROR(--ISNUMBER(SEARCH("R138",G387)),0)+IFERROR(--ISNUMBER(SEARCH("R141",G387)),0))</f>
        <v/>
      </c>
      <c r="U387" s="58">
        <f>IF(A387="","",IFERROR(--ISNUMBER(SEARCH("R28",G387))*28,0)+IFERROR(--ISNUMBER(SEARCH("R29",G387))*29,0)+IFERROR(--ISNUMBER(SEARCH("R30",G387))*30,0)+IFERROR(--ISNUMBER(SEARCH("R31",G387))*31,0)+IFERROR(--ISNUMBER(SEARCH("R32",G387))*32,0)+IFERROR(--ISNUMBER(SEARCH("R33",G387))*33,0)+IFERROR(--ISNUMBER(SEARCH("R34",G387))*34,0)+IFERROR(--ISNUMBER(SEARCH("R35",G387))*35,0)+IFERROR(--ISNUMBER(SEARCH("R36",G387))*36,0)+IFERROR(--ISNUMBER(SEARCH("R37",G387))*37,0)+IFERROR(--ISNUMBER(SEARCH("R38",G387))*38,0)+IFERROR(--ISNUMBER(SEARCH("R39",G387))*39,0)+IFERROR(--ISNUMBER(SEARCH("R40",G387))*40,0)+IFERROR(--ISNUMBER(SEARCH("R41",G387))*41,0)+IFERROR(--ISNUMBER(SEARCH("R42",G387))*42,0)+IFERROR(--ISNUMBER(SEARCH("R43",G387))*43,0)+IFERROR(--ISNUMBER(SEARCH("R44",G387))*44,0)+IFERROR(--ISNUMBER(SEARCH("R45",G387))*45,0)+IFERROR(--ISNUMBER(SEARCH("R46",G387))*46,0)+IFERROR(--ISNUMBER(SEARCH("R47",G387))*47,0)+IFERROR(--ISNUMBER(SEARCH("R48",G387))*48,0)+IFERROR(--ISNUMBER(SEARCH("R49",G387))*49,0)+IFERROR(--ISNUMBER(SEARCH("R50",G387))*50,0)+IFERROR(--ISNUMBER(SEARCH("R51",G387))*51,0)+IFERROR(--ISNUMBER(SEARCH("R52",G387))*52,0)+IFERROR(--ISNUMBER(SEARCH("R53",G387))*53,0)+IFERROR(--ISNUMBER(SEARCH("R54",G387))*54,0)+IFERROR(--ISNUMBER(SEARCH("R55",G387))*55,0)+IFERROR(--ISNUMBER(SEARCH("R56",G387))*56,0)+IFERROR(--ISNUMBER(SEARCH("R57",G387))*57,0)+IFERROR(--ISNUMBER(SEARCH("R58",G387))*58,0)+IFERROR(--ISNUMBER(SEARCH("R59",G387))*59,0)+IFERROR(--ISNUMBER(SEARCH("R60",G387))*60,0)+IFERROR(--ISNUMBER(SEARCH("R61",G387))*61,0)+IFERROR(--ISNUMBER(SEARCH("R62",G387))*62,0)+IFERROR(--ISNUMBER(SEARCH("R63",G387))*63,0)+IFERROR(--ISNUMBER(SEARCH("R64",G387))*64,0)+IFERROR(--ISNUMBER(SEARCH("R65",G387))*65,0)+IFERROR(--ISNUMBER(SEARCH("R66",G387))*66,0)+IFERROR(--ISNUMBER(SEARCH("R67",G387))*67,0)+IFERROR(--ISNUMBER(SEARCH("R68",G387))*68,0)+IFERROR(--ISNUMBER(SEARCH("R69",G387))*69,0)+IFERROR(--ISNUMBER(SEARCH("R70",G387))*70,0)+IFERROR(--ISNUMBER(SEARCH("R71",G387))*71,0)+IFERROR(--ISNUMBER(SEARCH("R72",G387))*72,0)+IFERROR(--ISNUMBER(SEARCH("R73",G387))*73,0)+IFERROR(--ISNUMBER(SEARCH("R74",G387))*74,0)+IFERROR(--ISNUMBER(SEARCH("R75",G387))*75,0)+IFERROR(--ISNUMBER(SEARCH("R76",G387))*76,0)+IFERROR(--ISNUMBER(SEARCH("R77",G387))*77,0)+IFERROR(--ISNUMBER(SEARCH("R78",G387))*78,0)+IFERROR(--ISNUMBER(SEARCH("R79",G387))*79,0)+IFERROR(--ISNUMBER(SEARCH("R80",G387))*80,0)+IFERROR(--ISNUMBER(SEARCH("R81",G387))*81,0)+IFERROR(--ISNUMBER(SEARCH("R82",G387))*82,0)+IFERROR(--ISNUMBER(SEARCH("R83",G387))*83,0)+IFERROR(--ISNUMBER(SEARCH("R84",G387))*84,0)+IFERROR(--ISNUMBER(SEARCH("R85",G387))*85,0)+IFERROR(--ISNUMBER(SEARCH("R86",G387))*86,0)+IFERROR(--ISNUMBER(SEARCH("R87",G387))*87,0)+IFERROR(--ISNUMBER(SEARCH("R88",G387))*88,0)+IFERROR(--ISNUMBER(SEARCH("R89",G387))*89,0)+IFERROR(--ISNUMBER(SEARCH("R90",G387))*90,0)+IFERROR(--ISNUMBER(SEARCH("R91",G387))*91,0)+IFERROR(--ISNUMBER(SEARCH("R92",G387))*92,0)+IFERROR(--ISNUMBER(SEARCH("R93",G387))*93,0)+IFERROR(--ISNUMBER(SEARCH("R94",G387))*94,0)+IFERROR(--ISNUMBER(SEARCH("R95",G387))*95,0)+IFERROR(--ISNUMBER(SEARCH("R96",G387))*96,0)+IFERROR(--ISNUMBER(SEARCH("R97",G387))*97,0)+IFERROR(--ISNUMBER(SEARCH("R98",G387))*98,0)+IFERROR(--ISNUMBER(SEARCH("R99",G387))*99,0)+IFERROR(--ISNUMBER(SEARCH("R100",G387))*100,0)+IFERROR(--ISNUMBER(SEARCH("R101",G387))*101,0)+IFERROR(--ISNUMBER(SEARCH("R102",G387))*102,0)+IFERROR(--ISNUMBER(SEARCH("R103",G387))*103,0)+IFERROR(--ISNUMBER(SEARCH("R104",G387))*104,0)+IFERROR(--ISNUMBER(SEARCH("R105",G387))*105,0)+IFERROR(--ISNUMBER(SEARCH("R106",G387))*106,0)+IFERROR(--ISNUMBER(SEARCH("R107",G387))*107,0)+IFERROR(--ISNUMBER(SEARCH("R108",G387))*108,0)+IFERROR(--ISNUMBER(SEARCH("R109",G387))*109,0)+IFERROR(--ISNUMBER(SEARCH("R110",G387))*110,0)+IFERROR(--ISNUMBER(SEARCH("R111",G387))*111,0)+IFERROR(--ISNUMBER(SEARCH("R112",G387))*112,0)+IFERROR(--ISNUMBER(SEARCH("R113",G387))*113,0)+IFERROR(--ISNUMBER(SEARCH("R114",G387))*114,0)+IFERROR(--ISNUMBER(SEARCH("R115",G387))*115,0)+IFERROR(--ISNUMBER(SEARCH("R116",G387))*116,0)+IFERROR(--ISNUMBER(SEARCH("R117",G387))*117,0)+IFERROR(--ISNUMBER(SEARCH("R118",G387))*118,0)+IFERROR(--ISNUMBER(SEARCH("R119",G387))*119,0)+IFERROR(--ISNUMBER(SEARCH("R120",G387))*120,0)+IFERROR(--ISNUMBER(SEARCH("R121",G387))*121,0)+IFERROR(--ISNUMBER(SEARCH("R122",G387))*122,0)+IFERROR(--ISNUMBER(SEARCH("R123",G387))*123,0)+IFERROR(--ISNUMBER(SEARCH("R124",G387))*124,0)+IFERROR(--ISNUMBER(SEARCH("R125",G387))*125,0)+IFERROR(--ISNUMBER(SEARCH("R126",G387))*126,0)+IFERROR(--ISNUMBER(SEARCH("R127",G387))*127,0)+IFERROR(--ISNUMBER(SEARCH("R128",G387))*128,0)+IFERROR(--ISNUMBER(SEARCH("R129",G387))*129,0)+IFERROR(--ISNUMBER(SEARCH("R130",G387))*130,0)+IFERROR(--ISNUMBER(SEARCH("R131",G387))*131,0)+IFERROR(--ISNUMBER(SEARCH("R132",G387))*132,0)+IFERROR(--ISNUMBER(SEARCH("R133",G387))*133,0)+IFERROR(--ISNUMBER(SEARCH("R134",G387))*134,0)+IFERROR(--ISNUMBER(SEARCH("R135",G387))*135,0)+IFERROR(--ISNUMBER(SEARCH("R136",G387))*136,0)+IFERROR(--ISNUMBER(SEARCH("R137",G387))*137,0)+IFERROR(--ISNUMBER(SEARCH("R138",G387))*138,0)+IFERROR(--ISNUMBER(SEARCH("R139",G387))*139,0)+IFERROR(--ISNUMBER(SEARCH("R140",G387))*140,0)+IFERROR(--ISNUMBER(SEARCH("R141",G387))*141,0))</f>
        <v/>
      </c>
      <c r="V387" s="59">
        <f>IF(A387="","",IF(K387&lt;&gt;"",K387,J387))</f>
        <v/>
      </c>
      <c r="W387" s="59">
        <f>IF(A387="","",IF(AND(V387=29,O387&lt;&gt;"",COUNTIFS($V$6:$V$505,29,$F$6:$F$505,F387,$C$6:$C$505,C387,$O$6:$O$505,"&lt;&gt;")&gt;1),IF(COUNTIFS($V$6:V387,29,$F$6:F387,F387,$C$6:C387,C387,$O$6:O387,"&lt;&gt;")=1,"Esta es la fila que se debe CONSERVAR (aparición 1 de "&amp;COUNTIFS($V$6:$V$505,29,$F$6:$F$505,F387,$C$6:$C$505,C387,$O$6:$O$505,"&lt;&gt;")&amp;" con el mismo tercero y valor, casilla 29). Si hay más filas iguales, bórreles el valor a ELLAS, no a esta.","DUPLICADO — ya existe otra fila con el mismo tercero y valor para casilla 29 (aparición "&amp;COUNTIFS($V$6:V387,29,$F$6:F387,F387,$C$6:C387,C387,$O$6:O387,"&lt;&gt;")&amp;" de "&amp;COUNTIFS($V$6:$V$505,29,$F$6:$F$505,F387,$C$6:$C$505,C387,$O$6:$O$505,"&lt;&gt;")&amp;"). Para resolverlo: seleccione la celda O"&amp;ROW()&amp;" (columna Valor a declarar de ESTA fila) y presione Supr."),""))</f>
        <v/>
      </c>
      <c r="X387" s="463">
        <f>IF(A387="","",F387)</f>
        <v/>
      </c>
      <c r="Y387" s="463">
        <f>IF(A387="","",SUMIF(Entrada_Manual!$I$88:$I$187,A387,Entrada_Manual!$F$88:$F$187))</f>
        <v/>
      </c>
      <c r="Z387" s="463">
        <f>IF(A387="","",X387-Y387)</f>
        <v/>
      </c>
      <c r="AA387">
        <f>IF(A387="","",SUMPRODUCT((Entrada_Manual!$I$88:$I$187=A387)*1))</f>
        <v/>
      </c>
      <c r="AB387">
        <f>IF(A387="","",IF(S387&lt;=1,"",IF(AA387=0,"PENDIENTE — SIN ASIGNAR",IF(Z387=0,"RESUELTO","PARCIAL — DIFERENCIA "&amp;TEXT(Z387,"#,##0")))))</f>
        <v/>
      </c>
    </row>
    <row r="388" ht="14.25" customHeight="1" s="235">
      <c r="A388" s="47">
        <f>IF(Exogena_RAW!E397&lt;&gt;"",ROW()-5,"")</f>
        <v/>
      </c>
      <c r="B388" s="48">
        <f>IF(A388="","",397)</f>
        <v/>
      </c>
      <c r="C388" s="48">
        <f>IF(A388="","",IFERROR(Exogena_RAW!A397,""))</f>
        <v/>
      </c>
      <c r="D388" s="48">
        <f>IF(A388="","",IFERROR(Exogena_RAW!B397,""))</f>
        <v/>
      </c>
      <c r="E388" s="48">
        <f>IF(A388="","",Exogena_RAW!E397)</f>
        <v/>
      </c>
      <c r="F388" s="461">
        <f>IF(A388="","",Exogena_RAW!F397)</f>
        <v/>
      </c>
      <c r="G388" s="48">
        <f>IF(A388="","",IFERROR(Exogena_RAW!G397,""))</f>
        <v/>
      </c>
      <c r="H388" s="48">
        <f>IF(A388="","",IFERROR(Exogena_RAW!H397,""))</f>
        <v/>
      </c>
      <c r="I388" s="48">
        <f>IF(A388="","",IFERROR(IF(S388&gt;1,"VARIAS CASILLAS",IF(S388=1,IF(T388=1,"PROPUESTA DE CASILLA","REVISIÓN: CASILLA NO DIRECTA"),IF(OR(ISNUMBER(SEARCH("TOPE",UPPER(E388))),ISNUMBER(SEARCH("TOPE",UPPER(G388)))),"SOLO CONTROL",IF(ISNUMBER(SEARCH("RETEN",UPPER(E388))),"RETENCIÓN","REVISAR")))),"REVISAR"))</f>
        <v/>
      </c>
      <c r="J388" s="48">
        <f>IF(A388="","",IF(ISNUMBER(SEARCH("ingreso laboral promedio de los últimos seis meses",E388)),"",IFERROR(IF(AND(S388=1,T388=1),U388,""),"")))</f>
        <v/>
      </c>
      <c r="K388" s="216" t="n"/>
      <c r="L388" s="48">
        <f>IF(A388="","",IFERROR(IF(K388&lt;&gt;"","Casilla elegida por usuario",IF(S388&gt;1,"Varias casillas — elegir en K",IF(J388&lt;&gt;"","Sugerencia directa",IF(S388=1,"No trasladar directo — revisar",IF(OR(ISNUMBER(SEARCH("TOPE",UPPER(E388))),ISNUMBER(SEARCH("TOPE",UPPER(G388)))),"Solo control","Revisar manualmente"))))),"Revisar manualmente"))</f>
        <v/>
      </c>
      <c r="M388" s="461">
        <f>IF(A388="","",IF(IF(K388&lt;&gt;"",K388,J388)="",0,IF(COUNTIFS(Reglas!$I$5:$I$118,IF(K388&lt;&gt;"",K388,J388),Reglas!$J$5:$J$118,"Sí")=1,F388,0)))</f>
        <v/>
      </c>
      <c r="N388" s="56" t="n"/>
      <c r="O388" s="462">
        <f>IF(A388="","",IF(M388=0,"",M388))</f>
        <v/>
      </c>
      <c r="P388" s="461">
        <f>IF(A388="","",IF(O388="",0,IF(ISNUMBER(O388),O388,0)))</f>
        <v/>
      </c>
      <c r="Q388" s="48">
        <f>IF(A388="","",IF(Exogena_RAW!$C$4="","BLOQUEADO: FALTA AÑO",IF(Exogena_RAW!$K$10&lt;&gt;Reglas!$B$5,"BLOQUEADO: AÑO",IF(IF(K388&lt;&gt;"",K388,J388)="",IF(S388&gt;1,"REQUIERE ASIGNACIÓN MANUAL (VARIAS CASILLAS)","INFORMATIVO (sin casilla — no se declara)"),IF(COUNTIFS(Reglas!$I$5:$I$118,IF(K388&lt;&gt;"",K388,J388),Reglas!$J$5:$J$118,"Sí")=0,"BLOQUEADO: CASILLA NO DIRECTA",IF(O388="","EXCLUIDO (valor borrado por el usuario)",IF(_xlfn.ISFORMULA(O388),IF(W388&lt;&gt;"","BORRADOR — VALOR SUGERIDO DIAN ⚠ VER ALERTA","BORRADOR — VALOR SUGERIDO DIAN"),IF(W388&lt;&gt;"","ACEPTADO ⚠ VER ALERTA","ACEPTADO"))))))))</f>
        <v/>
      </c>
      <c r="R388" s="218" t="n"/>
      <c r="S388" s="58">
        <f>IF(A388="","",IFERROR(--ISNUMBER(SEARCH("R28",G388)),0)+IFERROR(--ISNUMBER(SEARCH("R29",G388)),0)+IFERROR(--ISNUMBER(SEARCH("R30",G388)),0)+IFERROR(--ISNUMBER(SEARCH("R31",G388)),0)+IFERROR(--ISNUMBER(SEARCH("R32",G388)),0)+IFERROR(--ISNUMBER(SEARCH("R33",G388)),0)+IFERROR(--ISNUMBER(SEARCH("R34",G388)),0)+IFERROR(--ISNUMBER(SEARCH("R35",G388)),0)+IFERROR(--ISNUMBER(SEARCH("R36",G388)),0)+IFERROR(--ISNUMBER(SEARCH("R37",G388)),0)+IFERROR(--ISNUMBER(SEARCH("R38",G388)),0)+IFERROR(--ISNUMBER(SEARCH("R39",G388)),0)+IFERROR(--ISNUMBER(SEARCH("R40",G388)),0)+IFERROR(--ISNUMBER(SEARCH("R41",G388)),0)+IFERROR(--ISNUMBER(SEARCH("R42",G388)),0)+IFERROR(--ISNUMBER(SEARCH("R43",G388)),0)+IFERROR(--ISNUMBER(SEARCH("R44",G388)),0)+IFERROR(--ISNUMBER(SEARCH("R45",G388)),0)+IFERROR(--ISNUMBER(SEARCH("R46",G388)),0)+IFERROR(--ISNUMBER(SEARCH("R47",G388)),0)+IFERROR(--ISNUMBER(SEARCH("R48",G388)),0)+IFERROR(--ISNUMBER(SEARCH("R49",G388)),0)+IFERROR(--ISNUMBER(SEARCH("R50",G388)),0)+IFERROR(--ISNUMBER(SEARCH("R51",G388)),0)+IFERROR(--ISNUMBER(SEARCH("R52",G388)),0)+IFERROR(--ISNUMBER(SEARCH("R53",G388)),0)+IFERROR(--ISNUMBER(SEARCH("R54",G388)),0)+IFERROR(--ISNUMBER(SEARCH("R55",G388)),0)+IFERROR(--ISNUMBER(SEARCH("R56",G388)),0)+IFERROR(--ISNUMBER(SEARCH("R57",G388)),0)+IFERROR(--ISNUMBER(SEARCH("R58",G388)),0)+IFERROR(--ISNUMBER(SEARCH("R59",G388)),0)+IFERROR(--ISNUMBER(SEARCH("R60",G388)),0)+IFERROR(--ISNUMBER(SEARCH("R61",G388)),0)+IFERROR(--ISNUMBER(SEARCH("R62",G388)),0)+IFERROR(--ISNUMBER(SEARCH("R63",G388)),0)+IFERROR(--ISNUMBER(SEARCH("R64",G388)),0)+IFERROR(--ISNUMBER(SEARCH("R65",G388)),0)+IFERROR(--ISNUMBER(SEARCH("R66",G388)),0)+IFERROR(--ISNUMBER(SEARCH("R67",G388)),0)+IFERROR(--ISNUMBER(SEARCH("R68",G388)),0)+IFERROR(--ISNUMBER(SEARCH("R69",G388)),0)+IFERROR(--ISNUMBER(SEARCH("R70",G388)),0)+IFERROR(--ISNUMBER(SEARCH("R71",G388)),0)+IFERROR(--ISNUMBER(SEARCH("R72",G388)),0)+IFERROR(--ISNUMBER(SEARCH("R73",G388)),0)+IFERROR(--ISNUMBER(SEARCH("R74",G388)),0)+IFERROR(--ISNUMBER(SEARCH("R75",G388)),0)+IFERROR(--ISNUMBER(SEARCH("R76",G388)),0)+IFERROR(--ISNUMBER(SEARCH("R77",G388)),0)+IFERROR(--ISNUMBER(SEARCH("R78",G388)),0)+IFERROR(--ISNUMBER(SEARCH("R79",G388)),0)+IFERROR(--ISNUMBER(SEARCH("R80",G388)),0)+IFERROR(--ISNUMBER(SEARCH("R81",G388)),0)+IFERROR(--ISNUMBER(SEARCH("R82",G388)),0)+IFERROR(--ISNUMBER(SEARCH("R83",G388)),0)+IFERROR(--ISNUMBER(SEARCH("R84",G388)),0)+IFERROR(--ISNUMBER(SEARCH("R85",G388)),0)+IFERROR(--ISNUMBER(SEARCH("R86",G388)),0)+IFERROR(--ISNUMBER(SEARCH("R87",G388)),0)+IFERROR(--ISNUMBER(SEARCH("R88",G388)),0)+IFERROR(--ISNUMBER(SEARCH("R89",G388)),0)+IFERROR(--ISNUMBER(SEARCH("R90",G388)),0)+IFERROR(--ISNUMBER(SEARCH("R91",G388)),0)+IFERROR(--ISNUMBER(SEARCH("R92",G388)),0)+IFERROR(--ISNUMBER(SEARCH("R93",G388)),0)+IFERROR(--ISNUMBER(SEARCH("R94",G388)),0)+IFERROR(--ISNUMBER(SEARCH("R95",G388)),0)+IFERROR(--ISNUMBER(SEARCH("R96",G388)),0)+IFERROR(--ISNUMBER(SEARCH("R97",G388)),0)+IFERROR(--ISNUMBER(SEARCH("R98",G388)),0)+IFERROR(--ISNUMBER(SEARCH("R99",G388)),0)+IFERROR(--ISNUMBER(SEARCH("R100",G388)),0)+IFERROR(--ISNUMBER(SEARCH("R101",G388)),0)+IFERROR(--ISNUMBER(SEARCH("R102",G388)),0)+IFERROR(--ISNUMBER(SEARCH("R103",G388)),0)+IFERROR(--ISNUMBER(SEARCH("R104",G388)),0)+IFERROR(--ISNUMBER(SEARCH("R105",G388)),0)+IFERROR(--ISNUMBER(SEARCH("R106",G388)),0)+IFERROR(--ISNUMBER(SEARCH("R107",G388)),0)+IFERROR(--ISNUMBER(SEARCH("R108",G388)),0)+IFERROR(--ISNUMBER(SEARCH("R109",G388)),0)+IFERROR(--ISNUMBER(SEARCH("R110",G388)),0)+IFERROR(--ISNUMBER(SEARCH("R111",G388)),0)+IFERROR(--ISNUMBER(SEARCH("R112",G388)),0)+IFERROR(--ISNUMBER(SEARCH("R113",G388)),0)+IFERROR(--ISNUMBER(SEARCH("R114",G388)),0)+IFERROR(--ISNUMBER(SEARCH("R115",G388)),0)+IFERROR(--ISNUMBER(SEARCH("R116",G388)),0)+IFERROR(--ISNUMBER(SEARCH("R117",G388)),0)+IFERROR(--ISNUMBER(SEARCH("R118",G388)),0)+IFERROR(--ISNUMBER(SEARCH("R119",G388)),0)+IFERROR(--ISNUMBER(SEARCH("R120",G388)),0)+IFERROR(--ISNUMBER(SEARCH("R121",G388)),0)+IFERROR(--ISNUMBER(SEARCH("R122",G388)),0)+IFERROR(--ISNUMBER(SEARCH("R123",G388)),0)+IFERROR(--ISNUMBER(SEARCH("R124",G388)),0)+IFERROR(--ISNUMBER(SEARCH("R125",G388)),0)+IFERROR(--ISNUMBER(SEARCH("R126",G388)),0)+IFERROR(--ISNUMBER(SEARCH("R127",G388)),0)+IFERROR(--ISNUMBER(SEARCH("R128",G388)),0)+IFERROR(--ISNUMBER(SEARCH("R129",G388)),0)+IFERROR(--ISNUMBER(SEARCH("R130",G388)),0)+IFERROR(--ISNUMBER(SEARCH("R131",G388)),0)+IFERROR(--ISNUMBER(SEARCH("R132",G388)),0)+IFERROR(--ISNUMBER(SEARCH("R133",G388)),0)+IFERROR(--ISNUMBER(SEARCH("R134",G388)),0)+IFERROR(--ISNUMBER(SEARCH("R135",G388)),0)+IFERROR(--ISNUMBER(SEARCH("R136",G388)),0)+IFERROR(--ISNUMBER(SEARCH("R137",G388)),0)+IFERROR(--ISNUMBER(SEARCH("R138",G388)),0)+IFERROR(--ISNUMBER(SEARCH("R139",G388)),0)+IFERROR(--ISNUMBER(SEARCH("R140",G388)),0)+IFERROR(--ISNUMBER(SEARCH("R141",G388)),0))</f>
        <v/>
      </c>
      <c r="T388" s="58">
        <f>IF(A388="","",IFERROR(--ISNUMBER(SEARCH("R28",G388)),0)+IFERROR(--ISNUMBER(SEARCH("R29",G388)),0)+IFERROR(--ISNUMBER(SEARCH("R30",G388)),0)+IFERROR(--ISNUMBER(SEARCH("R32",G388)),0)+IFERROR(--ISNUMBER(SEARCH("R33",G388)),0)+IFERROR(--ISNUMBER(SEARCH("R35",G388)),0)+IFERROR(--ISNUMBER(SEARCH("R36",G388)),0)+IFERROR(--ISNUMBER(SEARCH("R38",G388)),0)+IFERROR(--ISNUMBER(SEARCH("R39",G388)),0)+IFERROR(--ISNUMBER(SEARCH("R43",G388)),0)+IFERROR(--ISNUMBER(SEARCH("R44",G388)),0)+IFERROR(--ISNUMBER(SEARCH("R45",G388)),0)+IFERROR(--ISNUMBER(SEARCH("R47",G388)),0)+IFERROR(--ISNUMBER(SEARCH("R48",G388)),0)+IFERROR(--ISNUMBER(SEARCH("R50",G388)),0)+IFERROR(--ISNUMBER(SEARCH("R51",G388)),0)+IFERROR(--ISNUMBER(SEARCH("R56",G388)),0)+IFERROR(--ISNUMBER(SEARCH("R58",G388)),0)+IFERROR(--ISNUMBER(SEARCH("R59",G388)),0)+IFERROR(--ISNUMBER(SEARCH("R60",G388)),0)+IFERROR(--ISNUMBER(SEARCH("R62",G388)),0)+IFERROR(--ISNUMBER(SEARCH("R63",G388)),0)+IFERROR(--ISNUMBER(SEARCH("R64",G388)),0)+IFERROR(--ISNUMBER(SEARCH("R66",G388)),0)+IFERROR(--ISNUMBER(SEARCH("R67",G388)),0)+IFERROR(--ISNUMBER(SEARCH("R72",G388)),0)+IFERROR(--ISNUMBER(SEARCH("R74",G388)),0)+IFERROR(--ISNUMBER(SEARCH("R75",G388)),0)+IFERROR(--ISNUMBER(SEARCH("R76",G388)),0)+IFERROR(--ISNUMBER(SEARCH("R77",G388)),0)+IFERROR(--ISNUMBER(SEARCH("R79",G388)),0)+IFERROR(--ISNUMBER(SEARCH("R80",G388)),0)+IFERROR(--ISNUMBER(SEARCH("R81",G388)),0)+IFERROR(--ISNUMBER(SEARCH("R83",G388)),0)+IFERROR(--ISNUMBER(SEARCH("R84",G388)),0)+IFERROR(--ISNUMBER(SEARCH("R89",G388)),0)+IFERROR(--ISNUMBER(SEARCH("R94",G388)),0)+IFERROR(--ISNUMBER(SEARCH("R95",G388)),0)+IFERROR(--ISNUMBER(SEARCH("R96",G388)),0)+IFERROR(--ISNUMBER(SEARCH("R98",G388)),0)+IFERROR(--ISNUMBER(SEARCH("R99",G388)),0)+IFERROR(--ISNUMBER(SEARCH("R100",G388)),0)+IFERROR(--ISNUMBER(SEARCH("R104",G388)),0)+IFERROR(--ISNUMBER(SEARCH("R105",G388)),0)+IFERROR(--ISNUMBER(SEARCH("R107",G388)),0)+IFERROR(--ISNUMBER(SEARCH("R108",G388)),0)+IFERROR(--ISNUMBER(SEARCH("R109",G388)),0)+IFERROR(--ISNUMBER(SEARCH("R110",G388)),0)+IFERROR(--ISNUMBER(SEARCH("R112",G388)),0)+IFERROR(--ISNUMBER(SEARCH("R113",G388)),0)+IFERROR(--ISNUMBER(SEARCH("R114",G388)),0)+IFERROR(--ISNUMBER(SEARCH("R118",G388)),0)+IFERROR(--ISNUMBER(SEARCH("R119",G388)),0)+IFERROR(--ISNUMBER(SEARCH("R120",G388)),0)+IFERROR(--ISNUMBER(SEARCH("R122",G388)),0)+IFERROR(--ISNUMBER(SEARCH("R123",G388)),0)+IFERROR(--ISNUMBER(SEARCH("R124",G388)),0)+IFERROR(--ISNUMBER(SEARCH("R128",G388)),0)+IFERROR(--ISNUMBER(SEARCH("R130",G388)),0)+IFERROR(--ISNUMBER(SEARCH("R131",G388)),0)+IFERROR(--ISNUMBER(SEARCH("R132",G388)),0)+IFERROR(--ISNUMBER(SEARCH("R135",G388)),0)+IFERROR(--ISNUMBER(SEARCH("R138",G388)),0)+IFERROR(--ISNUMBER(SEARCH("R141",G388)),0))</f>
        <v/>
      </c>
      <c r="U388" s="58">
        <f>IF(A388="","",IFERROR(--ISNUMBER(SEARCH("R28",G388))*28,0)+IFERROR(--ISNUMBER(SEARCH("R29",G388))*29,0)+IFERROR(--ISNUMBER(SEARCH("R30",G388))*30,0)+IFERROR(--ISNUMBER(SEARCH("R31",G388))*31,0)+IFERROR(--ISNUMBER(SEARCH("R32",G388))*32,0)+IFERROR(--ISNUMBER(SEARCH("R33",G388))*33,0)+IFERROR(--ISNUMBER(SEARCH("R34",G388))*34,0)+IFERROR(--ISNUMBER(SEARCH("R35",G388))*35,0)+IFERROR(--ISNUMBER(SEARCH("R36",G388))*36,0)+IFERROR(--ISNUMBER(SEARCH("R37",G388))*37,0)+IFERROR(--ISNUMBER(SEARCH("R38",G388))*38,0)+IFERROR(--ISNUMBER(SEARCH("R39",G388))*39,0)+IFERROR(--ISNUMBER(SEARCH("R40",G388))*40,0)+IFERROR(--ISNUMBER(SEARCH("R41",G388))*41,0)+IFERROR(--ISNUMBER(SEARCH("R42",G388))*42,0)+IFERROR(--ISNUMBER(SEARCH("R43",G388))*43,0)+IFERROR(--ISNUMBER(SEARCH("R44",G388))*44,0)+IFERROR(--ISNUMBER(SEARCH("R45",G388))*45,0)+IFERROR(--ISNUMBER(SEARCH("R46",G388))*46,0)+IFERROR(--ISNUMBER(SEARCH("R47",G388))*47,0)+IFERROR(--ISNUMBER(SEARCH("R48",G388))*48,0)+IFERROR(--ISNUMBER(SEARCH("R49",G388))*49,0)+IFERROR(--ISNUMBER(SEARCH("R50",G388))*50,0)+IFERROR(--ISNUMBER(SEARCH("R51",G388))*51,0)+IFERROR(--ISNUMBER(SEARCH("R52",G388))*52,0)+IFERROR(--ISNUMBER(SEARCH("R53",G388))*53,0)+IFERROR(--ISNUMBER(SEARCH("R54",G388))*54,0)+IFERROR(--ISNUMBER(SEARCH("R55",G388))*55,0)+IFERROR(--ISNUMBER(SEARCH("R56",G388))*56,0)+IFERROR(--ISNUMBER(SEARCH("R57",G388))*57,0)+IFERROR(--ISNUMBER(SEARCH("R58",G388))*58,0)+IFERROR(--ISNUMBER(SEARCH("R59",G388))*59,0)+IFERROR(--ISNUMBER(SEARCH("R60",G388))*60,0)+IFERROR(--ISNUMBER(SEARCH("R61",G388))*61,0)+IFERROR(--ISNUMBER(SEARCH("R62",G388))*62,0)+IFERROR(--ISNUMBER(SEARCH("R63",G388))*63,0)+IFERROR(--ISNUMBER(SEARCH("R64",G388))*64,0)+IFERROR(--ISNUMBER(SEARCH("R65",G388))*65,0)+IFERROR(--ISNUMBER(SEARCH("R66",G388))*66,0)+IFERROR(--ISNUMBER(SEARCH("R67",G388))*67,0)+IFERROR(--ISNUMBER(SEARCH("R68",G388))*68,0)+IFERROR(--ISNUMBER(SEARCH("R69",G388))*69,0)+IFERROR(--ISNUMBER(SEARCH("R70",G388))*70,0)+IFERROR(--ISNUMBER(SEARCH("R71",G388))*71,0)+IFERROR(--ISNUMBER(SEARCH("R72",G388))*72,0)+IFERROR(--ISNUMBER(SEARCH("R73",G388))*73,0)+IFERROR(--ISNUMBER(SEARCH("R74",G388))*74,0)+IFERROR(--ISNUMBER(SEARCH("R75",G388))*75,0)+IFERROR(--ISNUMBER(SEARCH("R76",G388))*76,0)+IFERROR(--ISNUMBER(SEARCH("R77",G388))*77,0)+IFERROR(--ISNUMBER(SEARCH("R78",G388))*78,0)+IFERROR(--ISNUMBER(SEARCH("R79",G388))*79,0)+IFERROR(--ISNUMBER(SEARCH("R80",G388))*80,0)+IFERROR(--ISNUMBER(SEARCH("R81",G388))*81,0)+IFERROR(--ISNUMBER(SEARCH("R82",G388))*82,0)+IFERROR(--ISNUMBER(SEARCH("R83",G388))*83,0)+IFERROR(--ISNUMBER(SEARCH("R84",G388))*84,0)+IFERROR(--ISNUMBER(SEARCH("R85",G388))*85,0)+IFERROR(--ISNUMBER(SEARCH("R86",G388))*86,0)+IFERROR(--ISNUMBER(SEARCH("R87",G388))*87,0)+IFERROR(--ISNUMBER(SEARCH("R88",G388))*88,0)+IFERROR(--ISNUMBER(SEARCH("R89",G388))*89,0)+IFERROR(--ISNUMBER(SEARCH("R90",G388))*90,0)+IFERROR(--ISNUMBER(SEARCH("R91",G388))*91,0)+IFERROR(--ISNUMBER(SEARCH("R92",G388))*92,0)+IFERROR(--ISNUMBER(SEARCH("R93",G388))*93,0)+IFERROR(--ISNUMBER(SEARCH("R94",G388))*94,0)+IFERROR(--ISNUMBER(SEARCH("R95",G388))*95,0)+IFERROR(--ISNUMBER(SEARCH("R96",G388))*96,0)+IFERROR(--ISNUMBER(SEARCH("R97",G388))*97,0)+IFERROR(--ISNUMBER(SEARCH("R98",G388))*98,0)+IFERROR(--ISNUMBER(SEARCH("R99",G388))*99,0)+IFERROR(--ISNUMBER(SEARCH("R100",G388))*100,0)+IFERROR(--ISNUMBER(SEARCH("R101",G388))*101,0)+IFERROR(--ISNUMBER(SEARCH("R102",G388))*102,0)+IFERROR(--ISNUMBER(SEARCH("R103",G388))*103,0)+IFERROR(--ISNUMBER(SEARCH("R104",G388))*104,0)+IFERROR(--ISNUMBER(SEARCH("R105",G388))*105,0)+IFERROR(--ISNUMBER(SEARCH("R106",G388))*106,0)+IFERROR(--ISNUMBER(SEARCH("R107",G388))*107,0)+IFERROR(--ISNUMBER(SEARCH("R108",G388))*108,0)+IFERROR(--ISNUMBER(SEARCH("R109",G388))*109,0)+IFERROR(--ISNUMBER(SEARCH("R110",G388))*110,0)+IFERROR(--ISNUMBER(SEARCH("R111",G388))*111,0)+IFERROR(--ISNUMBER(SEARCH("R112",G388))*112,0)+IFERROR(--ISNUMBER(SEARCH("R113",G388))*113,0)+IFERROR(--ISNUMBER(SEARCH("R114",G388))*114,0)+IFERROR(--ISNUMBER(SEARCH("R115",G388))*115,0)+IFERROR(--ISNUMBER(SEARCH("R116",G388))*116,0)+IFERROR(--ISNUMBER(SEARCH("R117",G388))*117,0)+IFERROR(--ISNUMBER(SEARCH("R118",G388))*118,0)+IFERROR(--ISNUMBER(SEARCH("R119",G388))*119,0)+IFERROR(--ISNUMBER(SEARCH("R120",G388))*120,0)+IFERROR(--ISNUMBER(SEARCH("R121",G388))*121,0)+IFERROR(--ISNUMBER(SEARCH("R122",G388))*122,0)+IFERROR(--ISNUMBER(SEARCH("R123",G388))*123,0)+IFERROR(--ISNUMBER(SEARCH("R124",G388))*124,0)+IFERROR(--ISNUMBER(SEARCH("R125",G388))*125,0)+IFERROR(--ISNUMBER(SEARCH("R126",G388))*126,0)+IFERROR(--ISNUMBER(SEARCH("R127",G388))*127,0)+IFERROR(--ISNUMBER(SEARCH("R128",G388))*128,0)+IFERROR(--ISNUMBER(SEARCH("R129",G388))*129,0)+IFERROR(--ISNUMBER(SEARCH("R130",G388))*130,0)+IFERROR(--ISNUMBER(SEARCH("R131",G388))*131,0)+IFERROR(--ISNUMBER(SEARCH("R132",G388))*132,0)+IFERROR(--ISNUMBER(SEARCH("R133",G388))*133,0)+IFERROR(--ISNUMBER(SEARCH("R134",G388))*134,0)+IFERROR(--ISNUMBER(SEARCH("R135",G388))*135,0)+IFERROR(--ISNUMBER(SEARCH("R136",G388))*136,0)+IFERROR(--ISNUMBER(SEARCH("R137",G388))*137,0)+IFERROR(--ISNUMBER(SEARCH("R138",G388))*138,0)+IFERROR(--ISNUMBER(SEARCH("R139",G388))*139,0)+IFERROR(--ISNUMBER(SEARCH("R140",G388))*140,0)+IFERROR(--ISNUMBER(SEARCH("R141",G388))*141,0))</f>
        <v/>
      </c>
      <c r="V388" s="59">
        <f>IF(A388="","",IF(K388&lt;&gt;"",K388,J388))</f>
        <v/>
      </c>
      <c r="W388" s="59">
        <f>IF(A388="","",IF(AND(V388=29,O388&lt;&gt;"",COUNTIFS($V$6:$V$505,29,$F$6:$F$505,F388,$C$6:$C$505,C388,$O$6:$O$505,"&lt;&gt;")&gt;1),IF(COUNTIFS($V$6:V388,29,$F$6:F388,F388,$C$6:C388,C388,$O$6:O388,"&lt;&gt;")=1,"Esta es la fila que se debe CONSERVAR (aparición 1 de "&amp;COUNTIFS($V$6:$V$505,29,$F$6:$F$505,F388,$C$6:$C$505,C388,$O$6:$O$505,"&lt;&gt;")&amp;" con el mismo tercero y valor, casilla 29). Si hay más filas iguales, bórreles el valor a ELLAS, no a esta.","DUPLICADO — ya existe otra fila con el mismo tercero y valor para casilla 29 (aparición "&amp;COUNTIFS($V$6:V388,29,$F$6:F388,F388,$C$6:C388,C388,$O$6:O388,"&lt;&gt;")&amp;" de "&amp;COUNTIFS($V$6:$V$505,29,$F$6:$F$505,F388,$C$6:$C$505,C388,$O$6:$O$505,"&lt;&gt;")&amp;"). Para resolverlo: seleccione la celda O"&amp;ROW()&amp;" (columna Valor a declarar de ESTA fila) y presione Supr."),""))</f>
        <v/>
      </c>
      <c r="X388" s="463">
        <f>IF(A388="","",F388)</f>
        <v/>
      </c>
      <c r="Y388" s="463">
        <f>IF(A388="","",SUMIF(Entrada_Manual!$I$88:$I$187,A388,Entrada_Manual!$F$88:$F$187))</f>
        <v/>
      </c>
      <c r="Z388" s="463">
        <f>IF(A388="","",X388-Y388)</f>
        <v/>
      </c>
      <c r="AA388">
        <f>IF(A388="","",SUMPRODUCT((Entrada_Manual!$I$88:$I$187=A388)*1))</f>
        <v/>
      </c>
      <c r="AB388">
        <f>IF(A388="","",IF(S388&lt;=1,"",IF(AA388=0,"PENDIENTE — SIN ASIGNAR",IF(Z388=0,"RESUELTO","PARCIAL — DIFERENCIA "&amp;TEXT(Z388,"#,##0")))))</f>
        <v/>
      </c>
    </row>
    <row r="389" ht="14.25" customHeight="1" s="235">
      <c r="A389" s="47">
        <f>IF(Exogena_RAW!E398&lt;&gt;"",ROW()-5,"")</f>
        <v/>
      </c>
      <c r="B389" s="48">
        <f>IF(A389="","",398)</f>
        <v/>
      </c>
      <c r="C389" s="48">
        <f>IF(A389="","",IFERROR(Exogena_RAW!A398,""))</f>
        <v/>
      </c>
      <c r="D389" s="48">
        <f>IF(A389="","",IFERROR(Exogena_RAW!B398,""))</f>
        <v/>
      </c>
      <c r="E389" s="48">
        <f>IF(A389="","",Exogena_RAW!E398)</f>
        <v/>
      </c>
      <c r="F389" s="461">
        <f>IF(A389="","",Exogena_RAW!F398)</f>
        <v/>
      </c>
      <c r="G389" s="48">
        <f>IF(A389="","",IFERROR(Exogena_RAW!G398,""))</f>
        <v/>
      </c>
      <c r="H389" s="48">
        <f>IF(A389="","",IFERROR(Exogena_RAW!H398,""))</f>
        <v/>
      </c>
      <c r="I389" s="48">
        <f>IF(A389="","",IFERROR(IF(S389&gt;1,"VARIAS CASILLAS",IF(S389=1,IF(T389=1,"PROPUESTA DE CASILLA","REVISIÓN: CASILLA NO DIRECTA"),IF(OR(ISNUMBER(SEARCH("TOPE",UPPER(E389))),ISNUMBER(SEARCH("TOPE",UPPER(G389)))),"SOLO CONTROL",IF(ISNUMBER(SEARCH("RETEN",UPPER(E389))),"RETENCIÓN","REVISAR")))),"REVISAR"))</f>
        <v/>
      </c>
      <c r="J389" s="48">
        <f>IF(A389="","",IF(ISNUMBER(SEARCH("ingreso laboral promedio de los últimos seis meses",E389)),"",IFERROR(IF(AND(S389=1,T389=1),U389,""),"")))</f>
        <v/>
      </c>
      <c r="K389" s="216" t="n"/>
      <c r="L389" s="48">
        <f>IF(A389="","",IFERROR(IF(K389&lt;&gt;"","Casilla elegida por usuario",IF(S389&gt;1,"Varias casillas — elegir en K",IF(J389&lt;&gt;"","Sugerencia directa",IF(S389=1,"No trasladar directo — revisar",IF(OR(ISNUMBER(SEARCH("TOPE",UPPER(E389))),ISNUMBER(SEARCH("TOPE",UPPER(G389)))),"Solo control","Revisar manualmente"))))),"Revisar manualmente"))</f>
        <v/>
      </c>
      <c r="M389" s="461">
        <f>IF(A389="","",IF(IF(K389&lt;&gt;"",K389,J389)="",0,IF(COUNTIFS(Reglas!$I$5:$I$118,IF(K389&lt;&gt;"",K389,J389),Reglas!$J$5:$J$118,"Sí")=1,F389,0)))</f>
        <v/>
      </c>
      <c r="N389" s="56" t="n"/>
      <c r="O389" s="462">
        <f>IF(A389="","",IF(M389=0,"",M389))</f>
        <v/>
      </c>
      <c r="P389" s="461">
        <f>IF(A389="","",IF(O389="",0,IF(ISNUMBER(O389),O389,0)))</f>
        <v/>
      </c>
      <c r="Q389" s="48">
        <f>IF(A389="","",IF(Exogena_RAW!$C$4="","BLOQUEADO: FALTA AÑO",IF(Exogena_RAW!$K$10&lt;&gt;Reglas!$B$5,"BLOQUEADO: AÑO",IF(IF(K389&lt;&gt;"",K389,J389)="",IF(S389&gt;1,"REQUIERE ASIGNACIÓN MANUAL (VARIAS CASILLAS)","INFORMATIVO (sin casilla — no se declara)"),IF(COUNTIFS(Reglas!$I$5:$I$118,IF(K389&lt;&gt;"",K389,J389),Reglas!$J$5:$J$118,"Sí")=0,"BLOQUEADO: CASILLA NO DIRECTA",IF(O389="","EXCLUIDO (valor borrado por el usuario)",IF(_xlfn.ISFORMULA(O389),IF(W389&lt;&gt;"","BORRADOR — VALOR SUGERIDO DIAN ⚠ VER ALERTA","BORRADOR — VALOR SUGERIDO DIAN"),IF(W389&lt;&gt;"","ACEPTADO ⚠ VER ALERTA","ACEPTADO"))))))))</f>
        <v/>
      </c>
      <c r="R389" s="218" t="n"/>
      <c r="S389" s="58">
        <f>IF(A389="","",IFERROR(--ISNUMBER(SEARCH("R28",G389)),0)+IFERROR(--ISNUMBER(SEARCH("R29",G389)),0)+IFERROR(--ISNUMBER(SEARCH("R30",G389)),0)+IFERROR(--ISNUMBER(SEARCH("R31",G389)),0)+IFERROR(--ISNUMBER(SEARCH("R32",G389)),0)+IFERROR(--ISNUMBER(SEARCH("R33",G389)),0)+IFERROR(--ISNUMBER(SEARCH("R34",G389)),0)+IFERROR(--ISNUMBER(SEARCH("R35",G389)),0)+IFERROR(--ISNUMBER(SEARCH("R36",G389)),0)+IFERROR(--ISNUMBER(SEARCH("R37",G389)),0)+IFERROR(--ISNUMBER(SEARCH("R38",G389)),0)+IFERROR(--ISNUMBER(SEARCH("R39",G389)),0)+IFERROR(--ISNUMBER(SEARCH("R40",G389)),0)+IFERROR(--ISNUMBER(SEARCH("R41",G389)),0)+IFERROR(--ISNUMBER(SEARCH("R42",G389)),0)+IFERROR(--ISNUMBER(SEARCH("R43",G389)),0)+IFERROR(--ISNUMBER(SEARCH("R44",G389)),0)+IFERROR(--ISNUMBER(SEARCH("R45",G389)),0)+IFERROR(--ISNUMBER(SEARCH("R46",G389)),0)+IFERROR(--ISNUMBER(SEARCH("R47",G389)),0)+IFERROR(--ISNUMBER(SEARCH("R48",G389)),0)+IFERROR(--ISNUMBER(SEARCH("R49",G389)),0)+IFERROR(--ISNUMBER(SEARCH("R50",G389)),0)+IFERROR(--ISNUMBER(SEARCH("R51",G389)),0)+IFERROR(--ISNUMBER(SEARCH("R52",G389)),0)+IFERROR(--ISNUMBER(SEARCH("R53",G389)),0)+IFERROR(--ISNUMBER(SEARCH("R54",G389)),0)+IFERROR(--ISNUMBER(SEARCH("R55",G389)),0)+IFERROR(--ISNUMBER(SEARCH("R56",G389)),0)+IFERROR(--ISNUMBER(SEARCH("R57",G389)),0)+IFERROR(--ISNUMBER(SEARCH("R58",G389)),0)+IFERROR(--ISNUMBER(SEARCH("R59",G389)),0)+IFERROR(--ISNUMBER(SEARCH("R60",G389)),0)+IFERROR(--ISNUMBER(SEARCH("R61",G389)),0)+IFERROR(--ISNUMBER(SEARCH("R62",G389)),0)+IFERROR(--ISNUMBER(SEARCH("R63",G389)),0)+IFERROR(--ISNUMBER(SEARCH("R64",G389)),0)+IFERROR(--ISNUMBER(SEARCH("R65",G389)),0)+IFERROR(--ISNUMBER(SEARCH("R66",G389)),0)+IFERROR(--ISNUMBER(SEARCH("R67",G389)),0)+IFERROR(--ISNUMBER(SEARCH("R68",G389)),0)+IFERROR(--ISNUMBER(SEARCH("R69",G389)),0)+IFERROR(--ISNUMBER(SEARCH("R70",G389)),0)+IFERROR(--ISNUMBER(SEARCH("R71",G389)),0)+IFERROR(--ISNUMBER(SEARCH("R72",G389)),0)+IFERROR(--ISNUMBER(SEARCH("R73",G389)),0)+IFERROR(--ISNUMBER(SEARCH("R74",G389)),0)+IFERROR(--ISNUMBER(SEARCH("R75",G389)),0)+IFERROR(--ISNUMBER(SEARCH("R76",G389)),0)+IFERROR(--ISNUMBER(SEARCH("R77",G389)),0)+IFERROR(--ISNUMBER(SEARCH("R78",G389)),0)+IFERROR(--ISNUMBER(SEARCH("R79",G389)),0)+IFERROR(--ISNUMBER(SEARCH("R80",G389)),0)+IFERROR(--ISNUMBER(SEARCH("R81",G389)),0)+IFERROR(--ISNUMBER(SEARCH("R82",G389)),0)+IFERROR(--ISNUMBER(SEARCH("R83",G389)),0)+IFERROR(--ISNUMBER(SEARCH("R84",G389)),0)+IFERROR(--ISNUMBER(SEARCH("R85",G389)),0)+IFERROR(--ISNUMBER(SEARCH("R86",G389)),0)+IFERROR(--ISNUMBER(SEARCH("R87",G389)),0)+IFERROR(--ISNUMBER(SEARCH("R88",G389)),0)+IFERROR(--ISNUMBER(SEARCH("R89",G389)),0)+IFERROR(--ISNUMBER(SEARCH("R90",G389)),0)+IFERROR(--ISNUMBER(SEARCH("R91",G389)),0)+IFERROR(--ISNUMBER(SEARCH("R92",G389)),0)+IFERROR(--ISNUMBER(SEARCH("R93",G389)),0)+IFERROR(--ISNUMBER(SEARCH("R94",G389)),0)+IFERROR(--ISNUMBER(SEARCH("R95",G389)),0)+IFERROR(--ISNUMBER(SEARCH("R96",G389)),0)+IFERROR(--ISNUMBER(SEARCH("R97",G389)),0)+IFERROR(--ISNUMBER(SEARCH("R98",G389)),0)+IFERROR(--ISNUMBER(SEARCH("R99",G389)),0)+IFERROR(--ISNUMBER(SEARCH("R100",G389)),0)+IFERROR(--ISNUMBER(SEARCH("R101",G389)),0)+IFERROR(--ISNUMBER(SEARCH("R102",G389)),0)+IFERROR(--ISNUMBER(SEARCH("R103",G389)),0)+IFERROR(--ISNUMBER(SEARCH("R104",G389)),0)+IFERROR(--ISNUMBER(SEARCH("R105",G389)),0)+IFERROR(--ISNUMBER(SEARCH("R106",G389)),0)+IFERROR(--ISNUMBER(SEARCH("R107",G389)),0)+IFERROR(--ISNUMBER(SEARCH("R108",G389)),0)+IFERROR(--ISNUMBER(SEARCH("R109",G389)),0)+IFERROR(--ISNUMBER(SEARCH("R110",G389)),0)+IFERROR(--ISNUMBER(SEARCH("R111",G389)),0)+IFERROR(--ISNUMBER(SEARCH("R112",G389)),0)+IFERROR(--ISNUMBER(SEARCH("R113",G389)),0)+IFERROR(--ISNUMBER(SEARCH("R114",G389)),0)+IFERROR(--ISNUMBER(SEARCH("R115",G389)),0)+IFERROR(--ISNUMBER(SEARCH("R116",G389)),0)+IFERROR(--ISNUMBER(SEARCH("R117",G389)),0)+IFERROR(--ISNUMBER(SEARCH("R118",G389)),0)+IFERROR(--ISNUMBER(SEARCH("R119",G389)),0)+IFERROR(--ISNUMBER(SEARCH("R120",G389)),0)+IFERROR(--ISNUMBER(SEARCH("R121",G389)),0)+IFERROR(--ISNUMBER(SEARCH("R122",G389)),0)+IFERROR(--ISNUMBER(SEARCH("R123",G389)),0)+IFERROR(--ISNUMBER(SEARCH("R124",G389)),0)+IFERROR(--ISNUMBER(SEARCH("R125",G389)),0)+IFERROR(--ISNUMBER(SEARCH("R126",G389)),0)+IFERROR(--ISNUMBER(SEARCH("R127",G389)),0)+IFERROR(--ISNUMBER(SEARCH("R128",G389)),0)+IFERROR(--ISNUMBER(SEARCH("R129",G389)),0)+IFERROR(--ISNUMBER(SEARCH("R130",G389)),0)+IFERROR(--ISNUMBER(SEARCH("R131",G389)),0)+IFERROR(--ISNUMBER(SEARCH("R132",G389)),0)+IFERROR(--ISNUMBER(SEARCH("R133",G389)),0)+IFERROR(--ISNUMBER(SEARCH("R134",G389)),0)+IFERROR(--ISNUMBER(SEARCH("R135",G389)),0)+IFERROR(--ISNUMBER(SEARCH("R136",G389)),0)+IFERROR(--ISNUMBER(SEARCH("R137",G389)),0)+IFERROR(--ISNUMBER(SEARCH("R138",G389)),0)+IFERROR(--ISNUMBER(SEARCH("R139",G389)),0)+IFERROR(--ISNUMBER(SEARCH("R140",G389)),0)+IFERROR(--ISNUMBER(SEARCH("R141",G389)),0))</f>
        <v/>
      </c>
      <c r="T389" s="58">
        <f>IF(A389="","",IFERROR(--ISNUMBER(SEARCH("R28",G389)),0)+IFERROR(--ISNUMBER(SEARCH("R29",G389)),0)+IFERROR(--ISNUMBER(SEARCH("R30",G389)),0)+IFERROR(--ISNUMBER(SEARCH("R32",G389)),0)+IFERROR(--ISNUMBER(SEARCH("R33",G389)),0)+IFERROR(--ISNUMBER(SEARCH("R35",G389)),0)+IFERROR(--ISNUMBER(SEARCH("R36",G389)),0)+IFERROR(--ISNUMBER(SEARCH("R38",G389)),0)+IFERROR(--ISNUMBER(SEARCH("R39",G389)),0)+IFERROR(--ISNUMBER(SEARCH("R43",G389)),0)+IFERROR(--ISNUMBER(SEARCH("R44",G389)),0)+IFERROR(--ISNUMBER(SEARCH("R45",G389)),0)+IFERROR(--ISNUMBER(SEARCH("R47",G389)),0)+IFERROR(--ISNUMBER(SEARCH("R48",G389)),0)+IFERROR(--ISNUMBER(SEARCH("R50",G389)),0)+IFERROR(--ISNUMBER(SEARCH("R51",G389)),0)+IFERROR(--ISNUMBER(SEARCH("R56",G389)),0)+IFERROR(--ISNUMBER(SEARCH("R58",G389)),0)+IFERROR(--ISNUMBER(SEARCH("R59",G389)),0)+IFERROR(--ISNUMBER(SEARCH("R60",G389)),0)+IFERROR(--ISNUMBER(SEARCH("R62",G389)),0)+IFERROR(--ISNUMBER(SEARCH("R63",G389)),0)+IFERROR(--ISNUMBER(SEARCH("R64",G389)),0)+IFERROR(--ISNUMBER(SEARCH("R66",G389)),0)+IFERROR(--ISNUMBER(SEARCH("R67",G389)),0)+IFERROR(--ISNUMBER(SEARCH("R72",G389)),0)+IFERROR(--ISNUMBER(SEARCH("R74",G389)),0)+IFERROR(--ISNUMBER(SEARCH("R75",G389)),0)+IFERROR(--ISNUMBER(SEARCH("R76",G389)),0)+IFERROR(--ISNUMBER(SEARCH("R77",G389)),0)+IFERROR(--ISNUMBER(SEARCH("R79",G389)),0)+IFERROR(--ISNUMBER(SEARCH("R80",G389)),0)+IFERROR(--ISNUMBER(SEARCH("R81",G389)),0)+IFERROR(--ISNUMBER(SEARCH("R83",G389)),0)+IFERROR(--ISNUMBER(SEARCH("R84",G389)),0)+IFERROR(--ISNUMBER(SEARCH("R89",G389)),0)+IFERROR(--ISNUMBER(SEARCH("R94",G389)),0)+IFERROR(--ISNUMBER(SEARCH("R95",G389)),0)+IFERROR(--ISNUMBER(SEARCH("R96",G389)),0)+IFERROR(--ISNUMBER(SEARCH("R98",G389)),0)+IFERROR(--ISNUMBER(SEARCH("R99",G389)),0)+IFERROR(--ISNUMBER(SEARCH("R100",G389)),0)+IFERROR(--ISNUMBER(SEARCH("R104",G389)),0)+IFERROR(--ISNUMBER(SEARCH("R105",G389)),0)+IFERROR(--ISNUMBER(SEARCH("R107",G389)),0)+IFERROR(--ISNUMBER(SEARCH("R108",G389)),0)+IFERROR(--ISNUMBER(SEARCH("R109",G389)),0)+IFERROR(--ISNUMBER(SEARCH("R110",G389)),0)+IFERROR(--ISNUMBER(SEARCH("R112",G389)),0)+IFERROR(--ISNUMBER(SEARCH("R113",G389)),0)+IFERROR(--ISNUMBER(SEARCH("R114",G389)),0)+IFERROR(--ISNUMBER(SEARCH("R118",G389)),0)+IFERROR(--ISNUMBER(SEARCH("R119",G389)),0)+IFERROR(--ISNUMBER(SEARCH("R120",G389)),0)+IFERROR(--ISNUMBER(SEARCH("R122",G389)),0)+IFERROR(--ISNUMBER(SEARCH("R123",G389)),0)+IFERROR(--ISNUMBER(SEARCH("R124",G389)),0)+IFERROR(--ISNUMBER(SEARCH("R128",G389)),0)+IFERROR(--ISNUMBER(SEARCH("R130",G389)),0)+IFERROR(--ISNUMBER(SEARCH("R131",G389)),0)+IFERROR(--ISNUMBER(SEARCH("R132",G389)),0)+IFERROR(--ISNUMBER(SEARCH("R135",G389)),0)+IFERROR(--ISNUMBER(SEARCH("R138",G389)),0)+IFERROR(--ISNUMBER(SEARCH("R141",G389)),0))</f>
        <v/>
      </c>
      <c r="U389" s="58">
        <f>IF(A389="","",IFERROR(--ISNUMBER(SEARCH("R28",G389))*28,0)+IFERROR(--ISNUMBER(SEARCH("R29",G389))*29,0)+IFERROR(--ISNUMBER(SEARCH("R30",G389))*30,0)+IFERROR(--ISNUMBER(SEARCH("R31",G389))*31,0)+IFERROR(--ISNUMBER(SEARCH("R32",G389))*32,0)+IFERROR(--ISNUMBER(SEARCH("R33",G389))*33,0)+IFERROR(--ISNUMBER(SEARCH("R34",G389))*34,0)+IFERROR(--ISNUMBER(SEARCH("R35",G389))*35,0)+IFERROR(--ISNUMBER(SEARCH("R36",G389))*36,0)+IFERROR(--ISNUMBER(SEARCH("R37",G389))*37,0)+IFERROR(--ISNUMBER(SEARCH("R38",G389))*38,0)+IFERROR(--ISNUMBER(SEARCH("R39",G389))*39,0)+IFERROR(--ISNUMBER(SEARCH("R40",G389))*40,0)+IFERROR(--ISNUMBER(SEARCH("R41",G389))*41,0)+IFERROR(--ISNUMBER(SEARCH("R42",G389))*42,0)+IFERROR(--ISNUMBER(SEARCH("R43",G389))*43,0)+IFERROR(--ISNUMBER(SEARCH("R44",G389))*44,0)+IFERROR(--ISNUMBER(SEARCH("R45",G389))*45,0)+IFERROR(--ISNUMBER(SEARCH("R46",G389))*46,0)+IFERROR(--ISNUMBER(SEARCH("R47",G389))*47,0)+IFERROR(--ISNUMBER(SEARCH("R48",G389))*48,0)+IFERROR(--ISNUMBER(SEARCH("R49",G389))*49,0)+IFERROR(--ISNUMBER(SEARCH("R50",G389))*50,0)+IFERROR(--ISNUMBER(SEARCH("R51",G389))*51,0)+IFERROR(--ISNUMBER(SEARCH("R52",G389))*52,0)+IFERROR(--ISNUMBER(SEARCH("R53",G389))*53,0)+IFERROR(--ISNUMBER(SEARCH("R54",G389))*54,0)+IFERROR(--ISNUMBER(SEARCH("R55",G389))*55,0)+IFERROR(--ISNUMBER(SEARCH("R56",G389))*56,0)+IFERROR(--ISNUMBER(SEARCH("R57",G389))*57,0)+IFERROR(--ISNUMBER(SEARCH("R58",G389))*58,0)+IFERROR(--ISNUMBER(SEARCH("R59",G389))*59,0)+IFERROR(--ISNUMBER(SEARCH("R60",G389))*60,0)+IFERROR(--ISNUMBER(SEARCH("R61",G389))*61,0)+IFERROR(--ISNUMBER(SEARCH("R62",G389))*62,0)+IFERROR(--ISNUMBER(SEARCH("R63",G389))*63,0)+IFERROR(--ISNUMBER(SEARCH("R64",G389))*64,0)+IFERROR(--ISNUMBER(SEARCH("R65",G389))*65,0)+IFERROR(--ISNUMBER(SEARCH("R66",G389))*66,0)+IFERROR(--ISNUMBER(SEARCH("R67",G389))*67,0)+IFERROR(--ISNUMBER(SEARCH("R68",G389))*68,0)+IFERROR(--ISNUMBER(SEARCH("R69",G389))*69,0)+IFERROR(--ISNUMBER(SEARCH("R70",G389))*70,0)+IFERROR(--ISNUMBER(SEARCH("R71",G389))*71,0)+IFERROR(--ISNUMBER(SEARCH("R72",G389))*72,0)+IFERROR(--ISNUMBER(SEARCH("R73",G389))*73,0)+IFERROR(--ISNUMBER(SEARCH("R74",G389))*74,0)+IFERROR(--ISNUMBER(SEARCH("R75",G389))*75,0)+IFERROR(--ISNUMBER(SEARCH("R76",G389))*76,0)+IFERROR(--ISNUMBER(SEARCH("R77",G389))*77,0)+IFERROR(--ISNUMBER(SEARCH("R78",G389))*78,0)+IFERROR(--ISNUMBER(SEARCH("R79",G389))*79,0)+IFERROR(--ISNUMBER(SEARCH("R80",G389))*80,0)+IFERROR(--ISNUMBER(SEARCH("R81",G389))*81,0)+IFERROR(--ISNUMBER(SEARCH("R82",G389))*82,0)+IFERROR(--ISNUMBER(SEARCH("R83",G389))*83,0)+IFERROR(--ISNUMBER(SEARCH("R84",G389))*84,0)+IFERROR(--ISNUMBER(SEARCH("R85",G389))*85,0)+IFERROR(--ISNUMBER(SEARCH("R86",G389))*86,0)+IFERROR(--ISNUMBER(SEARCH("R87",G389))*87,0)+IFERROR(--ISNUMBER(SEARCH("R88",G389))*88,0)+IFERROR(--ISNUMBER(SEARCH("R89",G389))*89,0)+IFERROR(--ISNUMBER(SEARCH("R90",G389))*90,0)+IFERROR(--ISNUMBER(SEARCH("R91",G389))*91,0)+IFERROR(--ISNUMBER(SEARCH("R92",G389))*92,0)+IFERROR(--ISNUMBER(SEARCH("R93",G389))*93,0)+IFERROR(--ISNUMBER(SEARCH("R94",G389))*94,0)+IFERROR(--ISNUMBER(SEARCH("R95",G389))*95,0)+IFERROR(--ISNUMBER(SEARCH("R96",G389))*96,0)+IFERROR(--ISNUMBER(SEARCH("R97",G389))*97,0)+IFERROR(--ISNUMBER(SEARCH("R98",G389))*98,0)+IFERROR(--ISNUMBER(SEARCH("R99",G389))*99,0)+IFERROR(--ISNUMBER(SEARCH("R100",G389))*100,0)+IFERROR(--ISNUMBER(SEARCH("R101",G389))*101,0)+IFERROR(--ISNUMBER(SEARCH("R102",G389))*102,0)+IFERROR(--ISNUMBER(SEARCH("R103",G389))*103,0)+IFERROR(--ISNUMBER(SEARCH("R104",G389))*104,0)+IFERROR(--ISNUMBER(SEARCH("R105",G389))*105,0)+IFERROR(--ISNUMBER(SEARCH("R106",G389))*106,0)+IFERROR(--ISNUMBER(SEARCH("R107",G389))*107,0)+IFERROR(--ISNUMBER(SEARCH("R108",G389))*108,0)+IFERROR(--ISNUMBER(SEARCH("R109",G389))*109,0)+IFERROR(--ISNUMBER(SEARCH("R110",G389))*110,0)+IFERROR(--ISNUMBER(SEARCH("R111",G389))*111,0)+IFERROR(--ISNUMBER(SEARCH("R112",G389))*112,0)+IFERROR(--ISNUMBER(SEARCH("R113",G389))*113,0)+IFERROR(--ISNUMBER(SEARCH("R114",G389))*114,0)+IFERROR(--ISNUMBER(SEARCH("R115",G389))*115,0)+IFERROR(--ISNUMBER(SEARCH("R116",G389))*116,0)+IFERROR(--ISNUMBER(SEARCH("R117",G389))*117,0)+IFERROR(--ISNUMBER(SEARCH("R118",G389))*118,0)+IFERROR(--ISNUMBER(SEARCH("R119",G389))*119,0)+IFERROR(--ISNUMBER(SEARCH("R120",G389))*120,0)+IFERROR(--ISNUMBER(SEARCH("R121",G389))*121,0)+IFERROR(--ISNUMBER(SEARCH("R122",G389))*122,0)+IFERROR(--ISNUMBER(SEARCH("R123",G389))*123,0)+IFERROR(--ISNUMBER(SEARCH("R124",G389))*124,0)+IFERROR(--ISNUMBER(SEARCH("R125",G389))*125,0)+IFERROR(--ISNUMBER(SEARCH("R126",G389))*126,0)+IFERROR(--ISNUMBER(SEARCH("R127",G389))*127,0)+IFERROR(--ISNUMBER(SEARCH("R128",G389))*128,0)+IFERROR(--ISNUMBER(SEARCH("R129",G389))*129,0)+IFERROR(--ISNUMBER(SEARCH("R130",G389))*130,0)+IFERROR(--ISNUMBER(SEARCH("R131",G389))*131,0)+IFERROR(--ISNUMBER(SEARCH("R132",G389))*132,0)+IFERROR(--ISNUMBER(SEARCH("R133",G389))*133,0)+IFERROR(--ISNUMBER(SEARCH("R134",G389))*134,0)+IFERROR(--ISNUMBER(SEARCH("R135",G389))*135,0)+IFERROR(--ISNUMBER(SEARCH("R136",G389))*136,0)+IFERROR(--ISNUMBER(SEARCH("R137",G389))*137,0)+IFERROR(--ISNUMBER(SEARCH("R138",G389))*138,0)+IFERROR(--ISNUMBER(SEARCH("R139",G389))*139,0)+IFERROR(--ISNUMBER(SEARCH("R140",G389))*140,0)+IFERROR(--ISNUMBER(SEARCH("R141",G389))*141,0))</f>
        <v/>
      </c>
      <c r="V389" s="59">
        <f>IF(A389="","",IF(K389&lt;&gt;"",K389,J389))</f>
        <v/>
      </c>
      <c r="W389" s="59">
        <f>IF(A389="","",IF(AND(V389=29,O389&lt;&gt;"",COUNTIFS($V$6:$V$505,29,$F$6:$F$505,F389,$C$6:$C$505,C389,$O$6:$O$505,"&lt;&gt;")&gt;1),IF(COUNTIFS($V$6:V389,29,$F$6:F389,F389,$C$6:C389,C389,$O$6:O389,"&lt;&gt;")=1,"Esta es la fila que se debe CONSERVAR (aparición 1 de "&amp;COUNTIFS($V$6:$V$505,29,$F$6:$F$505,F389,$C$6:$C$505,C389,$O$6:$O$505,"&lt;&gt;")&amp;" con el mismo tercero y valor, casilla 29). Si hay más filas iguales, bórreles el valor a ELLAS, no a esta.","DUPLICADO — ya existe otra fila con el mismo tercero y valor para casilla 29 (aparición "&amp;COUNTIFS($V$6:V389,29,$F$6:F389,F389,$C$6:C389,C389,$O$6:O389,"&lt;&gt;")&amp;" de "&amp;COUNTIFS($V$6:$V$505,29,$F$6:$F$505,F389,$C$6:$C$505,C389,$O$6:$O$505,"&lt;&gt;")&amp;"). Para resolverlo: seleccione la celda O"&amp;ROW()&amp;" (columna Valor a declarar de ESTA fila) y presione Supr."),""))</f>
        <v/>
      </c>
      <c r="X389" s="463">
        <f>IF(A389="","",F389)</f>
        <v/>
      </c>
      <c r="Y389" s="463">
        <f>IF(A389="","",SUMIF(Entrada_Manual!$I$88:$I$187,A389,Entrada_Manual!$F$88:$F$187))</f>
        <v/>
      </c>
      <c r="Z389" s="463">
        <f>IF(A389="","",X389-Y389)</f>
        <v/>
      </c>
      <c r="AA389">
        <f>IF(A389="","",SUMPRODUCT((Entrada_Manual!$I$88:$I$187=A389)*1))</f>
        <v/>
      </c>
      <c r="AB389">
        <f>IF(A389="","",IF(S389&lt;=1,"",IF(AA389=0,"PENDIENTE — SIN ASIGNAR",IF(Z389=0,"RESUELTO","PARCIAL — DIFERENCIA "&amp;TEXT(Z389,"#,##0")))))</f>
        <v/>
      </c>
    </row>
    <row r="390" ht="14.25" customHeight="1" s="235">
      <c r="A390" s="47">
        <f>IF(Exogena_RAW!E399&lt;&gt;"",ROW()-5,"")</f>
        <v/>
      </c>
      <c r="B390" s="48">
        <f>IF(A390="","",399)</f>
        <v/>
      </c>
      <c r="C390" s="48">
        <f>IF(A390="","",IFERROR(Exogena_RAW!A399,""))</f>
        <v/>
      </c>
      <c r="D390" s="48">
        <f>IF(A390="","",IFERROR(Exogena_RAW!B399,""))</f>
        <v/>
      </c>
      <c r="E390" s="48">
        <f>IF(A390="","",Exogena_RAW!E399)</f>
        <v/>
      </c>
      <c r="F390" s="461">
        <f>IF(A390="","",Exogena_RAW!F399)</f>
        <v/>
      </c>
      <c r="G390" s="48">
        <f>IF(A390="","",IFERROR(Exogena_RAW!G399,""))</f>
        <v/>
      </c>
      <c r="H390" s="48">
        <f>IF(A390="","",IFERROR(Exogena_RAW!H399,""))</f>
        <v/>
      </c>
      <c r="I390" s="48">
        <f>IF(A390="","",IFERROR(IF(S390&gt;1,"VARIAS CASILLAS",IF(S390=1,IF(T390=1,"PROPUESTA DE CASILLA","REVISIÓN: CASILLA NO DIRECTA"),IF(OR(ISNUMBER(SEARCH("TOPE",UPPER(E390))),ISNUMBER(SEARCH("TOPE",UPPER(G390)))),"SOLO CONTROL",IF(ISNUMBER(SEARCH("RETEN",UPPER(E390))),"RETENCIÓN","REVISAR")))),"REVISAR"))</f>
        <v/>
      </c>
      <c r="J390" s="48">
        <f>IF(A390="","",IF(ISNUMBER(SEARCH("ingreso laboral promedio de los últimos seis meses",E390)),"",IFERROR(IF(AND(S390=1,T390=1),U390,""),"")))</f>
        <v/>
      </c>
      <c r="K390" s="216" t="n"/>
      <c r="L390" s="48">
        <f>IF(A390="","",IFERROR(IF(K390&lt;&gt;"","Casilla elegida por usuario",IF(S390&gt;1,"Varias casillas — elegir en K",IF(J390&lt;&gt;"","Sugerencia directa",IF(S390=1,"No trasladar directo — revisar",IF(OR(ISNUMBER(SEARCH("TOPE",UPPER(E390))),ISNUMBER(SEARCH("TOPE",UPPER(G390)))),"Solo control","Revisar manualmente"))))),"Revisar manualmente"))</f>
        <v/>
      </c>
      <c r="M390" s="461">
        <f>IF(A390="","",IF(IF(K390&lt;&gt;"",K390,J390)="",0,IF(COUNTIFS(Reglas!$I$5:$I$118,IF(K390&lt;&gt;"",K390,J390),Reglas!$J$5:$J$118,"Sí")=1,F390,0)))</f>
        <v/>
      </c>
      <c r="N390" s="56" t="n"/>
      <c r="O390" s="462">
        <f>IF(A390="","",IF(M390=0,"",M390))</f>
        <v/>
      </c>
      <c r="P390" s="461">
        <f>IF(A390="","",IF(O390="",0,IF(ISNUMBER(O390),O390,0)))</f>
        <v/>
      </c>
      <c r="Q390" s="48">
        <f>IF(A390="","",IF(Exogena_RAW!$C$4="","BLOQUEADO: FALTA AÑO",IF(Exogena_RAW!$K$10&lt;&gt;Reglas!$B$5,"BLOQUEADO: AÑO",IF(IF(K390&lt;&gt;"",K390,J390)="",IF(S390&gt;1,"REQUIERE ASIGNACIÓN MANUAL (VARIAS CASILLAS)","INFORMATIVO (sin casilla — no se declara)"),IF(COUNTIFS(Reglas!$I$5:$I$118,IF(K390&lt;&gt;"",K390,J390),Reglas!$J$5:$J$118,"Sí")=0,"BLOQUEADO: CASILLA NO DIRECTA",IF(O390="","EXCLUIDO (valor borrado por el usuario)",IF(_xlfn.ISFORMULA(O390),IF(W390&lt;&gt;"","BORRADOR — VALOR SUGERIDO DIAN ⚠ VER ALERTA","BORRADOR — VALOR SUGERIDO DIAN"),IF(W390&lt;&gt;"","ACEPTADO ⚠ VER ALERTA","ACEPTADO"))))))))</f>
        <v/>
      </c>
      <c r="R390" s="218" t="n"/>
      <c r="S390" s="58">
        <f>IF(A390="","",IFERROR(--ISNUMBER(SEARCH("R28",G390)),0)+IFERROR(--ISNUMBER(SEARCH("R29",G390)),0)+IFERROR(--ISNUMBER(SEARCH("R30",G390)),0)+IFERROR(--ISNUMBER(SEARCH("R31",G390)),0)+IFERROR(--ISNUMBER(SEARCH("R32",G390)),0)+IFERROR(--ISNUMBER(SEARCH("R33",G390)),0)+IFERROR(--ISNUMBER(SEARCH("R34",G390)),0)+IFERROR(--ISNUMBER(SEARCH("R35",G390)),0)+IFERROR(--ISNUMBER(SEARCH("R36",G390)),0)+IFERROR(--ISNUMBER(SEARCH("R37",G390)),0)+IFERROR(--ISNUMBER(SEARCH("R38",G390)),0)+IFERROR(--ISNUMBER(SEARCH("R39",G390)),0)+IFERROR(--ISNUMBER(SEARCH("R40",G390)),0)+IFERROR(--ISNUMBER(SEARCH("R41",G390)),0)+IFERROR(--ISNUMBER(SEARCH("R42",G390)),0)+IFERROR(--ISNUMBER(SEARCH("R43",G390)),0)+IFERROR(--ISNUMBER(SEARCH("R44",G390)),0)+IFERROR(--ISNUMBER(SEARCH("R45",G390)),0)+IFERROR(--ISNUMBER(SEARCH("R46",G390)),0)+IFERROR(--ISNUMBER(SEARCH("R47",G390)),0)+IFERROR(--ISNUMBER(SEARCH("R48",G390)),0)+IFERROR(--ISNUMBER(SEARCH("R49",G390)),0)+IFERROR(--ISNUMBER(SEARCH("R50",G390)),0)+IFERROR(--ISNUMBER(SEARCH("R51",G390)),0)+IFERROR(--ISNUMBER(SEARCH("R52",G390)),0)+IFERROR(--ISNUMBER(SEARCH("R53",G390)),0)+IFERROR(--ISNUMBER(SEARCH("R54",G390)),0)+IFERROR(--ISNUMBER(SEARCH("R55",G390)),0)+IFERROR(--ISNUMBER(SEARCH("R56",G390)),0)+IFERROR(--ISNUMBER(SEARCH("R57",G390)),0)+IFERROR(--ISNUMBER(SEARCH("R58",G390)),0)+IFERROR(--ISNUMBER(SEARCH("R59",G390)),0)+IFERROR(--ISNUMBER(SEARCH("R60",G390)),0)+IFERROR(--ISNUMBER(SEARCH("R61",G390)),0)+IFERROR(--ISNUMBER(SEARCH("R62",G390)),0)+IFERROR(--ISNUMBER(SEARCH("R63",G390)),0)+IFERROR(--ISNUMBER(SEARCH("R64",G390)),0)+IFERROR(--ISNUMBER(SEARCH("R65",G390)),0)+IFERROR(--ISNUMBER(SEARCH("R66",G390)),0)+IFERROR(--ISNUMBER(SEARCH("R67",G390)),0)+IFERROR(--ISNUMBER(SEARCH("R68",G390)),0)+IFERROR(--ISNUMBER(SEARCH("R69",G390)),0)+IFERROR(--ISNUMBER(SEARCH("R70",G390)),0)+IFERROR(--ISNUMBER(SEARCH("R71",G390)),0)+IFERROR(--ISNUMBER(SEARCH("R72",G390)),0)+IFERROR(--ISNUMBER(SEARCH("R73",G390)),0)+IFERROR(--ISNUMBER(SEARCH("R74",G390)),0)+IFERROR(--ISNUMBER(SEARCH("R75",G390)),0)+IFERROR(--ISNUMBER(SEARCH("R76",G390)),0)+IFERROR(--ISNUMBER(SEARCH("R77",G390)),0)+IFERROR(--ISNUMBER(SEARCH("R78",G390)),0)+IFERROR(--ISNUMBER(SEARCH("R79",G390)),0)+IFERROR(--ISNUMBER(SEARCH("R80",G390)),0)+IFERROR(--ISNUMBER(SEARCH("R81",G390)),0)+IFERROR(--ISNUMBER(SEARCH("R82",G390)),0)+IFERROR(--ISNUMBER(SEARCH("R83",G390)),0)+IFERROR(--ISNUMBER(SEARCH("R84",G390)),0)+IFERROR(--ISNUMBER(SEARCH("R85",G390)),0)+IFERROR(--ISNUMBER(SEARCH("R86",G390)),0)+IFERROR(--ISNUMBER(SEARCH("R87",G390)),0)+IFERROR(--ISNUMBER(SEARCH("R88",G390)),0)+IFERROR(--ISNUMBER(SEARCH("R89",G390)),0)+IFERROR(--ISNUMBER(SEARCH("R90",G390)),0)+IFERROR(--ISNUMBER(SEARCH("R91",G390)),0)+IFERROR(--ISNUMBER(SEARCH("R92",G390)),0)+IFERROR(--ISNUMBER(SEARCH("R93",G390)),0)+IFERROR(--ISNUMBER(SEARCH("R94",G390)),0)+IFERROR(--ISNUMBER(SEARCH("R95",G390)),0)+IFERROR(--ISNUMBER(SEARCH("R96",G390)),0)+IFERROR(--ISNUMBER(SEARCH("R97",G390)),0)+IFERROR(--ISNUMBER(SEARCH("R98",G390)),0)+IFERROR(--ISNUMBER(SEARCH("R99",G390)),0)+IFERROR(--ISNUMBER(SEARCH("R100",G390)),0)+IFERROR(--ISNUMBER(SEARCH("R101",G390)),0)+IFERROR(--ISNUMBER(SEARCH("R102",G390)),0)+IFERROR(--ISNUMBER(SEARCH("R103",G390)),0)+IFERROR(--ISNUMBER(SEARCH("R104",G390)),0)+IFERROR(--ISNUMBER(SEARCH("R105",G390)),0)+IFERROR(--ISNUMBER(SEARCH("R106",G390)),0)+IFERROR(--ISNUMBER(SEARCH("R107",G390)),0)+IFERROR(--ISNUMBER(SEARCH("R108",G390)),0)+IFERROR(--ISNUMBER(SEARCH("R109",G390)),0)+IFERROR(--ISNUMBER(SEARCH("R110",G390)),0)+IFERROR(--ISNUMBER(SEARCH("R111",G390)),0)+IFERROR(--ISNUMBER(SEARCH("R112",G390)),0)+IFERROR(--ISNUMBER(SEARCH("R113",G390)),0)+IFERROR(--ISNUMBER(SEARCH("R114",G390)),0)+IFERROR(--ISNUMBER(SEARCH("R115",G390)),0)+IFERROR(--ISNUMBER(SEARCH("R116",G390)),0)+IFERROR(--ISNUMBER(SEARCH("R117",G390)),0)+IFERROR(--ISNUMBER(SEARCH("R118",G390)),0)+IFERROR(--ISNUMBER(SEARCH("R119",G390)),0)+IFERROR(--ISNUMBER(SEARCH("R120",G390)),0)+IFERROR(--ISNUMBER(SEARCH("R121",G390)),0)+IFERROR(--ISNUMBER(SEARCH("R122",G390)),0)+IFERROR(--ISNUMBER(SEARCH("R123",G390)),0)+IFERROR(--ISNUMBER(SEARCH("R124",G390)),0)+IFERROR(--ISNUMBER(SEARCH("R125",G390)),0)+IFERROR(--ISNUMBER(SEARCH("R126",G390)),0)+IFERROR(--ISNUMBER(SEARCH("R127",G390)),0)+IFERROR(--ISNUMBER(SEARCH("R128",G390)),0)+IFERROR(--ISNUMBER(SEARCH("R129",G390)),0)+IFERROR(--ISNUMBER(SEARCH("R130",G390)),0)+IFERROR(--ISNUMBER(SEARCH("R131",G390)),0)+IFERROR(--ISNUMBER(SEARCH("R132",G390)),0)+IFERROR(--ISNUMBER(SEARCH("R133",G390)),0)+IFERROR(--ISNUMBER(SEARCH("R134",G390)),0)+IFERROR(--ISNUMBER(SEARCH("R135",G390)),0)+IFERROR(--ISNUMBER(SEARCH("R136",G390)),0)+IFERROR(--ISNUMBER(SEARCH("R137",G390)),0)+IFERROR(--ISNUMBER(SEARCH("R138",G390)),0)+IFERROR(--ISNUMBER(SEARCH("R139",G390)),0)+IFERROR(--ISNUMBER(SEARCH("R140",G390)),0)+IFERROR(--ISNUMBER(SEARCH("R141",G390)),0))</f>
        <v/>
      </c>
      <c r="T390" s="58">
        <f>IF(A390="","",IFERROR(--ISNUMBER(SEARCH("R28",G390)),0)+IFERROR(--ISNUMBER(SEARCH("R29",G390)),0)+IFERROR(--ISNUMBER(SEARCH("R30",G390)),0)+IFERROR(--ISNUMBER(SEARCH("R32",G390)),0)+IFERROR(--ISNUMBER(SEARCH("R33",G390)),0)+IFERROR(--ISNUMBER(SEARCH("R35",G390)),0)+IFERROR(--ISNUMBER(SEARCH("R36",G390)),0)+IFERROR(--ISNUMBER(SEARCH("R38",G390)),0)+IFERROR(--ISNUMBER(SEARCH("R39",G390)),0)+IFERROR(--ISNUMBER(SEARCH("R43",G390)),0)+IFERROR(--ISNUMBER(SEARCH("R44",G390)),0)+IFERROR(--ISNUMBER(SEARCH("R45",G390)),0)+IFERROR(--ISNUMBER(SEARCH("R47",G390)),0)+IFERROR(--ISNUMBER(SEARCH("R48",G390)),0)+IFERROR(--ISNUMBER(SEARCH("R50",G390)),0)+IFERROR(--ISNUMBER(SEARCH("R51",G390)),0)+IFERROR(--ISNUMBER(SEARCH("R56",G390)),0)+IFERROR(--ISNUMBER(SEARCH("R58",G390)),0)+IFERROR(--ISNUMBER(SEARCH("R59",G390)),0)+IFERROR(--ISNUMBER(SEARCH("R60",G390)),0)+IFERROR(--ISNUMBER(SEARCH("R62",G390)),0)+IFERROR(--ISNUMBER(SEARCH("R63",G390)),0)+IFERROR(--ISNUMBER(SEARCH("R64",G390)),0)+IFERROR(--ISNUMBER(SEARCH("R66",G390)),0)+IFERROR(--ISNUMBER(SEARCH("R67",G390)),0)+IFERROR(--ISNUMBER(SEARCH("R72",G390)),0)+IFERROR(--ISNUMBER(SEARCH("R74",G390)),0)+IFERROR(--ISNUMBER(SEARCH("R75",G390)),0)+IFERROR(--ISNUMBER(SEARCH("R76",G390)),0)+IFERROR(--ISNUMBER(SEARCH("R77",G390)),0)+IFERROR(--ISNUMBER(SEARCH("R79",G390)),0)+IFERROR(--ISNUMBER(SEARCH("R80",G390)),0)+IFERROR(--ISNUMBER(SEARCH("R81",G390)),0)+IFERROR(--ISNUMBER(SEARCH("R83",G390)),0)+IFERROR(--ISNUMBER(SEARCH("R84",G390)),0)+IFERROR(--ISNUMBER(SEARCH("R89",G390)),0)+IFERROR(--ISNUMBER(SEARCH("R94",G390)),0)+IFERROR(--ISNUMBER(SEARCH("R95",G390)),0)+IFERROR(--ISNUMBER(SEARCH("R96",G390)),0)+IFERROR(--ISNUMBER(SEARCH("R98",G390)),0)+IFERROR(--ISNUMBER(SEARCH("R99",G390)),0)+IFERROR(--ISNUMBER(SEARCH("R100",G390)),0)+IFERROR(--ISNUMBER(SEARCH("R104",G390)),0)+IFERROR(--ISNUMBER(SEARCH("R105",G390)),0)+IFERROR(--ISNUMBER(SEARCH("R107",G390)),0)+IFERROR(--ISNUMBER(SEARCH("R108",G390)),0)+IFERROR(--ISNUMBER(SEARCH("R109",G390)),0)+IFERROR(--ISNUMBER(SEARCH("R110",G390)),0)+IFERROR(--ISNUMBER(SEARCH("R112",G390)),0)+IFERROR(--ISNUMBER(SEARCH("R113",G390)),0)+IFERROR(--ISNUMBER(SEARCH("R114",G390)),0)+IFERROR(--ISNUMBER(SEARCH("R118",G390)),0)+IFERROR(--ISNUMBER(SEARCH("R119",G390)),0)+IFERROR(--ISNUMBER(SEARCH("R120",G390)),0)+IFERROR(--ISNUMBER(SEARCH("R122",G390)),0)+IFERROR(--ISNUMBER(SEARCH("R123",G390)),0)+IFERROR(--ISNUMBER(SEARCH("R124",G390)),0)+IFERROR(--ISNUMBER(SEARCH("R128",G390)),0)+IFERROR(--ISNUMBER(SEARCH("R130",G390)),0)+IFERROR(--ISNUMBER(SEARCH("R131",G390)),0)+IFERROR(--ISNUMBER(SEARCH("R132",G390)),0)+IFERROR(--ISNUMBER(SEARCH("R135",G390)),0)+IFERROR(--ISNUMBER(SEARCH("R138",G390)),0)+IFERROR(--ISNUMBER(SEARCH("R141",G390)),0))</f>
        <v/>
      </c>
      <c r="U390" s="58">
        <f>IF(A390="","",IFERROR(--ISNUMBER(SEARCH("R28",G390))*28,0)+IFERROR(--ISNUMBER(SEARCH("R29",G390))*29,0)+IFERROR(--ISNUMBER(SEARCH("R30",G390))*30,0)+IFERROR(--ISNUMBER(SEARCH("R31",G390))*31,0)+IFERROR(--ISNUMBER(SEARCH("R32",G390))*32,0)+IFERROR(--ISNUMBER(SEARCH("R33",G390))*33,0)+IFERROR(--ISNUMBER(SEARCH("R34",G390))*34,0)+IFERROR(--ISNUMBER(SEARCH("R35",G390))*35,0)+IFERROR(--ISNUMBER(SEARCH("R36",G390))*36,0)+IFERROR(--ISNUMBER(SEARCH("R37",G390))*37,0)+IFERROR(--ISNUMBER(SEARCH("R38",G390))*38,0)+IFERROR(--ISNUMBER(SEARCH("R39",G390))*39,0)+IFERROR(--ISNUMBER(SEARCH("R40",G390))*40,0)+IFERROR(--ISNUMBER(SEARCH("R41",G390))*41,0)+IFERROR(--ISNUMBER(SEARCH("R42",G390))*42,0)+IFERROR(--ISNUMBER(SEARCH("R43",G390))*43,0)+IFERROR(--ISNUMBER(SEARCH("R44",G390))*44,0)+IFERROR(--ISNUMBER(SEARCH("R45",G390))*45,0)+IFERROR(--ISNUMBER(SEARCH("R46",G390))*46,0)+IFERROR(--ISNUMBER(SEARCH("R47",G390))*47,0)+IFERROR(--ISNUMBER(SEARCH("R48",G390))*48,0)+IFERROR(--ISNUMBER(SEARCH("R49",G390))*49,0)+IFERROR(--ISNUMBER(SEARCH("R50",G390))*50,0)+IFERROR(--ISNUMBER(SEARCH("R51",G390))*51,0)+IFERROR(--ISNUMBER(SEARCH("R52",G390))*52,0)+IFERROR(--ISNUMBER(SEARCH("R53",G390))*53,0)+IFERROR(--ISNUMBER(SEARCH("R54",G390))*54,0)+IFERROR(--ISNUMBER(SEARCH("R55",G390))*55,0)+IFERROR(--ISNUMBER(SEARCH("R56",G390))*56,0)+IFERROR(--ISNUMBER(SEARCH("R57",G390))*57,0)+IFERROR(--ISNUMBER(SEARCH("R58",G390))*58,0)+IFERROR(--ISNUMBER(SEARCH("R59",G390))*59,0)+IFERROR(--ISNUMBER(SEARCH("R60",G390))*60,0)+IFERROR(--ISNUMBER(SEARCH("R61",G390))*61,0)+IFERROR(--ISNUMBER(SEARCH("R62",G390))*62,0)+IFERROR(--ISNUMBER(SEARCH("R63",G390))*63,0)+IFERROR(--ISNUMBER(SEARCH("R64",G390))*64,0)+IFERROR(--ISNUMBER(SEARCH("R65",G390))*65,0)+IFERROR(--ISNUMBER(SEARCH("R66",G390))*66,0)+IFERROR(--ISNUMBER(SEARCH("R67",G390))*67,0)+IFERROR(--ISNUMBER(SEARCH("R68",G390))*68,0)+IFERROR(--ISNUMBER(SEARCH("R69",G390))*69,0)+IFERROR(--ISNUMBER(SEARCH("R70",G390))*70,0)+IFERROR(--ISNUMBER(SEARCH("R71",G390))*71,0)+IFERROR(--ISNUMBER(SEARCH("R72",G390))*72,0)+IFERROR(--ISNUMBER(SEARCH("R73",G390))*73,0)+IFERROR(--ISNUMBER(SEARCH("R74",G390))*74,0)+IFERROR(--ISNUMBER(SEARCH("R75",G390))*75,0)+IFERROR(--ISNUMBER(SEARCH("R76",G390))*76,0)+IFERROR(--ISNUMBER(SEARCH("R77",G390))*77,0)+IFERROR(--ISNUMBER(SEARCH("R78",G390))*78,0)+IFERROR(--ISNUMBER(SEARCH("R79",G390))*79,0)+IFERROR(--ISNUMBER(SEARCH("R80",G390))*80,0)+IFERROR(--ISNUMBER(SEARCH("R81",G390))*81,0)+IFERROR(--ISNUMBER(SEARCH("R82",G390))*82,0)+IFERROR(--ISNUMBER(SEARCH("R83",G390))*83,0)+IFERROR(--ISNUMBER(SEARCH("R84",G390))*84,0)+IFERROR(--ISNUMBER(SEARCH("R85",G390))*85,0)+IFERROR(--ISNUMBER(SEARCH("R86",G390))*86,0)+IFERROR(--ISNUMBER(SEARCH("R87",G390))*87,0)+IFERROR(--ISNUMBER(SEARCH("R88",G390))*88,0)+IFERROR(--ISNUMBER(SEARCH("R89",G390))*89,0)+IFERROR(--ISNUMBER(SEARCH("R90",G390))*90,0)+IFERROR(--ISNUMBER(SEARCH("R91",G390))*91,0)+IFERROR(--ISNUMBER(SEARCH("R92",G390))*92,0)+IFERROR(--ISNUMBER(SEARCH("R93",G390))*93,0)+IFERROR(--ISNUMBER(SEARCH("R94",G390))*94,0)+IFERROR(--ISNUMBER(SEARCH("R95",G390))*95,0)+IFERROR(--ISNUMBER(SEARCH("R96",G390))*96,0)+IFERROR(--ISNUMBER(SEARCH("R97",G390))*97,0)+IFERROR(--ISNUMBER(SEARCH("R98",G390))*98,0)+IFERROR(--ISNUMBER(SEARCH("R99",G390))*99,0)+IFERROR(--ISNUMBER(SEARCH("R100",G390))*100,0)+IFERROR(--ISNUMBER(SEARCH("R101",G390))*101,0)+IFERROR(--ISNUMBER(SEARCH("R102",G390))*102,0)+IFERROR(--ISNUMBER(SEARCH("R103",G390))*103,0)+IFERROR(--ISNUMBER(SEARCH("R104",G390))*104,0)+IFERROR(--ISNUMBER(SEARCH("R105",G390))*105,0)+IFERROR(--ISNUMBER(SEARCH("R106",G390))*106,0)+IFERROR(--ISNUMBER(SEARCH("R107",G390))*107,0)+IFERROR(--ISNUMBER(SEARCH("R108",G390))*108,0)+IFERROR(--ISNUMBER(SEARCH("R109",G390))*109,0)+IFERROR(--ISNUMBER(SEARCH("R110",G390))*110,0)+IFERROR(--ISNUMBER(SEARCH("R111",G390))*111,0)+IFERROR(--ISNUMBER(SEARCH("R112",G390))*112,0)+IFERROR(--ISNUMBER(SEARCH("R113",G390))*113,0)+IFERROR(--ISNUMBER(SEARCH("R114",G390))*114,0)+IFERROR(--ISNUMBER(SEARCH("R115",G390))*115,0)+IFERROR(--ISNUMBER(SEARCH("R116",G390))*116,0)+IFERROR(--ISNUMBER(SEARCH("R117",G390))*117,0)+IFERROR(--ISNUMBER(SEARCH("R118",G390))*118,0)+IFERROR(--ISNUMBER(SEARCH("R119",G390))*119,0)+IFERROR(--ISNUMBER(SEARCH("R120",G390))*120,0)+IFERROR(--ISNUMBER(SEARCH("R121",G390))*121,0)+IFERROR(--ISNUMBER(SEARCH("R122",G390))*122,0)+IFERROR(--ISNUMBER(SEARCH("R123",G390))*123,0)+IFERROR(--ISNUMBER(SEARCH("R124",G390))*124,0)+IFERROR(--ISNUMBER(SEARCH("R125",G390))*125,0)+IFERROR(--ISNUMBER(SEARCH("R126",G390))*126,0)+IFERROR(--ISNUMBER(SEARCH("R127",G390))*127,0)+IFERROR(--ISNUMBER(SEARCH("R128",G390))*128,0)+IFERROR(--ISNUMBER(SEARCH("R129",G390))*129,0)+IFERROR(--ISNUMBER(SEARCH("R130",G390))*130,0)+IFERROR(--ISNUMBER(SEARCH("R131",G390))*131,0)+IFERROR(--ISNUMBER(SEARCH("R132",G390))*132,0)+IFERROR(--ISNUMBER(SEARCH("R133",G390))*133,0)+IFERROR(--ISNUMBER(SEARCH("R134",G390))*134,0)+IFERROR(--ISNUMBER(SEARCH("R135",G390))*135,0)+IFERROR(--ISNUMBER(SEARCH("R136",G390))*136,0)+IFERROR(--ISNUMBER(SEARCH("R137",G390))*137,0)+IFERROR(--ISNUMBER(SEARCH("R138",G390))*138,0)+IFERROR(--ISNUMBER(SEARCH("R139",G390))*139,0)+IFERROR(--ISNUMBER(SEARCH("R140",G390))*140,0)+IFERROR(--ISNUMBER(SEARCH("R141",G390))*141,0))</f>
        <v/>
      </c>
      <c r="V390" s="59">
        <f>IF(A390="","",IF(K390&lt;&gt;"",K390,J390))</f>
        <v/>
      </c>
      <c r="W390" s="59">
        <f>IF(A390="","",IF(AND(V390=29,O390&lt;&gt;"",COUNTIFS($V$6:$V$505,29,$F$6:$F$505,F390,$C$6:$C$505,C390,$O$6:$O$505,"&lt;&gt;")&gt;1),IF(COUNTIFS($V$6:V390,29,$F$6:F390,F390,$C$6:C390,C390,$O$6:O390,"&lt;&gt;")=1,"Esta es la fila que se debe CONSERVAR (aparición 1 de "&amp;COUNTIFS($V$6:$V$505,29,$F$6:$F$505,F390,$C$6:$C$505,C390,$O$6:$O$505,"&lt;&gt;")&amp;" con el mismo tercero y valor, casilla 29). Si hay más filas iguales, bórreles el valor a ELLAS, no a esta.","DUPLICADO — ya existe otra fila con el mismo tercero y valor para casilla 29 (aparición "&amp;COUNTIFS($V$6:V390,29,$F$6:F390,F390,$C$6:C390,C390,$O$6:O390,"&lt;&gt;")&amp;" de "&amp;COUNTIFS($V$6:$V$505,29,$F$6:$F$505,F390,$C$6:$C$505,C390,$O$6:$O$505,"&lt;&gt;")&amp;"). Para resolverlo: seleccione la celda O"&amp;ROW()&amp;" (columna Valor a declarar de ESTA fila) y presione Supr."),""))</f>
        <v/>
      </c>
      <c r="X390" s="463">
        <f>IF(A390="","",F390)</f>
        <v/>
      </c>
      <c r="Y390" s="463">
        <f>IF(A390="","",SUMIF(Entrada_Manual!$I$88:$I$187,A390,Entrada_Manual!$F$88:$F$187))</f>
        <v/>
      </c>
      <c r="Z390" s="463">
        <f>IF(A390="","",X390-Y390)</f>
        <v/>
      </c>
      <c r="AA390">
        <f>IF(A390="","",SUMPRODUCT((Entrada_Manual!$I$88:$I$187=A390)*1))</f>
        <v/>
      </c>
      <c r="AB390">
        <f>IF(A390="","",IF(S390&lt;=1,"",IF(AA390=0,"PENDIENTE — SIN ASIGNAR",IF(Z390=0,"RESUELTO","PARCIAL — DIFERENCIA "&amp;TEXT(Z390,"#,##0")))))</f>
        <v/>
      </c>
    </row>
    <row r="391" ht="14.25" customHeight="1" s="235">
      <c r="A391" s="47">
        <f>IF(Exogena_RAW!E400&lt;&gt;"",ROW()-5,"")</f>
        <v/>
      </c>
      <c r="B391" s="48">
        <f>IF(A391="","",400)</f>
        <v/>
      </c>
      <c r="C391" s="48">
        <f>IF(A391="","",IFERROR(Exogena_RAW!A400,""))</f>
        <v/>
      </c>
      <c r="D391" s="48">
        <f>IF(A391="","",IFERROR(Exogena_RAW!B400,""))</f>
        <v/>
      </c>
      <c r="E391" s="48">
        <f>IF(A391="","",Exogena_RAW!E400)</f>
        <v/>
      </c>
      <c r="F391" s="461">
        <f>IF(A391="","",Exogena_RAW!F400)</f>
        <v/>
      </c>
      <c r="G391" s="48">
        <f>IF(A391="","",IFERROR(Exogena_RAW!G400,""))</f>
        <v/>
      </c>
      <c r="H391" s="48">
        <f>IF(A391="","",IFERROR(Exogena_RAW!H400,""))</f>
        <v/>
      </c>
      <c r="I391" s="48">
        <f>IF(A391="","",IFERROR(IF(S391&gt;1,"VARIAS CASILLAS",IF(S391=1,IF(T391=1,"PROPUESTA DE CASILLA","REVISIÓN: CASILLA NO DIRECTA"),IF(OR(ISNUMBER(SEARCH("TOPE",UPPER(E391))),ISNUMBER(SEARCH("TOPE",UPPER(G391)))),"SOLO CONTROL",IF(ISNUMBER(SEARCH("RETEN",UPPER(E391))),"RETENCIÓN","REVISAR")))),"REVISAR"))</f>
        <v/>
      </c>
      <c r="J391" s="48">
        <f>IF(A391="","",IF(ISNUMBER(SEARCH("ingreso laboral promedio de los últimos seis meses",E391)),"",IFERROR(IF(AND(S391=1,T391=1),U391,""),"")))</f>
        <v/>
      </c>
      <c r="K391" s="216" t="n"/>
      <c r="L391" s="48">
        <f>IF(A391="","",IFERROR(IF(K391&lt;&gt;"","Casilla elegida por usuario",IF(S391&gt;1,"Varias casillas — elegir en K",IF(J391&lt;&gt;"","Sugerencia directa",IF(S391=1,"No trasladar directo — revisar",IF(OR(ISNUMBER(SEARCH("TOPE",UPPER(E391))),ISNUMBER(SEARCH("TOPE",UPPER(G391)))),"Solo control","Revisar manualmente"))))),"Revisar manualmente"))</f>
        <v/>
      </c>
      <c r="M391" s="461">
        <f>IF(A391="","",IF(IF(K391&lt;&gt;"",K391,J391)="",0,IF(COUNTIFS(Reglas!$I$5:$I$118,IF(K391&lt;&gt;"",K391,J391),Reglas!$J$5:$J$118,"Sí")=1,F391,0)))</f>
        <v/>
      </c>
      <c r="N391" s="56" t="n"/>
      <c r="O391" s="462">
        <f>IF(A391="","",IF(M391=0,"",M391))</f>
        <v/>
      </c>
      <c r="P391" s="461">
        <f>IF(A391="","",IF(O391="",0,IF(ISNUMBER(O391),O391,0)))</f>
        <v/>
      </c>
      <c r="Q391" s="48">
        <f>IF(A391="","",IF(Exogena_RAW!$C$4="","BLOQUEADO: FALTA AÑO",IF(Exogena_RAW!$K$10&lt;&gt;Reglas!$B$5,"BLOQUEADO: AÑO",IF(IF(K391&lt;&gt;"",K391,J391)="",IF(S391&gt;1,"REQUIERE ASIGNACIÓN MANUAL (VARIAS CASILLAS)","INFORMATIVO (sin casilla — no se declara)"),IF(COUNTIFS(Reglas!$I$5:$I$118,IF(K391&lt;&gt;"",K391,J391),Reglas!$J$5:$J$118,"Sí")=0,"BLOQUEADO: CASILLA NO DIRECTA",IF(O391="","EXCLUIDO (valor borrado por el usuario)",IF(_xlfn.ISFORMULA(O391),IF(W391&lt;&gt;"","BORRADOR — VALOR SUGERIDO DIAN ⚠ VER ALERTA","BORRADOR — VALOR SUGERIDO DIAN"),IF(W391&lt;&gt;"","ACEPTADO ⚠ VER ALERTA","ACEPTADO"))))))))</f>
        <v/>
      </c>
      <c r="R391" s="218" t="n"/>
      <c r="S391" s="58">
        <f>IF(A391="","",IFERROR(--ISNUMBER(SEARCH("R28",G391)),0)+IFERROR(--ISNUMBER(SEARCH("R29",G391)),0)+IFERROR(--ISNUMBER(SEARCH("R30",G391)),0)+IFERROR(--ISNUMBER(SEARCH("R31",G391)),0)+IFERROR(--ISNUMBER(SEARCH("R32",G391)),0)+IFERROR(--ISNUMBER(SEARCH("R33",G391)),0)+IFERROR(--ISNUMBER(SEARCH("R34",G391)),0)+IFERROR(--ISNUMBER(SEARCH("R35",G391)),0)+IFERROR(--ISNUMBER(SEARCH("R36",G391)),0)+IFERROR(--ISNUMBER(SEARCH("R37",G391)),0)+IFERROR(--ISNUMBER(SEARCH("R38",G391)),0)+IFERROR(--ISNUMBER(SEARCH("R39",G391)),0)+IFERROR(--ISNUMBER(SEARCH("R40",G391)),0)+IFERROR(--ISNUMBER(SEARCH("R41",G391)),0)+IFERROR(--ISNUMBER(SEARCH("R42",G391)),0)+IFERROR(--ISNUMBER(SEARCH("R43",G391)),0)+IFERROR(--ISNUMBER(SEARCH("R44",G391)),0)+IFERROR(--ISNUMBER(SEARCH("R45",G391)),0)+IFERROR(--ISNUMBER(SEARCH("R46",G391)),0)+IFERROR(--ISNUMBER(SEARCH("R47",G391)),0)+IFERROR(--ISNUMBER(SEARCH("R48",G391)),0)+IFERROR(--ISNUMBER(SEARCH("R49",G391)),0)+IFERROR(--ISNUMBER(SEARCH("R50",G391)),0)+IFERROR(--ISNUMBER(SEARCH("R51",G391)),0)+IFERROR(--ISNUMBER(SEARCH("R52",G391)),0)+IFERROR(--ISNUMBER(SEARCH("R53",G391)),0)+IFERROR(--ISNUMBER(SEARCH("R54",G391)),0)+IFERROR(--ISNUMBER(SEARCH("R55",G391)),0)+IFERROR(--ISNUMBER(SEARCH("R56",G391)),0)+IFERROR(--ISNUMBER(SEARCH("R57",G391)),0)+IFERROR(--ISNUMBER(SEARCH("R58",G391)),0)+IFERROR(--ISNUMBER(SEARCH("R59",G391)),0)+IFERROR(--ISNUMBER(SEARCH("R60",G391)),0)+IFERROR(--ISNUMBER(SEARCH("R61",G391)),0)+IFERROR(--ISNUMBER(SEARCH("R62",G391)),0)+IFERROR(--ISNUMBER(SEARCH("R63",G391)),0)+IFERROR(--ISNUMBER(SEARCH("R64",G391)),0)+IFERROR(--ISNUMBER(SEARCH("R65",G391)),0)+IFERROR(--ISNUMBER(SEARCH("R66",G391)),0)+IFERROR(--ISNUMBER(SEARCH("R67",G391)),0)+IFERROR(--ISNUMBER(SEARCH("R68",G391)),0)+IFERROR(--ISNUMBER(SEARCH("R69",G391)),0)+IFERROR(--ISNUMBER(SEARCH("R70",G391)),0)+IFERROR(--ISNUMBER(SEARCH("R71",G391)),0)+IFERROR(--ISNUMBER(SEARCH("R72",G391)),0)+IFERROR(--ISNUMBER(SEARCH("R73",G391)),0)+IFERROR(--ISNUMBER(SEARCH("R74",G391)),0)+IFERROR(--ISNUMBER(SEARCH("R75",G391)),0)+IFERROR(--ISNUMBER(SEARCH("R76",G391)),0)+IFERROR(--ISNUMBER(SEARCH("R77",G391)),0)+IFERROR(--ISNUMBER(SEARCH("R78",G391)),0)+IFERROR(--ISNUMBER(SEARCH("R79",G391)),0)+IFERROR(--ISNUMBER(SEARCH("R80",G391)),0)+IFERROR(--ISNUMBER(SEARCH("R81",G391)),0)+IFERROR(--ISNUMBER(SEARCH("R82",G391)),0)+IFERROR(--ISNUMBER(SEARCH("R83",G391)),0)+IFERROR(--ISNUMBER(SEARCH("R84",G391)),0)+IFERROR(--ISNUMBER(SEARCH("R85",G391)),0)+IFERROR(--ISNUMBER(SEARCH("R86",G391)),0)+IFERROR(--ISNUMBER(SEARCH("R87",G391)),0)+IFERROR(--ISNUMBER(SEARCH("R88",G391)),0)+IFERROR(--ISNUMBER(SEARCH("R89",G391)),0)+IFERROR(--ISNUMBER(SEARCH("R90",G391)),0)+IFERROR(--ISNUMBER(SEARCH("R91",G391)),0)+IFERROR(--ISNUMBER(SEARCH("R92",G391)),0)+IFERROR(--ISNUMBER(SEARCH("R93",G391)),0)+IFERROR(--ISNUMBER(SEARCH("R94",G391)),0)+IFERROR(--ISNUMBER(SEARCH("R95",G391)),0)+IFERROR(--ISNUMBER(SEARCH("R96",G391)),0)+IFERROR(--ISNUMBER(SEARCH("R97",G391)),0)+IFERROR(--ISNUMBER(SEARCH("R98",G391)),0)+IFERROR(--ISNUMBER(SEARCH("R99",G391)),0)+IFERROR(--ISNUMBER(SEARCH("R100",G391)),0)+IFERROR(--ISNUMBER(SEARCH("R101",G391)),0)+IFERROR(--ISNUMBER(SEARCH("R102",G391)),0)+IFERROR(--ISNUMBER(SEARCH("R103",G391)),0)+IFERROR(--ISNUMBER(SEARCH("R104",G391)),0)+IFERROR(--ISNUMBER(SEARCH("R105",G391)),0)+IFERROR(--ISNUMBER(SEARCH("R106",G391)),0)+IFERROR(--ISNUMBER(SEARCH("R107",G391)),0)+IFERROR(--ISNUMBER(SEARCH("R108",G391)),0)+IFERROR(--ISNUMBER(SEARCH("R109",G391)),0)+IFERROR(--ISNUMBER(SEARCH("R110",G391)),0)+IFERROR(--ISNUMBER(SEARCH("R111",G391)),0)+IFERROR(--ISNUMBER(SEARCH("R112",G391)),0)+IFERROR(--ISNUMBER(SEARCH("R113",G391)),0)+IFERROR(--ISNUMBER(SEARCH("R114",G391)),0)+IFERROR(--ISNUMBER(SEARCH("R115",G391)),0)+IFERROR(--ISNUMBER(SEARCH("R116",G391)),0)+IFERROR(--ISNUMBER(SEARCH("R117",G391)),0)+IFERROR(--ISNUMBER(SEARCH("R118",G391)),0)+IFERROR(--ISNUMBER(SEARCH("R119",G391)),0)+IFERROR(--ISNUMBER(SEARCH("R120",G391)),0)+IFERROR(--ISNUMBER(SEARCH("R121",G391)),0)+IFERROR(--ISNUMBER(SEARCH("R122",G391)),0)+IFERROR(--ISNUMBER(SEARCH("R123",G391)),0)+IFERROR(--ISNUMBER(SEARCH("R124",G391)),0)+IFERROR(--ISNUMBER(SEARCH("R125",G391)),0)+IFERROR(--ISNUMBER(SEARCH("R126",G391)),0)+IFERROR(--ISNUMBER(SEARCH("R127",G391)),0)+IFERROR(--ISNUMBER(SEARCH("R128",G391)),0)+IFERROR(--ISNUMBER(SEARCH("R129",G391)),0)+IFERROR(--ISNUMBER(SEARCH("R130",G391)),0)+IFERROR(--ISNUMBER(SEARCH("R131",G391)),0)+IFERROR(--ISNUMBER(SEARCH("R132",G391)),0)+IFERROR(--ISNUMBER(SEARCH("R133",G391)),0)+IFERROR(--ISNUMBER(SEARCH("R134",G391)),0)+IFERROR(--ISNUMBER(SEARCH("R135",G391)),0)+IFERROR(--ISNUMBER(SEARCH("R136",G391)),0)+IFERROR(--ISNUMBER(SEARCH("R137",G391)),0)+IFERROR(--ISNUMBER(SEARCH("R138",G391)),0)+IFERROR(--ISNUMBER(SEARCH("R139",G391)),0)+IFERROR(--ISNUMBER(SEARCH("R140",G391)),0)+IFERROR(--ISNUMBER(SEARCH("R141",G391)),0))</f>
        <v/>
      </c>
      <c r="T391" s="58">
        <f>IF(A391="","",IFERROR(--ISNUMBER(SEARCH("R28",G391)),0)+IFERROR(--ISNUMBER(SEARCH("R29",G391)),0)+IFERROR(--ISNUMBER(SEARCH("R30",G391)),0)+IFERROR(--ISNUMBER(SEARCH("R32",G391)),0)+IFERROR(--ISNUMBER(SEARCH("R33",G391)),0)+IFERROR(--ISNUMBER(SEARCH("R35",G391)),0)+IFERROR(--ISNUMBER(SEARCH("R36",G391)),0)+IFERROR(--ISNUMBER(SEARCH("R38",G391)),0)+IFERROR(--ISNUMBER(SEARCH("R39",G391)),0)+IFERROR(--ISNUMBER(SEARCH("R43",G391)),0)+IFERROR(--ISNUMBER(SEARCH("R44",G391)),0)+IFERROR(--ISNUMBER(SEARCH("R45",G391)),0)+IFERROR(--ISNUMBER(SEARCH("R47",G391)),0)+IFERROR(--ISNUMBER(SEARCH("R48",G391)),0)+IFERROR(--ISNUMBER(SEARCH("R50",G391)),0)+IFERROR(--ISNUMBER(SEARCH("R51",G391)),0)+IFERROR(--ISNUMBER(SEARCH("R56",G391)),0)+IFERROR(--ISNUMBER(SEARCH("R58",G391)),0)+IFERROR(--ISNUMBER(SEARCH("R59",G391)),0)+IFERROR(--ISNUMBER(SEARCH("R60",G391)),0)+IFERROR(--ISNUMBER(SEARCH("R62",G391)),0)+IFERROR(--ISNUMBER(SEARCH("R63",G391)),0)+IFERROR(--ISNUMBER(SEARCH("R64",G391)),0)+IFERROR(--ISNUMBER(SEARCH("R66",G391)),0)+IFERROR(--ISNUMBER(SEARCH("R67",G391)),0)+IFERROR(--ISNUMBER(SEARCH("R72",G391)),0)+IFERROR(--ISNUMBER(SEARCH("R74",G391)),0)+IFERROR(--ISNUMBER(SEARCH("R75",G391)),0)+IFERROR(--ISNUMBER(SEARCH("R76",G391)),0)+IFERROR(--ISNUMBER(SEARCH("R77",G391)),0)+IFERROR(--ISNUMBER(SEARCH("R79",G391)),0)+IFERROR(--ISNUMBER(SEARCH("R80",G391)),0)+IFERROR(--ISNUMBER(SEARCH("R81",G391)),0)+IFERROR(--ISNUMBER(SEARCH("R83",G391)),0)+IFERROR(--ISNUMBER(SEARCH("R84",G391)),0)+IFERROR(--ISNUMBER(SEARCH("R89",G391)),0)+IFERROR(--ISNUMBER(SEARCH("R94",G391)),0)+IFERROR(--ISNUMBER(SEARCH("R95",G391)),0)+IFERROR(--ISNUMBER(SEARCH("R96",G391)),0)+IFERROR(--ISNUMBER(SEARCH("R98",G391)),0)+IFERROR(--ISNUMBER(SEARCH("R99",G391)),0)+IFERROR(--ISNUMBER(SEARCH("R100",G391)),0)+IFERROR(--ISNUMBER(SEARCH("R104",G391)),0)+IFERROR(--ISNUMBER(SEARCH("R105",G391)),0)+IFERROR(--ISNUMBER(SEARCH("R107",G391)),0)+IFERROR(--ISNUMBER(SEARCH("R108",G391)),0)+IFERROR(--ISNUMBER(SEARCH("R109",G391)),0)+IFERROR(--ISNUMBER(SEARCH("R110",G391)),0)+IFERROR(--ISNUMBER(SEARCH("R112",G391)),0)+IFERROR(--ISNUMBER(SEARCH("R113",G391)),0)+IFERROR(--ISNUMBER(SEARCH("R114",G391)),0)+IFERROR(--ISNUMBER(SEARCH("R118",G391)),0)+IFERROR(--ISNUMBER(SEARCH("R119",G391)),0)+IFERROR(--ISNUMBER(SEARCH("R120",G391)),0)+IFERROR(--ISNUMBER(SEARCH("R122",G391)),0)+IFERROR(--ISNUMBER(SEARCH("R123",G391)),0)+IFERROR(--ISNUMBER(SEARCH("R124",G391)),0)+IFERROR(--ISNUMBER(SEARCH("R128",G391)),0)+IFERROR(--ISNUMBER(SEARCH("R130",G391)),0)+IFERROR(--ISNUMBER(SEARCH("R131",G391)),0)+IFERROR(--ISNUMBER(SEARCH("R132",G391)),0)+IFERROR(--ISNUMBER(SEARCH("R135",G391)),0)+IFERROR(--ISNUMBER(SEARCH("R138",G391)),0)+IFERROR(--ISNUMBER(SEARCH("R141",G391)),0))</f>
        <v/>
      </c>
      <c r="U391" s="58">
        <f>IF(A391="","",IFERROR(--ISNUMBER(SEARCH("R28",G391))*28,0)+IFERROR(--ISNUMBER(SEARCH("R29",G391))*29,0)+IFERROR(--ISNUMBER(SEARCH("R30",G391))*30,0)+IFERROR(--ISNUMBER(SEARCH("R31",G391))*31,0)+IFERROR(--ISNUMBER(SEARCH("R32",G391))*32,0)+IFERROR(--ISNUMBER(SEARCH("R33",G391))*33,0)+IFERROR(--ISNUMBER(SEARCH("R34",G391))*34,0)+IFERROR(--ISNUMBER(SEARCH("R35",G391))*35,0)+IFERROR(--ISNUMBER(SEARCH("R36",G391))*36,0)+IFERROR(--ISNUMBER(SEARCH("R37",G391))*37,0)+IFERROR(--ISNUMBER(SEARCH("R38",G391))*38,0)+IFERROR(--ISNUMBER(SEARCH("R39",G391))*39,0)+IFERROR(--ISNUMBER(SEARCH("R40",G391))*40,0)+IFERROR(--ISNUMBER(SEARCH("R41",G391))*41,0)+IFERROR(--ISNUMBER(SEARCH("R42",G391))*42,0)+IFERROR(--ISNUMBER(SEARCH("R43",G391))*43,0)+IFERROR(--ISNUMBER(SEARCH("R44",G391))*44,0)+IFERROR(--ISNUMBER(SEARCH("R45",G391))*45,0)+IFERROR(--ISNUMBER(SEARCH("R46",G391))*46,0)+IFERROR(--ISNUMBER(SEARCH("R47",G391))*47,0)+IFERROR(--ISNUMBER(SEARCH("R48",G391))*48,0)+IFERROR(--ISNUMBER(SEARCH("R49",G391))*49,0)+IFERROR(--ISNUMBER(SEARCH("R50",G391))*50,0)+IFERROR(--ISNUMBER(SEARCH("R51",G391))*51,0)+IFERROR(--ISNUMBER(SEARCH("R52",G391))*52,0)+IFERROR(--ISNUMBER(SEARCH("R53",G391))*53,0)+IFERROR(--ISNUMBER(SEARCH("R54",G391))*54,0)+IFERROR(--ISNUMBER(SEARCH("R55",G391))*55,0)+IFERROR(--ISNUMBER(SEARCH("R56",G391))*56,0)+IFERROR(--ISNUMBER(SEARCH("R57",G391))*57,0)+IFERROR(--ISNUMBER(SEARCH("R58",G391))*58,0)+IFERROR(--ISNUMBER(SEARCH("R59",G391))*59,0)+IFERROR(--ISNUMBER(SEARCH("R60",G391))*60,0)+IFERROR(--ISNUMBER(SEARCH("R61",G391))*61,0)+IFERROR(--ISNUMBER(SEARCH("R62",G391))*62,0)+IFERROR(--ISNUMBER(SEARCH("R63",G391))*63,0)+IFERROR(--ISNUMBER(SEARCH("R64",G391))*64,0)+IFERROR(--ISNUMBER(SEARCH("R65",G391))*65,0)+IFERROR(--ISNUMBER(SEARCH("R66",G391))*66,0)+IFERROR(--ISNUMBER(SEARCH("R67",G391))*67,0)+IFERROR(--ISNUMBER(SEARCH("R68",G391))*68,0)+IFERROR(--ISNUMBER(SEARCH("R69",G391))*69,0)+IFERROR(--ISNUMBER(SEARCH("R70",G391))*70,0)+IFERROR(--ISNUMBER(SEARCH("R71",G391))*71,0)+IFERROR(--ISNUMBER(SEARCH("R72",G391))*72,0)+IFERROR(--ISNUMBER(SEARCH("R73",G391))*73,0)+IFERROR(--ISNUMBER(SEARCH("R74",G391))*74,0)+IFERROR(--ISNUMBER(SEARCH("R75",G391))*75,0)+IFERROR(--ISNUMBER(SEARCH("R76",G391))*76,0)+IFERROR(--ISNUMBER(SEARCH("R77",G391))*77,0)+IFERROR(--ISNUMBER(SEARCH("R78",G391))*78,0)+IFERROR(--ISNUMBER(SEARCH("R79",G391))*79,0)+IFERROR(--ISNUMBER(SEARCH("R80",G391))*80,0)+IFERROR(--ISNUMBER(SEARCH("R81",G391))*81,0)+IFERROR(--ISNUMBER(SEARCH("R82",G391))*82,0)+IFERROR(--ISNUMBER(SEARCH("R83",G391))*83,0)+IFERROR(--ISNUMBER(SEARCH("R84",G391))*84,0)+IFERROR(--ISNUMBER(SEARCH("R85",G391))*85,0)+IFERROR(--ISNUMBER(SEARCH("R86",G391))*86,0)+IFERROR(--ISNUMBER(SEARCH("R87",G391))*87,0)+IFERROR(--ISNUMBER(SEARCH("R88",G391))*88,0)+IFERROR(--ISNUMBER(SEARCH("R89",G391))*89,0)+IFERROR(--ISNUMBER(SEARCH("R90",G391))*90,0)+IFERROR(--ISNUMBER(SEARCH("R91",G391))*91,0)+IFERROR(--ISNUMBER(SEARCH("R92",G391))*92,0)+IFERROR(--ISNUMBER(SEARCH("R93",G391))*93,0)+IFERROR(--ISNUMBER(SEARCH("R94",G391))*94,0)+IFERROR(--ISNUMBER(SEARCH("R95",G391))*95,0)+IFERROR(--ISNUMBER(SEARCH("R96",G391))*96,0)+IFERROR(--ISNUMBER(SEARCH("R97",G391))*97,0)+IFERROR(--ISNUMBER(SEARCH("R98",G391))*98,0)+IFERROR(--ISNUMBER(SEARCH("R99",G391))*99,0)+IFERROR(--ISNUMBER(SEARCH("R100",G391))*100,0)+IFERROR(--ISNUMBER(SEARCH("R101",G391))*101,0)+IFERROR(--ISNUMBER(SEARCH("R102",G391))*102,0)+IFERROR(--ISNUMBER(SEARCH("R103",G391))*103,0)+IFERROR(--ISNUMBER(SEARCH("R104",G391))*104,0)+IFERROR(--ISNUMBER(SEARCH("R105",G391))*105,0)+IFERROR(--ISNUMBER(SEARCH("R106",G391))*106,0)+IFERROR(--ISNUMBER(SEARCH("R107",G391))*107,0)+IFERROR(--ISNUMBER(SEARCH("R108",G391))*108,0)+IFERROR(--ISNUMBER(SEARCH("R109",G391))*109,0)+IFERROR(--ISNUMBER(SEARCH("R110",G391))*110,0)+IFERROR(--ISNUMBER(SEARCH("R111",G391))*111,0)+IFERROR(--ISNUMBER(SEARCH("R112",G391))*112,0)+IFERROR(--ISNUMBER(SEARCH("R113",G391))*113,0)+IFERROR(--ISNUMBER(SEARCH("R114",G391))*114,0)+IFERROR(--ISNUMBER(SEARCH("R115",G391))*115,0)+IFERROR(--ISNUMBER(SEARCH("R116",G391))*116,0)+IFERROR(--ISNUMBER(SEARCH("R117",G391))*117,0)+IFERROR(--ISNUMBER(SEARCH("R118",G391))*118,0)+IFERROR(--ISNUMBER(SEARCH("R119",G391))*119,0)+IFERROR(--ISNUMBER(SEARCH("R120",G391))*120,0)+IFERROR(--ISNUMBER(SEARCH("R121",G391))*121,0)+IFERROR(--ISNUMBER(SEARCH("R122",G391))*122,0)+IFERROR(--ISNUMBER(SEARCH("R123",G391))*123,0)+IFERROR(--ISNUMBER(SEARCH("R124",G391))*124,0)+IFERROR(--ISNUMBER(SEARCH("R125",G391))*125,0)+IFERROR(--ISNUMBER(SEARCH("R126",G391))*126,0)+IFERROR(--ISNUMBER(SEARCH("R127",G391))*127,0)+IFERROR(--ISNUMBER(SEARCH("R128",G391))*128,0)+IFERROR(--ISNUMBER(SEARCH("R129",G391))*129,0)+IFERROR(--ISNUMBER(SEARCH("R130",G391))*130,0)+IFERROR(--ISNUMBER(SEARCH("R131",G391))*131,0)+IFERROR(--ISNUMBER(SEARCH("R132",G391))*132,0)+IFERROR(--ISNUMBER(SEARCH("R133",G391))*133,0)+IFERROR(--ISNUMBER(SEARCH("R134",G391))*134,0)+IFERROR(--ISNUMBER(SEARCH("R135",G391))*135,0)+IFERROR(--ISNUMBER(SEARCH("R136",G391))*136,0)+IFERROR(--ISNUMBER(SEARCH("R137",G391))*137,0)+IFERROR(--ISNUMBER(SEARCH("R138",G391))*138,0)+IFERROR(--ISNUMBER(SEARCH("R139",G391))*139,0)+IFERROR(--ISNUMBER(SEARCH("R140",G391))*140,0)+IFERROR(--ISNUMBER(SEARCH("R141",G391))*141,0))</f>
        <v/>
      </c>
      <c r="V391" s="59">
        <f>IF(A391="","",IF(K391&lt;&gt;"",K391,J391))</f>
        <v/>
      </c>
      <c r="W391" s="59">
        <f>IF(A391="","",IF(AND(V391=29,O391&lt;&gt;"",COUNTIFS($V$6:$V$505,29,$F$6:$F$505,F391,$C$6:$C$505,C391,$O$6:$O$505,"&lt;&gt;")&gt;1),IF(COUNTIFS($V$6:V391,29,$F$6:F391,F391,$C$6:C391,C391,$O$6:O391,"&lt;&gt;")=1,"Esta es la fila que se debe CONSERVAR (aparición 1 de "&amp;COUNTIFS($V$6:$V$505,29,$F$6:$F$505,F391,$C$6:$C$505,C391,$O$6:$O$505,"&lt;&gt;")&amp;" con el mismo tercero y valor, casilla 29). Si hay más filas iguales, bórreles el valor a ELLAS, no a esta.","DUPLICADO — ya existe otra fila con el mismo tercero y valor para casilla 29 (aparición "&amp;COUNTIFS($V$6:V391,29,$F$6:F391,F391,$C$6:C391,C391,$O$6:O391,"&lt;&gt;")&amp;" de "&amp;COUNTIFS($V$6:$V$505,29,$F$6:$F$505,F391,$C$6:$C$505,C391,$O$6:$O$505,"&lt;&gt;")&amp;"). Para resolverlo: seleccione la celda O"&amp;ROW()&amp;" (columna Valor a declarar de ESTA fila) y presione Supr."),""))</f>
        <v/>
      </c>
      <c r="X391" s="463">
        <f>IF(A391="","",F391)</f>
        <v/>
      </c>
      <c r="Y391" s="463">
        <f>IF(A391="","",SUMIF(Entrada_Manual!$I$88:$I$187,A391,Entrada_Manual!$F$88:$F$187))</f>
        <v/>
      </c>
      <c r="Z391" s="463">
        <f>IF(A391="","",X391-Y391)</f>
        <v/>
      </c>
      <c r="AA391">
        <f>IF(A391="","",SUMPRODUCT((Entrada_Manual!$I$88:$I$187=A391)*1))</f>
        <v/>
      </c>
      <c r="AB391">
        <f>IF(A391="","",IF(S391&lt;=1,"",IF(AA391=0,"PENDIENTE — SIN ASIGNAR",IF(Z391=0,"RESUELTO","PARCIAL — DIFERENCIA "&amp;TEXT(Z391,"#,##0")))))</f>
        <v/>
      </c>
    </row>
    <row r="392" ht="14.25" customHeight="1" s="235">
      <c r="A392" s="47">
        <f>IF(Exogena_RAW!E401&lt;&gt;"",ROW()-5,"")</f>
        <v/>
      </c>
      <c r="B392" s="48">
        <f>IF(A392="","",401)</f>
        <v/>
      </c>
      <c r="C392" s="48">
        <f>IF(A392="","",IFERROR(Exogena_RAW!A401,""))</f>
        <v/>
      </c>
      <c r="D392" s="48">
        <f>IF(A392="","",IFERROR(Exogena_RAW!B401,""))</f>
        <v/>
      </c>
      <c r="E392" s="48">
        <f>IF(A392="","",Exogena_RAW!E401)</f>
        <v/>
      </c>
      <c r="F392" s="461">
        <f>IF(A392="","",Exogena_RAW!F401)</f>
        <v/>
      </c>
      <c r="G392" s="48">
        <f>IF(A392="","",IFERROR(Exogena_RAW!G401,""))</f>
        <v/>
      </c>
      <c r="H392" s="48">
        <f>IF(A392="","",IFERROR(Exogena_RAW!H401,""))</f>
        <v/>
      </c>
      <c r="I392" s="48">
        <f>IF(A392="","",IFERROR(IF(S392&gt;1,"VARIAS CASILLAS",IF(S392=1,IF(T392=1,"PROPUESTA DE CASILLA","REVISIÓN: CASILLA NO DIRECTA"),IF(OR(ISNUMBER(SEARCH("TOPE",UPPER(E392))),ISNUMBER(SEARCH("TOPE",UPPER(G392)))),"SOLO CONTROL",IF(ISNUMBER(SEARCH("RETEN",UPPER(E392))),"RETENCIÓN","REVISAR")))),"REVISAR"))</f>
        <v/>
      </c>
      <c r="J392" s="48">
        <f>IF(A392="","",IF(ISNUMBER(SEARCH("ingreso laboral promedio de los últimos seis meses",E392)),"",IFERROR(IF(AND(S392=1,T392=1),U392,""),"")))</f>
        <v/>
      </c>
      <c r="K392" s="216" t="n"/>
      <c r="L392" s="48">
        <f>IF(A392="","",IFERROR(IF(K392&lt;&gt;"","Casilla elegida por usuario",IF(S392&gt;1,"Varias casillas — elegir en K",IF(J392&lt;&gt;"","Sugerencia directa",IF(S392=1,"No trasladar directo — revisar",IF(OR(ISNUMBER(SEARCH("TOPE",UPPER(E392))),ISNUMBER(SEARCH("TOPE",UPPER(G392)))),"Solo control","Revisar manualmente"))))),"Revisar manualmente"))</f>
        <v/>
      </c>
      <c r="M392" s="461">
        <f>IF(A392="","",IF(IF(K392&lt;&gt;"",K392,J392)="",0,IF(COUNTIFS(Reglas!$I$5:$I$118,IF(K392&lt;&gt;"",K392,J392),Reglas!$J$5:$J$118,"Sí")=1,F392,0)))</f>
        <v/>
      </c>
      <c r="N392" s="56" t="n"/>
      <c r="O392" s="462">
        <f>IF(A392="","",IF(M392=0,"",M392))</f>
        <v/>
      </c>
      <c r="P392" s="461">
        <f>IF(A392="","",IF(O392="",0,IF(ISNUMBER(O392),O392,0)))</f>
        <v/>
      </c>
      <c r="Q392" s="48">
        <f>IF(A392="","",IF(Exogena_RAW!$C$4="","BLOQUEADO: FALTA AÑO",IF(Exogena_RAW!$K$10&lt;&gt;Reglas!$B$5,"BLOQUEADO: AÑO",IF(IF(K392&lt;&gt;"",K392,J392)="",IF(S392&gt;1,"REQUIERE ASIGNACIÓN MANUAL (VARIAS CASILLAS)","INFORMATIVO (sin casilla — no se declara)"),IF(COUNTIFS(Reglas!$I$5:$I$118,IF(K392&lt;&gt;"",K392,J392),Reglas!$J$5:$J$118,"Sí")=0,"BLOQUEADO: CASILLA NO DIRECTA",IF(O392="","EXCLUIDO (valor borrado por el usuario)",IF(_xlfn.ISFORMULA(O392),IF(W392&lt;&gt;"","BORRADOR — VALOR SUGERIDO DIAN ⚠ VER ALERTA","BORRADOR — VALOR SUGERIDO DIAN"),IF(W392&lt;&gt;"","ACEPTADO ⚠ VER ALERTA","ACEPTADO"))))))))</f>
        <v/>
      </c>
      <c r="R392" s="218" t="n"/>
      <c r="S392" s="58">
        <f>IF(A392="","",IFERROR(--ISNUMBER(SEARCH("R28",G392)),0)+IFERROR(--ISNUMBER(SEARCH("R29",G392)),0)+IFERROR(--ISNUMBER(SEARCH("R30",G392)),0)+IFERROR(--ISNUMBER(SEARCH("R31",G392)),0)+IFERROR(--ISNUMBER(SEARCH("R32",G392)),0)+IFERROR(--ISNUMBER(SEARCH("R33",G392)),0)+IFERROR(--ISNUMBER(SEARCH("R34",G392)),0)+IFERROR(--ISNUMBER(SEARCH("R35",G392)),0)+IFERROR(--ISNUMBER(SEARCH("R36",G392)),0)+IFERROR(--ISNUMBER(SEARCH("R37",G392)),0)+IFERROR(--ISNUMBER(SEARCH("R38",G392)),0)+IFERROR(--ISNUMBER(SEARCH("R39",G392)),0)+IFERROR(--ISNUMBER(SEARCH("R40",G392)),0)+IFERROR(--ISNUMBER(SEARCH("R41",G392)),0)+IFERROR(--ISNUMBER(SEARCH("R42",G392)),0)+IFERROR(--ISNUMBER(SEARCH("R43",G392)),0)+IFERROR(--ISNUMBER(SEARCH("R44",G392)),0)+IFERROR(--ISNUMBER(SEARCH("R45",G392)),0)+IFERROR(--ISNUMBER(SEARCH("R46",G392)),0)+IFERROR(--ISNUMBER(SEARCH("R47",G392)),0)+IFERROR(--ISNUMBER(SEARCH("R48",G392)),0)+IFERROR(--ISNUMBER(SEARCH("R49",G392)),0)+IFERROR(--ISNUMBER(SEARCH("R50",G392)),0)+IFERROR(--ISNUMBER(SEARCH("R51",G392)),0)+IFERROR(--ISNUMBER(SEARCH("R52",G392)),0)+IFERROR(--ISNUMBER(SEARCH("R53",G392)),0)+IFERROR(--ISNUMBER(SEARCH("R54",G392)),0)+IFERROR(--ISNUMBER(SEARCH("R55",G392)),0)+IFERROR(--ISNUMBER(SEARCH("R56",G392)),0)+IFERROR(--ISNUMBER(SEARCH("R57",G392)),0)+IFERROR(--ISNUMBER(SEARCH("R58",G392)),0)+IFERROR(--ISNUMBER(SEARCH("R59",G392)),0)+IFERROR(--ISNUMBER(SEARCH("R60",G392)),0)+IFERROR(--ISNUMBER(SEARCH("R61",G392)),0)+IFERROR(--ISNUMBER(SEARCH("R62",G392)),0)+IFERROR(--ISNUMBER(SEARCH("R63",G392)),0)+IFERROR(--ISNUMBER(SEARCH("R64",G392)),0)+IFERROR(--ISNUMBER(SEARCH("R65",G392)),0)+IFERROR(--ISNUMBER(SEARCH("R66",G392)),0)+IFERROR(--ISNUMBER(SEARCH("R67",G392)),0)+IFERROR(--ISNUMBER(SEARCH("R68",G392)),0)+IFERROR(--ISNUMBER(SEARCH("R69",G392)),0)+IFERROR(--ISNUMBER(SEARCH("R70",G392)),0)+IFERROR(--ISNUMBER(SEARCH("R71",G392)),0)+IFERROR(--ISNUMBER(SEARCH("R72",G392)),0)+IFERROR(--ISNUMBER(SEARCH("R73",G392)),0)+IFERROR(--ISNUMBER(SEARCH("R74",G392)),0)+IFERROR(--ISNUMBER(SEARCH("R75",G392)),0)+IFERROR(--ISNUMBER(SEARCH("R76",G392)),0)+IFERROR(--ISNUMBER(SEARCH("R77",G392)),0)+IFERROR(--ISNUMBER(SEARCH("R78",G392)),0)+IFERROR(--ISNUMBER(SEARCH("R79",G392)),0)+IFERROR(--ISNUMBER(SEARCH("R80",G392)),0)+IFERROR(--ISNUMBER(SEARCH("R81",G392)),0)+IFERROR(--ISNUMBER(SEARCH("R82",G392)),0)+IFERROR(--ISNUMBER(SEARCH("R83",G392)),0)+IFERROR(--ISNUMBER(SEARCH("R84",G392)),0)+IFERROR(--ISNUMBER(SEARCH("R85",G392)),0)+IFERROR(--ISNUMBER(SEARCH("R86",G392)),0)+IFERROR(--ISNUMBER(SEARCH("R87",G392)),0)+IFERROR(--ISNUMBER(SEARCH("R88",G392)),0)+IFERROR(--ISNUMBER(SEARCH("R89",G392)),0)+IFERROR(--ISNUMBER(SEARCH("R90",G392)),0)+IFERROR(--ISNUMBER(SEARCH("R91",G392)),0)+IFERROR(--ISNUMBER(SEARCH("R92",G392)),0)+IFERROR(--ISNUMBER(SEARCH("R93",G392)),0)+IFERROR(--ISNUMBER(SEARCH("R94",G392)),0)+IFERROR(--ISNUMBER(SEARCH("R95",G392)),0)+IFERROR(--ISNUMBER(SEARCH("R96",G392)),0)+IFERROR(--ISNUMBER(SEARCH("R97",G392)),0)+IFERROR(--ISNUMBER(SEARCH("R98",G392)),0)+IFERROR(--ISNUMBER(SEARCH("R99",G392)),0)+IFERROR(--ISNUMBER(SEARCH("R100",G392)),0)+IFERROR(--ISNUMBER(SEARCH("R101",G392)),0)+IFERROR(--ISNUMBER(SEARCH("R102",G392)),0)+IFERROR(--ISNUMBER(SEARCH("R103",G392)),0)+IFERROR(--ISNUMBER(SEARCH("R104",G392)),0)+IFERROR(--ISNUMBER(SEARCH("R105",G392)),0)+IFERROR(--ISNUMBER(SEARCH("R106",G392)),0)+IFERROR(--ISNUMBER(SEARCH("R107",G392)),0)+IFERROR(--ISNUMBER(SEARCH("R108",G392)),0)+IFERROR(--ISNUMBER(SEARCH("R109",G392)),0)+IFERROR(--ISNUMBER(SEARCH("R110",G392)),0)+IFERROR(--ISNUMBER(SEARCH("R111",G392)),0)+IFERROR(--ISNUMBER(SEARCH("R112",G392)),0)+IFERROR(--ISNUMBER(SEARCH("R113",G392)),0)+IFERROR(--ISNUMBER(SEARCH("R114",G392)),0)+IFERROR(--ISNUMBER(SEARCH("R115",G392)),0)+IFERROR(--ISNUMBER(SEARCH("R116",G392)),0)+IFERROR(--ISNUMBER(SEARCH("R117",G392)),0)+IFERROR(--ISNUMBER(SEARCH("R118",G392)),0)+IFERROR(--ISNUMBER(SEARCH("R119",G392)),0)+IFERROR(--ISNUMBER(SEARCH("R120",G392)),0)+IFERROR(--ISNUMBER(SEARCH("R121",G392)),0)+IFERROR(--ISNUMBER(SEARCH("R122",G392)),0)+IFERROR(--ISNUMBER(SEARCH("R123",G392)),0)+IFERROR(--ISNUMBER(SEARCH("R124",G392)),0)+IFERROR(--ISNUMBER(SEARCH("R125",G392)),0)+IFERROR(--ISNUMBER(SEARCH("R126",G392)),0)+IFERROR(--ISNUMBER(SEARCH("R127",G392)),0)+IFERROR(--ISNUMBER(SEARCH("R128",G392)),0)+IFERROR(--ISNUMBER(SEARCH("R129",G392)),0)+IFERROR(--ISNUMBER(SEARCH("R130",G392)),0)+IFERROR(--ISNUMBER(SEARCH("R131",G392)),0)+IFERROR(--ISNUMBER(SEARCH("R132",G392)),0)+IFERROR(--ISNUMBER(SEARCH("R133",G392)),0)+IFERROR(--ISNUMBER(SEARCH("R134",G392)),0)+IFERROR(--ISNUMBER(SEARCH("R135",G392)),0)+IFERROR(--ISNUMBER(SEARCH("R136",G392)),0)+IFERROR(--ISNUMBER(SEARCH("R137",G392)),0)+IFERROR(--ISNUMBER(SEARCH("R138",G392)),0)+IFERROR(--ISNUMBER(SEARCH("R139",G392)),0)+IFERROR(--ISNUMBER(SEARCH("R140",G392)),0)+IFERROR(--ISNUMBER(SEARCH("R141",G392)),0))</f>
        <v/>
      </c>
      <c r="T392" s="58">
        <f>IF(A392="","",IFERROR(--ISNUMBER(SEARCH("R28",G392)),0)+IFERROR(--ISNUMBER(SEARCH("R29",G392)),0)+IFERROR(--ISNUMBER(SEARCH("R30",G392)),0)+IFERROR(--ISNUMBER(SEARCH("R32",G392)),0)+IFERROR(--ISNUMBER(SEARCH("R33",G392)),0)+IFERROR(--ISNUMBER(SEARCH("R35",G392)),0)+IFERROR(--ISNUMBER(SEARCH("R36",G392)),0)+IFERROR(--ISNUMBER(SEARCH("R38",G392)),0)+IFERROR(--ISNUMBER(SEARCH("R39",G392)),0)+IFERROR(--ISNUMBER(SEARCH("R43",G392)),0)+IFERROR(--ISNUMBER(SEARCH("R44",G392)),0)+IFERROR(--ISNUMBER(SEARCH("R45",G392)),0)+IFERROR(--ISNUMBER(SEARCH("R47",G392)),0)+IFERROR(--ISNUMBER(SEARCH("R48",G392)),0)+IFERROR(--ISNUMBER(SEARCH("R50",G392)),0)+IFERROR(--ISNUMBER(SEARCH("R51",G392)),0)+IFERROR(--ISNUMBER(SEARCH("R56",G392)),0)+IFERROR(--ISNUMBER(SEARCH("R58",G392)),0)+IFERROR(--ISNUMBER(SEARCH("R59",G392)),0)+IFERROR(--ISNUMBER(SEARCH("R60",G392)),0)+IFERROR(--ISNUMBER(SEARCH("R62",G392)),0)+IFERROR(--ISNUMBER(SEARCH("R63",G392)),0)+IFERROR(--ISNUMBER(SEARCH("R64",G392)),0)+IFERROR(--ISNUMBER(SEARCH("R66",G392)),0)+IFERROR(--ISNUMBER(SEARCH("R67",G392)),0)+IFERROR(--ISNUMBER(SEARCH("R72",G392)),0)+IFERROR(--ISNUMBER(SEARCH("R74",G392)),0)+IFERROR(--ISNUMBER(SEARCH("R75",G392)),0)+IFERROR(--ISNUMBER(SEARCH("R76",G392)),0)+IFERROR(--ISNUMBER(SEARCH("R77",G392)),0)+IFERROR(--ISNUMBER(SEARCH("R79",G392)),0)+IFERROR(--ISNUMBER(SEARCH("R80",G392)),0)+IFERROR(--ISNUMBER(SEARCH("R81",G392)),0)+IFERROR(--ISNUMBER(SEARCH("R83",G392)),0)+IFERROR(--ISNUMBER(SEARCH("R84",G392)),0)+IFERROR(--ISNUMBER(SEARCH("R89",G392)),0)+IFERROR(--ISNUMBER(SEARCH("R94",G392)),0)+IFERROR(--ISNUMBER(SEARCH("R95",G392)),0)+IFERROR(--ISNUMBER(SEARCH("R96",G392)),0)+IFERROR(--ISNUMBER(SEARCH("R98",G392)),0)+IFERROR(--ISNUMBER(SEARCH("R99",G392)),0)+IFERROR(--ISNUMBER(SEARCH("R100",G392)),0)+IFERROR(--ISNUMBER(SEARCH("R104",G392)),0)+IFERROR(--ISNUMBER(SEARCH("R105",G392)),0)+IFERROR(--ISNUMBER(SEARCH("R107",G392)),0)+IFERROR(--ISNUMBER(SEARCH("R108",G392)),0)+IFERROR(--ISNUMBER(SEARCH("R109",G392)),0)+IFERROR(--ISNUMBER(SEARCH("R110",G392)),0)+IFERROR(--ISNUMBER(SEARCH("R112",G392)),0)+IFERROR(--ISNUMBER(SEARCH("R113",G392)),0)+IFERROR(--ISNUMBER(SEARCH("R114",G392)),0)+IFERROR(--ISNUMBER(SEARCH("R118",G392)),0)+IFERROR(--ISNUMBER(SEARCH("R119",G392)),0)+IFERROR(--ISNUMBER(SEARCH("R120",G392)),0)+IFERROR(--ISNUMBER(SEARCH("R122",G392)),0)+IFERROR(--ISNUMBER(SEARCH("R123",G392)),0)+IFERROR(--ISNUMBER(SEARCH("R124",G392)),0)+IFERROR(--ISNUMBER(SEARCH("R128",G392)),0)+IFERROR(--ISNUMBER(SEARCH("R130",G392)),0)+IFERROR(--ISNUMBER(SEARCH("R131",G392)),0)+IFERROR(--ISNUMBER(SEARCH("R132",G392)),0)+IFERROR(--ISNUMBER(SEARCH("R135",G392)),0)+IFERROR(--ISNUMBER(SEARCH("R138",G392)),0)+IFERROR(--ISNUMBER(SEARCH("R141",G392)),0))</f>
        <v/>
      </c>
      <c r="U392" s="58">
        <f>IF(A392="","",IFERROR(--ISNUMBER(SEARCH("R28",G392))*28,0)+IFERROR(--ISNUMBER(SEARCH("R29",G392))*29,0)+IFERROR(--ISNUMBER(SEARCH("R30",G392))*30,0)+IFERROR(--ISNUMBER(SEARCH("R31",G392))*31,0)+IFERROR(--ISNUMBER(SEARCH("R32",G392))*32,0)+IFERROR(--ISNUMBER(SEARCH("R33",G392))*33,0)+IFERROR(--ISNUMBER(SEARCH("R34",G392))*34,0)+IFERROR(--ISNUMBER(SEARCH("R35",G392))*35,0)+IFERROR(--ISNUMBER(SEARCH("R36",G392))*36,0)+IFERROR(--ISNUMBER(SEARCH("R37",G392))*37,0)+IFERROR(--ISNUMBER(SEARCH("R38",G392))*38,0)+IFERROR(--ISNUMBER(SEARCH("R39",G392))*39,0)+IFERROR(--ISNUMBER(SEARCH("R40",G392))*40,0)+IFERROR(--ISNUMBER(SEARCH("R41",G392))*41,0)+IFERROR(--ISNUMBER(SEARCH("R42",G392))*42,0)+IFERROR(--ISNUMBER(SEARCH("R43",G392))*43,0)+IFERROR(--ISNUMBER(SEARCH("R44",G392))*44,0)+IFERROR(--ISNUMBER(SEARCH("R45",G392))*45,0)+IFERROR(--ISNUMBER(SEARCH("R46",G392))*46,0)+IFERROR(--ISNUMBER(SEARCH("R47",G392))*47,0)+IFERROR(--ISNUMBER(SEARCH("R48",G392))*48,0)+IFERROR(--ISNUMBER(SEARCH("R49",G392))*49,0)+IFERROR(--ISNUMBER(SEARCH("R50",G392))*50,0)+IFERROR(--ISNUMBER(SEARCH("R51",G392))*51,0)+IFERROR(--ISNUMBER(SEARCH("R52",G392))*52,0)+IFERROR(--ISNUMBER(SEARCH("R53",G392))*53,0)+IFERROR(--ISNUMBER(SEARCH("R54",G392))*54,0)+IFERROR(--ISNUMBER(SEARCH("R55",G392))*55,0)+IFERROR(--ISNUMBER(SEARCH("R56",G392))*56,0)+IFERROR(--ISNUMBER(SEARCH("R57",G392))*57,0)+IFERROR(--ISNUMBER(SEARCH("R58",G392))*58,0)+IFERROR(--ISNUMBER(SEARCH("R59",G392))*59,0)+IFERROR(--ISNUMBER(SEARCH("R60",G392))*60,0)+IFERROR(--ISNUMBER(SEARCH("R61",G392))*61,0)+IFERROR(--ISNUMBER(SEARCH("R62",G392))*62,0)+IFERROR(--ISNUMBER(SEARCH("R63",G392))*63,0)+IFERROR(--ISNUMBER(SEARCH("R64",G392))*64,0)+IFERROR(--ISNUMBER(SEARCH("R65",G392))*65,0)+IFERROR(--ISNUMBER(SEARCH("R66",G392))*66,0)+IFERROR(--ISNUMBER(SEARCH("R67",G392))*67,0)+IFERROR(--ISNUMBER(SEARCH("R68",G392))*68,0)+IFERROR(--ISNUMBER(SEARCH("R69",G392))*69,0)+IFERROR(--ISNUMBER(SEARCH("R70",G392))*70,0)+IFERROR(--ISNUMBER(SEARCH("R71",G392))*71,0)+IFERROR(--ISNUMBER(SEARCH("R72",G392))*72,0)+IFERROR(--ISNUMBER(SEARCH("R73",G392))*73,0)+IFERROR(--ISNUMBER(SEARCH("R74",G392))*74,0)+IFERROR(--ISNUMBER(SEARCH("R75",G392))*75,0)+IFERROR(--ISNUMBER(SEARCH("R76",G392))*76,0)+IFERROR(--ISNUMBER(SEARCH("R77",G392))*77,0)+IFERROR(--ISNUMBER(SEARCH("R78",G392))*78,0)+IFERROR(--ISNUMBER(SEARCH("R79",G392))*79,0)+IFERROR(--ISNUMBER(SEARCH("R80",G392))*80,0)+IFERROR(--ISNUMBER(SEARCH("R81",G392))*81,0)+IFERROR(--ISNUMBER(SEARCH("R82",G392))*82,0)+IFERROR(--ISNUMBER(SEARCH("R83",G392))*83,0)+IFERROR(--ISNUMBER(SEARCH("R84",G392))*84,0)+IFERROR(--ISNUMBER(SEARCH("R85",G392))*85,0)+IFERROR(--ISNUMBER(SEARCH("R86",G392))*86,0)+IFERROR(--ISNUMBER(SEARCH("R87",G392))*87,0)+IFERROR(--ISNUMBER(SEARCH("R88",G392))*88,0)+IFERROR(--ISNUMBER(SEARCH("R89",G392))*89,0)+IFERROR(--ISNUMBER(SEARCH("R90",G392))*90,0)+IFERROR(--ISNUMBER(SEARCH("R91",G392))*91,0)+IFERROR(--ISNUMBER(SEARCH("R92",G392))*92,0)+IFERROR(--ISNUMBER(SEARCH("R93",G392))*93,0)+IFERROR(--ISNUMBER(SEARCH("R94",G392))*94,0)+IFERROR(--ISNUMBER(SEARCH("R95",G392))*95,0)+IFERROR(--ISNUMBER(SEARCH("R96",G392))*96,0)+IFERROR(--ISNUMBER(SEARCH("R97",G392))*97,0)+IFERROR(--ISNUMBER(SEARCH("R98",G392))*98,0)+IFERROR(--ISNUMBER(SEARCH("R99",G392))*99,0)+IFERROR(--ISNUMBER(SEARCH("R100",G392))*100,0)+IFERROR(--ISNUMBER(SEARCH("R101",G392))*101,0)+IFERROR(--ISNUMBER(SEARCH("R102",G392))*102,0)+IFERROR(--ISNUMBER(SEARCH("R103",G392))*103,0)+IFERROR(--ISNUMBER(SEARCH("R104",G392))*104,0)+IFERROR(--ISNUMBER(SEARCH("R105",G392))*105,0)+IFERROR(--ISNUMBER(SEARCH("R106",G392))*106,0)+IFERROR(--ISNUMBER(SEARCH("R107",G392))*107,0)+IFERROR(--ISNUMBER(SEARCH("R108",G392))*108,0)+IFERROR(--ISNUMBER(SEARCH("R109",G392))*109,0)+IFERROR(--ISNUMBER(SEARCH("R110",G392))*110,0)+IFERROR(--ISNUMBER(SEARCH("R111",G392))*111,0)+IFERROR(--ISNUMBER(SEARCH("R112",G392))*112,0)+IFERROR(--ISNUMBER(SEARCH("R113",G392))*113,0)+IFERROR(--ISNUMBER(SEARCH("R114",G392))*114,0)+IFERROR(--ISNUMBER(SEARCH("R115",G392))*115,0)+IFERROR(--ISNUMBER(SEARCH("R116",G392))*116,0)+IFERROR(--ISNUMBER(SEARCH("R117",G392))*117,0)+IFERROR(--ISNUMBER(SEARCH("R118",G392))*118,0)+IFERROR(--ISNUMBER(SEARCH("R119",G392))*119,0)+IFERROR(--ISNUMBER(SEARCH("R120",G392))*120,0)+IFERROR(--ISNUMBER(SEARCH("R121",G392))*121,0)+IFERROR(--ISNUMBER(SEARCH("R122",G392))*122,0)+IFERROR(--ISNUMBER(SEARCH("R123",G392))*123,0)+IFERROR(--ISNUMBER(SEARCH("R124",G392))*124,0)+IFERROR(--ISNUMBER(SEARCH("R125",G392))*125,0)+IFERROR(--ISNUMBER(SEARCH("R126",G392))*126,0)+IFERROR(--ISNUMBER(SEARCH("R127",G392))*127,0)+IFERROR(--ISNUMBER(SEARCH("R128",G392))*128,0)+IFERROR(--ISNUMBER(SEARCH("R129",G392))*129,0)+IFERROR(--ISNUMBER(SEARCH("R130",G392))*130,0)+IFERROR(--ISNUMBER(SEARCH("R131",G392))*131,0)+IFERROR(--ISNUMBER(SEARCH("R132",G392))*132,0)+IFERROR(--ISNUMBER(SEARCH("R133",G392))*133,0)+IFERROR(--ISNUMBER(SEARCH("R134",G392))*134,0)+IFERROR(--ISNUMBER(SEARCH("R135",G392))*135,0)+IFERROR(--ISNUMBER(SEARCH("R136",G392))*136,0)+IFERROR(--ISNUMBER(SEARCH("R137",G392))*137,0)+IFERROR(--ISNUMBER(SEARCH("R138",G392))*138,0)+IFERROR(--ISNUMBER(SEARCH("R139",G392))*139,0)+IFERROR(--ISNUMBER(SEARCH("R140",G392))*140,0)+IFERROR(--ISNUMBER(SEARCH("R141",G392))*141,0))</f>
        <v/>
      </c>
      <c r="V392" s="59">
        <f>IF(A392="","",IF(K392&lt;&gt;"",K392,J392))</f>
        <v/>
      </c>
      <c r="W392" s="59">
        <f>IF(A392="","",IF(AND(V392=29,O392&lt;&gt;"",COUNTIFS($V$6:$V$505,29,$F$6:$F$505,F392,$C$6:$C$505,C392,$O$6:$O$505,"&lt;&gt;")&gt;1),IF(COUNTIFS($V$6:V392,29,$F$6:F392,F392,$C$6:C392,C392,$O$6:O392,"&lt;&gt;")=1,"Esta es la fila que se debe CONSERVAR (aparición 1 de "&amp;COUNTIFS($V$6:$V$505,29,$F$6:$F$505,F392,$C$6:$C$505,C392,$O$6:$O$505,"&lt;&gt;")&amp;" con el mismo tercero y valor, casilla 29). Si hay más filas iguales, bórreles el valor a ELLAS, no a esta.","DUPLICADO — ya existe otra fila con el mismo tercero y valor para casilla 29 (aparición "&amp;COUNTIFS($V$6:V392,29,$F$6:F392,F392,$C$6:C392,C392,$O$6:O392,"&lt;&gt;")&amp;" de "&amp;COUNTIFS($V$6:$V$505,29,$F$6:$F$505,F392,$C$6:$C$505,C392,$O$6:$O$505,"&lt;&gt;")&amp;"). Para resolverlo: seleccione la celda O"&amp;ROW()&amp;" (columna Valor a declarar de ESTA fila) y presione Supr."),""))</f>
        <v/>
      </c>
      <c r="X392" s="463">
        <f>IF(A392="","",F392)</f>
        <v/>
      </c>
      <c r="Y392" s="463">
        <f>IF(A392="","",SUMIF(Entrada_Manual!$I$88:$I$187,A392,Entrada_Manual!$F$88:$F$187))</f>
        <v/>
      </c>
      <c r="Z392" s="463">
        <f>IF(A392="","",X392-Y392)</f>
        <v/>
      </c>
      <c r="AA392">
        <f>IF(A392="","",SUMPRODUCT((Entrada_Manual!$I$88:$I$187=A392)*1))</f>
        <v/>
      </c>
      <c r="AB392">
        <f>IF(A392="","",IF(S392&lt;=1,"",IF(AA392=0,"PENDIENTE — SIN ASIGNAR",IF(Z392=0,"RESUELTO","PARCIAL — DIFERENCIA "&amp;TEXT(Z392,"#,##0")))))</f>
        <v/>
      </c>
    </row>
    <row r="393" ht="14.25" customHeight="1" s="235">
      <c r="A393" s="47">
        <f>IF(Exogena_RAW!E402&lt;&gt;"",ROW()-5,"")</f>
        <v/>
      </c>
      <c r="B393" s="48">
        <f>IF(A393="","",402)</f>
        <v/>
      </c>
      <c r="C393" s="48">
        <f>IF(A393="","",IFERROR(Exogena_RAW!A402,""))</f>
        <v/>
      </c>
      <c r="D393" s="48">
        <f>IF(A393="","",IFERROR(Exogena_RAW!B402,""))</f>
        <v/>
      </c>
      <c r="E393" s="48">
        <f>IF(A393="","",Exogena_RAW!E402)</f>
        <v/>
      </c>
      <c r="F393" s="461">
        <f>IF(A393="","",Exogena_RAW!F402)</f>
        <v/>
      </c>
      <c r="G393" s="48">
        <f>IF(A393="","",IFERROR(Exogena_RAW!G402,""))</f>
        <v/>
      </c>
      <c r="H393" s="48">
        <f>IF(A393="","",IFERROR(Exogena_RAW!H402,""))</f>
        <v/>
      </c>
      <c r="I393" s="48">
        <f>IF(A393="","",IFERROR(IF(S393&gt;1,"VARIAS CASILLAS",IF(S393=1,IF(T393=1,"PROPUESTA DE CASILLA","REVISIÓN: CASILLA NO DIRECTA"),IF(OR(ISNUMBER(SEARCH("TOPE",UPPER(E393))),ISNUMBER(SEARCH("TOPE",UPPER(G393)))),"SOLO CONTROL",IF(ISNUMBER(SEARCH("RETEN",UPPER(E393))),"RETENCIÓN","REVISAR")))),"REVISAR"))</f>
        <v/>
      </c>
      <c r="J393" s="48">
        <f>IF(A393="","",IF(ISNUMBER(SEARCH("ingreso laboral promedio de los últimos seis meses",E393)),"",IFERROR(IF(AND(S393=1,T393=1),U393,""),"")))</f>
        <v/>
      </c>
      <c r="K393" s="216" t="n"/>
      <c r="L393" s="48">
        <f>IF(A393="","",IFERROR(IF(K393&lt;&gt;"","Casilla elegida por usuario",IF(S393&gt;1,"Varias casillas — elegir en K",IF(J393&lt;&gt;"","Sugerencia directa",IF(S393=1,"No trasladar directo — revisar",IF(OR(ISNUMBER(SEARCH("TOPE",UPPER(E393))),ISNUMBER(SEARCH("TOPE",UPPER(G393)))),"Solo control","Revisar manualmente"))))),"Revisar manualmente"))</f>
        <v/>
      </c>
      <c r="M393" s="461">
        <f>IF(A393="","",IF(IF(K393&lt;&gt;"",K393,J393)="",0,IF(COUNTIFS(Reglas!$I$5:$I$118,IF(K393&lt;&gt;"",K393,J393),Reglas!$J$5:$J$118,"Sí")=1,F393,0)))</f>
        <v/>
      </c>
      <c r="N393" s="56" t="n"/>
      <c r="O393" s="462">
        <f>IF(A393="","",IF(M393=0,"",M393))</f>
        <v/>
      </c>
      <c r="P393" s="461">
        <f>IF(A393="","",IF(O393="",0,IF(ISNUMBER(O393),O393,0)))</f>
        <v/>
      </c>
      <c r="Q393" s="48">
        <f>IF(A393="","",IF(Exogena_RAW!$C$4="","BLOQUEADO: FALTA AÑO",IF(Exogena_RAW!$K$10&lt;&gt;Reglas!$B$5,"BLOQUEADO: AÑO",IF(IF(K393&lt;&gt;"",K393,J393)="",IF(S393&gt;1,"REQUIERE ASIGNACIÓN MANUAL (VARIAS CASILLAS)","INFORMATIVO (sin casilla — no se declara)"),IF(COUNTIFS(Reglas!$I$5:$I$118,IF(K393&lt;&gt;"",K393,J393),Reglas!$J$5:$J$118,"Sí")=0,"BLOQUEADO: CASILLA NO DIRECTA",IF(O393="","EXCLUIDO (valor borrado por el usuario)",IF(_xlfn.ISFORMULA(O393),IF(W393&lt;&gt;"","BORRADOR — VALOR SUGERIDO DIAN ⚠ VER ALERTA","BORRADOR — VALOR SUGERIDO DIAN"),IF(W393&lt;&gt;"","ACEPTADO ⚠ VER ALERTA","ACEPTADO"))))))))</f>
        <v/>
      </c>
      <c r="R393" s="218" t="n"/>
      <c r="S393" s="58">
        <f>IF(A393="","",IFERROR(--ISNUMBER(SEARCH("R28",G393)),0)+IFERROR(--ISNUMBER(SEARCH("R29",G393)),0)+IFERROR(--ISNUMBER(SEARCH("R30",G393)),0)+IFERROR(--ISNUMBER(SEARCH("R31",G393)),0)+IFERROR(--ISNUMBER(SEARCH("R32",G393)),0)+IFERROR(--ISNUMBER(SEARCH("R33",G393)),0)+IFERROR(--ISNUMBER(SEARCH("R34",G393)),0)+IFERROR(--ISNUMBER(SEARCH("R35",G393)),0)+IFERROR(--ISNUMBER(SEARCH("R36",G393)),0)+IFERROR(--ISNUMBER(SEARCH("R37",G393)),0)+IFERROR(--ISNUMBER(SEARCH("R38",G393)),0)+IFERROR(--ISNUMBER(SEARCH("R39",G393)),0)+IFERROR(--ISNUMBER(SEARCH("R40",G393)),0)+IFERROR(--ISNUMBER(SEARCH("R41",G393)),0)+IFERROR(--ISNUMBER(SEARCH("R42",G393)),0)+IFERROR(--ISNUMBER(SEARCH("R43",G393)),0)+IFERROR(--ISNUMBER(SEARCH("R44",G393)),0)+IFERROR(--ISNUMBER(SEARCH("R45",G393)),0)+IFERROR(--ISNUMBER(SEARCH("R46",G393)),0)+IFERROR(--ISNUMBER(SEARCH("R47",G393)),0)+IFERROR(--ISNUMBER(SEARCH("R48",G393)),0)+IFERROR(--ISNUMBER(SEARCH("R49",G393)),0)+IFERROR(--ISNUMBER(SEARCH("R50",G393)),0)+IFERROR(--ISNUMBER(SEARCH("R51",G393)),0)+IFERROR(--ISNUMBER(SEARCH("R52",G393)),0)+IFERROR(--ISNUMBER(SEARCH("R53",G393)),0)+IFERROR(--ISNUMBER(SEARCH("R54",G393)),0)+IFERROR(--ISNUMBER(SEARCH("R55",G393)),0)+IFERROR(--ISNUMBER(SEARCH("R56",G393)),0)+IFERROR(--ISNUMBER(SEARCH("R57",G393)),0)+IFERROR(--ISNUMBER(SEARCH("R58",G393)),0)+IFERROR(--ISNUMBER(SEARCH("R59",G393)),0)+IFERROR(--ISNUMBER(SEARCH("R60",G393)),0)+IFERROR(--ISNUMBER(SEARCH("R61",G393)),0)+IFERROR(--ISNUMBER(SEARCH("R62",G393)),0)+IFERROR(--ISNUMBER(SEARCH("R63",G393)),0)+IFERROR(--ISNUMBER(SEARCH("R64",G393)),0)+IFERROR(--ISNUMBER(SEARCH("R65",G393)),0)+IFERROR(--ISNUMBER(SEARCH("R66",G393)),0)+IFERROR(--ISNUMBER(SEARCH("R67",G393)),0)+IFERROR(--ISNUMBER(SEARCH("R68",G393)),0)+IFERROR(--ISNUMBER(SEARCH("R69",G393)),0)+IFERROR(--ISNUMBER(SEARCH("R70",G393)),0)+IFERROR(--ISNUMBER(SEARCH("R71",G393)),0)+IFERROR(--ISNUMBER(SEARCH("R72",G393)),0)+IFERROR(--ISNUMBER(SEARCH("R73",G393)),0)+IFERROR(--ISNUMBER(SEARCH("R74",G393)),0)+IFERROR(--ISNUMBER(SEARCH("R75",G393)),0)+IFERROR(--ISNUMBER(SEARCH("R76",G393)),0)+IFERROR(--ISNUMBER(SEARCH("R77",G393)),0)+IFERROR(--ISNUMBER(SEARCH("R78",G393)),0)+IFERROR(--ISNUMBER(SEARCH("R79",G393)),0)+IFERROR(--ISNUMBER(SEARCH("R80",G393)),0)+IFERROR(--ISNUMBER(SEARCH("R81",G393)),0)+IFERROR(--ISNUMBER(SEARCH("R82",G393)),0)+IFERROR(--ISNUMBER(SEARCH("R83",G393)),0)+IFERROR(--ISNUMBER(SEARCH("R84",G393)),0)+IFERROR(--ISNUMBER(SEARCH("R85",G393)),0)+IFERROR(--ISNUMBER(SEARCH("R86",G393)),0)+IFERROR(--ISNUMBER(SEARCH("R87",G393)),0)+IFERROR(--ISNUMBER(SEARCH("R88",G393)),0)+IFERROR(--ISNUMBER(SEARCH("R89",G393)),0)+IFERROR(--ISNUMBER(SEARCH("R90",G393)),0)+IFERROR(--ISNUMBER(SEARCH("R91",G393)),0)+IFERROR(--ISNUMBER(SEARCH("R92",G393)),0)+IFERROR(--ISNUMBER(SEARCH("R93",G393)),0)+IFERROR(--ISNUMBER(SEARCH("R94",G393)),0)+IFERROR(--ISNUMBER(SEARCH("R95",G393)),0)+IFERROR(--ISNUMBER(SEARCH("R96",G393)),0)+IFERROR(--ISNUMBER(SEARCH("R97",G393)),0)+IFERROR(--ISNUMBER(SEARCH("R98",G393)),0)+IFERROR(--ISNUMBER(SEARCH("R99",G393)),0)+IFERROR(--ISNUMBER(SEARCH("R100",G393)),0)+IFERROR(--ISNUMBER(SEARCH("R101",G393)),0)+IFERROR(--ISNUMBER(SEARCH("R102",G393)),0)+IFERROR(--ISNUMBER(SEARCH("R103",G393)),0)+IFERROR(--ISNUMBER(SEARCH("R104",G393)),0)+IFERROR(--ISNUMBER(SEARCH("R105",G393)),0)+IFERROR(--ISNUMBER(SEARCH("R106",G393)),0)+IFERROR(--ISNUMBER(SEARCH("R107",G393)),0)+IFERROR(--ISNUMBER(SEARCH("R108",G393)),0)+IFERROR(--ISNUMBER(SEARCH("R109",G393)),0)+IFERROR(--ISNUMBER(SEARCH("R110",G393)),0)+IFERROR(--ISNUMBER(SEARCH("R111",G393)),0)+IFERROR(--ISNUMBER(SEARCH("R112",G393)),0)+IFERROR(--ISNUMBER(SEARCH("R113",G393)),0)+IFERROR(--ISNUMBER(SEARCH("R114",G393)),0)+IFERROR(--ISNUMBER(SEARCH("R115",G393)),0)+IFERROR(--ISNUMBER(SEARCH("R116",G393)),0)+IFERROR(--ISNUMBER(SEARCH("R117",G393)),0)+IFERROR(--ISNUMBER(SEARCH("R118",G393)),0)+IFERROR(--ISNUMBER(SEARCH("R119",G393)),0)+IFERROR(--ISNUMBER(SEARCH("R120",G393)),0)+IFERROR(--ISNUMBER(SEARCH("R121",G393)),0)+IFERROR(--ISNUMBER(SEARCH("R122",G393)),0)+IFERROR(--ISNUMBER(SEARCH("R123",G393)),0)+IFERROR(--ISNUMBER(SEARCH("R124",G393)),0)+IFERROR(--ISNUMBER(SEARCH("R125",G393)),0)+IFERROR(--ISNUMBER(SEARCH("R126",G393)),0)+IFERROR(--ISNUMBER(SEARCH("R127",G393)),0)+IFERROR(--ISNUMBER(SEARCH("R128",G393)),0)+IFERROR(--ISNUMBER(SEARCH("R129",G393)),0)+IFERROR(--ISNUMBER(SEARCH("R130",G393)),0)+IFERROR(--ISNUMBER(SEARCH("R131",G393)),0)+IFERROR(--ISNUMBER(SEARCH("R132",G393)),0)+IFERROR(--ISNUMBER(SEARCH("R133",G393)),0)+IFERROR(--ISNUMBER(SEARCH("R134",G393)),0)+IFERROR(--ISNUMBER(SEARCH("R135",G393)),0)+IFERROR(--ISNUMBER(SEARCH("R136",G393)),0)+IFERROR(--ISNUMBER(SEARCH("R137",G393)),0)+IFERROR(--ISNUMBER(SEARCH("R138",G393)),0)+IFERROR(--ISNUMBER(SEARCH("R139",G393)),0)+IFERROR(--ISNUMBER(SEARCH("R140",G393)),0)+IFERROR(--ISNUMBER(SEARCH("R141",G393)),0))</f>
        <v/>
      </c>
      <c r="T393" s="58">
        <f>IF(A393="","",IFERROR(--ISNUMBER(SEARCH("R28",G393)),0)+IFERROR(--ISNUMBER(SEARCH("R29",G393)),0)+IFERROR(--ISNUMBER(SEARCH("R30",G393)),0)+IFERROR(--ISNUMBER(SEARCH("R32",G393)),0)+IFERROR(--ISNUMBER(SEARCH("R33",G393)),0)+IFERROR(--ISNUMBER(SEARCH("R35",G393)),0)+IFERROR(--ISNUMBER(SEARCH("R36",G393)),0)+IFERROR(--ISNUMBER(SEARCH("R38",G393)),0)+IFERROR(--ISNUMBER(SEARCH("R39",G393)),0)+IFERROR(--ISNUMBER(SEARCH("R43",G393)),0)+IFERROR(--ISNUMBER(SEARCH("R44",G393)),0)+IFERROR(--ISNUMBER(SEARCH("R45",G393)),0)+IFERROR(--ISNUMBER(SEARCH("R47",G393)),0)+IFERROR(--ISNUMBER(SEARCH("R48",G393)),0)+IFERROR(--ISNUMBER(SEARCH("R50",G393)),0)+IFERROR(--ISNUMBER(SEARCH("R51",G393)),0)+IFERROR(--ISNUMBER(SEARCH("R56",G393)),0)+IFERROR(--ISNUMBER(SEARCH("R58",G393)),0)+IFERROR(--ISNUMBER(SEARCH("R59",G393)),0)+IFERROR(--ISNUMBER(SEARCH("R60",G393)),0)+IFERROR(--ISNUMBER(SEARCH("R62",G393)),0)+IFERROR(--ISNUMBER(SEARCH("R63",G393)),0)+IFERROR(--ISNUMBER(SEARCH("R64",G393)),0)+IFERROR(--ISNUMBER(SEARCH("R66",G393)),0)+IFERROR(--ISNUMBER(SEARCH("R67",G393)),0)+IFERROR(--ISNUMBER(SEARCH("R72",G393)),0)+IFERROR(--ISNUMBER(SEARCH("R74",G393)),0)+IFERROR(--ISNUMBER(SEARCH("R75",G393)),0)+IFERROR(--ISNUMBER(SEARCH("R76",G393)),0)+IFERROR(--ISNUMBER(SEARCH("R77",G393)),0)+IFERROR(--ISNUMBER(SEARCH("R79",G393)),0)+IFERROR(--ISNUMBER(SEARCH("R80",G393)),0)+IFERROR(--ISNUMBER(SEARCH("R81",G393)),0)+IFERROR(--ISNUMBER(SEARCH("R83",G393)),0)+IFERROR(--ISNUMBER(SEARCH("R84",G393)),0)+IFERROR(--ISNUMBER(SEARCH("R89",G393)),0)+IFERROR(--ISNUMBER(SEARCH("R94",G393)),0)+IFERROR(--ISNUMBER(SEARCH("R95",G393)),0)+IFERROR(--ISNUMBER(SEARCH("R96",G393)),0)+IFERROR(--ISNUMBER(SEARCH("R98",G393)),0)+IFERROR(--ISNUMBER(SEARCH("R99",G393)),0)+IFERROR(--ISNUMBER(SEARCH("R100",G393)),0)+IFERROR(--ISNUMBER(SEARCH("R104",G393)),0)+IFERROR(--ISNUMBER(SEARCH("R105",G393)),0)+IFERROR(--ISNUMBER(SEARCH("R107",G393)),0)+IFERROR(--ISNUMBER(SEARCH("R108",G393)),0)+IFERROR(--ISNUMBER(SEARCH("R109",G393)),0)+IFERROR(--ISNUMBER(SEARCH("R110",G393)),0)+IFERROR(--ISNUMBER(SEARCH("R112",G393)),0)+IFERROR(--ISNUMBER(SEARCH("R113",G393)),0)+IFERROR(--ISNUMBER(SEARCH("R114",G393)),0)+IFERROR(--ISNUMBER(SEARCH("R118",G393)),0)+IFERROR(--ISNUMBER(SEARCH("R119",G393)),0)+IFERROR(--ISNUMBER(SEARCH("R120",G393)),0)+IFERROR(--ISNUMBER(SEARCH("R122",G393)),0)+IFERROR(--ISNUMBER(SEARCH("R123",G393)),0)+IFERROR(--ISNUMBER(SEARCH("R124",G393)),0)+IFERROR(--ISNUMBER(SEARCH("R128",G393)),0)+IFERROR(--ISNUMBER(SEARCH("R130",G393)),0)+IFERROR(--ISNUMBER(SEARCH("R131",G393)),0)+IFERROR(--ISNUMBER(SEARCH("R132",G393)),0)+IFERROR(--ISNUMBER(SEARCH("R135",G393)),0)+IFERROR(--ISNUMBER(SEARCH("R138",G393)),0)+IFERROR(--ISNUMBER(SEARCH("R141",G393)),0))</f>
        <v/>
      </c>
      <c r="U393" s="58">
        <f>IF(A393="","",IFERROR(--ISNUMBER(SEARCH("R28",G393))*28,0)+IFERROR(--ISNUMBER(SEARCH("R29",G393))*29,0)+IFERROR(--ISNUMBER(SEARCH("R30",G393))*30,0)+IFERROR(--ISNUMBER(SEARCH("R31",G393))*31,0)+IFERROR(--ISNUMBER(SEARCH("R32",G393))*32,0)+IFERROR(--ISNUMBER(SEARCH("R33",G393))*33,0)+IFERROR(--ISNUMBER(SEARCH("R34",G393))*34,0)+IFERROR(--ISNUMBER(SEARCH("R35",G393))*35,0)+IFERROR(--ISNUMBER(SEARCH("R36",G393))*36,0)+IFERROR(--ISNUMBER(SEARCH("R37",G393))*37,0)+IFERROR(--ISNUMBER(SEARCH("R38",G393))*38,0)+IFERROR(--ISNUMBER(SEARCH("R39",G393))*39,0)+IFERROR(--ISNUMBER(SEARCH("R40",G393))*40,0)+IFERROR(--ISNUMBER(SEARCH("R41",G393))*41,0)+IFERROR(--ISNUMBER(SEARCH("R42",G393))*42,0)+IFERROR(--ISNUMBER(SEARCH("R43",G393))*43,0)+IFERROR(--ISNUMBER(SEARCH("R44",G393))*44,0)+IFERROR(--ISNUMBER(SEARCH("R45",G393))*45,0)+IFERROR(--ISNUMBER(SEARCH("R46",G393))*46,0)+IFERROR(--ISNUMBER(SEARCH("R47",G393))*47,0)+IFERROR(--ISNUMBER(SEARCH("R48",G393))*48,0)+IFERROR(--ISNUMBER(SEARCH("R49",G393))*49,0)+IFERROR(--ISNUMBER(SEARCH("R50",G393))*50,0)+IFERROR(--ISNUMBER(SEARCH("R51",G393))*51,0)+IFERROR(--ISNUMBER(SEARCH("R52",G393))*52,0)+IFERROR(--ISNUMBER(SEARCH("R53",G393))*53,0)+IFERROR(--ISNUMBER(SEARCH("R54",G393))*54,0)+IFERROR(--ISNUMBER(SEARCH("R55",G393))*55,0)+IFERROR(--ISNUMBER(SEARCH("R56",G393))*56,0)+IFERROR(--ISNUMBER(SEARCH("R57",G393))*57,0)+IFERROR(--ISNUMBER(SEARCH("R58",G393))*58,0)+IFERROR(--ISNUMBER(SEARCH("R59",G393))*59,0)+IFERROR(--ISNUMBER(SEARCH("R60",G393))*60,0)+IFERROR(--ISNUMBER(SEARCH("R61",G393))*61,0)+IFERROR(--ISNUMBER(SEARCH("R62",G393))*62,0)+IFERROR(--ISNUMBER(SEARCH("R63",G393))*63,0)+IFERROR(--ISNUMBER(SEARCH("R64",G393))*64,0)+IFERROR(--ISNUMBER(SEARCH("R65",G393))*65,0)+IFERROR(--ISNUMBER(SEARCH("R66",G393))*66,0)+IFERROR(--ISNUMBER(SEARCH("R67",G393))*67,0)+IFERROR(--ISNUMBER(SEARCH("R68",G393))*68,0)+IFERROR(--ISNUMBER(SEARCH("R69",G393))*69,0)+IFERROR(--ISNUMBER(SEARCH("R70",G393))*70,0)+IFERROR(--ISNUMBER(SEARCH("R71",G393))*71,0)+IFERROR(--ISNUMBER(SEARCH("R72",G393))*72,0)+IFERROR(--ISNUMBER(SEARCH("R73",G393))*73,0)+IFERROR(--ISNUMBER(SEARCH("R74",G393))*74,0)+IFERROR(--ISNUMBER(SEARCH("R75",G393))*75,0)+IFERROR(--ISNUMBER(SEARCH("R76",G393))*76,0)+IFERROR(--ISNUMBER(SEARCH("R77",G393))*77,0)+IFERROR(--ISNUMBER(SEARCH("R78",G393))*78,0)+IFERROR(--ISNUMBER(SEARCH("R79",G393))*79,0)+IFERROR(--ISNUMBER(SEARCH("R80",G393))*80,0)+IFERROR(--ISNUMBER(SEARCH("R81",G393))*81,0)+IFERROR(--ISNUMBER(SEARCH("R82",G393))*82,0)+IFERROR(--ISNUMBER(SEARCH("R83",G393))*83,0)+IFERROR(--ISNUMBER(SEARCH("R84",G393))*84,0)+IFERROR(--ISNUMBER(SEARCH("R85",G393))*85,0)+IFERROR(--ISNUMBER(SEARCH("R86",G393))*86,0)+IFERROR(--ISNUMBER(SEARCH("R87",G393))*87,0)+IFERROR(--ISNUMBER(SEARCH("R88",G393))*88,0)+IFERROR(--ISNUMBER(SEARCH("R89",G393))*89,0)+IFERROR(--ISNUMBER(SEARCH("R90",G393))*90,0)+IFERROR(--ISNUMBER(SEARCH("R91",G393))*91,0)+IFERROR(--ISNUMBER(SEARCH("R92",G393))*92,0)+IFERROR(--ISNUMBER(SEARCH("R93",G393))*93,0)+IFERROR(--ISNUMBER(SEARCH("R94",G393))*94,0)+IFERROR(--ISNUMBER(SEARCH("R95",G393))*95,0)+IFERROR(--ISNUMBER(SEARCH("R96",G393))*96,0)+IFERROR(--ISNUMBER(SEARCH("R97",G393))*97,0)+IFERROR(--ISNUMBER(SEARCH("R98",G393))*98,0)+IFERROR(--ISNUMBER(SEARCH("R99",G393))*99,0)+IFERROR(--ISNUMBER(SEARCH("R100",G393))*100,0)+IFERROR(--ISNUMBER(SEARCH("R101",G393))*101,0)+IFERROR(--ISNUMBER(SEARCH("R102",G393))*102,0)+IFERROR(--ISNUMBER(SEARCH("R103",G393))*103,0)+IFERROR(--ISNUMBER(SEARCH("R104",G393))*104,0)+IFERROR(--ISNUMBER(SEARCH("R105",G393))*105,0)+IFERROR(--ISNUMBER(SEARCH("R106",G393))*106,0)+IFERROR(--ISNUMBER(SEARCH("R107",G393))*107,0)+IFERROR(--ISNUMBER(SEARCH("R108",G393))*108,0)+IFERROR(--ISNUMBER(SEARCH("R109",G393))*109,0)+IFERROR(--ISNUMBER(SEARCH("R110",G393))*110,0)+IFERROR(--ISNUMBER(SEARCH("R111",G393))*111,0)+IFERROR(--ISNUMBER(SEARCH("R112",G393))*112,0)+IFERROR(--ISNUMBER(SEARCH("R113",G393))*113,0)+IFERROR(--ISNUMBER(SEARCH("R114",G393))*114,0)+IFERROR(--ISNUMBER(SEARCH("R115",G393))*115,0)+IFERROR(--ISNUMBER(SEARCH("R116",G393))*116,0)+IFERROR(--ISNUMBER(SEARCH("R117",G393))*117,0)+IFERROR(--ISNUMBER(SEARCH("R118",G393))*118,0)+IFERROR(--ISNUMBER(SEARCH("R119",G393))*119,0)+IFERROR(--ISNUMBER(SEARCH("R120",G393))*120,0)+IFERROR(--ISNUMBER(SEARCH("R121",G393))*121,0)+IFERROR(--ISNUMBER(SEARCH("R122",G393))*122,0)+IFERROR(--ISNUMBER(SEARCH("R123",G393))*123,0)+IFERROR(--ISNUMBER(SEARCH("R124",G393))*124,0)+IFERROR(--ISNUMBER(SEARCH("R125",G393))*125,0)+IFERROR(--ISNUMBER(SEARCH("R126",G393))*126,0)+IFERROR(--ISNUMBER(SEARCH("R127",G393))*127,0)+IFERROR(--ISNUMBER(SEARCH("R128",G393))*128,0)+IFERROR(--ISNUMBER(SEARCH("R129",G393))*129,0)+IFERROR(--ISNUMBER(SEARCH("R130",G393))*130,0)+IFERROR(--ISNUMBER(SEARCH("R131",G393))*131,0)+IFERROR(--ISNUMBER(SEARCH("R132",G393))*132,0)+IFERROR(--ISNUMBER(SEARCH("R133",G393))*133,0)+IFERROR(--ISNUMBER(SEARCH("R134",G393))*134,0)+IFERROR(--ISNUMBER(SEARCH("R135",G393))*135,0)+IFERROR(--ISNUMBER(SEARCH("R136",G393))*136,0)+IFERROR(--ISNUMBER(SEARCH("R137",G393))*137,0)+IFERROR(--ISNUMBER(SEARCH("R138",G393))*138,0)+IFERROR(--ISNUMBER(SEARCH("R139",G393))*139,0)+IFERROR(--ISNUMBER(SEARCH("R140",G393))*140,0)+IFERROR(--ISNUMBER(SEARCH("R141",G393))*141,0))</f>
        <v/>
      </c>
      <c r="V393" s="59">
        <f>IF(A393="","",IF(K393&lt;&gt;"",K393,J393))</f>
        <v/>
      </c>
      <c r="W393" s="59">
        <f>IF(A393="","",IF(AND(V393=29,O393&lt;&gt;"",COUNTIFS($V$6:$V$505,29,$F$6:$F$505,F393,$C$6:$C$505,C393,$O$6:$O$505,"&lt;&gt;")&gt;1),IF(COUNTIFS($V$6:V393,29,$F$6:F393,F393,$C$6:C393,C393,$O$6:O393,"&lt;&gt;")=1,"Esta es la fila que se debe CONSERVAR (aparición 1 de "&amp;COUNTIFS($V$6:$V$505,29,$F$6:$F$505,F393,$C$6:$C$505,C393,$O$6:$O$505,"&lt;&gt;")&amp;" con el mismo tercero y valor, casilla 29). Si hay más filas iguales, bórreles el valor a ELLAS, no a esta.","DUPLICADO — ya existe otra fila con el mismo tercero y valor para casilla 29 (aparición "&amp;COUNTIFS($V$6:V393,29,$F$6:F393,F393,$C$6:C393,C393,$O$6:O393,"&lt;&gt;")&amp;" de "&amp;COUNTIFS($V$6:$V$505,29,$F$6:$F$505,F393,$C$6:$C$505,C393,$O$6:$O$505,"&lt;&gt;")&amp;"). Para resolverlo: seleccione la celda O"&amp;ROW()&amp;" (columna Valor a declarar de ESTA fila) y presione Supr."),""))</f>
        <v/>
      </c>
      <c r="X393" s="463">
        <f>IF(A393="","",F393)</f>
        <v/>
      </c>
      <c r="Y393" s="463">
        <f>IF(A393="","",SUMIF(Entrada_Manual!$I$88:$I$187,A393,Entrada_Manual!$F$88:$F$187))</f>
        <v/>
      </c>
      <c r="Z393" s="463">
        <f>IF(A393="","",X393-Y393)</f>
        <v/>
      </c>
      <c r="AA393">
        <f>IF(A393="","",SUMPRODUCT((Entrada_Manual!$I$88:$I$187=A393)*1))</f>
        <v/>
      </c>
      <c r="AB393">
        <f>IF(A393="","",IF(S393&lt;=1,"",IF(AA393=0,"PENDIENTE — SIN ASIGNAR",IF(Z393=0,"RESUELTO","PARCIAL — DIFERENCIA "&amp;TEXT(Z393,"#,##0")))))</f>
        <v/>
      </c>
    </row>
    <row r="394" ht="14.25" customHeight="1" s="235">
      <c r="A394" s="47">
        <f>IF(Exogena_RAW!E403&lt;&gt;"",ROW()-5,"")</f>
        <v/>
      </c>
      <c r="B394" s="48">
        <f>IF(A394="","",403)</f>
        <v/>
      </c>
      <c r="C394" s="48">
        <f>IF(A394="","",IFERROR(Exogena_RAW!A403,""))</f>
        <v/>
      </c>
      <c r="D394" s="48">
        <f>IF(A394="","",IFERROR(Exogena_RAW!B403,""))</f>
        <v/>
      </c>
      <c r="E394" s="48">
        <f>IF(A394="","",Exogena_RAW!E403)</f>
        <v/>
      </c>
      <c r="F394" s="461">
        <f>IF(A394="","",Exogena_RAW!F403)</f>
        <v/>
      </c>
      <c r="G394" s="48">
        <f>IF(A394="","",IFERROR(Exogena_RAW!G403,""))</f>
        <v/>
      </c>
      <c r="H394" s="48">
        <f>IF(A394="","",IFERROR(Exogena_RAW!H403,""))</f>
        <v/>
      </c>
      <c r="I394" s="48">
        <f>IF(A394="","",IFERROR(IF(S394&gt;1,"VARIAS CASILLAS",IF(S394=1,IF(T394=1,"PROPUESTA DE CASILLA","REVISIÓN: CASILLA NO DIRECTA"),IF(OR(ISNUMBER(SEARCH("TOPE",UPPER(E394))),ISNUMBER(SEARCH("TOPE",UPPER(G394)))),"SOLO CONTROL",IF(ISNUMBER(SEARCH("RETEN",UPPER(E394))),"RETENCIÓN","REVISAR")))),"REVISAR"))</f>
        <v/>
      </c>
      <c r="J394" s="48">
        <f>IF(A394="","",IF(ISNUMBER(SEARCH("ingreso laboral promedio de los últimos seis meses",E394)),"",IFERROR(IF(AND(S394=1,T394=1),U394,""),"")))</f>
        <v/>
      </c>
      <c r="K394" s="216" t="n"/>
      <c r="L394" s="48">
        <f>IF(A394="","",IFERROR(IF(K394&lt;&gt;"","Casilla elegida por usuario",IF(S394&gt;1,"Varias casillas — elegir en K",IF(J394&lt;&gt;"","Sugerencia directa",IF(S394=1,"No trasladar directo — revisar",IF(OR(ISNUMBER(SEARCH("TOPE",UPPER(E394))),ISNUMBER(SEARCH("TOPE",UPPER(G394)))),"Solo control","Revisar manualmente"))))),"Revisar manualmente"))</f>
        <v/>
      </c>
      <c r="M394" s="461">
        <f>IF(A394="","",IF(IF(K394&lt;&gt;"",K394,J394)="",0,IF(COUNTIFS(Reglas!$I$5:$I$118,IF(K394&lt;&gt;"",K394,J394),Reglas!$J$5:$J$118,"Sí")=1,F394,0)))</f>
        <v/>
      </c>
      <c r="N394" s="56" t="n"/>
      <c r="O394" s="462">
        <f>IF(A394="","",IF(M394=0,"",M394))</f>
        <v/>
      </c>
      <c r="P394" s="461">
        <f>IF(A394="","",IF(O394="",0,IF(ISNUMBER(O394),O394,0)))</f>
        <v/>
      </c>
      <c r="Q394" s="48">
        <f>IF(A394="","",IF(Exogena_RAW!$C$4="","BLOQUEADO: FALTA AÑO",IF(Exogena_RAW!$K$10&lt;&gt;Reglas!$B$5,"BLOQUEADO: AÑO",IF(IF(K394&lt;&gt;"",K394,J394)="",IF(S394&gt;1,"REQUIERE ASIGNACIÓN MANUAL (VARIAS CASILLAS)","INFORMATIVO (sin casilla — no se declara)"),IF(COUNTIFS(Reglas!$I$5:$I$118,IF(K394&lt;&gt;"",K394,J394),Reglas!$J$5:$J$118,"Sí")=0,"BLOQUEADO: CASILLA NO DIRECTA",IF(O394="","EXCLUIDO (valor borrado por el usuario)",IF(_xlfn.ISFORMULA(O394),IF(W394&lt;&gt;"","BORRADOR — VALOR SUGERIDO DIAN ⚠ VER ALERTA","BORRADOR — VALOR SUGERIDO DIAN"),IF(W394&lt;&gt;"","ACEPTADO ⚠ VER ALERTA","ACEPTADO"))))))))</f>
        <v/>
      </c>
      <c r="R394" s="218" t="n"/>
      <c r="S394" s="58">
        <f>IF(A394="","",IFERROR(--ISNUMBER(SEARCH("R28",G394)),0)+IFERROR(--ISNUMBER(SEARCH("R29",G394)),0)+IFERROR(--ISNUMBER(SEARCH("R30",G394)),0)+IFERROR(--ISNUMBER(SEARCH("R31",G394)),0)+IFERROR(--ISNUMBER(SEARCH("R32",G394)),0)+IFERROR(--ISNUMBER(SEARCH("R33",G394)),0)+IFERROR(--ISNUMBER(SEARCH("R34",G394)),0)+IFERROR(--ISNUMBER(SEARCH("R35",G394)),0)+IFERROR(--ISNUMBER(SEARCH("R36",G394)),0)+IFERROR(--ISNUMBER(SEARCH("R37",G394)),0)+IFERROR(--ISNUMBER(SEARCH("R38",G394)),0)+IFERROR(--ISNUMBER(SEARCH("R39",G394)),0)+IFERROR(--ISNUMBER(SEARCH("R40",G394)),0)+IFERROR(--ISNUMBER(SEARCH("R41",G394)),0)+IFERROR(--ISNUMBER(SEARCH("R42",G394)),0)+IFERROR(--ISNUMBER(SEARCH("R43",G394)),0)+IFERROR(--ISNUMBER(SEARCH("R44",G394)),0)+IFERROR(--ISNUMBER(SEARCH("R45",G394)),0)+IFERROR(--ISNUMBER(SEARCH("R46",G394)),0)+IFERROR(--ISNUMBER(SEARCH("R47",G394)),0)+IFERROR(--ISNUMBER(SEARCH("R48",G394)),0)+IFERROR(--ISNUMBER(SEARCH("R49",G394)),0)+IFERROR(--ISNUMBER(SEARCH("R50",G394)),0)+IFERROR(--ISNUMBER(SEARCH("R51",G394)),0)+IFERROR(--ISNUMBER(SEARCH("R52",G394)),0)+IFERROR(--ISNUMBER(SEARCH("R53",G394)),0)+IFERROR(--ISNUMBER(SEARCH("R54",G394)),0)+IFERROR(--ISNUMBER(SEARCH("R55",G394)),0)+IFERROR(--ISNUMBER(SEARCH("R56",G394)),0)+IFERROR(--ISNUMBER(SEARCH("R57",G394)),0)+IFERROR(--ISNUMBER(SEARCH("R58",G394)),0)+IFERROR(--ISNUMBER(SEARCH("R59",G394)),0)+IFERROR(--ISNUMBER(SEARCH("R60",G394)),0)+IFERROR(--ISNUMBER(SEARCH("R61",G394)),0)+IFERROR(--ISNUMBER(SEARCH("R62",G394)),0)+IFERROR(--ISNUMBER(SEARCH("R63",G394)),0)+IFERROR(--ISNUMBER(SEARCH("R64",G394)),0)+IFERROR(--ISNUMBER(SEARCH("R65",G394)),0)+IFERROR(--ISNUMBER(SEARCH("R66",G394)),0)+IFERROR(--ISNUMBER(SEARCH("R67",G394)),0)+IFERROR(--ISNUMBER(SEARCH("R68",G394)),0)+IFERROR(--ISNUMBER(SEARCH("R69",G394)),0)+IFERROR(--ISNUMBER(SEARCH("R70",G394)),0)+IFERROR(--ISNUMBER(SEARCH("R71",G394)),0)+IFERROR(--ISNUMBER(SEARCH("R72",G394)),0)+IFERROR(--ISNUMBER(SEARCH("R73",G394)),0)+IFERROR(--ISNUMBER(SEARCH("R74",G394)),0)+IFERROR(--ISNUMBER(SEARCH("R75",G394)),0)+IFERROR(--ISNUMBER(SEARCH("R76",G394)),0)+IFERROR(--ISNUMBER(SEARCH("R77",G394)),0)+IFERROR(--ISNUMBER(SEARCH("R78",G394)),0)+IFERROR(--ISNUMBER(SEARCH("R79",G394)),0)+IFERROR(--ISNUMBER(SEARCH("R80",G394)),0)+IFERROR(--ISNUMBER(SEARCH("R81",G394)),0)+IFERROR(--ISNUMBER(SEARCH("R82",G394)),0)+IFERROR(--ISNUMBER(SEARCH("R83",G394)),0)+IFERROR(--ISNUMBER(SEARCH("R84",G394)),0)+IFERROR(--ISNUMBER(SEARCH("R85",G394)),0)+IFERROR(--ISNUMBER(SEARCH("R86",G394)),0)+IFERROR(--ISNUMBER(SEARCH("R87",G394)),0)+IFERROR(--ISNUMBER(SEARCH("R88",G394)),0)+IFERROR(--ISNUMBER(SEARCH("R89",G394)),0)+IFERROR(--ISNUMBER(SEARCH("R90",G394)),0)+IFERROR(--ISNUMBER(SEARCH("R91",G394)),0)+IFERROR(--ISNUMBER(SEARCH("R92",G394)),0)+IFERROR(--ISNUMBER(SEARCH("R93",G394)),0)+IFERROR(--ISNUMBER(SEARCH("R94",G394)),0)+IFERROR(--ISNUMBER(SEARCH("R95",G394)),0)+IFERROR(--ISNUMBER(SEARCH("R96",G394)),0)+IFERROR(--ISNUMBER(SEARCH("R97",G394)),0)+IFERROR(--ISNUMBER(SEARCH("R98",G394)),0)+IFERROR(--ISNUMBER(SEARCH("R99",G394)),0)+IFERROR(--ISNUMBER(SEARCH("R100",G394)),0)+IFERROR(--ISNUMBER(SEARCH("R101",G394)),0)+IFERROR(--ISNUMBER(SEARCH("R102",G394)),0)+IFERROR(--ISNUMBER(SEARCH("R103",G394)),0)+IFERROR(--ISNUMBER(SEARCH("R104",G394)),0)+IFERROR(--ISNUMBER(SEARCH("R105",G394)),0)+IFERROR(--ISNUMBER(SEARCH("R106",G394)),0)+IFERROR(--ISNUMBER(SEARCH("R107",G394)),0)+IFERROR(--ISNUMBER(SEARCH("R108",G394)),0)+IFERROR(--ISNUMBER(SEARCH("R109",G394)),0)+IFERROR(--ISNUMBER(SEARCH("R110",G394)),0)+IFERROR(--ISNUMBER(SEARCH("R111",G394)),0)+IFERROR(--ISNUMBER(SEARCH("R112",G394)),0)+IFERROR(--ISNUMBER(SEARCH("R113",G394)),0)+IFERROR(--ISNUMBER(SEARCH("R114",G394)),0)+IFERROR(--ISNUMBER(SEARCH("R115",G394)),0)+IFERROR(--ISNUMBER(SEARCH("R116",G394)),0)+IFERROR(--ISNUMBER(SEARCH("R117",G394)),0)+IFERROR(--ISNUMBER(SEARCH("R118",G394)),0)+IFERROR(--ISNUMBER(SEARCH("R119",G394)),0)+IFERROR(--ISNUMBER(SEARCH("R120",G394)),0)+IFERROR(--ISNUMBER(SEARCH("R121",G394)),0)+IFERROR(--ISNUMBER(SEARCH("R122",G394)),0)+IFERROR(--ISNUMBER(SEARCH("R123",G394)),0)+IFERROR(--ISNUMBER(SEARCH("R124",G394)),0)+IFERROR(--ISNUMBER(SEARCH("R125",G394)),0)+IFERROR(--ISNUMBER(SEARCH("R126",G394)),0)+IFERROR(--ISNUMBER(SEARCH("R127",G394)),0)+IFERROR(--ISNUMBER(SEARCH("R128",G394)),0)+IFERROR(--ISNUMBER(SEARCH("R129",G394)),0)+IFERROR(--ISNUMBER(SEARCH("R130",G394)),0)+IFERROR(--ISNUMBER(SEARCH("R131",G394)),0)+IFERROR(--ISNUMBER(SEARCH("R132",G394)),0)+IFERROR(--ISNUMBER(SEARCH("R133",G394)),0)+IFERROR(--ISNUMBER(SEARCH("R134",G394)),0)+IFERROR(--ISNUMBER(SEARCH("R135",G394)),0)+IFERROR(--ISNUMBER(SEARCH("R136",G394)),0)+IFERROR(--ISNUMBER(SEARCH("R137",G394)),0)+IFERROR(--ISNUMBER(SEARCH("R138",G394)),0)+IFERROR(--ISNUMBER(SEARCH("R139",G394)),0)+IFERROR(--ISNUMBER(SEARCH("R140",G394)),0)+IFERROR(--ISNUMBER(SEARCH("R141",G394)),0))</f>
        <v/>
      </c>
      <c r="T394" s="58">
        <f>IF(A394="","",IFERROR(--ISNUMBER(SEARCH("R28",G394)),0)+IFERROR(--ISNUMBER(SEARCH("R29",G394)),0)+IFERROR(--ISNUMBER(SEARCH("R30",G394)),0)+IFERROR(--ISNUMBER(SEARCH("R32",G394)),0)+IFERROR(--ISNUMBER(SEARCH("R33",G394)),0)+IFERROR(--ISNUMBER(SEARCH("R35",G394)),0)+IFERROR(--ISNUMBER(SEARCH("R36",G394)),0)+IFERROR(--ISNUMBER(SEARCH("R38",G394)),0)+IFERROR(--ISNUMBER(SEARCH("R39",G394)),0)+IFERROR(--ISNUMBER(SEARCH("R43",G394)),0)+IFERROR(--ISNUMBER(SEARCH("R44",G394)),0)+IFERROR(--ISNUMBER(SEARCH("R45",G394)),0)+IFERROR(--ISNUMBER(SEARCH("R47",G394)),0)+IFERROR(--ISNUMBER(SEARCH("R48",G394)),0)+IFERROR(--ISNUMBER(SEARCH("R50",G394)),0)+IFERROR(--ISNUMBER(SEARCH("R51",G394)),0)+IFERROR(--ISNUMBER(SEARCH("R56",G394)),0)+IFERROR(--ISNUMBER(SEARCH("R58",G394)),0)+IFERROR(--ISNUMBER(SEARCH("R59",G394)),0)+IFERROR(--ISNUMBER(SEARCH("R60",G394)),0)+IFERROR(--ISNUMBER(SEARCH("R62",G394)),0)+IFERROR(--ISNUMBER(SEARCH("R63",G394)),0)+IFERROR(--ISNUMBER(SEARCH("R64",G394)),0)+IFERROR(--ISNUMBER(SEARCH("R66",G394)),0)+IFERROR(--ISNUMBER(SEARCH("R67",G394)),0)+IFERROR(--ISNUMBER(SEARCH("R72",G394)),0)+IFERROR(--ISNUMBER(SEARCH("R74",G394)),0)+IFERROR(--ISNUMBER(SEARCH("R75",G394)),0)+IFERROR(--ISNUMBER(SEARCH("R76",G394)),0)+IFERROR(--ISNUMBER(SEARCH("R77",G394)),0)+IFERROR(--ISNUMBER(SEARCH("R79",G394)),0)+IFERROR(--ISNUMBER(SEARCH("R80",G394)),0)+IFERROR(--ISNUMBER(SEARCH("R81",G394)),0)+IFERROR(--ISNUMBER(SEARCH("R83",G394)),0)+IFERROR(--ISNUMBER(SEARCH("R84",G394)),0)+IFERROR(--ISNUMBER(SEARCH("R89",G394)),0)+IFERROR(--ISNUMBER(SEARCH("R94",G394)),0)+IFERROR(--ISNUMBER(SEARCH("R95",G394)),0)+IFERROR(--ISNUMBER(SEARCH("R96",G394)),0)+IFERROR(--ISNUMBER(SEARCH("R98",G394)),0)+IFERROR(--ISNUMBER(SEARCH("R99",G394)),0)+IFERROR(--ISNUMBER(SEARCH("R100",G394)),0)+IFERROR(--ISNUMBER(SEARCH("R104",G394)),0)+IFERROR(--ISNUMBER(SEARCH("R105",G394)),0)+IFERROR(--ISNUMBER(SEARCH("R107",G394)),0)+IFERROR(--ISNUMBER(SEARCH("R108",G394)),0)+IFERROR(--ISNUMBER(SEARCH("R109",G394)),0)+IFERROR(--ISNUMBER(SEARCH("R110",G394)),0)+IFERROR(--ISNUMBER(SEARCH("R112",G394)),0)+IFERROR(--ISNUMBER(SEARCH("R113",G394)),0)+IFERROR(--ISNUMBER(SEARCH("R114",G394)),0)+IFERROR(--ISNUMBER(SEARCH("R118",G394)),0)+IFERROR(--ISNUMBER(SEARCH("R119",G394)),0)+IFERROR(--ISNUMBER(SEARCH("R120",G394)),0)+IFERROR(--ISNUMBER(SEARCH("R122",G394)),0)+IFERROR(--ISNUMBER(SEARCH("R123",G394)),0)+IFERROR(--ISNUMBER(SEARCH("R124",G394)),0)+IFERROR(--ISNUMBER(SEARCH("R128",G394)),0)+IFERROR(--ISNUMBER(SEARCH("R130",G394)),0)+IFERROR(--ISNUMBER(SEARCH("R131",G394)),0)+IFERROR(--ISNUMBER(SEARCH("R132",G394)),0)+IFERROR(--ISNUMBER(SEARCH("R135",G394)),0)+IFERROR(--ISNUMBER(SEARCH("R138",G394)),0)+IFERROR(--ISNUMBER(SEARCH("R141",G394)),0))</f>
        <v/>
      </c>
      <c r="U394" s="58">
        <f>IF(A394="","",IFERROR(--ISNUMBER(SEARCH("R28",G394))*28,0)+IFERROR(--ISNUMBER(SEARCH("R29",G394))*29,0)+IFERROR(--ISNUMBER(SEARCH("R30",G394))*30,0)+IFERROR(--ISNUMBER(SEARCH("R31",G394))*31,0)+IFERROR(--ISNUMBER(SEARCH("R32",G394))*32,0)+IFERROR(--ISNUMBER(SEARCH("R33",G394))*33,0)+IFERROR(--ISNUMBER(SEARCH("R34",G394))*34,0)+IFERROR(--ISNUMBER(SEARCH("R35",G394))*35,0)+IFERROR(--ISNUMBER(SEARCH("R36",G394))*36,0)+IFERROR(--ISNUMBER(SEARCH("R37",G394))*37,0)+IFERROR(--ISNUMBER(SEARCH("R38",G394))*38,0)+IFERROR(--ISNUMBER(SEARCH("R39",G394))*39,0)+IFERROR(--ISNUMBER(SEARCH("R40",G394))*40,0)+IFERROR(--ISNUMBER(SEARCH("R41",G394))*41,0)+IFERROR(--ISNUMBER(SEARCH("R42",G394))*42,0)+IFERROR(--ISNUMBER(SEARCH("R43",G394))*43,0)+IFERROR(--ISNUMBER(SEARCH("R44",G394))*44,0)+IFERROR(--ISNUMBER(SEARCH("R45",G394))*45,0)+IFERROR(--ISNUMBER(SEARCH("R46",G394))*46,0)+IFERROR(--ISNUMBER(SEARCH("R47",G394))*47,0)+IFERROR(--ISNUMBER(SEARCH("R48",G394))*48,0)+IFERROR(--ISNUMBER(SEARCH("R49",G394))*49,0)+IFERROR(--ISNUMBER(SEARCH("R50",G394))*50,0)+IFERROR(--ISNUMBER(SEARCH("R51",G394))*51,0)+IFERROR(--ISNUMBER(SEARCH("R52",G394))*52,0)+IFERROR(--ISNUMBER(SEARCH("R53",G394))*53,0)+IFERROR(--ISNUMBER(SEARCH("R54",G394))*54,0)+IFERROR(--ISNUMBER(SEARCH("R55",G394))*55,0)+IFERROR(--ISNUMBER(SEARCH("R56",G394))*56,0)+IFERROR(--ISNUMBER(SEARCH("R57",G394))*57,0)+IFERROR(--ISNUMBER(SEARCH("R58",G394))*58,0)+IFERROR(--ISNUMBER(SEARCH("R59",G394))*59,0)+IFERROR(--ISNUMBER(SEARCH("R60",G394))*60,0)+IFERROR(--ISNUMBER(SEARCH("R61",G394))*61,0)+IFERROR(--ISNUMBER(SEARCH("R62",G394))*62,0)+IFERROR(--ISNUMBER(SEARCH("R63",G394))*63,0)+IFERROR(--ISNUMBER(SEARCH("R64",G394))*64,0)+IFERROR(--ISNUMBER(SEARCH("R65",G394))*65,0)+IFERROR(--ISNUMBER(SEARCH("R66",G394))*66,0)+IFERROR(--ISNUMBER(SEARCH("R67",G394))*67,0)+IFERROR(--ISNUMBER(SEARCH("R68",G394))*68,0)+IFERROR(--ISNUMBER(SEARCH("R69",G394))*69,0)+IFERROR(--ISNUMBER(SEARCH("R70",G394))*70,0)+IFERROR(--ISNUMBER(SEARCH("R71",G394))*71,0)+IFERROR(--ISNUMBER(SEARCH("R72",G394))*72,0)+IFERROR(--ISNUMBER(SEARCH("R73",G394))*73,0)+IFERROR(--ISNUMBER(SEARCH("R74",G394))*74,0)+IFERROR(--ISNUMBER(SEARCH("R75",G394))*75,0)+IFERROR(--ISNUMBER(SEARCH("R76",G394))*76,0)+IFERROR(--ISNUMBER(SEARCH("R77",G394))*77,0)+IFERROR(--ISNUMBER(SEARCH("R78",G394))*78,0)+IFERROR(--ISNUMBER(SEARCH("R79",G394))*79,0)+IFERROR(--ISNUMBER(SEARCH("R80",G394))*80,0)+IFERROR(--ISNUMBER(SEARCH("R81",G394))*81,0)+IFERROR(--ISNUMBER(SEARCH("R82",G394))*82,0)+IFERROR(--ISNUMBER(SEARCH("R83",G394))*83,0)+IFERROR(--ISNUMBER(SEARCH("R84",G394))*84,0)+IFERROR(--ISNUMBER(SEARCH("R85",G394))*85,0)+IFERROR(--ISNUMBER(SEARCH("R86",G394))*86,0)+IFERROR(--ISNUMBER(SEARCH("R87",G394))*87,0)+IFERROR(--ISNUMBER(SEARCH("R88",G394))*88,0)+IFERROR(--ISNUMBER(SEARCH("R89",G394))*89,0)+IFERROR(--ISNUMBER(SEARCH("R90",G394))*90,0)+IFERROR(--ISNUMBER(SEARCH("R91",G394))*91,0)+IFERROR(--ISNUMBER(SEARCH("R92",G394))*92,0)+IFERROR(--ISNUMBER(SEARCH("R93",G394))*93,0)+IFERROR(--ISNUMBER(SEARCH("R94",G394))*94,0)+IFERROR(--ISNUMBER(SEARCH("R95",G394))*95,0)+IFERROR(--ISNUMBER(SEARCH("R96",G394))*96,0)+IFERROR(--ISNUMBER(SEARCH("R97",G394))*97,0)+IFERROR(--ISNUMBER(SEARCH("R98",G394))*98,0)+IFERROR(--ISNUMBER(SEARCH("R99",G394))*99,0)+IFERROR(--ISNUMBER(SEARCH("R100",G394))*100,0)+IFERROR(--ISNUMBER(SEARCH("R101",G394))*101,0)+IFERROR(--ISNUMBER(SEARCH("R102",G394))*102,0)+IFERROR(--ISNUMBER(SEARCH("R103",G394))*103,0)+IFERROR(--ISNUMBER(SEARCH("R104",G394))*104,0)+IFERROR(--ISNUMBER(SEARCH("R105",G394))*105,0)+IFERROR(--ISNUMBER(SEARCH("R106",G394))*106,0)+IFERROR(--ISNUMBER(SEARCH("R107",G394))*107,0)+IFERROR(--ISNUMBER(SEARCH("R108",G394))*108,0)+IFERROR(--ISNUMBER(SEARCH("R109",G394))*109,0)+IFERROR(--ISNUMBER(SEARCH("R110",G394))*110,0)+IFERROR(--ISNUMBER(SEARCH("R111",G394))*111,0)+IFERROR(--ISNUMBER(SEARCH("R112",G394))*112,0)+IFERROR(--ISNUMBER(SEARCH("R113",G394))*113,0)+IFERROR(--ISNUMBER(SEARCH("R114",G394))*114,0)+IFERROR(--ISNUMBER(SEARCH("R115",G394))*115,0)+IFERROR(--ISNUMBER(SEARCH("R116",G394))*116,0)+IFERROR(--ISNUMBER(SEARCH("R117",G394))*117,0)+IFERROR(--ISNUMBER(SEARCH("R118",G394))*118,0)+IFERROR(--ISNUMBER(SEARCH("R119",G394))*119,0)+IFERROR(--ISNUMBER(SEARCH("R120",G394))*120,0)+IFERROR(--ISNUMBER(SEARCH("R121",G394))*121,0)+IFERROR(--ISNUMBER(SEARCH("R122",G394))*122,0)+IFERROR(--ISNUMBER(SEARCH("R123",G394))*123,0)+IFERROR(--ISNUMBER(SEARCH("R124",G394))*124,0)+IFERROR(--ISNUMBER(SEARCH("R125",G394))*125,0)+IFERROR(--ISNUMBER(SEARCH("R126",G394))*126,0)+IFERROR(--ISNUMBER(SEARCH("R127",G394))*127,0)+IFERROR(--ISNUMBER(SEARCH("R128",G394))*128,0)+IFERROR(--ISNUMBER(SEARCH("R129",G394))*129,0)+IFERROR(--ISNUMBER(SEARCH("R130",G394))*130,0)+IFERROR(--ISNUMBER(SEARCH("R131",G394))*131,0)+IFERROR(--ISNUMBER(SEARCH("R132",G394))*132,0)+IFERROR(--ISNUMBER(SEARCH("R133",G394))*133,0)+IFERROR(--ISNUMBER(SEARCH("R134",G394))*134,0)+IFERROR(--ISNUMBER(SEARCH("R135",G394))*135,0)+IFERROR(--ISNUMBER(SEARCH("R136",G394))*136,0)+IFERROR(--ISNUMBER(SEARCH("R137",G394))*137,0)+IFERROR(--ISNUMBER(SEARCH("R138",G394))*138,0)+IFERROR(--ISNUMBER(SEARCH("R139",G394))*139,0)+IFERROR(--ISNUMBER(SEARCH("R140",G394))*140,0)+IFERROR(--ISNUMBER(SEARCH("R141",G394))*141,0))</f>
        <v/>
      </c>
      <c r="V394" s="59">
        <f>IF(A394="","",IF(K394&lt;&gt;"",K394,J394))</f>
        <v/>
      </c>
      <c r="W394" s="59">
        <f>IF(A394="","",IF(AND(V394=29,O394&lt;&gt;"",COUNTIFS($V$6:$V$505,29,$F$6:$F$505,F394,$C$6:$C$505,C394,$O$6:$O$505,"&lt;&gt;")&gt;1),IF(COUNTIFS($V$6:V394,29,$F$6:F394,F394,$C$6:C394,C394,$O$6:O394,"&lt;&gt;")=1,"Esta es la fila que se debe CONSERVAR (aparición 1 de "&amp;COUNTIFS($V$6:$V$505,29,$F$6:$F$505,F394,$C$6:$C$505,C394,$O$6:$O$505,"&lt;&gt;")&amp;" con el mismo tercero y valor, casilla 29). Si hay más filas iguales, bórreles el valor a ELLAS, no a esta.","DUPLICADO — ya existe otra fila con el mismo tercero y valor para casilla 29 (aparición "&amp;COUNTIFS($V$6:V394,29,$F$6:F394,F394,$C$6:C394,C394,$O$6:O394,"&lt;&gt;")&amp;" de "&amp;COUNTIFS($V$6:$V$505,29,$F$6:$F$505,F394,$C$6:$C$505,C394,$O$6:$O$505,"&lt;&gt;")&amp;"). Para resolverlo: seleccione la celda O"&amp;ROW()&amp;" (columna Valor a declarar de ESTA fila) y presione Supr."),""))</f>
        <v/>
      </c>
      <c r="X394" s="463">
        <f>IF(A394="","",F394)</f>
        <v/>
      </c>
      <c r="Y394" s="463">
        <f>IF(A394="","",SUMIF(Entrada_Manual!$I$88:$I$187,A394,Entrada_Manual!$F$88:$F$187))</f>
        <v/>
      </c>
      <c r="Z394" s="463">
        <f>IF(A394="","",X394-Y394)</f>
        <v/>
      </c>
      <c r="AA394">
        <f>IF(A394="","",SUMPRODUCT((Entrada_Manual!$I$88:$I$187=A394)*1))</f>
        <v/>
      </c>
      <c r="AB394">
        <f>IF(A394="","",IF(S394&lt;=1,"",IF(AA394=0,"PENDIENTE — SIN ASIGNAR",IF(Z394=0,"RESUELTO","PARCIAL — DIFERENCIA "&amp;TEXT(Z394,"#,##0")))))</f>
        <v/>
      </c>
    </row>
    <row r="395" ht="14.25" customHeight="1" s="235">
      <c r="A395" s="47">
        <f>IF(Exogena_RAW!E404&lt;&gt;"",ROW()-5,"")</f>
        <v/>
      </c>
      <c r="B395" s="48">
        <f>IF(A395="","",404)</f>
        <v/>
      </c>
      <c r="C395" s="48">
        <f>IF(A395="","",IFERROR(Exogena_RAW!A404,""))</f>
        <v/>
      </c>
      <c r="D395" s="48">
        <f>IF(A395="","",IFERROR(Exogena_RAW!B404,""))</f>
        <v/>
      </c>
      <c r="E395" s="48">
        <f>IF(A395="","",Exogena_RAW!E404)</f>
        <v/>
      </c>
      <c r="F395" s="461">
        <f>IF(A395="","",Exogena_RAW!F404)</f>
        <v/>
      </c>
      <c r="G395" s="48">
        <f>IF(A395="","",IFERROR(Exogena_RAW!G404,""))</f>
        <v/>
      </c>
      <c r="H395" s="48">
        <f>IF(A395="","",IFERROR(Exogena_RAW!H404,""))</f>
        <v/>
      </c>
      <c r="I395" s="48">
        <f>IF(A395="","",IFERROR(IF(S395&gt;1,"VARIAS CASILLAS",IF(S395=1,IF(T395=1,"PROPUESTA DE CASILLA","REVISIÓN: CASILLA NO DIRECTA"),IF(OR(ISNUMBER(SEARCH("TOPE",UPPER(E395))),ISNUMBER(SEARCH("TOPE",UPPER(G395)))),"SOLO CONTROL",IF(ISNUMBER(SEARCH("RETEN",UPPER(E395))),"RETENCIÓN","REVISAR")))),"REVISAR"))</f>
        <v/>
      </c>
      <c r="J395" s="48">
        <f>IF(A395="","",IF(ISNUMBER(SEARCH("ingreso laboral promedio de los últimos seis meses",E395)),"",IFERROR(IF(AND(S395=1,T395=1),U395,""),"")))</f>
        <v/>
      </c>
      <c r="K395" s="216" t="n"/>
      <c r="L395" s="48">
        <f>IF(A395="","",IFERROR(IF(K395&lt;&gt;"","Casilla elegida por usuario",IF(S395&gt;1,"Varias casillas — elegir en K",IF(J395&lt;&gt;"","Sugerencia directa",IF(S395=1,"No trasladar directo — revisar",IF(OR(ISNUMBER(SEARCH("TOPE",UPPER(E395))),ISNUMBER(SEARCH("TOPE",UPPER(G395)))),"Solo control","Revisar manualmente"))))),"Revisar manualmente"))</f>
        <v/>
      </c>
      <c r="M395" s="461">
        <f>IF(A395="","",IF(IF(K395&lt;&gt;"",K395,J395)="",0,IF(COUNTIFS(Reglas!$I$5:$I$118,IF(K395&lt;&gt;"",K395,J395),Reglas!$J$5:$J$118,"Sí")=1,F395,0)))</f>
        <v/>
      </c>
      <c r="N395" s="56" t="n"/>
      <c r="O395" s="462">
        <f>IF(A395="","",IF(M395=0,"",M395))</f>
        <v/>
      </c>
      <c r="P395" s="461">
        <f>IF(A395="","",IF(O395="",0,IF(ISNUMBER(O395),O395,0)))</f>
        <v/>
      </c>
      <c r="Q395" s="48">
        <f>IF(A395="","",IF(Exogena_RAW!$C$4="","BLOQUEADO: FALTA AÑO",IF(Exogena_RAW!$K$10&lt;&gt;Reglas!$B$5,"BLOQUEADO: AÑO",IF(IF(K395&lt;&gt;"",K395,J395)="",IF(S395&gt;1,"REQUIERE ASIGNACIÓN MANUAL (VARIAS CASILLAS)","INFORMATIVO (sin casilla — no se declara)"),IF(COUNTIFS(Reglas!$I$5:$I$118,IF(K395&lt;&gt;"",K395,J395),Reglas!$J$5:$J$118,"Sí")=0,"BLOQUEADO: CASILLA NO DIRECTA",IF(O395="","EXCLUIDO (valor borrado por el usuario)",IF(_xlfn.ISFORMULA(O395),IF(W395&lt;&gt;"","BORRADOR — VALOR SUGERIDO DIAN ⚠ VER ALERTA","BORRADOR — VALOR SUGERIDO DIAN"),IF(W395&lt;&gt;"","ACEPTADO ⚠ VER ALERTA","ACEPTADO"))))))))</f>
        <v/>
      </c>
      <c r="R395" s="218" t="n"/>
      <c r="S395" s="58">
        <f>IF(A395="","",IFERROR(--ISNUMBER(SEARCH("R28",G395)),0)+IFERROR(--ISNUMBER(SEARCH("R29",G395)),0)+IFERROR(--ISNUMBER(SEARCH("R30",G395)),0)+IFERROR(--ISNUMBER(SEARCH("R31",G395)),0)+IFERROR(--ISNUMBER(SEARCH("R32",G395)),0)+IFERROR(--ISNUMBER(SEARCH("R33",G395)),0)+IFERROR(--ISNUMBER(SEARCH("R34",G395)),0)+IFERROR(--ISNUMBER(SEARCH("R35",G395)),0)+IFERROR(--ISNUMBER(SEARCH("R36",G395)),0)+IFERROR(--ISNUMBER(SEARCH("R37",G395)),0)+IFERROR(--ISNUMBER(SEARCH("R38",G395)),0)+IFERROR(--ISNUMBER(SEARCH("R39",G395)),0)+IFERROR(--ISNUMBER(SEARCH("R40",G395)),0)+IFERROR(--ISNUMBER(SEARCH("R41",G395)),0)+IFERROR(--ISNUMBER(SEARCH("R42",G395)),0)+IFERROR(--ISNUMBER(SEARCH("R43",G395)),0)+IFERROR(--ISNUMBER(SEARCH("R44",G395)),0)+IFERROR(--ISNUMBER(SEARCH("R45",G395)),0)+IFERROR(--ISNUMBER(SEARCH("R46",G395)),0)+IFERROR(--ISNUMBER(SEARCH("R47",G395)),0)+IFERROR(--ISNUMBER(SEARCH("R48",G395)),0)+IFERROR(--ISNUMBER(SEARCH("R49",G395)),0)+IFERROR(--ISNUMBER(SEARCH("R50",G395)),0)+IFERROR(--ISNUMBER(SEARCH("R51",G395)),0)+IFERROR(--ISNUMBER(SEARCH("R52",G395)),0)+IFERROR(--ISNUMBER(SEARCH("R53",G395)),0)+IFERROR(--ISNUMBER(SEARCH("R54",G395)),0)+IFERROR(--ISNUMBER(SEARCH("R55",G395)),0)+IFERROR(--ISNUMBER(SEARCH("R56",G395)),0)+IFERROR(--ISNUMBER(SEARCH("R57",G395)),0)+IFERROR(--ISNUMBER(SEARCH("R58",G395)),0)+IFERROR(--ISNUMBER(SEARCH("R59",G395)),0)+IFERROR(--ISNUMBER(SEARCH("R60",G395)),0)+IFERROR(--ISNUMBER(SEARCH("R61",G395)),0)+IFERROR(--ISNUMBER(SEARCH("R62",G395)),0)+IFERROR(--ISNUMBER(SEARCH("R63",G395)),0)+IFERROR(--ISNUMBER(SEARCH("R64",G395)),0)+IFERROR(--ISNUMBER(SEARCH("R65",G395)),0)+IFERROR(--ISNUMBER(SEARCH("R66",G395)),0)+IFERROR(--ISNUMBER(SEARCH("R67",G395)),0)+IFERROR(--ISNUMBER(SEARCH("R68",G395)),0)+IFERROR(--ISNUMBER(SEARCH("R69",G395)),0)+IFERROR(--ISNUMBER(SEARCH("R70",G395)),0)+IFERROR(--ISNUMBER(SEARCH("R71",G395)),0)+IFERROR(--ISNUMBER(SEARCH("R72",G395)),0)+IFERROR(--ISNUMBER(SEARCH("R73",G395)),0)+IFERROR(--ISNUMBER(SEARCH("R74",G395)),0)+IFERROR(--ISNUMBER(SEARCH("R75",G395)),0)+IFERROR(--ISNUMBER(SEARCH("R76",G395)),0)+IFERROR(--ISNUMBER(SEARCH("R77",G395)),0)+IFERROR(--ISNUMBER(SEARCH("R78",G395)),0)+IFERROR(--ISNUMBER(SEARCH("R79",G395)),0)+IFERROR(--ISNUMBER(SEARCH("R80",G395)),0)+IFERROR(--ISNUMBER(SEARCH("R81",G395)),0)+IFERROR(--ISNUMBER(SEARCH("R82",G395)),0)+IFERROR(--ISNUMBER(SEARCH("R83",G395)),0)+IFERROR(--ISNUMBER(SEARCH("R84",G395)),0)+IFERROR(--ISNUMBER(SEARCH("R85",G395)),0)+IFERROR(--ISNUMBER(SEARCH("R86",G395)),0)+IFERROR(--ISNUMBER(SEARCH("R87",G395)),0)+IFERROR(--ISNUMBER(SEARCH("R88",G395)),0)+IFERROR(--ISNUMBER(SEARCH("R89",G395)),0)+IFERROR(--ISNUMBER(SEARCH("R90",G395)),0)+IFERROR(--ISNUMBER(SEARCH("R91",G395)),0)+IFERROR(--ISNUMBER(SEARCH("R92",G395)),0)+IFERROR(--ISNUMBER(SEARCH("R93",G395)),0)+IFERROR(--ISNUMBER(SEARCH("R94",G395)),0)+IFERROR(--ISNUMBER(SEARCH("R95",G395)),0)+IFERROR(--ISNUMBER(SEARCH("R96",G395)),0)+IFERROR(--ISNUMBER(SEARCH("R97",G395)),0)+IFERROR(--ISNUMBER(SEARCH("R98",G395)),0)+IFERROR(--ISNUMBER(SEARCH("R99",G395)),0)+IFERROR(--ISNUMBER(SEARCH("R100",G395)),0)+IFERROR(--ISNUMBER(SEARCH("R101",G395)),0)+IFERROR(--ISNUMBER(SEARCH("R102",G395)),0)+IFERROR(--ISNUMBER(SEARCH("R103",G395)),0)+IFERROR(--ISNUMBER(SEARCH("R104",G395)),0)+IFERROR(--ISNUMBER(SEARCH("R105",G395)),0)+IFERROR(--ISNUMBER(SEARCH("R106",G395)),0)+IFERROR(--ISNUMBER(SEARCH("R107",G395)),0)+IFERROR(--ISNUMBER(SEARCH("R108",G395)),0)+IFERROR(--ISNUMBER(SEARCH("R109",G395)),0)+IFERROR(--ISNUMBER(SEARCH("R110",G395)),0)+IFERROR(--ISNUMBER(SEARCH("R111",G395)),0)+IFERROR(--ISNUMBER(SEARCH("R112",G395)),0)+IFERROR(--ISNUMBER(SEARCH("R113",G395)),0)+IFERROR(--ISNUMBER(SEARCH("R114",G395)),0)+IFERROR(--ISNUMBER(SEARCH("R115",G395)),0)+IFERROR(--ISNUMBER(SEARCH("R116",G395)),0)+IFERROR(--ISNUMBER(SEARCH("R117",G395)),0)+IFERROR(--ISNUMBER(SEARCH("R118",G395)),0)+IFERROR(--ISNUMBER(SEARCH("R119",G395)),0)+IFERROR(--ISNUMBER(SEARCH("R120",G395)),0)+IFERROR(--ISNUMBER(SEARCH("R121",G395)),0)+IFERROR(--ISNUMBER(SEARCH("R122",G395)),0)+IFERROR(--ISNUMBER(SEARCH("R123",G395)),0)+IFERROR(--ISNUMBER(SEARCH("R124",G395)),0)+IFERROR(--ISNUMBER(SEARCH("R125",G395)),0)+IFERROR(--ISNUMBER(SEARCH("R126",G395)),0)+IFERROR(--ISNUMBER(SEARCH("R127",G395)),0)+IFERROR(--ISNUMBER(SEARCH("R128",G395)),0)+IFERROR(--ISNUMBER(SEARCH("R129",G395)),0)+IFERROR(--ISNUMBER(SEARCH("R130",G395)),0)+IFERROR(--ISNUMBER(SEARCH("R131",G395)),0)+IFERROR(--ISNUMBER(SEARCH("R132",G395)),0)+IFERROR(--ISNUMBER(SEARCH("R133",G395)),0)+IFERROR(--ISNUMBER(SEARCH("R134",G395)),0)+IFERROR(--ISNUMBER(SEARCH("R135",G395)),0)+IFERROR(--ISNUMBER(SEARCH("R136",G395)),0)+IFERROR(--ISNUMBER(SEARCH("R137",G395)),0)+IFERROR(--ISNUMBER(SEARCH("R138",G395)),0)+IFERROR(--ISNUMBER(SEARCH("R139",G395)),0)+IFERROR(--ISNUMBER(SEARCH("R140",G395)),0)+IFERROR(--ISNUMBER(SEARCH("R141",G395)),0))</f>
        <v/>
      </c>
      <c r="T395" s="58">
        <f>IF(A395="","",IFERROR(--ISNUMBER(SEARCH("R28",G395)),0)+IFERROR(--ISNUMBER(SEARCH("R29",G395)),0)+IFERROR(--ISNUMBER(SEARCH("R30",G395)),0)+IFERROR(--ISNUMBER(SEARCH("R32",G395)),0)+IFERROR(--ISNUMBER(SEARCH("R33",G395)),0)+IFERROR(--ISNUMBER(SEARCH("R35",G395)),0)+IFERROR(--ISNUMBER(SEARCH("R36",G395)),0)+IFERROR(--ISNUMBER(SEARCH("R38",G395)),0)+IFERROR(--ISNUMBER(SEARCH("R39",G395)),0)+IFERROR(--ISNUMBER(SEARCH("R43",G395)),0)+IFERROR(--ISNUMBER(SEARCH("R44",G395)),0)+IFERROR(--ISNUMBER(SEARCH("R45",G395)),0)+IFERROR(--ISNUMBER(SEARCH("R47",G395)),0)+IFERROR(--ISNUMBER(SEARCH("R48",G395)),0)+IFERROR(--ISNUMBER(SEARCH("R50",G395)),0)+IFERROR(--ISNUMBER(SEARCH("R51",G395)),0)+IFERROR(--ISNUMBER(SEARCH("R56",G395)),0)+IFERROR(--ISNUMBER(SEARCH("R58",G395)),0)+IFERROR(--ISNUMBER(SEARCH("R59",G395)),0)+IFERROR(--ISNUMBER(SEARCH("R60",G395)),0)+IFERROR(--ISNUMBER(SEARCH("R62",G395)),0)+IFERROR(--ISNUMBER(SEARCH("R63",G395)),0)+IFERROR(--ISNUMBER(SEARCH("R64",G395)),0)+IFERROR(--ISNUMBER(SEARCH("R66",G395)),0)+IFERROR(--ISNUMBER(SEARCH("R67",G395)),0)+IFERROR(--ISNUMBER(SEARCH("R72",G395)),0)+IFERROR(--ISNUMBER(SEARCH("R74",G395)),0)+IFERROR(--ISNUMBER(SEARCH("R75",G395)),0)+IFERROR(--ISNUMBER(SEARCH("R76",G395)),0)+IFERROR(--ISNUMBER(SEARCH("R77",G395)),0)+IFERROR(--ISNUMBER(SEARCH("R79",G395)),0)+IFERROR(--ISNUMBER(SEARCH("R80",G395)),0)+IFERROR(--ISNUMBER(SEARCH("R81",G395)),0)+IFERROR(--ISNUMBER(SEARCH("R83",G395)),0)+IFERROR(--ISNUMBER(SEARCH("R84",G395)),0)+IFERROR(--ISNUMBER(SEARCH("R89",G395)),0)+IFERROR(--ISNUMBER(SEARCH("R94",G395)),0)+IFERROR(--ISNUMBER(SEARCH("R95",G395)),0)+IFERROR(--ISNUMBER(SEARCH("R96",G395)),0)+IFERROR(--ISNUMBER(SEARCH("R98",G395)),0)+IFERROR(--ISNUMBER(SEARCH("R99",G395)),0)+IFERROR(--ISNUMBER(SEARCH("R100",G395)),0)+IFERROR(--ISNUMBER(SEARCH("R104",G395)),0)+IFERROR(--ISNUMBER(SEARCH("R105",G395)),0)+IFERROR(--ISNUMBER(SEARCH("R107",G395)),0)+IFERROR(--ISNUMBER(SEARCH("R108",G395)),0)+IFERROR(--ISNUMBER(SEARCH("R109",G395)),0)+IFERROR(--ISNUMBER(SEARCH("R110",G395)),0)+IFERROR(--ISNUMBER(SEARCH("R112",G395)),0)+IFERROR(--ISNUMBER(SEARCH("R113",G395)),0)+IFERROR(--ISNUMBER(SEARCH("R114",G395)),0)+IFERROR(--ISNUMBER(SEARCH("R118",G395)),0)+IFERROR(--ISNUMBER(SEARCH("R119",G395)),0)+IFERROR(--ISNUMBER(SEARCH("R120",G395)),0)+IFERROR(--ISNUMBER(SEARCH("R122",G395)),0)+IFERROR(--ISNUMBER(SEARCH("R123",G395)),0)+IFERROR(--ISNUMBER(SEARCH("R124",G395)),0)+IFERROR(--ISNUMBER(SEARCH("R128",G395)),0)+IFERROR(--ISNUMBER(SEARCH("R130",G395)),0)+IFERROR(--ISNUMBER(SEARCH("R131",G395)),0)+IFERROR(--ISNUMBER(SEARCH("R132",G395)),0)+IFERROR(--ISNUMBER(SEARCH("R135",G395)),0)+IFERROR(--ISNUMBER(SEARCH("R138",G395)),0)+IFERROR(--ISNUMBER(SEARCH("R141",G395)),0))</f>
        <v/>
      </c>
      <c r="U395" s="58">
        <f>IF(A395="","",IFERROR(--ISNUMBER(SEARCH("R28",G395))*28,0)+IFERROR(--ISNUMBER(SEARCH("R29",G395))*29,0)+IFERROR(--ISNUMBER(SEARCH("R30",G395))*30,0)+IFERROR(--ISNUMBER(SEARCH("R31",G395))*31,0)+IFERROR(--ISNUMBER(SEARCH("R32",G395))*32,0)+IFERROR(--ISNUMBER(SEARCH("R33",G395))*33,0)+IFERROR(--ISNUMBER(SEARCH("R34",G395))*34,0)+IFERROR(--ISNUMBER(SEARCH("R35",G395))*35,0)+IFERROR(--ISNUMBER(SEARCH("R36",G395))*36,0)+IFERROR(--ISNUMBER(SEARCH("R37",G395))*37,0)+IFERROR(--ISNUMBER(SEARCH("R38",G395))*38,0)+IFERROR(--ISNUMBER(SEARCH("R39",G395))*39,0)+IFERROR(--ISNUMBER(SEARCH("R40",G395))*40,0)+IFERROR(--ISNUMBER(SEARCH("R41",G395))*41,0)+IFERROR(--ISNUMBER(SEARCH("R42",G395))*42,0)+IFERROR(--ISNUMBER(SEARCH("R43",G395))*43,0)+IFERROR(--ISNUMBER(SEARCH("R44",G395))*44,0)+IFERROR(--ISNUMBER(SEARCH("R45",G395))*45,0)+IFERROR(--ISNUMBER(SEARCH("R46",G395))*46,0)+IFERROR(--ISNUMBER(SEARCH("R47",G395))*47,0)+IFERROR(--ISNUMBER(SEARCH("R48",G395))*48,0)+IFERROR(--ISNUMBER(SEARCH("R49",G395))*49,0)+IFERROR(--ISNUMBER(SEARCH("R50",G395))*50,0)+IFERROR(--ISNUMBER(SEARCH("R51",G395))*51,0)+IFERROR(--ISNUMBER(SEARCH("R52",G395))*52,0)+IFERROR(--ISNUMBER(SEARCH("R53",G395))*53,0)+IFERROR(--ISNUMBER(SEARCH("R54",G395))*54,0)+IFERROR(--ISNUMBER(SEARCH("R55",G395))*55,0)+IFERROR(--ISNUMBER(SEARCH("R56",G395))*56,0)+IFERROR(--ISNUMBER(SEARCH("R57",G395))*57,0)+IFERROR(--ISNUMBER(SEARCH("R58",G395))*58,0)+IFERROR(--ISNUMBER(SEARCH("R59",G395))*59,0)+IFERROR(--ISNUMBER(SEARCH("R60",G395))*60,0)+IFERROR(--ISNUMBER(SEARCH("R61",G395))*61,0)+IFERROR(--ISNUMBER(SEARCH("R62",G395))*62,0)+IFERROR(--ISNUMBER(SEARCH("R63",G395))*63,0)+IFERROR(--ISNUMBER(SEARCH("R64",G395))*64,0)+IFERROR(--ISNUMBER(SEARCH("R65",G395))*65,0)+IFERROR(--ISNUMBER(SEARCH("R66",G395))*66,0)+IFERROR(--ISNUMBER(SEARCH("R67",G395))*67,0)+IFERROR(--ISNUMBER(SEARCH("R68",G395))*68,0)+IFERROR(--ISNUMBER(SEARCH("R69",G395))*69,0)+IFERROR(--ISNUMBER(SEARCH("R70",G395))*70,0)+IFERROR(--ISNUMBER(SEARCH("R71",G395))*71,0)+IFERROR(--ISNUMBER(SEARCH("R72",G395))*72,0)+IFERROR(--ISNUMBER(SEARCH("R73",G395))*73,0)+IFERROR(--ISNUMBER(SEARCH("R74",G395))*74,0)+IFERROR(--ISNUMBER(SEARCH("R75",G395))*75,0)+IFERROR(--ISNUMBER(SEARCH("R76",G395))*76,0)+IFERROR(--ISNUMBER(SEARCH("R77",G395))*77,0)+IFERROR(--ISNUMBER(SEARCH("R78",G395))*78,0)+IFERROR(--ISNUMBER(SEARCH("R79",G395))*79,0)+IFERROR(--ISNUMBER(SEARCH("R80",G395))*80,0)+IFERROR(--ISNUMBER(SEARCH("R81",G395))*81,0)+IFERROR(--ISNUMBER(SEARCH("R82",G395))*82,0)+IFERROR(--ISNUMBER(SEARCH("R83",G395))*83,0)+IFERROR(--ISNUMBER(SEARCH("R84",G395))*84,0)+IFERROR(--ISNUMBER(SEARCH("R85",G395))*85,0)+IFERROR(--ISNUMBER(SEARCH("R86",G395))*86,0)+IFERROR(--ISNUMBER(SEARCH("R87",G395))*87,0)+IFERROR(--ISNUMBER(SEARCH("R88",G395))*88,0)+IFERROR(--ISNUMBER(SEARCH("R89",G395))*89,0)+IFERROR(--ISNUMBER(SEARCH("R90",G395))*90,0)+IFERROR(--ISNUMBER(SEARCH("R91",G395))*91,0)+IFERROR(--ISNUMBER(SEARCH("R92",G395))*92,0)+IFERROR(--ISNUMBER(SEARCH("R93",G395))*93,0)+IFERROR(--ISNUMBER(SEARCH("R94",G395))*94,0)+IFERROR(--ISNUMBER(SEARCH("R95",G395))*95,0)+IFERROR(--ISNUMBER(SEARCH("R96",G395))*96,0)+IFERROR(--ISNUMBER(SEARCH("R97",G395))*97,0)+IFERROR(--ISNUMBER(SEARCH("R98",G395))*98,0)+IFERROR(--ISNUMBER(SEARCH("R99",G395))*99,0)+IFERROR(--ISNUMBER(SEARCH("R100",G395))*100,0)+IFERROR(--ISNUMBER(SEARCH("R101",G395))*101,0)+IFERROR(--ISNUMBER(SEARCH("R102",G395))*102,0)+IFERROR(--ISNUMBER(SEARCH("R103",G395))*103,0)+IFERROR(--ISNUMBER(SEARCH("R104",G395))*104,0)+IFERROR(--ISNUMBER(SEARCH("R105",G395))*105,0)+IFERROR(--ISNUMBER(SEARCH("R106",G395))*106,0)+IFERROR(--ISNUMBER(SEARCH("R107",G395))*107,0)+IFERROR(--ISNUMBER(SEARCH("R108",G395))*108,0)+IFERROR(--ISNUMBER(SEARCH("R109",G395))*109,0)+IFERROR(--ISNUMBER(SEARCH("R110",G395))*110,0)+IFERROR(--ISNUMBER(SEARCH("R111",G395))*111,0)+IFERROR(--ISNUMBER(SEARCH("R112",G395))*112,0)+IFERROR(--ISNUMBER(SEARCH("R113",G395))*113,0)+IFERROR(--ISNUMBER(SEARCH("R114",G395))*114,0)+IFERROR(--ISNUMBER(SEARCH("R115",G395))*115,0)+IFERROR(--ISNUMBER(SEARCH("R116",G395))*116,0)+IFERROR(--ISNUMBER(SEARCH("R117",G395))*117,0)+IFERROR(--ISNUMBER(SEARCH("R118",G395))*118,0)+IFERROR(--ISNUMBER(SEARCH("R119",G395))*119,0)+IFERROR(--ISNUMBER(SEARCH("R120",G395))*120,0)+IFERROR(--ISNUMBER(SEARCH("R121",G395))*121,0)+IFERROR(--ISNUMBER(SEARCH("R122",G395))*122,0)+IFERROR(--ISNUMBER(SEARCH("R123",G395))*123,0)+IFERROR(--ISNUMBER(SEARCH("R124",G395))*124,0)+IFERROR(--ISNUMBER(SEARCH("R125",G395))*125,0)+IFERROR(--ISNUMBER(SEARCH("R126",G395))*126,0)+IFERROR(--ISNUMBER(SEARCH("R127",G395))*127,0)+IFERROR(--ISNUMBER(SEARCH("R128",G395))*128,0)+IFERROR(--ISNUMBER(SEARCH("R129",G395))*129,0)+IFERROR(--ISNUMBER(SEARCH("R130",G395))*130,0)+IFERROR(--ISNUMBER(SEARCH("R131",G395))*131,0)+IFERROR(--ISNUMBER(SEARCH("R132",G395))*132,0)+IFERROR(--ISNUMBER(SEARCH("R133",G395))*133,0)+IFERROR(--ISNUMBER(SEARCH("R134",G395))*134,0)+IFERROR(--ISNUMBER(SEARCH("R135",G395))*135,0)+IFERROR(--ISNUMBER(SEARCH("R136",G395))*136,0)+IFERROR(--ISNUMBER(SEARCH("R137",G395))*137,0)+IFERROR(--ISNUMBER(SEARCH("R138",G395))*138,0)+IFERROR(--ISNUMBER(SEARCH("R139",G395))*139,0)+IFERROR(--ISNUMBER(SEARCH("R140",G395))*140,0)+IFERROR(--ISNUMBER(SEARCH("R141",G395))*141,0))</f>
        <v/>
      </c>
      <c r="V395" s="59">
        <f>IF(A395="","",IF(K395&lt;&gt;"",K395,J395))</f>
        <v/>
      </c>
      <c r="W395" s="59">
        <f>IF(A395="","",IF(AND(V395=29,O395&lt;&gt;"",COUNTIFS($V$6:$V$505,29,$F$6:$F$505,F395,$C$6:$C$505,C395,$O$6:$O$505,"&lt;&gt;")&gt;1),IF(COUNTIFS($V$6:V395,29,$F$6:F395,F395,$C$6:C395,C395,$O$6:O395,"&lt;&gt;")=1,"Esta es la fila que se debe CONSERVAR (aparición 1 de "&amp;COUNTIFS($V$6:$V$505,29,$F$6:$F$505,F395,$C$6:$C$505,C395,$O$6:$O$505,"&lt;&gt;")&amp;" con el mismo tercero y valor, casilla 29). Si hay más filas iguales, bórreles el valor a ELLAS, no a esta.","DUPLICADO — ya existe otra fila con el mismo tercero y valor para casilla 29 (aparición "&amp;COUNTIFS($V$6:V395,29,$F$6:F395,F395,$C$6:C395,C395,$O$6:O395,"&lt;&gt;")&amp;" de "&amp;COUNTIFS($V$6:$V$505,29,$F$6:$F$505,F395,$C$6:$C$505,C395,$O$6:$O$505,"&lt;&gt;")&amp;"). Para resolverlo: seleccione la celda O"&amp;ROW()&amp;" (columna Valor a declarar de ESTA fila) y presione Supr."),""))</f>
        <v/>
      </c>
      <c r="X395" s="463">
        <f>IF(A395="","",F395)</f>
        <v/>
      </c>
      <c r="Y395" s="463">
        <f>IF(A395="","",SUMIF(Entrada_Manual!$I$88:$I$187,A395,Entrada_Manual!$F$88:$F$187))</f>
        <v/>
      </c>
      <c r="Z395" s="463">
        <f>IF(A395="","",X395-Y395)</f>
        <v/>
      </c>
      <c r="AA395">
        <f>IF(A395="","",SUMPRODUCT((Entrada_Manual!$I$88:$I$187=A395)*1))</f>
        <v/>
      </c>
      <c r="AB395">
        <f>IF(A395="","",IF(S395&lt;=1,"",IF(AA395=0,"PENDIENTE — SIN ASIGNAR",IF(Z395=0,"RESUELTO","PARCIAL — DIFERENCIA "&amp;TEXT(Z395,"#,##0")))))</f>
        <v/>
      </c>
    </row>
    <row r="396" ht="14.25" customHeight="1" s="235">
      <c r="A396" s="47">
        <f>IF(Exogena_RAW!E405&lt;&gt;"",ROW()-5,"")</f>
        <v/>
      </c>
      <c r="B396" s="48">
        <f>IF(A396="","",405)</f>
        <v/>
      </c>
      <c r="C396" s="48">
        <f>IF(A396="","",IFERROR(Exogena_RAW!A405,""))</f>
        <v/>
      </c>
      <c r="D396" s="48">
        <f>IF(A396="","",IFERROR(Exogena_RAW!B405,""))</f>
        <v/>
      </c>
      <c r="E396" s="48">
        <f>IF(A396="","",Exogena_RAW!E405)</f>
        <v/>
      </c>
      <c r="F396" s="461">
        <f>IF(A396="","",Exogena_RAW!F405)</f>
        <v/>
      </c>
      <c r="G396" s="48">
        <f>IF(A396="","",IFERROR(Exogena_RAW!G405,""))</f>
        <v/>
      </c>
      <c r="H396" s="48">
        <f>IF(A396="","",IFERROR(Exogena_RAW!H405,""))</f>
        <v/>
      </c>
      <c r="I396" s="48">
        <f>IF(A396="","",IFERROR(IF(S396&gt;1,"VARIAS CASILLAS",IF(S396=1,IF(T396=1,"PROPUESTA DE CASILLA","REVISIÓN: CASILLA NO DIRECTA"),IF(OR(ISNUMBER(SEARCH("TOPE",UPPER(E396))),ISNUMBER(SEARCH("TOPE",UPPER(G396)))),"SOLO CONTROL",IF(ISNUMBER(SEARCH("RETEN",UPPER(E396))),"RETENCIÓN","REVISAR")))),"REVISAR"))</f>
        <v/>
      </c>
      <c r="J396" s="48">
        <f>IF(A396="","",IF(ISNUMBER(SEARCH("ingreso laboral promedio de los últimos seis meses",E396)),"",IFERROR(IF(AND(S396=1,T396=1),U396,""),"")))</f>
        <v/>
      </c>
      <c r="K396" s="216" t="n"/>
      <c r="L396" s="48">
        <f>IF(A396="","",IFERROR(IF(K396&lt;&gt;"","Casilla elegida por usuario",IF(S396&gt;1,"Varias casillas — elegir en K",IF(J396&lt;&gt;"","Sugerencia directa",IF(S396=1,"No trasladar directo — revisar",IF(OR(ISNUMBER(SEARCH("TOPE",UPPER(E396))),ISNUMBER(SEARCH("TOPE",UPPER(G396)))),"Solo control","Revisar manualmente"))))),"Revisar manualmente"))</f>
        <v/>
      </c>
      <c r="M396" s="461">
        <f>IF(A396="","",IF(IF(K396&lt;&gt;"",K396,J396)="",0,IF(COUNTIFS(Reglas!$I$5:$I$118,IF(K396&lt;&gt;"",K396,J396),Reglas!$J$5:$J$118,"Sí")=1,F396,0)))</f>
        <v/>
      </c>
      <c r="N396" s="56" t="n"/>
      <c r="O396" s="462">
        <f>IF(A396="","",IF(M396=0,"",M396))</f>
        <v/>
      </c>
      <c r="P396" s="461">
        <f>IF(A396="","",IF(O396="",0,IF(ISNUMBER(O396),O396,0)))</f>
        <v/>
      </c>
      <c r="Q396" s="48">
        <f>IF(A396="","",IF(Exogena_RAW!$C$4="","BLOQUEADO: FALTA AÑO",IF(Exogena_RAW!$K$10&lt;&gt;Reglas!$B$5,"BLOQUEADO: AÑO",IF(IF(K396&lt;&gt;"",K396,J396)="",IF(S396&gt;1,"REQUIERE ASIGNACIÓN MANUAL (VARIAS CASILLAS)","INFORMATIVO (sin casilla — no se declara)"),IF(COUNTIFS(Reglas!$I$5:$I$118,IF(K396&lt;&gt;"",K396,J396),Reglas!$J$5:$J$118,"Sí")=0,"BLOQUEADO: CASILLA NO DIRECTA",IF(O396="","EXCLUIDO (valor borrado por el usuario)",IF(_xlfn.ISFORMULA(O396),IF(W396&lt;&gt;"","BORRADOR — VALOR SUGERIDO DIAN ⚠ VER ALERTA","BORRADOR — VALOR SUGERIDO DIAN"),IF(W396&lt;&gt;"","ACEPTADO ⚠ VER ALERTA","ACEPTADO"))))))))</f>
        <v/>
      </c>
      <c r="R396" s="218" t="n"/>
      <c r="S396" s="58">
        <f>IF(A396="","",IFERROR(--ISNUMBER(SEARCH("R28",G396)),0)+IFERROR(--ISNUMBER(SEARCH("R29",G396)),0)+IFERROR(--ISNUMBER(SEARCH("R30",G396)),0)+IFERROR(--ISNUMBER(SEARCH("R31",G396)),0)+IFERROR(--ISNUMBER(SEARCH("R32",G396)),0)+IFERROR(--ISNUMBER(SEARCH("R33",G396)),0)+IFERROR(--ISNUMBER(SEARCH("R34",G396)),0)+IFERROR(--ISNUMBER(SEARCH("R35",G396)),0)+IFERROR(--ISNUMBER(SEARCH("R36",G396)),0)+IFERROR(--ISNUMBER(SEARCH("R37",G396)),0)+IFERROR(--ISNUMBER(SEARCH("R38",G396)),0)+IFERROR(--ISNUMBER(SEARCH("R39",G396)),0)+IFERROR(--ISNUMBER(SEARCH("R40",G396)),0)+IFERROR(--ISNUMBER(SEARCH("R41",G396)),0)+IFERROR(--ISNUMBER(SEARCH("R42",G396)),0)+IFERROR(--ISNUMBER(SEARCH("R43",G396)),0)+IFERROR(--ISNUMBER(SEARCH("R44",G396)),0)+IFERROR(--ISNUMBER(SEARCH("R45",G396)),0)+IFERROR(--ISNUMBER(SEARCH("R46",G396)),0)+IFERROR(--ISNUMBER(SEARCH("R47",G396)),0)+IFERROR(--ISNUMBER(SEARCH("R48",G396)),0)+IFERROR(--ISNUMBER(SEARCH("R49",G396)),0)+IFERROR(--ISNUMBER(SEARCH("R50",G396)),0)+IFERROR(--ISNUMBER(SEARCH("R51",G396)),0)+IFERROR(--ISNUMBER(SEARCH("R52",G396)),0)+IFERROR(--ISNUMBER(SEARCH("R53",G396)),0)+IFERROR(--ISNUMBER(SEARCH("R54",G396)),0)+IFERROR(--ISNUMBER(SEARCH("R55",G396)),0)+IFERROR(--ISNUMBER(SEARCH("R56",G396)),0)+IFERROR(--ISNUMBER(SEARCH("R57",G396)),0)+IFERROR(--ISNUMBER(SEARCH("R58",G396)),0)+IFERROR(--ISNUMBER(SEARCH("R59",G396)),0)+IFERROR(--ISNUMBER(SEARCH("R60",G396)),0)+IFERROR(--ISNUMBER(SEARCH("R61",G396)),0)+IFERROR(--ISNUMBER(SEARCH("R62",G396)),0)+IFERROR(--ISNUMBER(SEARCH("R63",G396)),0)+IFERROR(--ISNUMBER(SEARCH("R64",G396)),0)+IFERROR(--ISNUMBER(SEARCH("R65",G396)),0)+IFERROR(--ISNUMBER(SEARCH("R66",G396)),0)+IFERROR(--ISNUMBER(SEARCH("R67",G396)),0)+IFERROR(--ISNUMBER(SEARCH("R68",G396)),0)+IFERROR(--ISNUMBER(SEARCH("R69",G396)),0)+IFERROR(--ISNUMBER(SEARCH("R70",G396)),0)+IFERROR(--ISNUMBER(SEARCH("R71",G396)),0)+IFERROR(--ISNUMBER(SEARCH("R72",G396)),0)+IFERROR(--ISNUMBER(SEARCH("R73",G396)),0)+IFERROR(--ISNUMBER(SEARCH("R74",G396)),0)+IFERROR(--ISNUMBER(SEARCH("R75",G396)),0)+IFERROR(--ISNUMBER(SEARCH("R76",G396)),0)+IFERROR(--ISNUMBER(SEARCH("R77",G396)),0)+IFERROR(--ISNUMBER(SEARCH("R78",G396)),0)+IFERROR(--ISNUMBER(SEARCH("R79",G396)),0)+IFERROR(--ISNUMBER(SEARCH("R80",G396)),0)+IFERROR(--ISNUMBER(SEARCH("R81",G396)),0)+IFERROR(--ISNUMBER(SEARCH("R82",G396)),0)+IFERROR(--ISNUMBER(SEARCH("R83",G396)),0)+IFERROR(--ISNUMBER(SEARCH("R84",G396)),0)+IFERROR(--ISNUMBER(SEARCH("R85",G396)),0)+IFERROR(--ISNUMBER(SEARCH("R86",G396)),0)+IFERROR(--ISNUMBER(SEARCH("R87",G396)),0)+IFERROR(--ISNUMBER(SEARCH("R88",G396)),0)+IFERROR(--ISNUMBER(SEARCH("R89",G396)),0)+IFERROR(--ISNUMBER(SEARCH("R90",G396)),0)+IFERROR(--ISNUMBER(SEARCH("R91",G396)),0)+IFERROR(--ISNUMBER(SEARCH("R92",G396)),0)+IFERROR(--ISNUMBER(SEARCH("R93",G396)),0)+IFERROR(--ISNUMBER(SEARCH("R94",G396)),0)+IFERROR(--ISNUMBER(SEARCH("R95",G396)),0)+IFERROR(--ISNUMBER(SEARCH("R96",G396)),0)+IFERROR(--ISNUMBER(SEARCH("R97",G396)),0)+IFERROR(--ISNUMBER(SEARCH("R98",G396)),0)+IFERROR(--ISNUMBER(SEARCH("R99",G396)),0)+IFERROR(--ISNUMBER(SEARCH("R100",G396)),0)+IFERROR(--ISNUMBER(SEARCH("R101",G396)),0)+IFERROR(--ISNUMBER(SEARCH("R102",G396)),0)+IFERROR(--ISNUMBER(SEARCH("R103",G396)),0)+IFERROR(--ISNUMBER(SEARCH("R104",G396)),0)+IFERROR(--ISNUMBER(SEARCH("R105",G396)),0)+IFERROR(--ISNUMBER(SEARCH("R106",G396)),0)+IFERROR(--ISNUMBER(SEARCH("R107",G396)),0)+IFERROR(--ISNUMBER(SEARCH("R108",G396)),0)+IFERROR(--ISNUMBER(SEARCH("R109",G396)),0)+IFERROR(--ISNUMBER(SEARCH("R110",G396)),0)+IFERROR(--ISNUMBER(SEARCH("R111",G396)),0)+IFERROR(--ISNUMBER(SEARCH("R112",G396)),0)+IFERROR(--ISNUMBER(SEARCH("R113",G396)),0)+IFERROR(--ISNUMBER(SEARCH("R114",G396)),0)+IFERROR(--ISNUMBER(SEARCH("R115",G396)),0)+IFERROR(--ISNUMBER(SEARCH("R116",G396)),0)+IFERROR(--ISNUMBER(SEARCH("R117",G396)),0)+IFERROR(--ISNUMBER(SEARCH("R118",G396)),0)+IFERROR(--ISNUMBER(SEARCH("R119",G396)),0)+IFERROR(--ISNUMBER(SEARCH("R120",G396)),0)+IFERROR(--ISNUMBER(SEARCH("R121",G396)),0)+IFERROR(--ISNUMBER(SEARCH("R122",G396)),0)+IFERROR(--ISNUMBER(SEARCH("R123",G396)),0)+IFERROR(--ISNUMBER(SEARCH("R124",G396)),0)+IFERROR(--ISNUMBER(SEARCH("R125",G396)),0)+IFERROR(--ISNUMBER(SEARCH("R126",G396)),0)+IFERROR(--ISNUMBER(SEARCH("R127",G396)),0)+IFERROR(--ISNUMBER(SEARCH("R128",G396)),0)+IFERROR(--ISNUMBER(SEARCH("R129",G396)),0)+IFERROR(--ISNUMBER(SEARCH("R130",G396)),0)+IFERROR(--ISNUMBER(SEARCH("R131",G396)),0)+IFERROR(--ISNUMBER(SEARCH("R132",G396)),0)+IFERROR(--ISNUMBER(SEARCH("R133",G396)),0)+IFERROR(--ISNUMBER(SEARCH("R134",G396)),0)+IFERROR(--ISNUMBER(SEARCH("R135",G396)),0)+IFERROR(--ISNUMBER(SEARCH("R136",G396)),0)+IFERROR(--ISNUMBER(SEARCH("R137",G396)),0)+IFERROR(--ISNUMBER(SEARCH("R138",G396)),0)+IFERROR(--ISNUMBER(SEARCH("R139",G396)),0)+IFERROR(--ISNUMBER(SEARCH("R140",G396)),0)+IFERROR(--ISNUMBER(SEARCH("R141",G396)),0))</f>
        <v/>
      </c>
      <c r="T396" s="58">
        <f>IF(A396="","",IFERROR(--ISNUMBER(SEARCH("R28",G396)),0)+IFERROR(--ISNUMBER(SEARCH("R29",G396)),0)+IFERROR(--ISNUMBER(SEARCH("R30",G396)),0)+IFERROR(--ISNUMBER(SEARCH("R32",G396)),0)+IFERROR(--ISNUMBER(SEARCH("R33",G396)),0)+IFERROR(--ISNUMBER(SEARCH("R35",G396)),0)+IFERROR(--ISNUMBER(SEARCH("R36",G396)),0)+IFERROR(--ISNUMBER(SEARCH("R38",G396)),0)+IFERROR(--ISNUMBER(SEARCH("R39",G396)),0)+IFERROR(--ISNUMBER(SEARCH("R43",G396)),0)+IFERROR(--ISNUMBER(SEARCH("R44",G396)),0)+IFERROR(--ISNUMBER(SEARCH("R45",G396)),0)+IFERROR(--ISNUMBER(SEARCH("R47",G396)),0)+IFERROR(--ISNUMBER(SEARCH("R48",G396)),0)+IFERROR(--ISNUMBER(SEARCH("R50",G396)),0)+IFERROR(--ISNUMBER(SEARCH("R51",G396)),0)+IFERROR(--ISNUMBER(SEARCH("R56",G396)),0)+IFERROR(--ISNUMBER(SEARCH("R58",G396)),0)+IFERROR(--ISNUMBER(SEARCH("R59",G396)),0)+IFERROR(--ISNUMBER(SEARCH("R60",G396)),0)+IFERROR(--ISNUMBER(SEARCH("R62",G396)),0)+IFERROR(--ISNUMBER(SEARCH("R63",G396)),0)+IFERROR(--ISNUMBER(SEARCH("R64",G396)),0)+IFERROR(--ISNUMBER(SEARCH("R66",G396)),0)+IFERROR(--ISNUMBER(SEARCH("R67",G396)),0)+IFERROR(--ISNUMBER(SEARCH("R72",G396)),0)+IFERROR(--ISNUMBER(SEARCH("R74",G396)),0)+IFERROR(--ISNUMBER(SEARCH("R75",G396)),0)+IFERROR(--ISNUMBER(SEARCH("R76",G396)),0)+IFERROR(--ISNUMBER(SEARCH("R77",G396)),0)+IFERROR(--ISNUMBER(SEARCH("R79",G396)),0)+IFERROR(--ISNUMBER(SEARCH("R80",G396)),0)+IFERROR(--ISNUMBER(SEARCH("R81",G396)),0)+IFERROR(--ISNUMBER(SEARCH("R83",G396)),0)+IFERROR(--ISNUMBER(SEARCH("R84",G396)),0)+IFERROR(--ISNUMBER(SEARCH("R89",G396)),0)+IFERROR(--ISNUMBER(SEARCH("R94",G396)),0)+IFERROR(--ISNUMBER(SEARCH("R95",G396)),0)+IFERROR(--ISNUMBER(SEARCH("R96",G396)),0)+IFERROR(--ISNUMBER(SEARCH("R98",G396)),0)+IFERROR(--ISNUMBER(SEARCH("R99",G396)),0)+IFERROR(--ISNUMBER(SEARCH("R100",G396)),0)+IFERROR(--ISNUMBER(SEARCH("R104",G396)),0)+IFERROR(--ISNUMBER(SEARCH("R105",G396)),0)+IFERROR(--ISNUMBER(SEARCH("R107",G396)),0)+IFERROR(--ISNUMBER(SEARCH("R108",G396)),0)+IFERROR(--ISNUMBER(SEARCH("R109",G396)),0)+IFERROR(--ISNUMBER(SEARCH("R110",G396)),0)+IFERROR(--ISNUMBER(SEARCH("R112",G396)),0)+IFERROR(--ISNUMBER(SEARCH("R113",G396)),0)+IFERROR(--ISNUMBER(SEARCH("R114",G396)),0)+IFERROR(--ISNUMBER(SEARCH("R118",G396)),0)+IFERROR(--ISNUMBER(SEARCH("R119",G396)),0)+IFERROR(--ISNUMBER(SEARCH("R120",G396)),0)+IFERROR(--ISNUMBER(SEARCH("R122",G396)),0)+IFERROR(--ISNUMBER(SEARCH("R123",G396)),0)+IFERROR(--ISNUMBER(SEARCH("R124",G396)),0)+IFERROR(--ISNUMBER(SEARCH("R128",G396)),0)+IFERROR(--ISNUMBER(SEARCH("R130",G396)),0)+IFERROR(--ISNUMBER(SEARCH("R131",G396)),0)+IFERROR(--ISNUMBER(SEARCH("R132",G396)),0)+IFERROR(--ISNUMBER(SEARCH("R135",G396)),0)+IFERROR(--ISNUMBER(SEARCH("R138",G396)),0)+IFERROR(--ISNUMBER(SEARCH("R141",G396)),0))</f>
        <v/>
      </c>
      <c r="U396" s="58">
        <f>IF(A396="","",IFERROR(--ISNUMBER(SEARCH("R28",G396))*28,0)+IFERROR(--ISNUMBER(SEARCH("R29",G396))*29,0)+IFERROR(--ISNUMBER(SEARCH("R30",G396))*30,0)+IFERROR(--ISNUMBER(SEARCH("R31",G396))*31,0)+IFERROR(--ISNUMBER(SEARCH("R32",G396))*32,0)+IFERROR(--ISNUMBER(SEARCH("R33",G396))*33,0)+IFERROR(--ISNUMBER(SEARCH("R34",G396))*34,0)+IFERROR(--ISNUMBER(SEARCH("R35",G396))*35,0)+IFERROR(--ISNUMBER(SEARCH("R36",G396))*36,0)+IFERROR(--ISNUMBER(SEARCH("R37",G396))*37,0)+IFERROR(--ISNUMBER(SEARCH("R38",G396))*38,0)+IFERROR(--ISNUMBER(SEARCH("R39",G396))*39,0)+IFERROR(--ISNUMBER(SEARCH("R40",G396))*40,0)+IFERROR(--ISNUMBER(SEARCH("R41",G396))*41,0)+IFERROR(--ISNUMBER(SEARCH("R42",G396))*42,0)+IFERROR(--ISNUMBER(SEARCH("R43",G396))*43,0)+IFERROR(--ISNUMBER(SEARCH("R44",G396))*44,0)+IFERROR(--ISNUMBER(SEARCH("R45",G396))*45,0)+IFERROR(--ISNUMBER(SEARCH("R46",G396))*46,0)+IFERROR(--ISNUMBER(SEARCH("R47",G396))*47,0)+IFERROR(--ISNUMBER(SEARCH("R48",G396))*48,0)+IFERROR(--ISNUMBER(SEARCH("R49",G396))*49,0)+IFERROR(--ISNUMBER(SEARCH("R50",G396))*50,0)+IFERROR(--ISNUMBER(SEARCH("R51",G396))*51,0)+IFERROR(--ISNUMBER(SEARCH("R52",G396))*52,0)+IFERROR(--ISNUMBER(SEARCH("R53",G396))*53,0)+IFERROR(--ISNUMBER(SEARCH("R54",G396))*54,0)+IFERROR(--ISNUMBER(SEARCH("R55",G396))*55,0)+IFERROR(--ISNUMBER(SEARCH("R56",G396))*56,0)+IFERROR(--ISNUMBER(SEARCH("R57",G396))*57,0)+IFERROR(--ISNUMBER(SEARCH("R58",G396))*58,0)+IFERROR(--ISNUMBER(SEARCH("R59",G396))*59,0)+IFERROR(--ISNUMBER(SEARCH("R60",G396))*60,0)+IFERROR(--ISNUMBER(SEARCH("R61",G396))*61,0)+IFERROR(--ISNUMBER(SEARCH("R62",G396))*62,0)+IFERROR(--ISNUMBER(SEARCH("R63",G396))*63,0)+IFERROR(--ISNUMBER(SEARCH("R64",G396))*64,0)+IFERROR(--ISNUMBER(SEARCH("R65",G396))*65,0)+IFERROR(--ISNUMBER(SEARCH("R66",G396))*66,0)+IFERROR(--ISNUMBER(SEARCH("R67",G396))*67,0)+IFERROR(--ISNUMBER(SEARCH("R68",G396))*68,0)+IFERROR(--ISNUMBER(SEARCH("R69",G396))*69,0)+IFERROR(--ISNUMBER(SEARCH("R70",G396))*70,0)+IFERROR(--ISNUMBER(SEARCH("R71",G396))*71,0)+IFERROR(--ISNUMBER(SEARCH("R72",G396))*72,0)+IFERROR(--ISNUMBER(SEARCH("R73",G396))*73,0)+IFERROR(--ISNUMBER(SEARCH("R74",G396))*74,0)+IFERROR(--ISNUMBER(SEARCH("R75",G396))*75,0)+IFERROR(--ISNUMBER(SEARCH("R76",G396))*76,0)+IFERROR(--ISNUMBER(SEARCH("R77",G396))*77,0)+IFERROR(--ISNUMBER(SEARCH("R78",G396))*78,0)+IFERROR(--ISNUMBER(SEARCH("R79",G396))*79,0)+IFERROR(--ISNUMBER(SEARCH("R80",G396))*80,0)+IFERROR(--ISNUMBER(SEARCH("R81",G396))*81,0)+IFERROR(--ISNUMBER(SEARCH("R82",G396))*82,0)+IFERROR(--ISNUMBER(SEARCH("R83",G396))*83,0)+IFERROR(--ISNUMBER(SEARCH("R84",G396))*84,0)+IFERROR(--ISNUMBER(SEARCH("R85",G396))*85,0)+IFERROR(--ISNUMBER(SEARCH("R86",G396))*86,0)+IFERROR(--ISNUMBER(SEARCH("R87",G396))*87,0)+IFERROR(--ISNUMBER(SEARCH("R88",G396))*88,0)+IFERROR(--ISNUMBER(SEARCH("R89",G396))*89,0)+IFERROR(--ISNUMBER(SEARCH("R90",G396))*90,0)+IFERROR(--ISNUMBER(SEARCH("R91",G396))*91,0)+IFERROR(--ISNUMBER(SEARCH("R92",G396))*92,0)+IFERROR(--ISNUMBER(SEARCH("R93",G396))*93,0)+IFERROR(--ISNUMBER(SEARCH("R94",G396))*94,0)+IFERROR(--ISNUMBER(SEARCH("R95",G396))*95,0)+IFERROR(--ISNUMBER(SEARCH("R96",G396))*96,0)+IFERROR(--ISNUMBER(SEARCH("R97",G396))*97,0)+IFERROR(--ISNUMBER(SEARCH("R98",G396))*98,0)+IFERROR(--ISNUMBER(SEARCH("R99",G396))*99,0)+IFERROR(--ISNUMBER(SEARCH("R100",G396))*100,0)+IFERROR(--ISNUMBER(SEARCH("R101",G396))*101,0)+IFERROR(--ISNUMBER(SEARCH("R102",G396))*102,0)+IFERROR(--ISNUMBER(SEARCH("R103",G396))*103,0)+IFERROR(--ISNUMBER(SEARCH("R104",G396))*104,0)+IFERROR(--ISNUMBER(SEARCH("R105",G396))*105,0)+IFERROR(--ISNUMBER(SEARCH("R106",G396))*106,0)+IFERROR(--ISNUMBER(SEARCH("R107",G396))*107,0)+IFERROR(--ISNUMBER(SEARCH("R108",G396))*108,0)+IFERROR(--ISNUMBER(SEARCH("R109",G396))*109,0)+IFERROR(--ISNUMBER(SEARCH("R110",G396))*110,0)+IFERROR(--ISNUMBER(SEARCH("R111",G396))*111,0)+IFERROR(--ISNUMBER(SEARCH("R112",G396))*112,0)+IFERROR(--ISNUMBER(SEARCH("R113",G396))*113,0)+IFERROR(--ISNUMBER(SEARCH("R114",G396))*114,0)+IFERROR(--ISNUMBER(SEARCH("R115",G396))*115,0)+IFERROR(--ISNUMBER(SEARCH("R116",G396))*116,0)+IFERROR(--ISNUMBER(SEARCH("R117",G396))*117,0)+IFERROR(--ISNUMBER(SEARCH("R118",G396))*118,0)+IFERROR(--ISNUMBER(SEARCH("R119",G396))*119,0)+IFERROR(--ISNUMBER(SEARCH("R120",G396))*120,0)+IFERROR(--ISNUMBER(SEARCH("R121",G396))*121,0)+IFERROR(--ISNUMBER(SEARCH("R122",G396))*122,0)+IFERROR(--ISNUMBER(SEARCH("R123",G396))*123,0)+IFERROR(--ISNUMBER(SEARCH("R124",G396))*124,0)+IFERROR(--ISNUMBER(SEARCH("R125",G396))*125,0)+IFERROR(--ISNUMBER(SEARCH("R126",G396))*126,0)+IFERROR(--ISNUMBER(SEARCH("R127",G396))*127,0)+IFERROR(--ISNUMBER(SEARCH("R128",G396))*128,0)+IFERROR(--ISNUMBER(SEARCH("R129",G396))*129,0)+IFERROR(--ISNUMBER(SEARCH("R130",G396))*130,0)+IFERROR(--ISNUMBER(SEARCH("R131",G396))*131,0)+IFERROR(--ISNUMBER(SEARCH("R132",G396))*132,0)+IFERROR(--ISNUMBER(SEARCH("R133",G396))*133,0)+IFERROR(--ISNUMBER(SEARCH("R134",G396))*134,0)+IFERROR(--ISNUMBER(SEARCH("R135",G396))*135,0)+IFERROR(--ISNUMBER(SEARCH("R136",G396))*136,0)+IFERROR(--ISNUMBER(SEARCH("R137",G396))*137,0)+IFERROR(--ISNUMBER(SEARCH("R138",G396))*138,0)+IFERROR(--ISNUMBER(SEARCH("R139",G396))*139,0)+IFERROR(--ISNUMBER(SEARCH("R140",G396))*140,0)+IFERROR(--ISNUMBER(SEARCH("R141",G396))*141,0))</f>
        <v/>
      </c>
      <c r="V396" s="59">
        <f>IF(A396="","",IF(K396&lt;&gt;"",K396,J396))</f>
        <v/>
      </c>
      <c r="W396" s="59">
        <f>IF(A396="","",IF(AND(V396=29,O396&lt;&gt;"",COUNTIFS($V$6:$V$505,29,$F$6:$F$505,F396,$C$6:$C$505,C396,$O$6:$O$505,"&lt;&gt;")&gt;1),IF(COUNTIFS($V$6:V396,29,$F$6:F396,F396,$C$6:C396,C396,$O$6:O396,"&lt;&gt;")=1,"Esta es la fila que se debe CONSERVAR (aparición 1 de "&amp;COUNTIFS($V$6:$V$505,29,$F$6:$F$505,F396,$C$6:$C$505,C396,$O$6:$O$505,"&lt;&gt;")&amp;" con el mismo tercero y valor, casilla 29). Si hay más filas iguales, bórreles el valor a ELLAS, no a esta.","DUPLICADO — ya existe otra fila con el mismo tercero y valor para casilla 29 (aparición "&amp;COUNTIFS($V$6:V396,29,$F$6:F396,F396,$C$6:C396,C396,$O$6:O396,"&lt;&gt;")&amp;" de "&amp;COUNTIFS($V$6:$V$505,29,$F$6:$F$505,F396,$C$6:$C$505,C396,$O$6:$O$505,"&lt;&gt;")&amp;"). Para resolverlo: seleccione la celda O"&amp;ROW()&amp;" (columna Valor a declarar de ESTA fila) y presione Supr."),""))</f>
        <v/>
      </c>
      <c r="X396" s="463">
        <f>IF(A396="","",F396)</f>
        <v/>
      </c>
      <c r="Y396" s="463">
        <f>IF(A396="","",SUMIF(Entrada_Manual!$I$88:$I$187,A396,Entrada_Manual!$F$88:$F$187))</f>
        <v/>
      </c>
      <c r="Z396" s="463">
        <f>IF(A396="","",X396-Y396)</f>
        <v/>
      </c>
      <c r="AA396">
        <f>IF(A396="","",SUMPRODUCT((Entrada_Manual!$I$88:$I$187=A396)*1))</f>
        <v/>
      </c>
      <c r="AB396">
        <f>IF(A396="","",IF(S396&lt;=1,"",IF(AA396=0,"PENDIENTE — SIN ASIGNAR",IF(Z396=0,"RESUELTO","PARCIAL — DIFERENCIA "&amp;TEXT(Z396,"#,##0")))))</f>
        <v/>
      </c>
    </row>
    <row r="397" ht="14.25" customHeight="1" s="235">
      <c r="A397" s="47">
        <f>IF(Exogena_RAW!E406&lt;&gt;"",ROW()-5,"")</f>
        <v/>
      </c>
      <c r="B397" s="48">
        <f>IF(A397="","",406)</f>
        <v/>
      </c>
      <c r="C397" s="48">
        <f>IF(A397="","",IFERROR(Exogena_RAW!A406,""))</f>
        <v/>
      </c>
      <c r="D397" s="48">
        <f>IF(A397="","",IFERROR(Exogena_RAW!B406,""))</f>
        <v/>
      </c>
      <c r="E397" s="48">
        <f>IF(A397="","",Exogena_RAW!E406)</f>
        <v/>
      </c>
      <c r="F397" s="461">
        <f>IF(A397="","",Exogena_RAW!F406)</f>
        <v/>
      </c>
      <c r="G397" s="48">
        <f>IF(A397="","",IFERROR(Exogena_RAW!G406,""))</f>
        <v/>
      </c>
      <c r="H397" s="48">
        <f>IF(A397="","",IFERROR(Exogena_RAW!H406,""))</f>
        <v/>
      </c>
      <c r="I397" s="48">
        <f>IF(A397="","",IFERROR(IF(S397&gt;1,"VARIAS CASILLAS",IF(S397=1,IF(T397=1,"PROPUESTA DE CASILLA","REVISIÓN: CASILLA NO DIRECTA"),IF(OR(ISNUMBER(SEARCH("TOPE",UPPER(E397))),ISNUMBER(SEARCH("TOPE",UPPER(G397)))),"SOLO CONTROL",IF(ISNUMBER(SEARCH("RETEN",UPPER(E397))),"RETENCIÓN","REVISAR")))),"REVISAR"))</f>
        <v/>
      </c>
      <c r="J397" s="48">
        <f>IF(A397="","",IF(ISNUMBER(SEARCH("ingreso laboral promedio de los últimos seis meses",E397)),"",IFERROR(IF(AND(S397=1,T397=1),U397,""),"")))</f>
        <v/>
      </c>
      <c r="K397" s="216" t="n"/>
      <c r="L397" s="48">
        <f>IF(A397="","",IFERROR(IF(K397&lt;&gt;"","Casilla elegida por usuario",IF(S397&gt;1,"Varias casillas — elegir en K",IF(J397&lt;&gt;"","Sugerencia directa",IF(S397=1,"No trasladar directo — revisar",IF(OR(ISNUMBER(SEARCH("TOPE",UPPER(E397))),ISNUMBER(SEARCH("TOPE",UPPER(G397)))),"Solo control","Revisar manualmente"))))),"Revisar manualmente"))</f>
        <v/>
      </c>
      <c r="M397" s="461">
        <f>IF(A397="","",IF(IF(K397&lt;&gt;"",K397,J397)="",0,IF(COUNTIFS(Reglas!$I$5:$I$118,IF(K397&lt;&gt;"",K397,J397),Reglas!$J$5:$J$118,"Sí")=1,F397,0)))</f>
        <v/>
      </c>
      <c r="N397" s="56" t="n"/>
      <c r="O397" s="462">
        <f>IF(A397="","",IF(M397=0,"",M397))</f>
        <v/>
      </c>
      <c r="P397" s="461">
        <f>IF(A397="","",IF(O397="",0,IF(ISNUMBER(O397),O397,0)))</f>
        <v/>
      </c>
      <c r="Q397" s="48">
        <f>IF(A397="","",IF(Exogena_RAW!$C$4="","BLOQUEADO: FALTA AÑO",IF(Exogena_RAW!$K$10&lt;&gt;Reglas!$B$5,"BLOQUEADO: AÑO",IF(IF(K397&lt;&gt;"",K397,J397)="",IF(S397&gt;1,"REQUIERE ASIGNACIÓN MANUAL (VARIAS CASILLAS)","INFORMATIVO (sin casilla — no se declara)"),IF(COUNTIFS(Reglas!$I$5:$I$118,IF(K397&lt;&gt;"",K397,J397),Reglas!$J$5:$J$118,"Sí")=0,"BLOQUEADO: CASILLA NO DIRECTA",IF(O397="","EXCLUIDO (valor borrado por el usuario)",IF(_xlfn.ISFORMULA(O397),IF(W397&lt;&gt;"","BORRADOR — VALOR SUGERIDO DIAN ⚠ VER ALERTA","BORRADOR — VALOR SUGERIDO DIAN"),IF(W397&lt;&gt;"","ACEPTADO ⚠ VER ALERTA","ACEPTADO"))))))))</f>
        <v/>
      </c>
      <c r="R397" s="218" t="n"/>
      <c r="S397" s="58">
        <f>IF(A397="","",IFERROR(--ISNUMBER(SEARCH("R28",G397)),0)+IFERROR(--ISNUMBER(SEARCH("R29",G397)),0)+IFERROR(--ISNUMBER(SEARCH("R30",G397)),0)+IFERROR(--ISNUMBER(SEARCH("R31",G397)),0)+IFERROR(--ISNUMBER(SEARCH("R32",G397)),0)+IFERROR(--ISNUMBER(SEARCH("R33",G397)),0)+IFERROR(--ISNUMBER(SEARCH("R34",G397)),0)+IFERROR(--ISNUMBER(SEARCH("R35",G397)),0)+IFERROR(--ISNUMBER(SEARCH("R36",G397)),0)+IFERROR(--ISNUMBER(SEARCH("R37",G397)),0)+IFERROR(--ISNUMBER(SEARCH("R38",G397)),0)+IFERROR(--ISNUMBER(SEARCH("R39",G397)),0)+IFERROR(--ISNUMBER(SEARCH("R40",G397)),0)+IFERROR(--ISNUMBER(SEARCH("R41",G397)),0)+IFERROR(--ISNUMBER(SEARCH("R42",G397)),0)+IFERROR(--ISNUMBER(SEARCH("R43",G397)),0)+IFERROR(--ISNUMBER(SEARCH("R44",G397)),0)+IFERROR(--ISNUMBER(SEARCH("R45",G397)),0)+IFERROR(--ISNUMBER(SEARCH("R46",G397)),0)+IFERROR(--ISNUMBER(SEARCH("R47",G397)),0)+IFERROR(--ISNUMBER(SEARCH("R48",G397)),0)+IFERROR(--ISNUMBER(SEARCH("R49",G397)),0)+IFERROR(--ISNUMBER(SEARCH("R50",G397)),0)+IFERROR(--ISNUMBER(SEARCH("R51",G397)),0)+IFERROR(--ISNUMBER(SEARCH("R52",G397)),0)+IFERROR(--ISNUMBER(SEARCH("R53",G397)),0)+IFERROR(--ISNUMBER(SEARCH("R54",G397)),0)+IFERROR(--ISNUMBER(SEARCH("R55",G397)),0)+IFERROR(--ISNUMBER(SEARCH("R56",G397)),0)+IFERROR(--ISNUMBER(SEARCH("R57",G397)),0)+IFERROR(--ISNUMBER(SEARCH("R58",G397)),0)+IFERROR(--ISNUMBER(SEARCH("R59",G397)),0)+IFERROR(--ISNUMBER(SEARCH("R60",G397)),0)+IFERROR(--ISNUMBER(SEARCH("R61",G397)),0)+IFERROR(--ISNUMBER(SEARCH("R62",G397)),0)+IFERROR(--ISNUMBER(SEARCH("R63",G397)),0)+IFERROR(--ISNUMBER(SEARCH("R64",G397)),0)+IFERROR(--ISNUMBER(SEARCH("R65",G397)),0)+IFERROR(--ISNUMBER(SEARCH("R66",G397)),0)+IFERROR(--ISNUMBER(SEARCH("R67",G397)),0)+IFERROR(--ISNUMBER(SEARCH("R68",G397)),0)+IFERROR(--ISNUMBER(SEARCH("R69",G397)),0)+IFERROR(--ISNUMBER(SEARCH("R70",G397)),0)+IFERROR(--ISNUMBER(SEARCH("R71",G397)),0)+IFERROR(--ISNUMBER(SEARCH("R72",G397)),0)+IFERROR(--ISNUMBER(SEARCH("R73",G397)),0)+IFERROR(--ISNUMBER(SEARCH("R74",G397)),0)+IFERROR(--ISNUMBER(SEARCH("R75",G397)),0)+IFERROR(--ISNUMBER(SEARCH("R76",G397)),0)+IFERROR(--ISNUMBER(SEARCH("R77",G397)),0)+IFERROR(--ISNUMBER(SEARCH("R78",G397)),0)+IFERROR(--ISNUMBER(SEARCH("R79",G397)),0)+IFERROR(--ISNUMBER(SEARCH("R80",G397)),0)+IFERROR(--ISNUMBER(SEARCH("R81",G397)),0)+IFERROR(--ISNUMBER(SEARCH("R82",G397)),0)+IFERROR(--ISNUMBER(SEARCH("R83",G397)),0)+IFERROR(--ISNUMBER(SEARCH("R84",G397)),0)+IFERROR(--ISNUMBER(SEARCH("R85",G397)),0)+IFERROR(--ISNUMBER(SEARCH("R86",G397)),0)+IFERROR(--ISNUMBER(SEARCH("R87",G397)),0)+IFERROR(--ISNUMBER(SEARCH("R88",G397)),0)+IFERROR(--ISNUMBER(SEARCH("R89",G397)),0)+IFERROR(--ISNUMBER(SEARCH("R90",G397)),0)+IFERROR(--ISNUMBER(SEARCH("R91",G397)),0)+IFERROR(--ISNUMBER(SEARCH("R92",G397)),0)+IFERROR(--ISNUMBER(SEARCH("R93",G397)),0)+IFERROR(--ISNUMBER(SEARCH("R94",G397)),0)+IFERROR(--ISNUMBER(SEARCH("R95",G397)),0)+IFERROR(--ISNUMBER(SEARCH("R96",G397)),0)+IFERROR(--ISNUMBER(SEARCH("R97",G397)),0)+IFERROR(--ISNUMBER(SEARCH("R98",G397)),0)+IFERROR(--ISNUMBER(SEARCH("R99",G397)),0)+IFERROR(--ISNUMBER(SEARCH("R100",G397)),0)+IFERROR(--ISNUMBER(SEARCH("R101",G397)),0)+IFERROR(--ISNUMBER(SEARCH("R102",G397)),0)+IFERROR(--ISNUMBER(SEARCH("R103",G397)),0)+IFERROR(--ISNUMBER(SEARCH("R104",G397)),0)+IFERROR(--ISNUMBER(SEARCH("R105",G397)),0)+IFERROR(--ISNUMBER(SEARCH("R106",G397)),0)+IFERROR(--ISNUMBER(SEARCH("R107",G397)),0)+IFERROR(--ISNUMBER(SEARCH("R108",G397)),0)+IFERROR(--ISNUMBER(SEARCH("R109",G397)),0)+IFERROR(--ISNUMBER(SEARCH("R110",G397)),0)+IFERROR(--ISNUMBER(SEARCH("R111",G397)),0)+IFERROR(--ISNUMBER(SEARCH("R112",G397)),0)+IFERROR(--ISNUMBER(SEARCH("R113",G397)),0)+IFERROR(--ISNUMBER(SEARCH("R114",G397)),0)+IFERROR(--ISNUMBER(SEARCH("R115",G397)),0)+IFERROR(--ISNUMBER(SEARCH("R116",G397)),0)+IFERROR(--ISNUMBER(SEARCH("R117",G397)),0)+IFERROR(--ISNUMBER(SEARCH("R118",G397)),0)+IFERROR(--ISNUMBER(SEARCH("R119",G397)),0)+IFERROR(--ISNUMBER(SEARCH("R120",G397)),0)+IFERROR(--ISNUMBER(SEARCH("R121",G397)),0)+IFERROR(--ISNUMBER(SEARCH("R122",G397)),0)+IFERROR(--ISNUMBER(SEARCH("R123",G397)),0)+IFERROR(--ISNUMBER(SEARCH("R124",G397)),0)+IFERROR(--ISNUMBER(SEARCH("R125",G397)),0)+IFERROR(--ISNUMBER(SEARCH("R126",G397)),0)+IFERROR(--ISNUMBER(SEARCH("R127",G397)),0)+IFERROR(--ISNUMBER(SEARCH("R128",G397)),0)+IFERROR(--ISNUMBER(SEARCH("R129",G397)),0)+IFERROR(--ISNUMBER(SEARCH("R130",G397)),0)+IFERROR(--ISNUMBER(SEARCH("R131",G397)),0)+IFERROR(--ISNUMBER(SEARCH("R132",G397)),0)+IFERROR(--ISNUMBER(SEARCH("R133",G397)),0)+IFERROR(--ISNUMBER(SEARCH("R134",G397)),0)+IFERROR(--ISNUMBER(SEARCH("R135",G397)),0)+IFERROR(--ISNUMBER(SEARCH("R136",G397)),0)+IFERROR(--ISNUMBER(SEARCH("R137",G397)),0)+IFERROR(--ISNUMBER(SEARCH("R138",G397)),0)+IFERROR(--ISNUMBER(SEARCH("R139",G397)),0)+IFERROR(--ISNUMBER(SEARCH("R140",G397)),0)+IFERROR(--ISNUMBER(SEARCH("R141",G397)),0))</f>
        <v/>
      </c>
      <c r="T397" s="58">
        <f>IF(A397="","",IFERROR(--ISNUMBER(SEARCH("R28",G397)),0)+IFERROR(--ISNUMBER(SEARCH("R29",G397)),0)+IFERROR(--ISNUMBER(SEARCH("R30",G397)),0)+IFERROR(--ISNUMBER(SEARCH("R32",G397)),0)+IFERROR(--ISNUMBER(SEARCH("R33",G397)),0)+IFERROR(--ISNUMBER(SEARCH("R35",G397)),0)+IFERROR(--ISNUMBER(SEARCH("R36",G397)),0)+IFERROR(--ISNUMBER(SEARCH("R38",G397)),0)+IFERROR(--ISNUMBER(SEARCH("R39",G397)),0)+IFERROR(--ISNUMBER(SEARCH("R43",G397)),0)+IFERROR(--ISNUMBER(SEARCH("R44",G397)),0)+IFERROR(--ISNUMBER(SEARCH("R45",G397)),0)+IFERROR(--ISNUMBER(SEARCH("R47",G397)),0)+IFERROR(--ISNUMBER(SEARCH("R48",G397)),0)+IFERROR(--ISNUMBER(SEARCH("R50",G397)),0)+IFERROR(--ISNUMBER(SEARCH("R51",G397)),0)+IFERROR(--ISNUMBER(SEARCH("R56",G397)),0)+IFERROR(--ISNUMBER(SEARCH("R58",G397)),0)+IFERROR(--ISNUMBER(SEARCH("R59",G397)),0)+IFERROR(--ISNUMBER(SEARCH("R60",G397)),0)+IFERROR(--ISNUMBER(SEARCH("R62",G397)),0)+IFERROR(--ISNUMBER(SEARCH("R63",G397)),0)+IFERROR(--ISNUMBER(SEARCH("R64",G397)),0)+IFERROR(--ISNUMBER(SEARCH("R66",G397)),0)+IFERROR(--ISNUMBER(SEARCH("R67",G397)),0)+IFERROR(--ISNUMBER(SEARCH("R72",G397)),0)+IFERROR(--ISNUMBER(SEARCH("R74",G397)),0)+IFERROR(--ISNUMBER(SEARCH("R75",G397)),0)+IFERROR(--ISNUMBER(SEARCH("R76",G397)),0)+IFERROR(--ISNUMBER(SEARCH("R77",G397)),0)+IFERROR(--ISNUMBER(SEARCH("R79",G397)),0)+IFERROR(--ISNUMBER(SEARCH("R80",G397)),0)+IFERROR(--ISNUMBER(SEARCH("R81",G397)),0)+IFERROR(--ISNUMBER(SEARCH("R83",G397)),0)+IFERROR(--ISNUMBER(SEARCH("R84",G397)),0)+IFERROR(--ISNUMBER(SEARCH("R89",G397)),0)+IFERROR(--ISNUMBER(SEARCH("R94",G397)),0)+IFERROR(--ISNUMBER(SEARCH("R95",G397)),0)+IFERROR(--ISNUMBER(SEARCH("R96",G397)),0)+IFERROR(--ISNUMBER(SEARCH("R98",G397)),0)+IFERROR(--ISNUMBER(SEARCH("R99",G397)),0)+IFERROR(--ISNUMBER(SEARCH("R100",G397)),0)+IFERROR(--ISNUMBER(SEARCH("R104",G397)),0)+IFERROR(--ISNUMBER(SEARCH("R105",G397)),0)+IFERROR(--ISNUMBER(SEARCH("R107",G397)),0)+IFERROR(--ISNUMBER(SEARCH("R108",G397)),0)+IFERROR(--ISNUMBER(SEARCH("R109",G397)),0)+IFERROR(--ISNUMBER(SEARCH("R110",G397)),0)+IFERROR(--ISNUMBER(SEARCH("R112",G397)),0)+IFERROR(--ISNUMBER(SEARCH("R113",G397)),0)+IFERROR(--ISNUMBER(SEARCH("R114",G397)),0)+IFERROR(--ISNUMBER(SEARCH("R118",G397)),0)+IFERROR(--ISNUMBER(SEARCH("R119",G397)),0)+IFERROR(--ISNUMBER(SEARCH("R120",G397)),0)+IFERROR(--ISNUMBER(SEARCH("R122",G397)),0)+IFERROR(--ISNUMBER(SEARCH("R123",G397)),0)+IFERROR(--ISNUMBER(SEARCH("R124",G397)),0)+IFERROR(--ISNUMBER(SEARCH("R128",G397)),0)+IFERROR(--ISNUMBER(SEARCH("R130",G397)),0)+IFERROR(--ISNUMBER(SEARCH("R131",G397)),0)+IFERROR(--ISNUMBER(SEARCH("R132",G397)),0)+IFERROR(--ISNUMBER(SEARCH("R135",G397)),0)+IFERROR(--ISNUMBER(SEARCH("R138",G397)),0)+IFERROR(--ISNUMBER(SEARCH("R141",G397)),0))</f>
        <v/>
      </c>
      <c r="U397" s="58">
        <f>IF(A397="","",IFERROR(--ISNUMBER(SEARCH("R28",G397))*28,0)+IFERROR(--ISNUMBER(SEARCH("R29",G397))*29,0)+IFERROR(--ISNUMBER(SEARCH("R30",G397))*30,0)+IFERROR(--ISNUMBER(SEARCH("R31",G397))*31,0)+IFERROR(--ISNUMBER(SEARCH("R32",G397))*32,0)+IFERROR(--ISNUMBER(SEARCH("R33",G397))*33,0)+IFERROR(--ISNUMBER(SEARCH("R34",G397))*34,0)+IFERROR(--ISNUMBER(SEARCH("R35",G397))*35,0)+IFERROR(--ISNUMBER(SEARCH("R36",G397))*36,0)+IFERROR(--ISNUMBER(SEARCH("R37",G397))*37,0)+IFERROR(--ISNUMBER(SEARCH("R38",G397))*38,0)+IFERROR(--ISNUMBER(SEARCH("R39",G397))*39,0)+IFERROR(--ISNUMBER(SEARCH("R40",G397))*40,0)+IFERROR(--ISNUMBER(SEARCH("R41",G397))*41,0)+IFERROR(--ISNUMBER(SEARCH("R42",G397))*42,0)+IFERROR(--ISNUMBER(SEARCH("R43",G397))*43,0)+IFERROR(--ISNUMBER(SEARCH("R44",G397))*44,0)+IFERROR(--ISNUMBER(SEARCH("R45",G397))*45,0)+IFERROR(--ISNUMBER(SEARCH("R46",G397))*46,0)+IFERROR(--ISNUMBER(SEARCH("R47",G397))*47,0)+IFERROR(--ISNUMBER(SEARCH("R48",G397))*48,0)+IFERROR(--ISNUMBER(SEARCH("R49",G397))*49,0)+IFERROR(--ISNUMBER(SEARCH("R50",G397))*50,0)+IFERROR(--ISNUMBER(SEARCH("R51",G397))*51,0)+IFERROR(--ISNUMBER(SEARCH("R52",G397))*52,0)+IFERROR(--ISNUMBER(SEARCH("R53",G397))*53,0)+IFERROR(--ISNUMBER(SEARCH("R54",G397))*54,0)+IFERROR(--ISNUMBER(SEARCH("R55",G397))*55,0)+IFERROR(--ISNUMBER(SEARCH("R56",G397))*56,0)+IFERROR(--ISNUMBER(SEARCH("R57",G397))*57,0)+IFERROR(--ISNUMBER(SEARCH("R58",G397))*58,0)+IFERROR(--ISNUMBER(SEARCH("R59",G397))*59,0)+IFERROR(--ISNUMBER(SEARCH("R60",G397))*60,0)+IFERROR(--ISNUMBER(SEARCH("R61",G397))*61,0)+IFERROR(--ISNUMBER(SEARCH("R62",G397))*62,0)+IFERROR(--ISNUMBER(SEARCH("R63",G397))*63,0)+IFERROR(--ISNUMBER(SEARCH("R64",G397))*64,0)+IFERROR(--ISNUMBER(SEARCH("R65",G397))*65,0)+IFERROR(--ISNUMBER(SEARCH("R66",G397))*66,0)+IFERROR(--ISNUMBER(SEARCH("R67",G397))*67,0)+IFERROR(--ISNUMBER(SEARCH("R68",G397))*68,0)+IFERROR(--ISNUMBER(SEARCH("R69",G397))*69,0)+IFERROR(--ISNUMBER(SEARCH("R70",G397))*70,0)+IFERROR(--ISNUMBER(SEARCH("R71",G397))*71,0)+IFERROR(--ISNUMBER(SEARCH("R72",G397))*72,0)+IFERROR(--ISNUMBER(SEARCH("R73",G397))*73,0)+IFERROR(--ISNUMBER(SEARCH("R74",G397))*74,0)+IFERROR(--ISNUMBER(SEARCH("R75",G397))*75,0)+IFERROR(--ISNUMBER(SEARCH("R76",G397))*76,0)+IFERROR(--ISNUMBER(SEARCH("R77",G397))*77,0)+IFERROR(--ISNUMBER(SEARCH("R78",G397))*78,0)+IFERROR(--ISNUMBER(SEARCH("R79",G397))*79,0)+IFERROR(--ISNUMBER(SEARCH("R80",G397))*80,0)+IFERROR(--ISNUMBER(SEARCH("R81",G397))*81,0)+IFERROR(--ISNUMBER(SEARCH("R82",G397))*82,0)+IFERROR(--ISNUMBER(SEARCH("R83",G397))*83,0)+IFERROR(--ISNUMBER(SEARCH("R84",G397))*84,0)+IFERROR(--ISNUMBER(SEARCH("R85",G397))*85,0)+IFERROR(--ISNUMBER(SEARCH("R86",G397))*86,0)+IFERROR(--ISNUMBER(SEARCH("R87",G397))*87,0)+IFERROR(--ISNUMBER(SEARCH("R88",G397))*88,0)+IFERROR(--ISNUMBER(SEARCH("R89",G397))*89,0)+IFERROR(--ISNUMBER(SEARCH("R90",G397))*90,0)+IFERROR(--ISNUMBER(SEARCH("R91",G397))*91,0)+IFERROR(--ISNUMBER(SEARCH("R92",G397))*92,0)+IFERROR(--ISNUMBER(SEARCH("R93",G397))*93,0)+IFERROR(--ISNUMBER(SEARCH("R94",G397))*94,0)+IFERROR(--ISNUMBER(SEARCH("R95",G397))*95,0)+IFERROR(--ISNUMBER(SEARCH("R96",G397))*96,0)+IFERROR(--ISNUMBER(SEARCH("R97",G397))*97,0)+IFERROR(--ISNUMBER(SEARCH("R98",G397))*98,0)+IFERROR(--ISNUMBER(SEARCH("R99",G397))*99,0)+IFERROR(--ISNUMBER(SEARCH("R100",G397))*100,0)+IFERROR(--ISNUMBER(SEARCH("R101",G397))*101,0)+IFERROR(--ISNUMBER(SEARCH("R102",G397))*102,0)+IFERROR(--ISNUMBER(SEARCH("R103",G397))*103,0)+IFERROR(--ISNUMBER(SEARCH("R104",G397))*104,0)+IFERROR(--ISNUMBER(SEARCH("R105",G397))*105,0)+IFERROR(--ISNUMBER(SEARCH("R106",G397))*106,0)+IFERROR(--ISNUMBER(SEARCH("R107",G397))*107,0)+IFERROR(--ISNUMBER(SEARCH("R108",G397))*108,0)+IFERROR(--ISNUMBER(SEARCH("R109",G397))*109,0)+IFERROR(--ISNUMBER(SEARCH("R110",G397))*110,0)+IFERROR(--ISNUMBER(SEARCH("R111",G397))*111,0)+IFERROR(--ISNUMBER(SEARCH("R112",G397))*112,0)+IFERROR(--ISNUMBER(SEARCH("R113",G397))*113,0)+IFERROR(--ISNUMBER(SEARCH("R114",G397))*114,0)+IFERROR(--ISNUMBER(SEARCH("R115",G397))*115,0)+IFERROR(--ISNUMBER(SEARCH("R116",G397))*116,0)+IFERROR(--ISNUMBER(SEARCH("R117",G397))*117,0)+IFERROR(--ISNUMBER(SEARCH("R118",G397))*118,0)+IFERROR(--ISNUMBER(SEARCH("R119",G397))*119,0)+IFERROR(--ISNUMBER(SEARCH("R120",G397))*120,0)+IFERROR(--ISNUMBER(SEARCH("R121",G397))*121,0)+IFERROR(--ISNUMBER(SEARCH("R122",G397))*122,0)+IFERROR(--ISNUMBER(SEARCH("R123",G397))*123,0)+IFERROR(--ISNUMBER(SEARCH("R124",G397))*124,0)+IFERROR(--ISNUMBER(SEARCH("R125",G397))*125,0)+IFERROR(--ISNUMBER(SEARCH("R126",G397))*126,0)+IFERROR(--ISNUMBER(SEARCH("R127",G397))*127,0)+IFERROR(--ISNUMBER(SEARCH("R128",G397))*128,0)+IFERROR(--ISNUMBER(SEARCH("R129",G397))*129,0)+IFERROR(--ISNUMBER(SEARCH("R130",G397))*130,0)+IFERROR(--ISNUMBER(SEARCH("R131",G397))*131,0)+IFERROR(--ISNUMBER(SEARCH("R132",G397))*132,0)+IFERROR(--ISNUMBER(SEARCH("R133",G397))*133,0)+IFERROR(--ISNUMBER(SEARCH("R134",G397))*134,0)+IFERROR(--ISNUMBER(SEARCH("R135",G397))*135,0)+IFERROR(--ISNUMBER(SEARCH("R136",G397))*136,0)+IFERROR(--ISNUMBER(SEARCH("R137",G397))*137,0)+IFERROR(--ISNUMBER(SEARCH("R138",G397))*138,0)+IFERROR(--ISNUMBER(SEARCH("R139",G397))*139,0)+IFERROR(--ISNUMBER(SEARCH("R140",G397))*140,0)+IFERROR(--ISNUMBER(SEARCH("R141",G397))*141,0))</f>
        <v/>
      </c>
      <c r="V397" s="59">
        <f>IF(A397="","",IF(K397&lt;&gt;"",K397,J397))</f>
        <v/>
      </c>
      <c r="W397" s="59">
        <f>IF(A397="","",IF(AND(V397=29,O397&lt;&gt;"",COUNTIFS($V$6:$V$505,29,$F$6:$F$505,F397,$C$6:$C$505,C397,$O$6:$O$505,"&lt;&gt;")&gt;1),IF(COUNTIFS($V$6:V397,29,$F$6:F397,F397,$C$6:C397,C397,$O$6:O397,"&lt;&gt;")=1,"Esta es la fila que se debe CONSERVAR (aparición 1 de "&amp;COUNTIFS($V$6:$V$505,29,$F$6:$F$505,F397,$C$6:$C$505,C397,$O$6:$O$505,"&lt;&gt;")&amp;" con el mismo tercero y valor, casilla 29). Si hay más filas iguales, bórreles el valor a ELLAS, no a esta.","DUPLICADO — ya existe otra fila con el mismo tercero y valor para casilla 29 (aparición "&amp;COUNTIFS($V$6:V397,29,$F$6:F397,F397,$C$6:C397,C397,$O$6:O397,"&lt;&gt;")&amp;" de "&amp;COUNTIFS($V$6:$V$505,29,$F$6:$F$505,F397,$C$6:$C$505,C397,$O$6:$O$505,"&lt;&gt;")&amp;"). Para resolverlo: seleccione la celda O"&amp;ROW()&amp;" (columna Valor a declarar de ESTA fila) y presione Supr."),""))</f>
        <v/>
      </c>
      <c r="X397" s="463">
        <f>IF(A397="","",F397)</f>
        <v/>
      </c>
      <c r="Y397" s="463">
        <f>IF(A397="","",SUMIF(Entrada_Manual!$I$88:$I$187,A397,Entrada_Manual!$F$88:$F$187))</f>
        <v/>
      </c>
      <c r="Z397" s="463">
        <f>IF(A397="","",X397-Y397)</f>
        <v/>
      </c>
      <c r="AA397">
        <f>IF(A397="","",SUMPRODUCT((Entrada_Manual!$I$88:$I$187=A397)*1))</f>
        <v/>
      </c>
      <c r="AB397">
        <f>IF(A397="","",IF(S397&lt;=1,"",IF(AA397=0,"PENDIENTE — SIN ASIGNAR",IF(Z397=0,"RESUELTO","PARCIAL — DIFERENCIA "&amp;TEXT(Z397,"#,##0")))))</f>
        <v/>
      </c>
    </row>
    <row r="398" ht="14.25" customHeight="1" s="235">
      <c r="A398" s="47">
        <f>IF(Exogena_RAW!E407&lt;&gt;"",ROW()-5,"")</f>
        <v/>
      </c>
      <c r="B398" s="48">
        <f>IF(A398="","",407)</f>
        <v/>
      </c>
      <c r="C398" s="48">
        <f>IF(A398="","",IFERROR(Exogena_RAW!A407,""))</f>
        <v/>
      </c>
      <c r="D398" s="48">
        <f>IF(A398="","",IFERROR(Exogena_RAW!B407,""))</f>
        <v/>
      </c>
      <c r="E398" s="48">
        <f>IF(A398="","",Exogena_RAW!E407)</f>
        <v/>
      </c>
      <c r="F398" s="461">
        <f>IF(A398="","",Exogena_RAW!F407)</f>
        <v/>
      </c>
      <c r="G398" s="48">
        <f>IF(A398="","",IFERROR(Exogena_RAW!G407,""))</f>
        <v/>
      </c>
      <c r="H398" s="48">
        <f>IF(A398="","",IFERROR(Exogena_RAW!H407,""))</f>
        <v/>
      </c>
      <c r="I398" s="48">
        <f>IF(A398="","",IFERROR(IF(S398&gt;1,"VARIAS CASILLAS",IF(S398=1,IF(T398=1,"PROPUESTA DE CASILLA","REVISIÓN: CASILLA NO DIRECTA"),IF(OR(ISNUMBER(SEARCH("TOPE",UPPER(E398))),ISNUMBER(SEARCH("TOPE",UPPER(G398)))),"SOLO CONTROL",IF(ISNUMBER(SEARCH("RETEN",UPPER(E398))),"RETENCIÓN","REVISAR")))),"REVISAR"))</f>
        <v/>
      </c>
      <c r="J398" s="48">
        <f>IF(A398="","",IF(ISNUMBER(SEARCH("ingreso laboral promedio de los últimos seis meses",E398)),"",IFERROR(IF(AND(S398=1,T398=1),U398,""),"")))</f>
        <v/>
      </c>
      <c r="K398" s="216" t="n"/>
      <c r="L398" s="48">
        <f>IF(A398="","",IFERROR(IF(K398&lt;&gt;"","Casilla elegida por usuario",IF(S398&gt;1,"Varias casillas — elegir en K",IF(J398&lt;&gt;"","Sugerencia directa",IF(S398=1,"No trasladar directo — revisar",IF(OR(ISNUMBER(SEARCH("TOPE",UPPER(E398))),ISNUMBER(SEARCH("TOPE",UPPER(G398)))),"Solo control","Revisar manualmente"))))),"Revisar manualmente"))</f>
        <v/>
      </c>
      <c r="M398" s="461">
        <f>IF(A398="","",IF(IF(K398&lt;&gt;"",K398,J398)="",0,IF(COUNTIFS(Reglas!$I$5:$I$118,IF(K398&lt;&gt;"",K398,J398),Reglas!$J$5:$J$118,"Sí")=1,F398,0)))</f>
        <v/>
      </c>
      <c r="N398" s="56" t="n"/>
      <c r="O398" s="462">
        <f>IF(A398="","",IF(M398=0,"",M398))</f>
        <v/>
      </c>
      <c r="P398" s="461">
        <f>IF(A398="","",IF(O398="",0,IF(ISNUMBER(O398),O398,0)))</f>
        <v/>
      </c>
      <c r="Q398" s="48">
        <f>IF(A398="","",IF(Exogena_RAW!$C$4="","BLOQUEADO: FALTA AÑO",IF(Exogena_RAW!$K$10&lt;&gt;Reglas!$B$5,"BLOQUEADO: AÑO",IF(IF(K398&lt;&gt;"",K398,J398)="",IF(S398&gt;1,"REQUIERE ASIGNACIÓN MANUAL (VARIAS CASILLAS)","INFORMATIVO (sin casilla — no se declara)"),IF(COUNTIFS(Reglas!$I$5:$I$118,IF(K398&lt;&gt;"",K398,J398),Reglas!$J$5:$J$118,"Sí")=0,"BLOQUEADO: CASILLA NO DIRECTA",IF(O398="","EXCLUIDO (valor borrado por el usuario)",IF(_xlfn.ISFORMULA(O398),IF(W398&lt;&gt;"","BORRADOR — VALOR SUGERIDO DIAN ⚠ VER ALERTA","BORRADOR — VALOR SUGERIDO DIAN"),IF(W398&lt;&gt;"","ACEPTADO ⚠ VER ALERTA","ACEPTADO"))))))))</f>
        <v/>
      </c>
      <c r="R398" s="218" t="n"/>
      <c r="S398" s="58">
        <f>IF(A398="","",IFERROR(--ISNUMBER(SEARCH("R28",G398)),0)+IFERROR(--ISNUMBER(SEARCH("R29",G398)),0)+IFERROR(--ISNUMBER(SEARCH("R30",G398)),0)+IFERROR(--ISNUMBER(SEARCH("R31",G398)),0)+IFERROR(--ISNUMBER(SEARCH("R32",G398)),0)+IFERROR(--ISNUMBER(SEARCH("R33",G398)),0)+IFERROR(--ISNUMBER(SEARCH("R34",G398)),0)+IFERROR(--ISNUMBER(SEARCH("R35",G398)),0)+IFERROR(--ISNUMBER(SEARCH("R36",G398)),0)+IFERROR(--ISNUMBER(SEARCH("R37",G398)),0)+IFERROR(--ISNUMBER(SEARCH("R38",G398)),0)+IFERROR(--ISNUMBER(SEARCH("R39",G398)),0)+IFERROR(--ISNUMBER(SEARCH("R40",G398)),0)+IFERROR(--ISNUMBER(SEARCH("R41",G398)),0)+IFERROR(--ISNUMBER(SEARCH("R42",G398)),0)+IFERROR(--ISNUMBER(SEARCH("R43",G398)),0)+IFERROR(--ISNUMBER(SEARCH("R44",G398)),0)+IFERROR(--ISNUMBER(SEARCH("R45",G398)),0)+IFERROR(--ISNUMBER(SEARCH("R46",G398)),0)+IFERROR(--ISNUMBER(SEARCH("R47",G398)),0)+IFERROR(--ISNUMBER(SEARCH("R48",G398)),0)+IFERROR(--ISNUMBER(SEARCH("R49",G398)),0)+IFERROR(--ISNUMBER(SEARCH("R50",G398)),0)+IFERROR(--ISNUMBER(SEARCH("R51",G398)),0)+IFERROR(--ISNUMBER(SEARCH("R52",G398)),0)+IFERROR(--ISNUMBER(SEARCH("R53",G398)),0)+IFERROR(--ISNUMBER(SEARCH("R54",G398)),0)+IFERROR(--ISNUMBER(SEARCH("R55",G398)),0)+IFERROR(--ISNUMBER(SEARCH("R56",G398)),0)+IFERROR(--ISNUMBER(SEARCH("R57",G398)),0)+IFERROR(--ISNUMBER(SEARCH("R58",G398)),0)+IFERROR(--ISNUMBER(SEARCH("R59",G398)),0)+IFERROR(--ISNUMBER(SEARCH("R60",G398)),0)+IFERROR(--ISNUMBER(SEARCH("R61",G398)),0)+IFERROR(--ISNUMBER(SEARCH("R62",G398)),0)+IFERROR(--ISNUMBER(SEARCH("R63",G398)),0)+IFERROR(--ISNUMBER(SEARCH("R64",G398)),0)+IFERROR(--ISNUMBER(SEARCH("R65",G398)),0)+IFERROR(--ISNUMBER(SEARCH("R66",G398)),0)+IFERROR(--ISNUMBER(SEARCH("R67",G398)),0)+IFERROR(--ISNUMBER(SEARCH("R68",G398)),0)+IFERROR(--ISNUMBER(SEARCH("R69",G398)),0)+IFERROR(--ISNUMBER(SEARCH("R70",G398)),0)+IFERROR(--ISNUMBER(SEARCH("R71",G398)),0)+IFERROR(--ISNUMBER(SEARCH("R72",G398)),0)+IFERROR(--ISNUMBER(SEARCH("R73",G398)),0)+IFERROR(--ISNUMBER(SEARCH("R74",G398)),0)+IFERROR(--ISNUMBER(SEARCH("R75",G398)),0)+IFERROR(--ISNUMBER(SEARCH("R76",G398)),0)+IFERROR(--ISNUMBER(SEARCH("R77",G398)),0)+IFERROR(--ISNUMBER(SEARCH("R78",G398)),0)+IFERROR(--ISNUMBER(SEARCH("R79",G398)),0)+IFERROR(--ISNUMBER(SEARCH("R80",G398)),0)+IFERROR(--ISNUMBER(SEARCH("R81",G398)),0)+IFERROR(--ISNUMBER(SEARCH("R82",G398)),0)+IFERROR(--ISNUMBER(SEARCH("R83",G398)),0)+IFERROR(--ISNUMBER(SEARCH("R84",G398)),0)+IFERROR(--ISNUMBER(SEARCH("R85",G398)),0)+IFERROR(--ISNUMBER(SEARCH("R86",G398)),0)+IFERROR(--ISNUMBER(SEARCH("R87",G398)),0)+IFERROR(--ISNUMBER(SEARCH("R88",G398)),0)+IFERROR(--ISNUMBER(SEARCH("R89",G398)),0)+IFERROR(--ISNUMBER(SEARCH("R90",G398)),0)+IFERROR(--ISNUMBER(SEARCH("R91",G398)),0)+IFERROR(--ISNUMBER(SEARCH("R92",G398)),0)+IFERROR(--ISNUMBER(SEARCH("R93",G398)),0)+IFERROR(--ISNUMBER(SEARCH("R94",G398)),0)+IFERROR(--ISNUMBER(SEARCH("R95",G398)),0)+IFERROR(--ISNUMBER(SEARCH("R96",G398)),0)+IFERROR(--ISNUMBER(SEARCH("R97",G398)),0)+IFERROR(--ISNUMBER(SEARCH("R98",G398)),0)+IFERROR(--ISNUMBER(SEARCH("R99",G398)),0)+IFERROR(--ISNUMBER(SEARCH("R100",G398)),0)+IFERROR(--ISNUMBER(SEARCH("R101",G398)),0)+IFERROR(--ISNUMBER(SEARCH("R102",G398)),0)+IFERROR(--ISNUMBER(SEARCH("R103",G398)),0)+IFERROR(--ISNUMBER(SEARCH("R104",G398)),0)+IFERROR(--ISNUMBER(SEARCH("R105",G398)),0)+IFERROR(--ISNUMBER(SEARCH("R106",G398)),0)+IFERROR(--ISNUMBER(SEARCH("R107",G398)),0)+IFERROR(--ISNUMBER(SEARCH("R108",G398)),0)+IFERROR(--ISNUMBER(SEARCH("R109",G398)),0)+IFERROR(--ISNUMBER(SEARCH("R110",G398)),0)+IFERROR(--ISNUMBER(SEARCH("R111",G398)),0)+IFERROR(--ISNUMBER(SEARCH("R112",G398)),0)+IFERROR(--ISNUMBER(SEARCH("R113",G398)),0)+IFERROR(--ISNUMBER(SEARCH("R114",G398)),0)+IFERROR(--ISNUMBER(SEARCH("R115",G398)),0)+IFERROR(--ISNUMBER(SEARCH("R116",G398)),0)+IFERROR(--ISNUMBER(SEARCH("R117",G398)),0)+IFERROR(--ISNUMBER(SEARCH("R118",G398)),0)+IFERROR(--ISNUMBER(SEARCH("R119",G398)),0)+IFERROR(--ISNUMBER(SEARCH("R120",G398)),0)+IFERROR(--ISNUMBER(SEARCH("R121",G398)),0)+IFERROR(--ISNUMBER(SEARCH("R122",G398)),0)+IFERROR(--ISNUMBER(SEARCH("R123",G398)),0)+IFERROR(--ISNUMBER(SEARCH("R124",G398)),0)+IFERROR(--ISNUMBER(SEARCH("R125",G398)),0)+IFERROR(--ISNUMBER(SEARCH("R126",G398)),0)+IFERROR(--ISNUMBER(SEARCH("R127",G398)),0)+IFERROR(--ISNUMBER(SEARCH("R128",G398)),0)+IFERROR(--ISNUMBER(SEARCH("R129",G398)),0)+IFERROR(--ISNUMBER(SEARCH("R130",G398)),0)+IFERROR(--ISNUMBER(SEARCH("R131",G398)),0)+IFERROR(--ISNUMBER(SEARCH("R132",G398)),0)+IFERROR(--ISNUMBER(SEARCH("R133",G398)),0)+IFERROR(--ISNUMBER(SEARCH("R134",G398)),0)+IFERROR(--ISNUMBER(SEARCH("R135",G398)),0)+IFERROR(--ISNUMBER(SEARCH("R136",G398)),0)+IFERROR(--ISNUMBER(SEARCH("R137",G398)),0)+IFERROR(--ISNUMBER(SEARCH("R138",G398)),0)+IFERROR(--ISNUMBER(SEARCH("R139",G398)),0)+IFERROR(--ISNUMBER(SEARCH("R140",G398)),0)+IFERROR(--ISNUMBER(SEARCH("R141",G398)),0))</f>
        <v/>
      </c>
      <c r="T398" s="58">
        <f>IF(A398="","",IFERROR(--ISNUMBER(SEARCH("R28",G398)),0)+IFERROR(--ISNUMBER(SEARCH("R29",G398)),0)+IFERROR(--ISNUMBER(SEARCH("R30",G398)),0)+IFERROR(--ISNUMBER(SEARCH("R32",G398)),0)+IFERROR(--ISNUMBER(SEARCH("R33",G398)),0)+IFERROR(--ISNUMBER(SEARCH("R35",G398)),0)+IFERROR(--ISNUMBER(SEARCH("R36",G398)),0)+IFERROR(--ISNUMBER(SEARCH("R38",G398)),0)+IFERROR(--ISNUMBER(SEARCH("R39",G398)),0)+IFERROR(--ISNUMBER(SEARCH("R43",G398)),0)+IFERROR(--ISNUMBER(SEARCH("R44",G398)),0)+IFERROR(--ISNUMBER(SEARCH("R45",G398)),0)+IFERROR(--ISNUMBER(SEARCH("R47",G398)),0)+IFERROR(--ISNUMBER(SEARCH("R48",G398)),0)+IFERROR(--ISNUMBER(SEARCH("R50",G398)),0)+IFERROR(--ISNUMBER(SEARCH("R51",G398)),0)+IFERROR(--ISNUMBER(SEARCH("R56",G398)),0)+IFERROR(--ISNUMBER(SEARCH("R58",G398)),0)+IFERROR(--ISNUMBER(SEARCH("R59",G398)),0)+IFERROR(--ISNUMBER(SEARCH("R60",G398)),0)+IFERROR(--ISNUMBER(SEARCH("R62",G398)),0)+IFERROR(--ISNUMBER(SEARCH("R63",G398)),0)+IFERROR(--ISNUMBER(SEARCH("R64",G398)),0)+IFERROR(--ISNUMBER(SEARCH("R66",G398)),0)+IFERROR(--ISNUMBER(SEARCH("R67",G398)),0)+IFERROR(--ISNUMBER(SEARCH("R72",G398)),0)+IFERROR(--ISNUMBER(SEARCH("R74",G398)),0)+IFERROR(--ISNUMBER(SEARCH("R75",G398)),0)+IFERROR(--ISNUMBER(SEARCH("R76",G398)),0)+IFERROR(--ISNUMBER(SEARCH("R77",G398)),0)+IFERROR(--ISNUMBER(SEARCH("R79",G398)),0)+IFERROR(--ISNUMBER(SEARCH("R80",G398)),0)+IFERROR(--ISNUMBER(SEARCH("R81",G398)),0)+IFERROR(--ISNUMBER(SEARCH("R83",G398)),0)+IFERROR(--ISNUMBER(SEARCH("R84",G398)),0)+IFERROR(--ISNUMBER(SEARCH("R89",G398)),0)+IFERROR(--ISNUMBER(SEARCH("R94",G398)),0)+IFERROR(--ISNUMBER(SEARCH("R95",G398)),0)+IFERROR(--ISNUMBER(SEARCH("R96",G398)),0)+IFERROR(--ISNUMBER(SEARCH("R98",G398)),0)+IFERROR(--ISNUMBER(SEARCH("R99",G398)),0)+IFERROR(--ISNUMBER(SEARCH("R100",G398)),0)+IFERROR(--ISNUMBER(SEARCH("R104",G398)),0)+IFERROR(--ISNUMBER(SEARCH("R105",G398)),0)+IFERROR(--ISNUMBER(SEARCH("R107",G398)),0)+IFERROR(--ISNUMBER(SEARCH("R108",G398)),0)+IFERROR(--ISNUMBER(SEARCH("R109",G398)),0)+IFERROR(--ISNUMBER(SEARCH("R110",G398)),0)+IFERROR(--ISNUMBER(SEARCH("R112",G398)),0)+IFERROR(--ISNUMBER(SEARCH("R113",G398)),0)+IFERROR(--ISNUMBER(SEARCH("R114",G398)),0)+IFERROR(--ISNUMBER(SEARCH("R118",G398)),0)+IFERROR(--ISNUMBER(SEARCH("R119",G398)),0)+IFERROR(--ISNUMBER(SEARCH("R120",G398)),0)+IFERROR(--ISNUMBER(SEARCH("R122",G398)),0)+IFERROR(--ISNUMBER(SEARCH("R123",G398)),0)+IFERROR(--ISNUMBER(SEARCH("R124",G398)),0)+IFERROR(--ISNUMBER(SEARCH("R128",G398)),0)+IFERROR(--ISNUMBER(SEARCH("R130",G398)),0)+IFERROR(--ISNUMBER(SEARCH("R131",G398)),0)+IFERROR(--ISNUMBER(SEARCH("R132",G398)),0)+IFERROR(--ISNUMBER(SEARCH("R135",G398)),0)+IFERROR(--ISNUMBER(SEARCH("R138",G398)),0)+IFERROR(--ISNUMBER(SEARCH("R141",G398)),0))</f>
        <v/>
      </c>
      <c r="U398" s="58">
        <f>IF(A398="","",IFERROR(--ISNUMBER(SEARCH("R28",G398))*28,0)+IFERROR(--ISNUMBER(SEARCH("R29",G398))*29,0)+IFERROR(--ISNUMBER(SEARCH("R30",G398))*30,0)+IFERROR(--ISNUMBER(SEARCH("R31",G398))*31,0)+IFERROR(--ISNUMBER(SEARCH("R32",G398))*32,0)+IFERROR(--ISNUMBER(SEARCH("R33",G398))*33,0)+IFERROR(--ISNUMBER(SEARCH("R34",G398))*34,0)+IFERROR(--ISNUMBER(SEARCH("R35",G398))*35,0)+IFERROR(--ISNUMBER(SEARCH("R36",G398))*36,0)+IFERROR(--ISNUMBER(SEARCH("R37",G398))*37,0)+IFERROR(--ISNUMBER(SEARCH("R38",G398))*38,0)+IFERROR(--ISNUMBER(SEARCH("R39",G398))*39,0)+IFERROR(--ISNUMBER(SEARCH("R40",G398))*40,0)+IFERROR(--ISNUMBER(SEARCH("R41",G398))*41,0)+IFERROR(--ISNUMBER(SEARCH("R42",G398))*42,0)+IFERROR(--ISNUMBER(SEARCH("R43",G398))*43,0)+IFERROR(--ISNUMBER(SEARCH("R44",G398))*44,0)+IFERROR(--ISNUMBER(SEARCH("R45",G398))*45,0)+IFERROR(--ISNUMBER(SEARCH("R46",G398))*46,0)+IFERROR(--ISNUMBER(SEARCH("R47",G398))*47,0)+IFERROR(--ISNUMBER(SEARCH("R48",G398))*48,0)+IFERROR(--ISNUMBER(SEARCH("R49",G398))*49,0)+IFERROR(--ISNUMBER(SEARCH("R50",G398))*50,0)+IFERROR(--ISNUMBER(SEARCH("R51",G398))*51,0)+IFERROR(--ISNUMBER(SEARCH("R52",G398))*52,0)+IFERROR(--ISNUMBER(SEARCH("R53",G398))*53,0)+IFERROR(--ISNUMBER(SEARCH("R54",G398))*54,0)+IFERROR(--ISNUMBER(SEARCH("R55",G398))*55,0)+IFERROR(--ISNUMBER(SEARCH("R56",G398))*56,0)+IFERROR(--ISNUMBER(SEARCH("R57",G398))*57,0)+IFERROR(--ISNUMBER(SEARCH("R58",G398))*58,0)+IFERROR(--ISNUMBER(SEARCH("R59",G398))*59,0)+IFERROR(--ISNUMBER(SEARCH("R60",G398))*60,0)+IFERROR(--ISNUMBER(SEARCH("R61",G398))*61,0)+IFERROR(--ISNUMBER(SEARCH("R62",G398))*62,0)+IFERROR(--ISNUMBER(SEARCH("R63",G398))*63,0)+IFERROR(--ISNUMBER(SEARCH("R64",G398))*64,0)+IFERROR(--ISNUMBER(SEARCH("R65",G398))*65,0)+IFERROR(--ISNUMBER(SEARCH("R66",G398))*66,0)+IFERROR(--ISNUMBER(SEARCH("R67",G398))*67,0)+IFERROR(--ISNUMBER(SEARCH("R68",G398))*68,0)+IFERROR(--ISNUMBER(SEARCH("R69",G398))*69,0)+IFERROR(--ISNUMBER(SEARCH("R70",G398))*70,0)+IFERROR(--ISNUMBER(SEARCH("R71",G398))*71,0)+IFERROR(--ISNUMBER(SEARCH("R72",G398))*72,0)+IFERROR(--ISNUMBER(SEARCH("R73",G398))*73,0)+IFERROR(--ISNUMBER(SEARCH("R74",G398))*74,0)+IFERROR(--ISNUMBER(SEARCH("R75",G398))*75,0)+IFERROR(--ISNUMBER(SEARCH("R76",G398))*76,0)+IFERROR(--ISNUMBER(SEARCH("R77",G398))*77,0)+IFERROR(--ISNUMBER(SEARCH("R78",G398))*78,0)+IFERROR(--ISNUMBER(SEARCH("R79",G398))*79,0)+IFERROR(--ISNUMBER(SEARCH("R80",G398))*80,0)+IFERROR(--ISNUMBER(SEARCH("R81",G398))*81,0)+IFERROR(--ISNUMBER(SEARCH("R82",G398))*82,0)+IFERROR(--ISNUMBER(SEARCH("R83",G398))*83,0)+IFERROR(--ISNUMBER(SEARCH("R84",G398))*84,0)+IFERROR(--ISNUMBER(SEARCH("R85",G398))*85,0)+IFERROR(--ISNUMBER(SEARCH("R86",G398))*86,0)+IFERROR(--ISNUMBER(SEARCH("R87",G398))*87,0)+IFERROR(--ISNUMBER(SEARCH("R88",G398))*88,0)+IFERROR(--ISNUMBER(SEARCH("R89",G398))*89,0)+IFERROR(--ISNUMBER(SEARCH("R90",G398))*90,0)+IFERROR(--ISNUMBER(SEARCH("R91",G398))*91,0)+IFERROR(--ISNUMBER(SEARCH("R92",G398))*92,0)+IFERROR(--ISNUMBER(SEARCH("R93",G398))*93,0)+IFERROR(--ISNUMBER(SEARCH("R94",G398))*94,0)+IFERROR(--ISNUMBER(SEARCH("R95",G398))*95,0)+IFERROR(--ISNUMBER(SEARCH("R96",G398))*96,0)+IFERROR(--ISNUMBER(SEARCH("R97",G398))*97,0)+IFERROR(--ISNUMBER(SEARCH("R98",G398))*98,0)+IFERROR(--ISNUMBER(SEARCH("R99",G398))*99,0)+IFERROR(--ISNUMBER(SEARCH("R100",G398))*100,0)+IFERROR(--ISNUMBER(SEARCH("R101",G398))*101,0)+IFERROR(--ISNUMBER(SEARCH("R102",G398))*102,0)+IFERROR(--ISNUMBER(SEARCH("R103",G398))*103,0)+IFERROR(--ISNUMBER(SEARCH("R104",G398))*104,0)+IFERROR(--ISNUMBER(SEARCH("R105",G398))*105,0)+IFERROR(--ISNUMBER(SEARCH("R106",G398))*106,0)+IFERROR(--ISNUMBER(SEARCH("R107",G398))*107,0)+IFERROR(--ISNUMBER(SEARCH("R108",G398))*108,0)+IFERROR(--ISNUMBER(SEARCH("R109",G398))*109,0)+IFERROR(--ISNUMBER(SEARCH("R110",G398))*110,0)+IFERROR(--ISNUMBER(SEARCH("R111",G398))*111,0)+IFERROR(--ISNUMBER(SEARCH("R112",G398))*112,0)+IFERROR(--ISNUMBER(SEARCH("R113",G398))*113,0)+IFERROR(--ISNUMBER(SEARCH("R114",G398))*114,0)+IFERROR(--ISNUMBER(SEARCH("R115",G398))*115,0)+IFERROR(--ISNUMBER(SEARCH("R116",G398))*116,0)+IFERROR(--ISNUMBER(SEARCH("R117",G398))*117,0)+IFERROR(--ISNUMBER(SEARCH("R118",G398))*118,0)+IFERROR(--ISNUMBER(SEARCH("R119",G398))*119,0)+IFERROR(--ISNUMBER(SEARCH("R120",G398))*120,0)+IFERROR(--ISNUMBER(SEARCH("R121",G398))*121,0)+IFERROR(--ISNUMBER(SEARCH("R122",G398))*122,0)+IFERROR(--ISNUMBER(SEARCH("R123",G398))*123,0)+IFERROR(--ISNUMBER(SEARCH("R124",G398))*124,0)+IFERROR(--ISNUMBER(SEARCH("R125",G398))*125,0)+IFERROR(--ISNUMBER(SEARCH("R126",G398))*126,0)+IFERROR(--ISNUMBER(SEARCH("R127",G398))*127,0)+IFERROR(--ISNUMBER(SEARCH("R128",G398))*128,0)+IFERROR(--ISNUMBER(SEARCH("R129",G398))*129,0)+IFERROR(--ISNUMBER(SEARCH("R130",G398))*130,0)+IFERROR(--ISNUMBER(SEARCH("R131",G398))*131,0)+IFERROR(--ISNUMBER(SEARCH("R132",G398))*132,0)+IFERROR(--ISNUMBER(SEARCH("R133",G398))*133,0)+IFERROR(--ISNUMBER(SEARCH("R134",G398))*134,0)+IFERROR(--ISNUMBER(SEARCH("R135",G398))*135,0)+IFERROR(--ISNUMBER(SEARCH("R136",G398))*136,0)+IFERROR(--ISNUMBER(SEARCH("R137",G398))*137,0)+IFERROR(--ISNUMBER(SEARCH("R138",G398))*138,0)+IFERROR(--ISNUMBER(SEARCH("R139",G398))*139,0)+IFERROR(--ISNUMBER(SEARCH("R140",G398))*140,0)+IFERROR(--ISNUMBER(SEARCH("R141",G398))*141,0))</f>
        <v/>
      </c>
      <c r="V398" s="59">
        <f>IF(A398="","",IF(K398&lt;&gt;"",K398,J398))</f>
        <v/>
      </c>
      <c r="W398" s="59">
        <f>IF(A398="","",IF(AND(V398=29,O398&lt;&gt;"",COUNTIFS($V$6:$V$505,29,$F$6:$F$505,F398,$C$6:$C$505,C398,$O$6:$O$505,"&lt;&gt;")&gt;1),IF(COUNTIFS($V$6:V398,29,$F$6:F398,F398,$C$6:C398,C398,$O$6:O398,"&lt;&gt;")=1,"Esta es la fila que se debe CONSERVAR (aparición 1 de "&amp;COUNTIFS($V$6:$V$505,29,$F$6:$F$505,F398,$C$6:$C$505,C398,$O$6:$O$505,"&lt;&gt;")&amp;" con el mismo tercero y valor, casilla 29). Si hay más filas iguales, bórreles el valor a ELLAS, no a esta.","DUPLICADO — ya existe otra fila con el mismo tercero y valor para casilla 29 (aparición "&amp;COUNTIFS($V$6:V398,29,$F$6:F398,F398,$C$6:C398,C398,$O$6:O398,"&lt;&gt;")&amp;" de "&amp;COUNTIFS($V$6:$V$505,29,$F$6:$F$505,F398,$C$6:$C$505,C398,$O$6:$O$505,"&lt;&gt;")&amp;"). Para resolverlo: seleccione la celda O"&amp;ROW()&amp;" (columna Valor a declarar de ESTA fila) y presione Supr."),""))</f>
        <v/>
      </c>
      <c r="X398" s="463">
        <f>IF(A398="","",F398)</f>
        <v/>
      </c>
      <c r="Y398" s="463">
        <f>IF(A398="","",SUMIF(Entrada_Manual!$I$88:$I$187,A398,Entrada_Manual!$F$88:$F$187))</f>
        <v/>
      </c>
      <c r="Z398" s="463">
        <f>IF(A398="","",X398-Y398)</f>
        <v/>
      </c>
      <c r="AA398">
        <f>IF(A398="","",SUMPRODUCT((Entrada_Manual!$I$88:$I$187=A398)*1))</f>
        <v/>
      </c>
      <c r="AB398">
        <f>IF(A398="","",IF(S398&lt;=1,"",IF(AA398=0,"PENDIENTE — SIN ASIGNAR",IF(Z398=0,"RESUELTO","PARCIAL — DIFERENCIA "&amp;TEXT(Z398,"#,##0")))))</f>
        <v/>
      </c>
    </row>
    <row r="399" ht="14.25" customHeight="1" s="235">
      <c r="A399" s="47">
        <f>IF(Exogena_RAW!E408&lt;&gt;"",ROW()-5,"")</f>
        <v/>
      </c>
      <c r="B399" s="48">
        <f>IF(A399="","",408)</f>
        <v/>
      </c>
      <c r="C399" s="48">
        <f>IF(A399="","",IFERROR(Exogena_RAW!A408,""))</f>
        <v/>
      </c>
      <c r="D399" s="48">
        <f>IF(A399="","",IFERROR(Exogena_RAW!B408,""))</f>
        <v/>
      </c>
      <c r="E399" s="48">
        <f>IF(A399="","",Exogena_RAW!E408)</f>
        <v/>
      </c>
      <c r="F399" s="461">
        <f>IF(A399="","",Exogena_RAW!F408)</f>
        <v/>
      </c>
      <c r="G399" s="48">
        <f>IF(A399="","",IFERROR(Exogena_RAW!G408,""))</f>
        <v/>
      </c>
      <c r="H399" s="48">
        <f>IF(A399="","",IFERROR(Exogena_RAW!H408,""))</f>
        <v/>
      </c>
      <c r="I399" s="48">
        <f>IF(A399="","",IFERROR(IF(S399&gt;1,"VARIAS CASILLAS",IF(S399=1,IF(T399=1,"PROPUESTA DE CASILLA","REVISIÓN: CASILLA NO DIRECTA"),IF(OR(ISNUMBER(SEARCH("TOPE",UPPER(E399))),ISNUMBER(SEARCH("TOPE",UPPER(G399)))),"SOLO CONTROL",IF(ISNUMBER(SEARCH("RETEN",UPPER(E399))),"RETENCIÓN","REVISAR")))),"REVISAR"))</f>
        <v/>
      </c>
      <c r="J399" s="48">
        <f>IF(A399="","",IF(ISNUMBER(SEARCH("ingreso laboral promedio de los últimos seis meses",E399)),"",IFERROR(IF(AND(S399=1,T399=1),U399,""),"")))</f>
        <v/>
      </c>
      <c r="K399" s="216" t="n"/>
      <c r="L399" s="48">
        <f>IF(A399="","",IFERROR(IF(K399&lt;&gt;"","Casilla elegida por usuario",IF(S399&gt;1,"Varias casillas — elegir en K",IF(J399&lt;&gt;"","Sugerencia directa",IF(S399=1,"No trasladar directo — revisar",IF(OR(ISNUMBER(SEARCH("TOPE",UPPER(E399))),ISNUMBER(SEARCH("TOPE",UPPER(G399)))),"Solo control","Revisar manualmente"))))),"Revisar manualmente"))</f>
        <v/>
      </c>
      <c r="M399" s="461">
        <f>IF(A399="","",IF(IF(K399&lt;&gt;"",K399,J399)="",0,IF(COUNTIFS(Reglas!$I$5:$I$118,IF(K399&lt;&gt;"",K399,J399),Reglas!$J$5:$J$118,"Sí")=1,F399,0)))</f>
        <v/>
      </c>
      <c r="N399" s="56" t="n"/>
      <c r="O399" s="462">
        <f>IF(A399="","",IF(M399=0,"",M399))</f>
        <v/>
      </c>
      <c r="P399" s="461">
        <f>IF(A399="","",IF(O399="",0,IF(ISNUMBER(O399),O399,0)))</f>
        <v/>
      </c>
      <c r="Q399" s="48">
        <f>IF(A399="","",IF(Exogena_RAW!$C$4="","BLOQUEADO: FALTA AÑO",IF(Exogena_RAW!$K$10&lt;&gt;Reglas!$B$5,"BLOQUEADO: AÑO",IF(IF(K399&lt;&gt;"",K399,J399)="",IF(S399&gt;1,"REQUIERE ASIGNACIÓN MANUAL (VARIAS CASILLAS)","INFORMATIVO (sin casilla — no se declara)"),IF(COUNTIFS(Reglas!$I$5:$I$118,IF(K399&lt;&gt;"",K399,J399),Reglas!$J$5:$J$118,"Sí")=0,"BLOQUEADO: CASILLA NO DIRECTA",IF(O399="","EXCLUIDO (valor borrado por el usuario)",IF(_xlfn.ISFORMULA(O399),IF(W399&lt;&gt;"","BORRADOR — VALOR SUGERIDO DIAN ⚠ VER ALERTA","BORRADOR — VALOR SUGERIDO DIAN"),IF(W399&lt;&gt;"","ACEPTADO ⚠ VER ALERTA","ACEPTADO"))))))))</f>
        <v/>
      </c>
      <c r="R399" s="218" t="n"/>
      <c r="S399" s="58">
        <f>IF(A399="","",IFERROR(--ISNUMBER(SEARCH("R28",G399)),0)+IFERROR(--ISNUMBER(SEARCH("R29",G399)),0)+IFERROR(--ISNUMBER(SEARCH("R30",G399)),0)+IFERROR(--ISNUMBER(SEARCH("R31",G399)),0)+IFERROR(--ISNUMBER(SEARCH("R32",G399)),0)+IFERROR(--ISNUMBER(SEARCH("R33",G399)),0)+IFERROR(--ISNUMBER(SEARCH("R34",G399)),0)+IFERROR(--ISNUMBER(SEARCH("R35",G399)),0)+IFERROR(--ISNUMBER(SEARCH("R36",G399)),0)+IFERROR(--ISNUMBER(SEARCH("R37",G399)),0)+IFERROR(--ISNUMBER(SEARCH("R38",G399)),0)+IFERROR(--ISNUMBER(SEARCH("R39",G399)),0)+IFERROR(--ISNUMBER(SEARCH("R40",G399)),0)+IFERROR(--ISNUMBER(SEARCH("R41",G399)),0)+IFERROR(--ISNUMBER(SEARCH("R42",G399)),0)+IFERROR(--ISNUMBER(SEARCH("R43",G399)),0)+IFERROR(--ISNUMBER(SEARCH("R44",G399)),0)+IFERROR(--ISNUMBER(SEARCH("R45",G399)),0)+IFERROR(--ISNUMBER(SEARCH("R46",G399)),0)+IFERROR(--ISNUMBER(SEARCH("R47",G399)),0)+IFERROR(--ISNUMBER(SEARCH("R48",G399)),0)+IFERROR(--ISNUMBER(SEARCH("R49",G399)),0)+IFERROR(--ISNUMBER(SEARCH("R50",G399)),0)+IFERROR(--ISNUMBER(SEARCH("R51",G399)),0)+IFERROR(--ISNUMBER(SEARCH("R52",G399)),0)+IFERROR(--ISNUMBER(SEARCH("R53",G399)),0)+IFERROR(--ISNUMBER(SEARCH("R54",G399)),0)+IFERROR(--ISNUMBER(SEARCH("R55",G399)),0)+IFERROR(--ISNUMBER(SEARCH("R56",G399)),0)+IFERROR(--ISNUMBER(SEARCH("R57",G399)),0)+IFERROR(--ISNUMBER(SEARCH("R58",G399)),0)+IFERROR(--ISNUMBER(SEARCH("R59",G399)),0)+IFERROR(--ISNUMBER(SEARCH("R60",G399)),0)+IFERROR(--ISNUMBER(SEARCH("R61",G399)),0)+IFERROR(--ISNUMBER(SEARCH("R62",G399)),0)+IFERROR(--ISNUMBER(SEARCH("R63",G399)),0)+IFERROR(--ISNUMBER(SEARCH("R64",G399)),0)+IFERROR(--ISNUMBER(SEARCH("R65",G399)),0)+IFERROR(--ISNUMBER(SEARCH("R66",G399)),0)+IFERROR(--ISNUMBER(SEARCH("R67",G399)),0)+IFERROR(--ISNUMBER(SEARCH("R68",G399)),0)+IFERROR(--ISNUMBER(SEARCH("R69",G399)),0)+IFERROR(--ISNUMBER(SEARCH("R70",G399)),0)+IFERROR(--ISNUMBER(SEARCH("R71",G399)),0)+IFERROR(--ISNUMBER(SEARCH("R72",G399)),0)+IFERROR(--ISNUMBER(SEARCH("R73",G399)),0)+IFERROR(--ISNUMBER(SEARCH("R74",G399)),0)+IFERROR(--ISNUMBER(SEARCH("R75",G399)),0)+IFERROR(--ISNUMBER(SEARCH("R76",G399)),0)+IFERROR(--ISNUMBER(SEARCH("R77",G399)),0)+IFERROR(--ISNUMBER(SEARCH("R78",G399)),0)+IFERROR(--ISNUMBER(SEARCH("R79",G399)),0)+IFERROR(--ISNUMBER(SEARCH("R80",G399)),0)+IFERROR(--ISNUMBER(SEARCH("R81",G399)),0)+IFERROR(--ISNUMBER(SEARCH("R82",G399)),0)+IFERROR(--ISNUMBER(SEARCH("R83",G399)),0)+IFERROR(--ISNUMBER(SEARCH("R84",G399)),0)+IFERROR(--ISNUMBER(SEARCH("R85",G399)),0)+IFERROR(--ISNUMBER(SEARCH("R86",G399)),0)+IFERROR(--ISNUMBER(SEARCH("R87",G399)),0)+IFERROR(--ISNUMBER(SEARCH("R88",G399)),0)+IFERROR(--ISNUMBER(SEARCH("R89",G399)),0)+IFERROR(--ISNUMBER(SEARCH("R90",G399)),0)+IFERROR(--ISNUMBER(SEARCH("R91",G399)),0)+IFERROR(--ISNUMBER(SEARCH("R92",G399)),0)+IFERROR(--ISNUMBER(SEARCH("R93",G399)),0)+IFERROR(--ISNUMBER(SEARCH("R94",G399)),0)+IFERROR(--ISNUMBER(SEARCH("R95",G399)),0)+IFERROR(--ISNUMBER(SEARCH("R96",G399)),0)+IFERROR(--ISNUMBER(SEARCH("R97",G399)),0)+IFERROR(--ISNUMBER(SEARCH("R98",G399)),0)+IFERROR(--ISNUMBER(SEARCH("R99",G399)),0)+IFERROR(--ISNUMBER(SEARCH("R100",G399)),0)+IFERROR(--ISNUMBER(SEARCH("R101",G399)),0)+IFERROR(--ISNUMBER(SEARCH("R102",G399)),0)+IFERROR(--ISNUMBER(SEARCH("R103",G399)),0)+IFERROR(--ISNUMBER(SEARCH("R104",G399)),0)+IFERROR(--ISNUMBER(SEARCH("R105",G399)),0)+IFERROR(--ISNUMBER(SEARCH("R106",G399)),0)+IFERROR(--ISNUMBER(SEARCH("R107",G399)),0)+IFERROR(--ISNUMBER(SEARCH("R108",G399)),0)+IFERROR(--ISNUMBER(SEARCH("R109",G399)),0)+IFERROR(--ISNUMBER(SEARCH("R110",G399)),0)+IFERROR(--ISNUMBER(SEARCH("R111",G399)),0)+IFERROR(--ISNUMBER(SEARCH("R112",G399)),0)+IFERROR(--ISNUMBER(SEARCH("R113",G399)),0)+IFERROR(--ISNUMBER(SEARCH("R114",G399)),0)+IFERROR(--ISNUMBER(SEARCH("R115",G399)),0)+IFERROR(--ISNUMBER(SEARCH("R116",G399)),0)+IFERROR(--ISNUMBER(SEARCH("R117",G399)),0)+IFERROR(--ISNUMBER(SEARCH("R118",G399)),0)+IFERROR(--ISNUMBER(SEARCH("R119",G399)),0)+IFERROR(--ISNUMBER(SEARCH("R120",G399)),0)+IFERROR(--ISNUMBER(SEARCH("R121",G399)),0)+IFERROR(--ISNUMBER(SEARCH("R122",G399)),0)+IFERROR(--ISNUMBER(SEARCH("R123",G399)),0)+IFERROR(--ISNUMBER(SEARCH("R124",G399)),0)+IFERROR(--ISNUMBER(SEARCH("R125",G399)),0)+IFERROR(--ISNUMBER(SEARCH("R126",G399)),0)+IFERROR(--ISNUMBER(SEARCH("R127",G399)),0)+IFERROR(--ISNUMBER(SEARCH("R128",G399)),0)+IFERROR(--ISNUMBER(SEARCH("R129",G399)),0)+IFERROR(--ISNUMBER(SEARCH("R130",G399)),0)+IFERROR(--ISNUMBER(SEARCH("R131",G399)),0)+IFERROR(--ISNUMBER(SEARCH("R132",G399)),0)+IFERROR(--ISNUMBER(SEARCH("R133",G399)),0)+IFERROR(--ISNUMBER(SEARCH("R134",G399)),0)+IFERROR(--ISNUMBER(SEARCH("R135",G399)),0)+IFERROR(--ISNUMBER(SEARCH("R136",G399)),0)+IFERROR(--ISNUMBER(SEARCH("R137",G399)),0)+IFERROR(--ISNUMBER(SEARCH("R138",G399)),0)+IFERROR(--ISNUMBER(SEARCH("R139",G399)),0)+IFERROR(--ISNUMBER(SEARCH("R140",G399)),0)+IFERROR(--ISNUMBER(SEARCH("R141",G399)),0))</f>
        <v/>
      </c>
      <c r="T399" s="58">
        <f>IF(A399="","",IFERROR(--ISNUMBER(SEARCH("R28",G399)),0)+IFERROR(--ISNUMBER(SEARCH("R29",G399)),0)+IFERROR(--ISNUMBER(SEARCH("R30",G399)),0)+IFERROR(--ISNUMBER(SEARCH("R32",G399)),0)+IFERROR(--ISNUMBER(SEARCH("R33",G399)),0)+IFERROR(--ISNUMBER(SEARCH("R35",G399)),0)+IFERROR(--ISNUMBER(SEARCH("R36",G399)),0)+IFERROR(--ISNUMBER(SEARCH("R38",G399)),0)+IFERROR(--ISNUMBER(SEARCH("R39",G399)),0)+IFERROR(--ISNUMBER(SEARCH("R43",G399)),0)+IFERROR(--ISNUMBER(SEARCH("R44",G399)),0)+IFERROR(--ISNUMBER(SEARCH("R45",G399)),0)+IFERROR(--ISNUMBER(SEARCH("R47",G399)),0)+IFERROR(--ISNUMBER(SEARCH("R48",G399)),0)+IFERROR(--ISNUMBER(SEARCH("R50",G399)),0)+IFERROR(--ISNUMBER(SEARCH("R51",G399)),0)+IFERROR(--ISNUMBER(SEARCH("R56",G399)),0)+IFERROR(--ISNUMBER(SEARCH("R58",G399)),0)+IFERROR(--ISNUMBER(SEARCH("R59",G399)),0)+IFERROR(--ISNUMBER(SEARCH("R60",G399)),0)+IFERROR(--ISNUMBER(SEARCH("R62",G399)),0)+IFERROR(--ISNUMBER(SEARCH("R63",G399)),0)+IFERROR(--ISNUMBER(SEARCH("R64",G399)),0)+IFERROR(--ISNUMBER(SEARCH("R66",G399)),0)+IFERROR(--ISNUMBER(SEARCH("R67",G399)),0)+IFERROR(--ISNUMBER(SEARCH("R72",G399)),0)+IFERROR(--ISNUMBER(SEARCH("R74",G399)),0)+IFERROR(--ISNUMBER(SEARCH("R75",G399)),0)+IFERROR(--ISNUMBER(SEARCH("R76",G399)),0)+IFERROR(--ISNUMBER(SEARCH("R77",G399)),0)+IFERROR(--ISNUMBER(SEARCH("R79",G399)),0)+IFERROR(--ISNUMBER(SEARCH("R80",G399)),0)+IFERROR(--ISNUMBER(SEARCH("R81",G399)),0)+IFERROR(--ISNUMBER(SEARCH("R83",G399)),0)+IFERROR(--ISNUMBER(SEARCH("R84",G399)),0)+IFERROR(--ISNUMBER(SEARCH("R89",G399)),0)+IFERROR(--ISNUMBER(SEARCH("R94",G399)),0)+IFERROR(--ISNUMBER(SEARCH("R95",G399)),0)+IFERROR(--ISNUMBER(SEARCH("R96",G399)),0)+IFERROR(--ISNUMBER(SEARCH("R98",G399)),0)+IFERROR(--ISNUMBER(SEARCH("R99",G399)),0)+IFERROR(--ISNUMBER(SEARCH("R100",G399)),0)+IFERROR(--ISNUMBER(SEARCH("R104",G399)),0)+IFERROR(--ISNUMBER(SEARCH("R105",G399)),0)+IFERROR(--ISNUMBER(SEARCH("R107",G399)),0)+IFERROR(--ISNUMBER(SEARCH("R108",G399)),0)+IFERROR(--ISNUMBER(SEARCH("R109",G399)),0)+IFERROR(--ISNUMBER(SEARCH("R110",G399)),0)+IFERROR(--ISNUMBER(SEARCH("R112",G399)),0)+IFERROR(--ISNUMBER(SEARCH("R113",G399)),0)+IFERROR(--ISNUMBER(SEARCH("R114",G399)),0)+IFERROR(--ISNUMBER(SEARCH("R118",G399)),0)+IFERROR(--ISNUMBER(SEARCH("R119",G399)),0)+IFERROR(--ISNUMBER(SEARCH("R120",G399)),0)+IFERROR(--ISNUMBER(SEARCH("R122",G399)),0)+IFERROR(--ISNUMBER(SEARCH("R123",G399)),0)+IFERROR(--ISNUMBER(SEARCH("R124",G399)),0)+IFERROR(--ISNUMBER(SEARCH("R128",G399)),0)+IFERROR(--ISNUMBER(SEARCH("R130",G399)),0)+IFERROR(--ISNUMBER(SEARCH("R131",G399)),0)+IFERROR(--ISNUMBER(SEARCH("R132",G399)),0)+IFERROR(--ISNUMBER(SEARCH("R135",G399)),0)+IFERROR(--ISNUMBER(SEARCH("R138",G399)),0)+IFERROR(--ISNUMBER(SEARCH("R141",G399)),0))</f>
        <v/>
      </c>
      <c r="U399" s="58">
        <f>IF(A399="","",IFERROR(--ISNUMBER(SEARCH("R28",G399))*28,0)+IFERROR(--ISNUMBER(SEARCH("R29",G399))*29,0)+IFERROR(--ISNUMBER(SEARCH("R30",G399))*30,0)+IFERROR(--ISNUMBER(SEARCH("R31",G399))*31,0)+IFERROR(--ISNUMBER(SEARCH("R32",G399))*32,0)+IFERROR(--ISNUMBER(SEARCH("R33",G399))*33,0)+IFERROR(--ISNUMBER(SEARCH("R34",G399))*34,0)+IFERROR(--ISNUMBER(SEARCH("R35",G399))*35,0)+IFERROR(--ISNUMBER(SEARCH("R36",G399))*36,0)+IFERROR(--ISNUMBER(SEARCH("R37",G399))*37,0)+IFERROR(--ISNUMBER(SEARCH("R38",G399))*38,0)+IFERROR(--ISNUMBER(SEARCH("R39",G399))*39,0)+IFERROR(--ISNUMBER(SEARCH("R40",G399))*40,0)+IFERROR(--ISNUMBER(SEARCH("R41",G399))*41,0)+IFERROR(--ISNUMBER(SEARCH("R42",G399))*42,0)+IFERROR(--ISNUMBER(SEARCH("R43",G399))*43,0)+IFERROR(--ISNUMBER(SEARCH("R44",G399))*44,0)+IFERROR(--ISNUMBER(SEARCH("R45",G399))*45,0)+IFERROR(--ISNUMBER(SEARCH("R46",G399))*46,0)+IFERROR(--ISNUMBER(SEARCH("R47",G399))*47,0)+IFERROR(--ISNUMBER(SEARCH("R48",G399))*48,0)+IFERROR(--ISNUMBER(SEARCH("R49",G399))*49,0)+IFERROR(--ISNUMBER(SEARCH("R50",G399))*50,0)+IFERROR(--ISNUMBER(SEARCH("R51",G399))*51,0)+IFERROR(--ISNUMBER(SEARCH("R52",G399))*52,0)+IFERROR(--ISNUMBER(SEARCH("R53",G399))*53,0)+IFERROR(--ISNUMBER(SEARCH("R54",G399))*54,0)+IFERROR(--ISNUMBER(SEARCH("R55",G399))*55,0)+IFERROR(--ISNUMBER(SEARCH("R56",G399))*56,0)+IFERROR(--ISNUMBER(SEARCH("R57",G399))*57,0)+IFERROR(--ISNUMBER(SEARCH("R58",G399))*58,0)+IFERROR(--ISNUMBER(SEARCH("R59",G399))*59,0)+IFERROR(--ISNUMBER(SEARCH("R60",G399))*60,0)+IFERROR(--ISNUMBER(SEARCH("R61",G399))*61,0)+IFERROR(--ISNUMBER(SEARCH("R62",G399))*62,0)+IFERROR(--ISNUMBER(SEARCH("R63",G399))*63,0)+IFERROR(--ISNUMBER(SEARCH("R64",G399))*64,0)+IFERROR(--ISNUMBER(SEARCH("R65",G399))*65,0)+IFERROR(--ISNUMBER(SEARCH("R66",G399))*66,0)+IFERROR(--ISNUMBER(SEARCH("R67",G399))*67,0)+IFERROR(--ISNUMBER(SEARCH("R68",G399))*68,0)+IFERROR(--ISNUMBER(SEARCH("R69",G399))*69,0)+IFERROR(--ISNUMBER(SEARCH("R70",G399))*70,0)+IFERROR(--ISNUMBER(SEARCH("R71",G399))*71,0)+IFERROR(--ISNUMBER(SEARCH("R72",G399))*72,0)+IFERROR(--ISNUMBER(SEARCH("R73",G399))*73,0)+IFERROR(--ISNUMBER(SEARCH("R74",G399))*74,0)+IFERROR(--ISNUMBER(SEARCH("R75",G399))*75,0)+IFERROR(--ISNUMBER(SEARCH("R76",G399))*76,0)+IFERROR(--ISNUMBER(SEARCH("R77",G399))*77,0)+IFERROR(--ISNUMBER(SEARCH("R78",G399))*78,0)+IFERROR(--ISNUMBER(SEARCH("R79",G399))*79,0)+IFERROR(--ISNUMBER(SEARCH("R80",G399))*80,0)+IFERROR(--ISNUMBER(SEARCH("R81",G399))*81,0)+IFERROR(--ISNUMBER(SEARCH("R82",G399))*82,0)+IFERROR(--ISNUMBER(SEARCH("R83",G399))*83,0)+IFERROR(--ISNUMBER(SEARCH("R84",G399))*84,0)+IFERROR(--ISNUMBER(SEARCH("R85",G399))*85,0)+IFERROR(--ISNUMBER(SEARCH("R86",G399))*86,0)+IFERROR(--ISNUMBER(SEARCH("R87",G399))*87,0)+IFERROR(--ISNUMBER(SEARCH("R88",G399))*88,0)+IFERROR(--ISNUMBER(SEARCH("R89",G399))*89,0)+IFERROR(--ISNUMBER(SEARCH("R90",G399))*90,0)+IFERROR(--ISNUMBER(SEARCH("R91",G399))*91,0)+IFERROR(--ISNUMBER(SEARCH("R92",G399))*92,0)+IFERROR(--ISNUMBER(SEARCH("R93",G399))*93,0)+IFERROR(--ISNUMBER(SEARCH("R94",G399))*94,0)+IFERROR(--ISNUMBER(SEARCH("R95",G399))*95,0)+IFERROR(--ISNUMBER(SEARCH("R96",G399))*96,0)+IFERROR(--ISNUMBER(SEARCH("R97",G399))*97,0)+IFERROR(--ISNUMBER(SEARCH("R98",G399))*98,0)+IFERROR(--ISNUMBER(SEARCH("R99",G399))*99,0)+IFERROR(--ISNUMBER(SEARCH("R100",G399))*100,0)+IFERROR(--ISNUMBER(SEARCH("R101",G399))*101,0)+IFERROR(--ISNUMBER(SEARCH("R102",G399))*102,0)+IFERROR(--ISNUMBER(SEARCH("R103",G399))*103,0)+IFERROR(--ISNUMBER(SEARCH("R104",G399))*104,0)+IFERROR(--ISNUMBER(SEARCH("R105",G399))*105,0)+IFERROR(--ISNUMBER(SEARCH("R106",G399))*106,0)+IFERROR(--ISNUMBER(SEARCH("R107",G399))*107,0)+IFERROR(--ISNUMBER(SEARCH("R108",G399))*108,0)+IFERROR(--ISNUMBER(SEARCH("R109",G399))*109,0)+IFERROR(--ISNUMBER(SEARCH("R110",G399))*110,0)+IFERROR(--ISNUMBER(SEARCH("R111",G399))*111,0)+IFERROR(--ISNUMBER(SEARCH("R112",G399))*112,0)+IFERROR(--ISNUMBER(SEARCH("R113",G399))*113,0)+IFERROR(--ISNUMBER(SEARCH("R114",G399))*114,0)+IFERROR(--ISNUMBER(SEARCH("R115",G399))*115,0)+IFERROR(--ISNUMBER(SEARCH("R116",G399))*116,0)+IFERROR(--ISNUMBER(SEARCH("R117",G399))*117,0)+IFERROR(--ISNUMBER(SEARCH("R118",G399))*118,0)+IFERROR(--ISNUMBER(SEARCH("R119",G399))*119,0)+IFERROR(--ISNUMBER(SEARCH("R120",G399))*120,0)+IFERROR(--ISNUMBER(SEARCH("R121",G399))*121,0)+IFERROR(--ISNUMBER(SEARCH("R122",G399))*122,0)+IFERROR(--ISNUMBER(SEARCH("R123",G399))*123,0)+IFERROR(--ISNUMBER(SEARCH("R124",G399))*124,0)+IFERROR(--ISNUMBER(SEARCH("R125",G399))*125,0)+IFERROR(--ISNUMBER(SEARCH("R126",G399))*126,0)+IFERROR(--ISNUMBER(SEARCH("R127",G399))*127,0)+IFERROR(--ISNUMBER(SEARCH("R128",G399))*128,0)+IFERROR(--ISNUMBER(SEARCH("R129",G399))*129,0)+IFERROR(--ISNUMBER(SEARCH("R130",G399))*130,0)+IFERROR(--ISNUMBER(SEARCH("R131",G399))*131,0)+IFERROR(--ISNUMBER(SEARCH("R132",G399))*132,0)+IFERROR(--ISNUMBER(SEARCH("R133",G399))*133,0)+IFERROR(--ISNUMBER(SEARCH("R134",G399))*134,0)+IFERROR(--ISNUMBER(SEARCH("R135",G399))*135,0)+IFERROR(--ISNUMBER(SEARCH("R136",G399))*136,0)+IFERROR(--ISNUMBER(SEARCH("R137",G399))*137,0)+IFERROR(--ISNUMBER(SEARCH("R138",G399))*138,0)+IFERROR(--ISNUMBER(SEARCH("R139",G399))*139,0)+IFERROR(--ISNUMBER(SEARCH("R140",G399))*140,0)+IFERROR(--ISNUMBER(SEARCH("R141",G399))*141,0))</f>
        <v/>
      </c>
      <c r="V399" s="59">
        <f>IF(A399="","",IF(K399&lt;&gt;"",K399,J399))</f>
        <v/>
      </c>
      <c r="W399" s="59">
        <f>IF(A399="","",IF(AND(V399=29,O399&lt;&gt;"",COUNTIFS($V$6:$V$505,29,$F$6:$F$505,F399,$C$6:$C$505,C399,$O$6:$O$505,"&lt;&gt;")&gt;1),IF(COUNTIFS($V$6:V399,29,$F$6:F399,F399,$C$6:C399,C399,$O$6:O399,"&lt;&gt;")=1,"Esta es la fila que se debe CONSERVAR (aparición 1 de "&amp;COUNTIFS($V$6:$V$505,29,$F$6:$F$505,F399,$C$6:$C$505,C399,$O$6:$O$505,"&lt;&gt;")&amp;" con el mismo tercero y valor, casilla 29). Si hay más filas iguales, bórreles el valor a ELLAS, no a esta.","DUPLICADO — ya existe otra fila con el mismo tercero y valor para casilla 29 (aparición "&amp;COUNTIFS($V$6:V399,29,$F$6:F399,F399,$C$6:C399,C399,$O$6:O399,"&lt;&gt;")&amp;" de "&amp;COUNTIFS($V$6:$V$505,29,$F$6:$F$505,F399,$C$6:$C$505,C399,$O$6:$O$505,"&lt;&gt;")&amp;"). Para resolverlo: seleccione la celda O"&amp;ROW()&amp;" (columna Valor a declarar de ESTA fila) y presione Supr."),""))</f>
        <v/>
      </c>
      <c r="X399" s="463">
        <f>IF(A399="","",F399)</f>
        <v/>
      </c>
      <c r="Y399" s="463">
        <f>IF(A399="","",SUMIF(Entrada_Manual!$I$88:$I$187,A399,Entrada_Manual!$F$88:$F$187))</f>
        <v/>
      </c>
      <c r="Z399" s="463">
        <f>IF(A399="","",X399-Y399)</f>
        <v/>
      </c>
      <c r="AA399">
        <f>IF(A399="","",SUMPRODUCT((Entrada_Manual!$I$88:$I$187=A399)*1))</f>
        <v/>
      </c>
      <c r="AB399">
        <f>IF(A399="","",IF(S399&lt;=1,"",IF(AA399=0,"PENDIENTE — SIN ASIGNAR",IF(Z399=0,"RESUELTO","PARCIAL — DIFERENCIA "&amp;TEXT(Z399,"#,##0")))))</f>
        <v/>
      </c>
    </row>
    <row r="400" ht="14.25" customHeight="1" s="235">
      <c r="A400" s="47">
        <f>IF(Exogena_RAW!E409&lt;&gt;"",ROW()-5,"")</f>
        <v/>
      </c>
      <c r="B400" s="48">
        <f>IF(A400="","",409)</f>
        <v/>
      </c>
      <c r="C400" s="48">
        <f>IF(A400="","",IFERROR(Exogena_RAW!A409,""))</f>
        <v/>
      </c>
      <c r="D400" s="48">
        <f>IF(A400="","",IFERROR(Exogena_RAW!B409,""))</f>
        <v/>
      </c>
      <c r="E400" s="48">
        <f>IF(A400="","",Exogena_RAW!E409)</f>
        <v/>
      </c>
      <c r="F400" s="461">
        <f>IF(A400="","",Exogena_RAW!F409)</f>
        <v/>
      </c>
      <c r="G400" s="48">
        <f>IF(A400="","",IFERROR(Exogena_RAW!G409,""))</f>
        <v/>
      </c>
      <c r="H400" s="48">
        <f>IF(A400="","",IFERROR(Exogena_RAW!H409,""))</f>
        <v/>
      </c>
      <c r="I400" s="48">
        <f>IF(A400="","",IFERROR(IF(S400&gt;1,"VARIAS CASILLAS",IF(S400=1,IF(T400=1,"PROPUESTA DE CASILLA","REVISIÓN: CASILLA NO DIRECTA"),IF(OR(ISNUMBER(SEARCH("TOPE",UPPER(E400))),ISNUMBER(SEARCH("TOPE",UPPER(G400)))),"SOLO CONTROL",IF(ISNUMBER(SEARCH("RETEN",UPPER(E400))),"RETENCIÓN","REVISAR")))),"REVISAR"))</f>
        <v/>
      </c>
      <c r="J400" s="48">
        <f>IF(A400="","",IF(ISNUMBER(SEARCH("ingreso laboral promedio de los últimos seis meses",E400)),"",IFERROR(IF(AND(S400=1,T400=1),U400,""),"")))</f>
        <v/>
      </c>
      <c r="K400" s="216" t="n"/>
      <c r="L400" s="48">
        <f>IF(A400="","",IFERROR(IF(K400&lt;&gt;"","Casilla elegida por usuario",IF(S400&gt;1,"Varias casillas — elegir en K",IF(J400&lt;&gt;"","Sugerencia directa",IF(S400=1,"No trasladar directo — revisar",IF(OR(ISNUMBER(SEARCH("TOPE",UPPER(E400))),ISNUMBER(SEARCH("TOPE",UPPER(G400)))),"Solo control","Revisar manualmente"))))),"Revisar manualmente"))</f>
        <v/>
      </c>
      <c r="M400" s="461">
        <f>IF(A400="","",IF(IF(K400&lt;&gt;"",K400,J400)="",0,IF(COUNTIFS(Reglas!$I$5:$I$118,IF(K400&lt;&gt;"",K400,J400),Reglas!$J$5:$J$118,"Sí")=1,F400,0)))</f>
        <v/>
      </c>
      <c r="N400" s="56" t="n"/>
      <c r="O400" s="462">
        <f>IF(A400="","",IF(M400=0,"",M400))</f>
        <v/>
      </c>
      <c r="P400" s="461">
        <f>IF(A400="","",IF(O400="",0,IF(ISNUMBER(O400),O400,0)))</f>
        <v/>
      </c>
      <c r="Q400" s="48">
        <f>IF(A400="","",IF(Exogena_RAW!$C$4="","BLOQUEADO: FALTA AÑO",IF(Exogena_RAW!$K$10&lt;&gt;Reglas!$B$5,"BLOQUEADO: AÑO",IF(IF(K400&lt;&gt;"",K400,J400)="",IF(S400&gt;1,"REQUIERE ASIGNACIÓN MANUAL (VARIAS CASILLAS)","INFORMATIVO (sin casilla — no se declara)"),IF(COUNTIFS(Reglas!$I$5:$I$118,IF(K400&lt;&gt;"",K400,J400),Reglas!$J$5:$J$118,"Sí")=0,"BLOQUEADO: CASILLA NO DIRECTA",IF(O400="","EXCLUIDO (valor borrado por el usuario)",IF(_xlfn.ISFORMULA(O400),IF(W400&lt;&gt;"","BORRADOR — VALOR SUGERIDO DIAN ⚠ VER ALERTA","BORRADOR — VALOR SUGERIDO DIAN"),IF(W400&lt;&gt;"","ACEPTADO ⚠ VER ALERTA","ACEPTADO"))))))))</f>
        <v/>
      </c>
      <c r="R400" s="218" t="n"/>
      <c r="S400" s="58">
        <f>IF(A400="","",IFERROR(--ISNUMBER(SEARCH("R28",G400)),0)+IFERROR(--ISNUMBER(SEARCH("R29",G400)),0)+IFERROR(--ISNUMBER(SEARCH("R30",G400)),0)+IFERROR(--ISNUMBER(SEARCH("R31",G400)),0)+IFERROR(--ISNUMBER(SEARCH("R32",G400)),0)+IFERROR(--ISNUMBER(SEARCH("R33",G400)),0)+IFERROR(--ISNUMBER(SEARCH("R34",G400)),0)+IFERROR(--ISNUMBER(SEARCH("R35",G400)),0)+IFERROR(--ISNUMBER(SEARCH("R36",G400)),0)+IFERROR(--ISNUMBER(SEARCH("R37",G400)),0)+IFERROR(--ISNUMBER(SEARCH("R38",G400)),0)+IFERROR(--ISNUMBER(SEARCH("R39",G400)),0)+IFERROR(--ISNUMBER(SEARCH("R40",G400)),0)+IFERROR(--ISNUMBER(SEARCH("R41",G400)),0)+IFERROR(--ISNUMBER(SEARCH("R42",G400)),0)+IFERROR(--ISNUMBER(SEARCH("R43",G400)),0)+IFERROR(--ISNUMBER(SEARCH("R44",G400)),0)+IFERROR(--ISNUMBER(SEARCH("R45",G400)),0)+IFERROR(--ISNUMBER(SEARCH("R46",G400)),0)+IFERROR(--ISNUMBER(SEARCH("R47",G400)),0)+IFERROR(--ISNUMBER(SEARCH("R48",G400)),0)+IFERROR(--ISNUMBER(SEARCH("R49",G400)),0)+IFERROR(--ISNUMBER(SEARCH("R50",G400)),0)+IFERROR(--ISNUMBER(SEARCH("R51",G400)),0)+IFERROR(--ISNUMBER(SEARCH("R52",G400)),0)+IFERROR(--ISNUMBER(SEARCH("R53",G400)),0)+IFERROR(--ISNUMBER(SEARCH("R54",G400)),0)+IFERROR(--ISNUMBER(SEARCH("R55",G400)),0)+IFERROR(--ISNUMBER(SEARCH("R56",G400)),0)+IFERROR(--ISNUMBER(SEARCH("R57",G400)),0)+IFERROR(--ISNUMBER(SEARCH("R58",G400)),0)+IFERROR(--ISNUMBER(SEARCH("R59",G400)),0)+IFERROR(--ISNUMBER(SEARCH("R60",G400)),0)+IFERROR(--ISNUMBER(SEARCH("R61",G400)),0)+IFERROR(--ISNUMBER(SEARCH("R62",G400)),0)+IFERROR(--ISNUMBER(SEARCH("R63",G400)),0)+IFERROR(--ISNUMBER(SEARCH("R64",G400)),0)+IFERROR(--ISNUMBER(SEARCH("R65",G400)),0)+IFERROR(--ISNUMBER(SEARCH("R66",G400)),0)+IFERROR(--ISNUMBER(SEARCH("R67",G400)),0)+IFERROR(--ISNUMBER(SEARCH("R68",G400)),0)+IFERROR(--ISNUMBER(SEARCH("R69",G400)),0)+IFERROR(--ISNUMBER(SEARCH("R70",G400)),0)+IFERROR(--ISNUMBER(SEARCH("R71",G400)),0)+IFERROR(--ISNUMBER(SEARCH("R72",G400)),0)+IFERROR(--ISNUMBER(SEARCH("R73",G400)),0)+IFERROR(--ISNUMBER(SEARCH("R74",G400)),0)+IFERROR(--ISNUMBER(SEARCH("R75",G400)),0)+IFERROR(--ISNUMBER(SEARCH("R76",G400)),0)+IFERROR(--ISNUMBER(SEARCH("R77",G400)),0)+IFERROR(--ISNUMBER(SEARCH("R78",G400)),0)+IFERROR(--ISNUMBER(SEARCH("R79",G400)),0)+IFERROR(--ISNUMBER(SEARCH("R80",G400)),0)+IFERROR(--ISNUMBER(SEARCH("R81",G400)),0)+IFERROR(--ISNUMBER(SEARCH("R82",G400)),0)+IFERROR(--ISNUMBER(SEARCH("R83",G400)),0)+IFERROR(--ISNUMBER(SEARCH("R84",G400)),0)+IFERROR(--ISNUMBER(SEARCH("R85",G400)),0)+IFERROR(--ISNUMBER(SEARCH("R86",G400)),0)+IFERROR(--ISNUMBER(SEARCH("R87",G400)),0)+IFERROR(--ISNUMBER(SEARCH("R88",G400)),0)+IFERROR(--ISNUMBER(SEARCH("R89",G400)),0)+IFERROR(--ISNUMBER(SEARCH("R90",G400)),0)+IFERROR(--ISNUMBER(SEARCH("R91",G400)),0)+IFERROR(--ISNUMBER(SEARCH("R92",G400)),0)+IFERROR(--ISNUMBER(SEARCH("R93",G400)),0)+IFERROR(--ISNUMBER(SEARCH("R94",G400)),0)+IFERROR(--ISNUMBER(SEARCH("R95",G400)),0)+IFERROR(--ISNUMBER(SEARCH("R96",G400)),0)+IFERROR(--ISNUMBER(SEARCH("R97",G400)),0)+IFERROR(--ISNUMBER(SEARCH("R98",G400)),0)+IFERROR(--ISNUMBER(SEARCH("R99",G400)),0)+IFERROR(--ISNUMBER(SEARCH("R100",G400)),0)+IFERROR(--ISNUMBER(SEARCH("R101",G400)),0)+IFERROR(--ISNUMBER(SEARCH("R102",G400)),0)+IFERROR(--ISNUMBER(SEARCH("R103",G400)),0)+IFERROR(--ISNUMBER(SEARCH("R104",G400)),0)+IFERROR(--ISNUMBER(SEARCH("R105",G400)),0)+IFERROR(--ISNUMBER(SEARCH("R106",G400)),0)+IFERROR(--ISNUMBER(SEARCH("R107",G400)),0)+IFERROR(--ISNUMBER(SEARCH("R108",G400)),0)+IFERROR(--ISNUMBER(SEARCH("R109",G400)),0)+IFERROR(--ISNUMBER(SEARCH("R110",G400)),0)+IFERROR(--ISNUMBER(SEARCH("R111",G400)),0)+IFERROR(--ISNUMBER(SEARCH("R112",G400)),0)+IFERROR(--ISNUMBER(SEARCH("R113",G400)),0)+IFERROR(--ISNUMBER(SEARCH("R114",G400)),0)+IFERROR(--ISNUMBER(SEARCH("R115",G400)),0)+IFERROR(--ISNUMBER(SEARCH("R116",G400)),0)+IFERROR(--ISNUMBER(SEARCH("R117",G400)),0)+IFERROR(--ISNUMBER(SEARCH("R118",G400)),0)+IFERROR(--ISNUMBER(SEARCH("R119",G400)),0)+IFERROR(--ISNUMBER(SEARCH("R120",G400)),0)+IFERROR(--ISNUMBER(SEARCH("R121",G400)),0)+IFERROR(--ISNUMBER(SEARCH("R122",G400)),0)+IFERROR(--ISNUMBER(SEARCH("R123",G400)),0)+IFERROR(--ISNUMBER(SEARCH("R124",G400)),0)+IFERROR(--ISNUMBER(SEARCH("R125",G400)),0)+IFERROR(--ISNUMBER(SEARCH("R126",G400)),0)+IFERROR(--ISNUMBER(SEARCH("R127",G400)),0)+IFERROR(--ISNUMBER(SEARCH("R128",G400)),0)+IFERROR(--ISNUMBER(SEARCH("R129",G400)),0)+IFERROR(--ISNUMBER(SEARCH("R130",G400)),0)+IFERROR(--ISNUMBER(SEARCH("R131",G400)),0)+IFERROR(--ISNUMBER(SEARCH("R132",G400)),0)+IFERROR(--ISNUMBER(SEARCH("R133",G400)),0)+IFERROR(--ISNUMBER(SEARCH("R134",G400)),0)+IFERROR(--ISNUMBER(SEARCH("R135",G400)),0)+IFERROR(--ISNUMBER(SEARCH("R136",G400)),0)+IFERROR(--ISNUMBER(SEARCH("R137",G400)),0)+IFERROR(--ISNUMBER(SEARCH("R138",G400)),0)+IFERROR(--ISNUMBER(SEARCH("R139",G400)),0)+IFERROR(--ISNUMBER(SEARCH("R140",G400)),0)+IFERROR(--ISNUMBER(SEARCH("R141",G400)),0))</f>
        <v/>
      </c>
      <c r="T400" s="58">
        <f>IF(A400="","",IFERROR(--ISNUMBER(SEARCH("R28",G400)),0)+IFERROR(--ISNUMBER(SEARCH("R29",G400)),0)+IFERROR(--ISNUMBER(SEARCH("R30",G400)),0)+IFERROR(--ISNUMBER(SEARCH("R32",G400)),0)+IFERROR(--ISNUMBER(SEARCH("R33",G400)),0)+IFERROR(--ISNUMBER(SEARCH("R35",G400)),0)+IFERROR(--ISNUMBER(SEARCH("R36",G400)),0)+IFERROR(--ISNUMBER(SEARCH("R38",G400)),0)+IFERROR(--ISNUMBER(SEARCH("R39",G400)),0)+IFERROR(--ISNUMBER(SEARCH("R43",G400)),0)+IFERROR(--ISNUMBER(SEARCH("R44",G400)),0)+IFERROR(--ISNUMBER(SEARCH("R45",G400)),0)+IFERROR(--ISNUMBER(SEARCH("R47",G400)),0)+IFERROR(--ISNUMBER(SEARCH("R48",G400)),0)+IFERROR(--ISNUMBER(SEARCH("R50",G400)),0)+IFERROR(--ISNUMBER(SEARCH("R51",G400)),0)+IFERROR(--ISNUMBER(SEARCH("R56",G400)),0)+IFERROR(--ISNUMBER(SEARCH("R58",G400)),0)+IFERROR(--ISNUMBER(SEARCH("R59",G400)),0)+IFERROR(--ISNUMBER(SEARCH("R60",G400)),0)+IFERROR(--ISNUMBER(SEARCH("R62",G400)),0)+IFERROR(--ISNUMBER(SEARCH("R63",G400)),0)+IFERROR(--ISNUMBER(SEARCH("R64",G400)),0)+IFERROR(--ISNUMBER(SEARCH("R66",G400)),0)+IFERROR(--ISNUMBER(SEARCH("R67",G400)),0)+IFERROR(--ISNUMBER(SEARCH("R72",G400)),0)+IFERROR(--ISNUMBER(SEARCH("R74",G400)),0)+IFERROR(--ISNUMBER(SEARCH("R75",G400)),0)+IFERROR(--ISNUMBER(SEARCH("R76",G400)),0)+IFERROR(--ISNUMBER(SEARCH("R77",G400)),0)+IFERROR(--ISNUMBER(SEARCH("R79",G400)),0)+IFERROR(--ISNUMBER(SEARCH("R80",G400)),0)+IFERROR(--ISNUMBER(SEARCH("R81",G400)),0)+IFERROR(--ISNUMBER(SEARCH("R83",G400)),0)+IFERROR(--ISNUMBER(SEARCH("R84",G400)),0)+IFERROR(--ISNUMBER(SEARCH("R89",G400)),0)+IFERROR(--ISNUMBER(SEARCH("R94",G400)),0)+IFERROR(--ISNUMBER(SEARCH("R95",G400)),0)+IFERROR(--ISNUMBER(SEARCH("R96",G400)),0)+IFERROR(--ISNUMBER(SEARCH("R98",G400)),0)+IFERROR(--ISNUMBER(SEARCH("R99",G400)),0)+IFERROR(--ISNUMBER(SEARCH("R100",G400)),0)+IFERROR(--ISNUMBER(SEARCH("R104",G400)),0)+IFERROR(--ISNUMBER(SEARCH("R105",G400)),0)+IFERROR(--ISNUMBER(SEARCH("R107",G400)),0)+IFERROR(--ISNUMBER(SEARCH("R108",G400)),0)+IFERROR(--ISNUMBER(SEARCH("R109",G400)),0)+IFERROR(--ISNUMBER(SEARCH("R110",G400)),0)+IFERROR(--ISNUMBER(SEARCH("R112",G400)),0)+IFERROR(--ISNUMBER(SEARCH("R113",G400)),0)+IFERROR(--ISNUMBER(SEARCH("R114",G400)),0)+IFERROR(--ISNUMBER(SEARCH("R118",G400)),0)+IFERROR(--ISNUMBER(SEARCH("R119",G400)),0)+IFERROR(--ISNUMBER(SEARCH("R120",G400)),0)+IFERROR(--ISNUMBER(SEARCH("R122",G400)),0)+IFERROR(--ISNUMBER(SEARCH("R123",G400)),0)+IFERROR(--ISNUMBER(SEARCH("R124",G400)),0)+IFERROR(--ISNUMBER(SEARCH("R128",G400)),0)+IFERROR(--ISNUMBER(SEARCH("R130",G400)),0)+IFERROR(--ISNUMBER(SEARCH("R131",G400)),0)+IFERROR(--ISNUMBER(SEARCH("R132",G400)),0)+IFERROR(--ISNUMBER(SEARCH("R135",G400)),0)+IFERROR(--ISNUMBER(SEARCH("R138",G400)),0)+IFERROR(--ISNUMBER(SEARCH("R141",G400)),0))</f>
        <v/>
      </c>
      <c r="U400" s="58">
        <f>IF(A400="","",IFERROR(--ISNUMBER(SEARCH("R28",G400))*28,0)+IFERROR(--ISNUMBER(SEARCH("R29",G400))*29,0)+IFERROR(--ISNUMBER(SEARCH("R30",G400))*30,0)+IFERROR(--ISNUMBER(SEARCH("R31",G400))*31,0)+IFERROR(--ISNUMBER(SEARCH("R32",G400))*32,0)+IFERROR(--ISNUMBER(SEARCH("R33",G400))*33,0)+IFERROR(--ISNUMBER(SEARCH("R34",G400))*34,0)+IFERROR(--ISNUMBER(SEARCH("R35",G400))*35,0)+IFERROR(--ISNUMBER(SEARCH("R36",G400))*36,0)+IFERROR(--ISNUMBER(SEARCH("R37",G400))*37,0)+IFERROR(--ISNUMBER(SEARCH("R38",G400))*38,0)+IFERROR(--ISNUMBER(SEARCH("R39",G400))*39,0)+IFERROR(--ISNUMBER(SEARCH("R40",G400))*40,0)+IFERROR(--ISNUMBER(SEARCH("R41",G400))*41,0)+IFERROR(--ISNUMBER(SEARCH("R42",G400))*42,0)+IFERROR(--ISNUMBER(SEARCH("R43",G400))*43,0)+IFERROR(--ISNUMBER(SEARCH("R44",G400))*44,0)+IFERROR(--ISNUMBER(SEARCH("R45",G400))*45,0)+IFERROR(--ISNUMBER(SEARCH("R46",G400))*46,0)+IFERROR(--ISNUMBER(SEARCH("R47",G400))*47,0)+IFERROR(--ISNUMBER(SEARCH("R48",G400))*48,0)+IFERROR(--ISNUMBER(SEARCH("R49",G400))*49,0)+IFERROR(--ISNUMBER(SEARCH("R50",G400))*50,0)+IFERROR(--ISNUMBER(SEARCH("R51",G400))*51,0)+IFERROR(--ISNUMBER(SEARCH("R52",G400))*52,0)+IFERROR(--ISNUMBER(SEARCH("R53",G400))*53,0)+IFERROR(--ISNUMBER(SEARCH("R54",G400))*54,0)+IFERROR(--ISNUMBER(SEARCH("R55",G400))*55,0)+IFERROR(--ISNUMBER(SEARCH("R56",G400))*56,0)+IFERROR(--ISNUMBER(SEARCH("R57",G400))*57,0)+IFERROR(--ISNUMBER(SEARCH("R58",G400))*58,0)+IFERROR(--ISNUMBER(SEARCH("R59",G400))*59,0)+IFERROR(--ISNUMBER(SEARCH("R60",G400))*60,0)+IFERROR(--ISNUMBER(SEARCH("R61",G400))*61,0)+IFERROR(--ISNUMBER(SEARCH("R62",G400))*62,0)+IFERROR(--ISNUMBER(SEARCH("R63",G400))*63,0)+IFERROR(--ISNUMBER(SEARCH("R64",G400))*64,0)+IFERROR(--ISNUMBER(SEARCH("R65",G400))*65,0)+IFERROR(--ISNUMBER(SEARCH("R66",G400))*66,0)+IFERROR(--ISNUMBER(SEARCH("R67",G400))*67,0)+IFERROR(--ISNUMBER(SEARCH("R68",G400))*68,0)+IFERROR(--ISNUMBER(SEARCH("R69",G400))*69,0)+IFERROR(--ISNUMBER(SEARCH("R70",G400))*70,0)+IFERROR(--ISNUMBER(SEARCH("R71",G400))*71,0)+IFERROR(--ISNUMBER(SEARCH("R72",G400))*72,0)+IFERROR(--ISNUMBER(SEARCH("R73",G400))*73,0)+IFERROR(--ISNUMBER(SEARCH("R74",G400))*74,0)+IFERROR(--ISNUMBER(SEARCH("R75",G400))*75,0)+IFERROR(--ISNUMBER(SEARCH("R76",G400))*76,0)+IFERROR(--ISNUMBER(SEARCH("R77",G400))*77,0)+IFERROR(--ISNUMBER(SEARCH("R78",G400))*78,0)+IFERROR(--ISNUMBER(SEARCH("R79",G400))*79,0)+IFERROR(--ISNUMBER(SEARCH("R80",G400))*80,0)+IFERROR(--ISNUMBER(SEARCH("R81",G400))*81,0)+IFERROR(--ISNUMBER(SEARCH("R82",G400))*82,0)+IFERROR(--ISNUMBER(SEARCH("R83",G400))*83,0)+IFERROR(--ISNUMBER(SEARCH("R84",G400))*84,0)+IFERROR(--ISNUMBER(SEARCH("R85",G400))*85,0)+IFERROR(--ISNUMBER(SEARCH("R86",G400))*86,0)+IFERROR(--ISNUMBER(SEARCH("R87",G400))*87,0)+IFERROR(--ISNUMBER(SEARCH("R88",G400))*88,0)+IFERROR(--ISNUMBER(SEARCH("R89",G400))*89,0)+IFERROR(--ISNUMBER(SEARCH("R90",G400))*90,0)+IFERROR(--ISNUMBER(SEARCH("R91",G400))*91,0)+IFERROR(--ISNUMBER(SEARCH("R92",G400))*92,0)+IFERROR(--ISNUMBER(SEARCH("R93",G400))*93,0)+IFERROR(--ISNUMBER(SEARCH("R94",G400))*94,0)+IFERROR(--ISNUMBER(SEARCH("R95",G400))*95,0)+IFERROR(--ISNUMBER(SEARCH("R96",G400))*96,0)+IFERROR(--ISNUMBER(SEARCH("R97",G400))*97,0)+IFERROR(--ISNUMBER(SEARCH("R98",G400))*98,0)+IFERROR(--ISNUMBER(SEARCH("R99",G400))*99,0)+IFERROR(--ISNUMBER(SEARCH("R100",G400))*100,0)+IFERROR(--ISNUMBER(SEARCH("R101",G400))*101,0)+IFERROR(--ISNUMBER(SEARCH("R102",G400))*102,0)+IFERROR(--ISNUMBER(SEARCH("R103",G400))*103,0)+IFERROR(--ISNUMBER(SEARCH("R104",G400))*104,0)+IFERROR(--ISNUMBER(SEARCH("R105",G400))*105,0)+IFERROR(--ISNUMBER(SEARCH("R106",G400))*106,0)+IFERROR(--ISNUMBER(SEARCH("R107",G400))*107,0)+IFERROR(--ISNUMBER(SEARCH("R108",G400))*108,0)+IFERROR(--ISNUMBER(SEARCH("R109",G400))*109,0)+IFERROR(--ISNUMBER(SEARCH("R110",G400))*110,0)+IFERROR(--ISNUMBER(SEARCH("R111",G400))*111,0)+IFERROR(--ISNUMBER(SEARCH("R112",G400))*112,0)+IFERROR(--ISNUMBER(SEARCH("R113",G400))*113,0)+IFERROR(--ISNUMBER(SEARCH("R114",G400))*114,0)+IFERROR(--ISNUMBER(SEARCH("R115",G400))*115,0)+IFERROR(--ISNUMBER(SEARCH("R116",G400))*116,0)+IFERROR(--ISNUMBER(SEARCH("R117",G400))*117,0)+IFERROR(--ISNUMBER(SEARCH("R118",G400))*118,0)+IFERROR(--ISNUMBER(SEARCH("R119",G400))*119,0)+IFERROR(--ISNUMBER(SEARCH("R120",G400))*120,0)+IFERROR(--ISNUMBER(SEARCH("R121",G400))*121,0)+IFERROR(--ISNUMBER(SEARCH("R122",G400))*122,0)+IFERROR(--ISNUMBER(SEARCH("R123",G400))*123,0)+IFERROR(--ISNUMBER(SEARCH("R124",G400))*124,0)+IFERROR(--ISNUMBER(SEARCH("R125",G400))*125,0)+IFERROR(--ISNUMBER(SEARCH("R126",G400))*126,0)+IFERROR(--ISNUMBER(SEARCH("R127",G400))*127,0)+IFERROR(--ISNUMBER(SEARCH("R128",G400))*128,0)+IFERROR(--ISNUMBER(SEARCH("R129",G400))*129,0)+IFERROR(--ISNUMBER(SEARCH("R130",G400))*130,0)+IFERROR(--ISNUMBER(SEARCH("R131",G400))*131,0)+IFERROR(--ISNUMBER(SEARCH("R132",G400))*132,0)+IFERROR(--ISNUMBER(SEARCH("R133",G400))*133,0)+IFERROR(--ISNUMBER(SEARCH("R134",G400))*134,0)+IFERROR(--ISNUMBER(SEARCH("R135",G400))*135,0)+IFERROR(--ISNUMBER(SEARCH("R136",G400))*136,0)+IFERROR(--ISNUMBER(SEARCH("R137",G400))*137,0)+IFERROR(--ISNUMBER(SEARCH("R138",G400))*138,0)+IFERROR(--ISNUMBER(SEARCH("R139",G400))*139,0)+IFERROR(--ISNUMBER(SEARCH("R140",G400))*140,0)+IFERROR(--ISNUMBER(SEARCH("R141",G400))*141,0))</f>
        <v/>
      </c>
      <c r="V400" s="59">
        <f>IF(A400="","",IF(K400&lt;&gt;"",K400,J400))</f>
        <v/>
      </c>
      <c r="W400" s="59">
        <f>IF(A400="","",IF(AND(V400=29,O400&lt;&gt;"",COUNTIFS($V$6:$V$505,29,$F$6:$F$505,F400,$C$6:$C$505,C400,$O$6:$O$505,"&lt;&gt;")&gt;1),IF(COUNTIFS($V$6:V400,29,$F$6:F400,F400,$C$6:C400,C400,$O$6:O400,"&lt;&gt;")=1,"Esta es la fila que se debe CONSERVAR (aparición 1 de "&amp;COUNTIFS($V$6:$V$505,29,$F$6:$F$505,F400,$C$6:$C$505,C400,$O$6:$O$505,"&lt;&gt;")&amp;" con el mismo tercero y valor, casilla 29). Si hay más filas iguales, bórreles el valor a ELLAS, no a esta.","DUPLICADO — ya existe otra fila con el mismo tercero y valor para casilla 29 (aparición "&amp;COUNTIFS($V$6:V400,29,$F$6:F400,F400,$C$6:C400,C400,$O$6:O400,"&lt;&gt;")&amp;" de "&amp;COUNTIFS($V$6:$V$505,29,$F$6:$F$505,F400,$C$6:$C$505,C400,$O$6:$O$505,"&lt;&gt;")&amp;"). Para resolverlo: seleccione la celda O"&amp;ROW()&amp;" (columna Valor a declarar de ESTA fila) y presione Supr."),""))</f>
        <v/>
      </c>
      <c r="X400" s="463">
        <f>IF(A400="","",F400)</f>
        <v/>
      </c>
      <c r="Y400" s="463">
        <f>IF(A400="","",SUMIF(Entrada_Manual!$I$88:$I$187,A400,Entrada_Manual!$F$88:$F$187))</f>
        <v/>
      </c>
      <c r="Z400" s="463">
        <f>IF(A400="","",X400-Y400)</f>
        <v/>
      </c>
      <c r="AA400">
        <f>IF(A400="","",SUMPRODUCT((Entrada_Manual!$I$88:$I$187=A400)*1))</f>
        <v/>
      </c>
      <c r="AB400">
        <f>IF(A400="","",IF(S400&lt;=1,"",IF(AA400=0,"PENDIENTE — SIN ASIGNAR",IF(Z400=0,"RESUELTO","PARCIAL — DIFERENCIA "&amp;TEXT(Z400,"#,##0")))))</f>
        <v/>
      </c>
    </row>
    <row r="401" ht="14.25" customHeight="1" s="235">
      <c r="A401" s="47">
        <f>IF(Exogena_RAW!E410&lt;&gt;"",ROW()-5,"")</f>
        <v/>
      </c>
      <c r="B401" s="48">
        <f>IF(A401="","",410)</f>
        <v/>
      </c>
      <c r="C401" s="48">
        <f>IF(A401="","",IFERROR(Exogena_RAW!A410,""))</f>
        <v/>
      </c>
      <c r="D401" s="48">
        <f>IF(A401="","",IFERROR(Exogena_RAW!B410,""))</f>
        <v/>
      </c>
      <c r="E401" s="48">
        <f>IF(A401="","",Exogena_RAW!E410)</f>
        <v/>
      </c>
      <c r="F401" s="461">
        <f>IF(A401="","",Exogena_RAW!F410)</f>
        <v/>
      </c>
      <c r="G401" s="48">
        <f>IF(A401="","",IFERROR(Exogena_RAW!G410,""))</f>
        <v/>
      </c>
      <c r="H401" s="48">
        <f>IF(A401="","",IFERROR(Exogena_RAW!H410,""))</f>
        <v/>
      </c>
      <c r="I401" s="48">
        <f>IF(A401="","",IFERROR(IF(S401&gt;1,"VARIAS CASILLAS",IF(S401=1,IF(T401=1,"PROPUESTA DE CASILLA","REVISIÓN: CASILLA NO DIRECTA"),IF(OR(ISNUMBER(SEARCH("TOPE",UPPER(E401))),ISNUMBER(SEARCH("TOPE",UPPER(G401)))),"SOLO CONTROL",IF(ISNUMBER(SEARCH("RETEN",UPPER(E401))),"RETENCIÓN","REVISAR")))),"REVISAR"))</f>
        <v/>
      </c>
      <c r="J401" s="48">
        <f>IF(A401="","",IF(ISNUMBER(SEARCH("ingreso laboral promedio de los últimos seis meses",E401)),"",IFERROR(IF(AND(S401=1,T401=1),U401,""),"")))</f>
        <v/>
      </c>
      <c r="K401" s="216" t="n"/>
      <c r="L401" s="48">
        <f>IF(A401="","",IFERROR(IF(K401&lt;&gt;"","Casilla elegida por usuario",IF(S401&gt;1,"Varias casillas — elegir en K",IF(J401&lt;&gt;"","Sugerencia directa",IF(S401=1,"No trasladar directo — revisar",IF(OR(ISNUMBER(SEARCH("TOPE",UPPER(E401))),ISNUMBER(SEARCH("TOPE",UPPER(G401)))),"Solo control","Revisar manualmente"))))),"Revisar manualmente"))</f>
        <v/>
      </c>
      <c r="M401" s="461">
        <f>IF(A401="","",IF(IF(K401&lt;&gt;"",K401,J401)="",0,IF(COUNTIFS(Reglas!$I$5:$I$118,IF(K401&lt;&gt;"",K401,J401),Reglas!$J$5:$J$118,"Sí")=1,F401,0)))</f>
        <v/>
      </c>
      <c r="N401" s="56" t="n"/>
      <c r="O401" s="462">
        <f>IF(A401="","",IF(M401=0,"",M401))</f>
        <v/>
      </c>
      <c r="P401" s="461">
        <f>IF(A401="","",IF(O401="",0,IF(ISNUMBER(O401),O401,0)))</f>
        <v/>
      </c>
      <c r="Q401" s="48">
        <f>IF(A401="","",IF(Exogena_RAW!$C$4="","BLOQUEADO: FALTA AÑO",IF(Exogena_RAW!$K$10&lt;&gt;Reglas!$B$5,"BLOQUEADO: AÑO",IF(IF(K401&lt;&gt;"",K401,J401)="",IF(S401&gt;1,"REQUIERE ASIGNACIÓN MANUAL (VARIAS CASILLAS)","INFORMATIVO (sin casilla — no se declara)"),IF(COUNTIFS(Reglas!$I$5:$I$118,IF(K401&lt;&gt;"",K401,J401),Reglas!$J$5:$J$118,"Sí")=0,"BLOQUEADO: CASILLA NO DIRECTA",IF(O401="","EXCLUIDO (valor borrado por el usuario)",IF(_xlfn.ISFORMULA(O401),IF(W401&lt;&gt;"","BORRADOR — VALOR SUGERIDO DIAN ⚠ VER ALERTA","BORRADOR — VALOR SUGERIDO DIAN"),IF(W401&lt;&gt;"","ACEPTADO ⚠ VER ALERTA","ACEPTADO"))))))))</f>
        <v/>
      </c>
      <c r="R401" s="218" t="n"/>
      <c r="S401" s="58">
        <f>IF(A401="","",IFERROR(--ISNUMBER(SEARCH("R28",G401)),0)+IFERROR(--ISNUMBER(SEARCH("R29",G401)),0)+IFERROR(--ISNUMBER(SEARCH("R30",G401)),0)+IFERROR(--ISNUMBER(SEARCH("R31",G401)),0)+IFERROR(--ISNUMBER(SEARCH("R32",G401)),0)+IFERROR(--ISNUMBER(SEARCH("R33",G401)),0)+IFERROR(--ISNUMBER(SEARCH("R34",G401)),0)+IFERROR(--ISNUMBER(SEARCH("R35",G401)),0)+IFERROR(--ISNUMBER(SEARCH("R36",G401)),0)+IFERROR(--ISNUMBER(SEARCH("R37",G401)),0)+IFERROR(--ISNUMBER(SEARCH("R38",G401)),0)+IFERROR(--ISNUMBER(SEARCH("R39",G401)),0)+IFERROR(--ISNUMBER(SEARCH("R40",G401)),0)+IFERROR(--ISNUMBER(SEARCH("R41",G401)),0)+IFERROR(--ISNUMBER(SEARCH("R42",G401)),0)+IFERROR(--ISNUMBER(SEARCH("R43",G401)),0)+IFERROR(--ISNUMBER(SEARCH("R44",G401)),0)+IFERROR(--ISNUMBER(SEARCH("R45",G401)),0)+IFERROR(--ISNUMBER(SEARCH("R46",G401)),0)+IFERROR(--ISNUMBER(SEARCH("R47",G401)),0)+IFERROR(--ISNUMBER(SEARCH("R48",G401)),0)+IFERROR(--ISNUMBER(SEARCH("R49",G401)),0)+IFERROR(--ISNUMBER(SEARCH("R50",G401)),0)+IFERROR(--ISNUMBER(SEARCH("R51",G401)),0)+IFERROR(--ISNUMBER(SEARCH("R52",G401)),0)+IFERROR(--ISNUMBER(SEARCH("R53",G401)),0)+IFERROR(--ISNUMBER(SEARCH("R54",G401)),0)+IFERROR(--ISNUMBER(SEARCH("R55",G401)),0)+IFERROR(--ISNUMBER(SEARCH("R56",G401)),0)+IFERROR(--ISNUMBER(SEARCH("R57",G401)),0)+IFERROR(--ISNUMBER(SEARCH("R58",G401)),0)+IFERROR(--ISNUMBER(SEARCH("R59",G401)),0)+IFERROR(--ISNUMBER(SEARCH("R60",G401)),0)+IFERROR(--ISNUMBER(SEARCH("R61",G401)),0)+IFERROR(--ISNUMBER(SEARCH("R62",G401)),0)+IFERROR(--ISNUMBER(SEARCH("R63",G401)),0)+IFERROR(--ISNUMBER(SEARCH("R64",G401)),0)+IFERROR(--ISNUMBER(SEARCH("R65",G401)),0)+IFERROR(--ISNUMBER(SEARCH("R66",G401)),0)+IFERROR(--ISNUMBER(SEARCH("R67",G401)),0)+IFERROR(--ISNUMBER(SEARCH("R68",G401)),0)+IFERROR(--ISNUMBER(SEARCH("R69",G401)),0)+IFERROR(--ISNUMBER(SEARCH("R70",G401)),0)+IFERROR(--ISNUMBER(SEARCH("R71",G401)),0)+IFERROR(--ISNUMBER(SEARCH("R72",G401)),0)+IFERROR(--ISNUMBER(SEARCH("R73",G401)),0)+IFERROR(--ISNUMBER(SEARCH("R74",G401)),0)+IFERROR(--ISNUMBER(SEARCH("R75",G401)),0)+IFERROR(--ISNUMBER(SEARCH("R76",G401)),0)+IFERROR(--ISNUMBER(SEARCH("R77",G401)),0)+IFERROR(--ISNUMBER(SEARCH("R78",G401)),0)+IFERROR(--ISNUMBER(SEARCH("R79",G401)),0)+IFERROR(--ISNUMBER(SEARCH("R80",G401)),0)+IFERROR(--ISNUMBER(SEARCH("R81",G401)),0)+IFERROR(--ISNUMBER(SEARCH("R82",G401)),0)+IFERROR(--ISNUMBER(SEARCH("R83",G401)),0)+IFERROR(--ISNUMBER(SEARCH("R84",G401)),0)+IFERROR(--ISNUMBER(SEARCH("R85",G401)),0)+IFERROR(--ISNUMBER(SEARCH("R86",G401)),0)+IFERROR(--ISNUMBER(SEARCH("R87",G401)),0)+IFERROR(--ISNUMBER(SEARCH("R88",G401)),0)+IFERROR(--ISNUMBER(SEARCH("R89",G401)),0)+IFERROR(--ISNUMBER(SEARCH("R90",G401)),0)+IFERROR(--ISNUMBER(SEARCH("R91",G401)),0)+IFERROR(--ISNUMBER(SEARCH("R92",G401)),0)+IFERROR(--ISNUMBER(SEARCH("R93",G401)),0)+IFERROR(--ISNUMBER(SEARCH("R94",G401)),0)+IFERROR(--ISNUMBER(SEARCH("R95",G401)),0)+IFERROR(--ISNUMBER(SEARCH("R96",G401)),0)+IFERROR(--ISNUMBER(SEARCH("R97",G401)),0)+IFERROR(--ISNUMBER(SEARCH("R98",G401)),0)+IFERROR(--ISNUMBER(SEARCH("R99",G401)),0)+IFERROR(--ISNUMBER(SEARCH("R100",G401)),0)+IFERROR(--ISNUMBER(SEARCH("R101",G401)),0)+IFERROR(--ISNUMBER(SEARCH("R102",G401)),0)+IFERROR(--ISNUMBER(SEARCH("R103",G401)),0)+IFERROR(--ISNUMBER(SEARCH("R104",G401)),0)+IFERROR(--ISNUMBER(SEARCH("R105",G401)),0)+IFERROR(--ISNUMBER(SEARCH("R106",G401)),0)+IFERROR(--ISNUMBER(SEARCH("R107",G401)),0)+IFERROR(--ISNUMBER(SEARCH("R108",G401)),0)+IFERROR(--ISNUMBER(SEARCH("R109",G401)),0)+IFERROR(--ISNUMBER(SEARCH("R110",G401)),0)+IFERROR(--ISNUMBER(SEARCH("R111",G401)),0)+IFERROR(--ISNUMBER(SEARCH("R112",G401)),0)+IFERROR(--ISNUMBER(SEARCH("R113",G401)),0)+IFERROR(--ISNUMBER(SEARCH("R114",G401)),0)+IFERROR(--ISNUMBER(SEARCH("R115",G401)),0)+IFERROR(--ISNUMBER(SEARCH("R116",G401)),0)+IFERROR(--ISNUMBER(SEARCH("R117",G401)),0)+IFERROR(--ISNUMBER(SEARCH("R118",G401)),0)+IFERROR(--ISNUMBER(SEARCH("R119",G401)),0)+IFERROR(--ISNUMBER(SEARCH("R120",G401)),0)+IFERROR(--ISNUMBER(SEARCH("R121",G401)),0)+IFERROR(--ISNUMBER(SEARCH("R122",G401)),0)+IFERROR(--ISNUMBER(SEARCH("R123",G401)),0)+IFERROR(--ISNUMBER(SEARCH("R124",G401)),0)+IFERROR(--ISNUMBER(SEARCH("R125",G401)),0)+IFERROR(--ISNUMBER(SEARCH("R126",G401)),0)+IFERROR(--ISNUMBER(SEARCH("R127",G401)),0)+IFERROR(--ISNUMBER(SEARCH("R128",G401)),0)+IFERROR(--ISNUMBER(SEARCH("R129",G401)),0)+IFERROR(--ISNUMBER(SEARCH("R130",G401)),0)+IFERROR(--ISNUMBER(SEARCH("R131",G401)),0)+IFERROR(--ISNUMBER(SEARCH("R132",G401)),0)+IFERROR(--ISNUMBER(SEARCH("R133",G401)),0)+IFERROR(--ISNUMBER(SEARCH("R134",G401)),0)+IFERROR(--ISNUMBER(SEARCH("R135",G401)),0)+IFERROR(--ISNUMBER(SEARCH("R136",G401)),0)+IFERROR(--ISNUMBER(SEARCH("R137",G401)),0)+IFERROR(--ISNUMBER(SEARCH("R138",G401)),0)+IFERROR(--ISNUMBER(SEARCH("R139",G401)),0)+IFERROR(--ISNUMBER(SEARCH("R140",G401)),0)+IFERROR(--ISNUMBER(SEARCH("R141",G401)),0))</f>
        <v/>
      </c>
      <c r="T401" s="58">
        <f>IF(A401="","",IFERROR(--ISNUMBER(SEARCH("R28",G401)),0)+IFERROR(--ISNUMBER(SEARCH("R29",G401)),0)+IFERROR(--ISNUMBER(SEARCH("R30",G401)),0)+IFERROR(--ISNUMBER(SEARCH("R32",G401)),0)+IFERROR(--ISNUMBER(SEARCH("R33",G401)),0)+IFERROR(--ISNUMBER(SEARCH("R35",G401)),0)+IFERROR(--ISNUMBER(SEARCH("R36",G401)),0)+IFERROR(--ISNUMBER(SEARCH("R38",G401)),0)+IFERROR(--ISNUMBER(SEARCH("R39",G401)),0)+IFERROR(--ISNUMBER(SEARCH("R43",G401)),0)+IFERROR(--ISNUMBER(SEARCH("R44",G401)),0)+IFERROR(--ISNUMBER(SEARCH("R45",G401)),0)+IFERROR(--ISNUMBER(SEARCH("R47",G401)),0)+IFERROR(--ISNUMBER(SEARCH("R48",G401)),0)+IFERROR(--ISNUMBER(SEARCH("R50",G401)),0)+IFERROR(--ISNUMBER(SEARCH("R51",G401)),0)+IFERROR(--ISNUMBER(SEARCH("R56",G401)),0)+IFERROR(--ISNUMBER(SEARCH("R58",G401)),0)+IFERROR(--ISNUMBER(SEARCH("R59",G401)),0)+IFERROR(--ISNUMBER(SEARCH("R60",G401)),0)+IFERROR(--ISNUMBER(SEARCH("R62",G401)),0)+IFERROR(--ISNUMBER(SEARCH("R63",G401)),0)+IFERROR(--ISNUMBER(SEARCH("R64",G401)),0)+IFERROR(--ISNUMBER(SEARCH("R66",G401)),0)+IFERROR(--ISNUMBER(SEARCH("R67",G401)),0)+IFERROR(--ISNUMBER(SEARCH("R72",G401)),0)+IFERROR(--ISNUMBER(SEARCH("R74",G401)),0)+IFERROR(--ISNUMBER(SEARCH("R75",G401)),0)+IFERROR(--ISNUMBER(SEARCH("R76",G401)),0)+IFERROR(--ISNUMBER(SEARCH("R77",G401)),0)+IFERROR(--ISNUMBER(SEARCH("R79",G401)),0)+IFERROR(--ISNUMBER(SEARCH("R80",G401)),0)+IFERROR(--ISNUMBER(SEARCH("R81",G401)),0)+IFERROR(--ISNUMBER(SEARCH("R83",G401)),0)+IFERROR(--ISNUMBER(SEARCH("R84",G401)),0)+IFERROR(--ISNUMBER(SEARCH("R89",G401)),0)+IFERROR(--ISNUMBER(SEARCH("R94",G401)),0)+IFERROR(--ISNUMBER(SEARCH("R95",G401)),0)+IFERROR(--ISNUMBER(SEARCH("R96",G401)),0)+IFERROR(--ISNUMBER(SEARCH("R98",G401)),0)+IFERROR(--ISNUMBER(SEARCH("R99",G401)),0)+IFERROR(--ISNUMBER(SEARCH("R100",G401)),0)+IFERROR(--ISNUMBER(SEARCH("R104",G401)),0)+IFERROR(--ISNUMBER(SEARCH("R105",G401)),0)+IFERROR(--ISNUMBER(SEARCH("R107",G401)),0)+IFERROR(--ISNUMBER(SEARCH("R108",G401)),0)+IFERROR(--ISNUMBER(SEARCH("R109",G401)),0)+IFERROR(--ISNUMBER(SEARCH("R110",G401)),0)+IFERROR(--ISNUMBER(SEARCH("R112",G401)),0)+IFERROR(--ISNUMBER(SEARCH("R113",G401)),0)+IFERROR(--ISNUMBER(SEARCH("R114",G401)),0)+IFERROR(--ISNUMBER(SEARCH("R118",G401)),0)+IFERROR(--ISNUMBER(SEARCH("R119",G401)),0)+IFERROR(--ISNUMBER(SEARCH("R120",G401)),0)+IFERROR(--ISNUMBER(SEARCH("R122",G401)),0)+IFERROR(--ISNUMBER(SEARCH("R123",G401)),0)+IFERROR(--ISNUMBER(SEARCH("R124",G401)),0)+IFERROR(--ISNUMBER(SEARCH("R128",G401)),0)+IFERROR(--ISNUMBER(SEARCH("R130",G401)),0)+IFERROR(--ISNUMBER(SEARCH("R131",G401)),0)+IFERROR(--ISNUMBER(SEARCH("R132",G401)),0)+IFERROR(--ISNUMBER(SEARCH("R135",G401)),0)+IFERROR(--ISNUMBER(SEARCH("R138",G401)),0)+IFERROR(--ISNUMBER(SEARCH("R141",G401)),0))</f>
        <v/>
      </c>
      <c r="U401" s="58">
        <f>IF(A401="","",IFERROR(--ISNUMBER(SEARCH("R28",G401))*28,0)+IFERROR(--ISNUMBER(SEARCH("R29",G401))*29,0)+IFERROR(--ISNUMBER(SEARCH("R30",G401))*30,0)+IFERROR(--ISNUMBER(SEARCH("R31",G401))*31,0)+IFERROR(--ISNUMBER(SEARCH("R32",G401))*32,0)+IFERROR(--ISNUMBER(SEARCH("R33",G401))*33,0)+IFERROR(--ISNUMBER(SEARCH("R34",G401))*34,0)+IFERROR(--ISNUMBER(SEARCH("R35",G401))*35,0)+IFERROR(--ISNUMBER(SEARCH("R36",G401))*36,0)+IFERROR(--ISNUMBER(SEARCH("R37",G401))*37,0)+IFERROR(--ISNUMBER(SEARCH("R38",G401))*38,0)+IFERROR(--ISNUMBER(SEARCH("R39",G401))*39,0)+IFERROR(--ISNUMBER(SEARCH("R40",G401))*40,0)+IFERROR(--ISNUMBER(SEARCH("R41",G401))*41,0)+IFERROR(--ISNUMBER(SEARCH("R42",G401))*42,0)+IFERROR(--ISNUMBER(SEARCH("R43",G401))*43,0)+IFERROR(--ISNUMBER(SEARCH("R44",G401))*44,0)+IFERROR(--ISNUMBER(SEARCH("R45",G401))*45,0)+IFERROR(--ISNUMBER(SEARCH("R46",G401))*46,0)+IFERROR(--ISNUMBER(SEARCH("R47",G401))*47,0)+IFERROR(--ISNUMBER(SEARCH("R48",G401))*48,0)+IFERROR(--ISNUMBER(SEARCH("R49",G401))*49,0)+IFERROR(--ISNUMBER(SEARCH("R50",G401))*50,0)+IFERROR(--ISNUMBER(SEARCH("R51",G401))*51,0)+IFERROR(--ISNUMBER(SEARCH("R52",G401))*52,0)+IFERROR(--ISNUMBER(SEARCH("R53",G401))*53,0)+IFERROR(--ISNUMBER(SEARCH("R54",G401))*54,0)+IFERROR(--ISNUMBER(SEARCH("R55",G401))*55,0)+IFERROR(--ISNUMBER(SEARCH("R56",G401))*56,0)+IFERROR(--ISNUMBER(SEARCH("R57",G401))*57,0)+IFERROR(--ISNUMBER(SEARCH("R58",G401))*58,0)+IFERROR(--ISNUMBER(SEARCH("R59",G401))*59,0)+IFERROR(--ISNUMBER(SEARCH("R60",G401))*60,0)+IFERROR(--ISNUMBER(SEARCH("R61",G401))*61,0)+IFERROR(--ISNUMBER(SEARCH("R62",G401))*62,0)+IFERROR(--ISNUMBER(SEARCH("R63",G401))*63,0)+IFERROR(--ISNUMBER(SEARCH("R64",G401))*64,0)+IFERROR(--ISNUMBER(SEARCH("R65",G401))*65,0)+IFERROR(--ISNUMBER(SEARCH("R66",G401))*66,0)+IFERROR(--ISNUMBER(SEARCH("R67",G401))*67,0)+IFERROR(--ISNUMBER(SEARCH("R68",G401))*68,0)+IFERROR(--ISNUMBER(SEARCH("R69",G401))*69,0)+IFERROR(--ISNUMBER(SEARCH("R70",G401))*70,0)+IFERROR(--ISNUMBER(SEARCH("R71",G401))*71,0)+IFERROR(--ISNUMBER(SEARCH("R72",G401))*72,0)+IFERROR(--ISNUMBER(SEARCH("R73",G401))*73,0)+IFERROR(--ISNUMBER(SEARCH("R74",G401))*74,0)+IFERROR(--ISNUMBER(SEARCH("R75",G401))*75,0)+IFERROR(--ISNUMBER(SEARCH("R76",G401))*76,0)+IFERROR(--ISNUMBER(SEARCH("R77",G401))*77,0)+IFERROR(--ISNUMBER(SEARCH("R78",G401))*78,0)+IFERROR(--ISNUMBER(SEARCH("R79",G401))*79,0)+IFERROR(--ISNUMBER(SEARCH("R80",G401))*80,0)+IFERROR(--ISNUMBER(SEARCH("R81",G401))*81,0)+IFERROR(--ISNUMBER(SEARCH("R82",G401))*82,0)+IFERROR(--ISNUMBER(SEARCH("R83",G401))*83,0)+IFERROR(--ISNUMBER(SEARCH("R84",G401))*84,0)+IFERROR(--ISNUMBER(SEARCH("R85",G401))*85,0)+IFERROR(--ISNUMBER(SEARCH("R86",G401))*86,0)+IFERROR(--ISNUMBER(SEARCH("R87",G401))*87,0)+IFERROR(--ISNUMBER(SEARCH("R88",G401))*88,0)+IFERROR(--ISNUMBER(SEARCH("R89",G401))*89,0)+IFERROR(--ISNUMBER(SEARCH("R90",G401))*90,0)+IFERROR(--ISNUMBER(SEARCH("R91",G401))*91,0)+IFERROR(--ISNUMBER(SEARCH("R92",G401))*92,0)+IFERROR(--ISNUMBER(SEARCH("R93",G401))*93,0)+IFERROR(--ISNUMBER(SEARCH("R94",G401))*94,0)+IFERROR(--ISNUMBER(SEARCH("R95",G401))*95,0)+IFERROR(--ISNUMBER(SEARCH("R96",G401))*96,0)+IFERROR(--ISNUMBER(SEARCH("R97",G401))*97,0)+IFERROR(--ISNUMBER(SEARCH("R98",G401))*98,0)+IFERROR(--ISNUMBER(SEARCH("R99",G401))*99,0)+IFERROR(--ISNUMBER(SEARCH("R100",G401))*100,0)+IFERROR(--ISNUMBER(SEARCH("R101",G401))*101,0)+IFERROR(--ISNUMBER(SEARCH("R102",G401))*102,0)+IFERROR(--ISNUMBER(SEARCH("R103",G401))*103,0)+IFERROR(--ISNUMBER(SEARCH("R104",G401))*104,0)+IFERROR(--ISNUMBER(SEARCH("R105",G401))*105,0)+IFERROR(--ISNUMBER(SEARCH("R106",G401))*106,0)+IFERROR(--ISNUMBER(SEARCH("R107",G401))*107,0)+IFERROR(--ISNUMBER(SEARCH("R108",G401))*108,0)+IFERROR(--ISNUMBER(SEARCH("R109",G401))*109,0)+IFERROR(--ISNUMBER(SEARCH("R110",G401))*110,0)+IFERROR(--ISNUMBER(SEARCH("R111",G401))*111,0)+IFERROR(--ISNUMBER(SEARCH("R112",G401))*112,0)+IFERROR(--ISNUMBER(SEARCH("R113",G401))*113,0)+IFERROR(--ISNUMBER(SEARCH("R114",G401))*114,0)+IFERROR(--ISNUMBER(SEARCH("R115",G401))*115,0)+IFERROR(--ISNUMBER(SEARCH("R116",G401))*116,0)+IFERROR(--ISNUMBER(SEARCH("R117",G401))*117,0)+IFERROR(--ISNUMBER(SEARCH("R118",G401))*118,0)+IFERROR(--ISNUMBER(SEARCH("R119",G401))*119,0)+IFERROR(--ISNUMBER(SEARCH("R120",G401))*120,0)+IFERROR(--ISNUMBER(SEARCH("R121",G401))*121,0)+IFERROR(--ISNUMBER(SEARCH("R122",G401))*122,0)+IFERROR(--ISNUMBER(SEARCH("R123",G401))*123,0)+IFERROR(--ISNUMBER(SEARCH("R124",G401))*124,0)+IFERROR(--ISNUMBER(SEARCH("R125",G401))*125,0)+IFERROR(--ISNUMBER(SEARCH("R126",G401))*126,0)+IFERROR(--ISNUMBER(SEARCH("R127",G401))*127,0)+IFERROR(--ISNUMBER(SEARCH("R128",G401))*128,0)+IFERROR(--ISNUMBER(SEARCH("R129",G401))*129,0)+IFERROR(--ISNUMBER(SEARCH("R130",G401))*130,0)+IFERROR(--ISNUMBER(SEARCH("R131",G401))*131,0)+IFERROR(--ISNUMBER(SEARCH("R132",G401))*132,0)+IFERROR(--ISNUMBER(SEARCH("R133",G401))*133,0)+IFERROR(--ISNUMBER(SEARCH("R134",G401))*134,0)+IFERROR(--ISNUMBER(SEARCH("R135",G401))*135,0)+IFERROR(--ISNUMBER(SEARCH("R136",G401))*136,0)+IFERROR(--ISNUMBER(SEARCH("R137",G401))*137,0)+IFERROR(--ISNUMBER(SEARCH("R138",G401))*138,0)+IFERROR(--ISNUMBER(SEARCH("R139",G401))*139,0)+IFERROR(--ISNUMBER(SEARCH("R140",G401))*140,0)+IFERROR(--ISNUMBER(SEARCH("R141",G401))*141,0))</f>
        <v/>
      </c>
      <c r="V401" s="59">
        <f>IF(A401="","",IF(K401&lt;&gt;"",K401,J401))</f>
        <v/>
      </c>
      <c r="W401" s="59">
        <f>IF(A401="","",IF(AND(V401=29,O401&lt;&gt;"",COUNTIFS($V$6:$V$505,29,$F$6:$F$505,F401,$C$6:$C$505,C401,$O$6:$O$505,"&lt;&gt;")&gt;1),IF(COUNTIFS($V$6:V401,29,$F$6:F401,F401,$C$6:C401,C401,$O$6:O401,"&lt;&gt;")=1,"Esta es la fila que se debe CONSERVAR (aparición 1 de "&amp;COUNTIFS($V$6:$V$505,29,$F$6:$F$505,F401,$C$6:$C$505,C401,$O$6:$O$505,"&lt;&gt;")&amp;" con el mismo tercero y valor, casilla 29). Si hay más filas iguales, bórreles el valor a ELLAS, no a esta.","DUPLICADO — ya existe otra fila con el mismo tercero y valor para casilla 29 (aparición "&amp;COUNTIFS($V$6:V401,29,$F$6:F401,F401,$C$6:C401,C401,$O$6:O401,"&lt;&gt;")&amp;" de "&amp;COUNTIFS($V$6:$V$505,29,$F$6:$F$505,F401,$C$6:$C$505,C401,$O$6:$O$505,"&lt;&gt;")&amp;"). Para resolverlo: seleccione la celda O"&amp;ROW()&amp;" (columna Valor a declarar de ESTA fila) y presione Supr."),""))</f>
        <v/>
      </c>
      <c r="X401" s="463">
        <f>IF(A401="","",F401)</f>
        <v/>
      </c>
      <c r="Y401" s="463">
        <f>IF(A401="","",SUMIF(Entrada_Manual!$I$88:$I$187,A401,Entrada_Manual!$F$88:$F$187))</f>
        <v/>
      </c>
      <c r="Z401" s="463">
        <f>IF(A401="","",X401-Y401)</f>
        <v/>
      </c>
      <c r="AA401">
        <f>IF(A401="","",SUMPRODUCT((Entrada_Manual!$I$88:$I$187=A401)*1))</f>
        <v/>
      </c>
      <c r="AB401">
        <f>IF(A401="","",IF(S401&lt;=1,"",IF(AA401=0,"PENDIENTE — SIN ASIGNAR",IF(Z401=0,"RESUELTO","PARCIAL — DIFERENCIA "&amp;TEXT(Z401,"#,##0")))))</f>
        <v/>
      </c>
    </row>
    <row r="402" ht="14.25" customHeight="1" s="235">
      <c r="A402" s="47">
        <f>IF(Exogena_RAW!E411&lt;&gt;"",ROW()-5,"")</f>
        <v/>
      </c>
      <c r="B402" s="48">
        <f>IF(A402="","",411)</f>
        <v/>
      </c>
      <c r="C402" s="48">
        <f>IF(A402="","",IFERROR(Exogena_RAW!A411,""))</f>
        <v/>
      </c>
      <c r="D402" s="48">
        <f>IF(A402="","",IFERROR(Exogena_RAW!B411,""))</f>
        <v/>
      </c>
      <c r="E402" s="48">
        <f>IF(A402="","",Exogena_RAW!E411)</f>
        <v/>
      </c>
      <c r="F402" s="461">
        <f>IF(A402="","",Exogena_RAW!F411)</f>
        <v/>
      </c>
      <c r="G402" s="48">
        <f>IF(A402="","",IFERROR(Exogena_RAW!G411,""))</f>
        <v/>
      </c>
      <c r="H402" s="48">
        <f>IF(A402="","",IFERROR(Exogena_RAW!H411,""))</f>
        <v/>
      </c>
      <c r="I402" s="48">
        <f>IF(A402="","",IFERROR(IF(S402&gt;1,"VARIAS CASILLAS",IF(S402=1,IF(T402=1,"PROPUESTA DE CASILLA","REVISIÓN: CASILLA NO DIRECTA"),IF(OR(ISNUMBER(SEARCH("TOPE",UPPER(E402))),ISNUMBER(SEARCH("TOPE",UPPER(G402)))),"SOLO CONTROL",IF(ISNUMBER(SEARCH("RETEN",UPPER(E402))),"RETENCIÓN","REVISAR")))),"REVISAR"))</f>
        <v/>
      </c>
      <c r="J402" s="48">
        <f>IF(A402="","",IF(ISNUMBER(SEARCH("ingreso laboral promedio de los últimos seis meses",E402)),"",IFERROR(IF(AND(S402=1,T402=1),U402,""),"")))</f>
        <v/>
      </c>
      <c r="K402" s="216" t="n"/>
      <c r="L402" s="48">
        <f>IF(A402="","",IFERROR(IF(K402&lt;&gt;"","Casilla elegida por usuario",IF(S402&gt;1,"Varias casillas — elegir en K",IF(J402&lt;&gt;"","Sugerencia directa",IF(S402=1,"No trasladar directo — revisar",IF(OR(ISNUMBER(SEARCH("TOPE",UPPER(E402))),ISNUMBER(SEARCH("TOPE",UPPER(G402)))),"Solo control","Revisar manualmente"))))),"Revisar manualmente"))</f>
        <v/>
      </c>
      <c r="M402" s="461">
        <f>IF(A402="","",IF(IF(K402&lt;&gt;"",K402,J402)="",0,IF(COUNTIFS(Reglas!$I$5:$I$118,IF(K402&lt;&gt;"",K402,J402),Reglas!$J$5:$J$118,"Sí")=1,F402,0)))</f>
        <v/>
      </c>
      <c r="N402" s="56" t="n"/>
      <c r="O402" s="462">
        <f>IF(A402="","",IF(M402=0,"",M402))</f>
        <v/>
      </c>
      <c r="P402" s="461">
        <f>IF(A402="","",IF(O402="",0,IF(ISNUMBER(O402),O402,0)))</f>
        <v/>
      </c>
      <c r="Q402" s="48">
        <f>IF(A402="","",IF(Exogena_RAW!$C$4="","BLOQUEADO: FALTA AÑO",IF(Exogena_RAW!$K$10&lt;&gt;Reglas!$B$5,"BLOQUEADO: AÑO",IF(IF(K402&lt;&gt;"",K402,J402)="",IF(S402&gt;1,"REQUIERE ASIGNACIÓN MANUAL (VARIAS CASILLAS)","INFORMATIVO (sin casilla — no se declara)"),IF(COUNTIFS(Reglas!$I$5:$I$118,IF(K402&lt;&gt;"",K402,J402),Reglas!$J$5:$J$118,"Sí")=0,"BLOQUEADO: CASILLA NO DIRECTA",IF(O402="","EXCLUIDO (valor borrado por el usuario)",IF(_xlfn.ISFORMULA(O402),IF(W402&lt;&gt;"","BORRADOR — VALOR SUGERIDO DIAN ⚠ VER ALERTA","BORRADOR — VALOR SUGERIDO DIAN"),IF(W402&lt;&gt;"","ACEPTADO ⚠ VER ALERTA","ACEPTADO"))))))))</f>
        <v/>
      </c>
      <c r="R402" s="218" t="n"/>
      <c r="S402" s="58">
        <f>IF(A402="","",IFERROR(--ISNUMBER(SEARCH("R28",G402)),0)+IFERROR(--ISNUMBER(SEARCH("R29",G402)),0)+IFERROR(--ISNUMBER(SEARCH("R30",G402)),0)+IFERROR(--ISNUMBER(SEARCH("R31",G402)),0)+IFERROR(--ISNUMBER(SEARCH("R32",G402)),0)+IFERROR(--ISNUMBER(SEARCH("R33",G402)),0)+IFERROR(--ISNUMBER(SEARCH("R34",G402)),0)+IFERROR(--ISNUMBER(SEARCH("R35",G402)),0)+IFERROR(--ISNUMBER(SEARCH("R36",G402)),0)+IFERROR(--ISNUMBER(SEARCH("R37",G402)),0)+IFERROR(--ISNUMBER(SEARCH("R38",G402)),0)+IFERROR(--ISNUMBER(SEARCH("R39",G402)),0)+IFERROR(--ISNUMBER(SEARCH("R40",G402)),0)+IFERROR(--ISNUMBER(SEARCH("R41",G402)),0)+IFERROR(--ISNUMBER(SEARCH("R42",G402)),0)+IFERROR(--ISNUMBER(SEARCH("R43",G402)),0)+IFERROR(--ISNUMBER(SEARCH("R44",G402)),0)+IFERROR(--ISNUMBER(SEARCH("R45",G402)),0)+IFERROR(--ISNUMBER(SEARCH("R46",G402)),0)+IFERROR(--ISNUMBER(SEARCH("R47",G402)),0)+IFERROR(--ISNUMBER(SEARCH("R48",G402)),0)+IFERROR(--ISNUMBER(SEARCH("R49",G402)),0)+IFERROR(--ISNUMBER(SEARCH("R50",G402)),0)+IFERROR(--ISNUMBER(SEARCH("R51",G402)),0)+IFERROR(--ISNUMBER(SEARCH("R52",G402)),0)+IFERROR(--ISNUMBER(SEARCH("R53",G402)),0)+IFERROR(--ISNUMBER(SEARCH("R54",G402)),0)+IFERROR(--ISNUMBER(SEARCH("R55",G402)),0)+IFERROR(--ISNUMBER(SEARCH("R56",G402)),0)+IFERROR(--ISNUMBER(SEARCH("R57",G402)),0)+IFERROR(--ISNUMBER(SEARCH("R58",G402)),0)+IFERROR(--ISNUMBER(SEARCH("R59",G402)),0)+IFERROR(--ISNUMBER(SEARCH("R60",G402)),0)+IFERROR(--ISNUMBER(SEARCH("R61",G402)),0)+IFERROR(--ISNUMBER(SEARCH("R62",G402)),0)+IFERROR(--ISNUMBER(SEARCH("R63",G402)),0)+IFERROR(--ISNUMBER(SEARCH("R64",G402)),0)+IFERROR(--ISNUMBER(SEARCH("R65",G402)),0)+IFERROR(--ISNUMBER(SEARCH("R66",G402)),0)+IFERROR(--ISNUMBER(SEARCH("R67",G402)),0)+IFERROR(--ISNUMBER(SEARCH("R68",G402)),0)+IFERROR(--ISNUMBER(SEARCH("R69",G402)),0)+IFERROR(--ISNUMBER(SEARCH("R70",G402)),0)+IFERROR(--ISNUMBER(SEARCH("R71",G402)),0)+IFERROR(--ISNUMBER(SEARCH("R72",G402)),0)+IFERROR(--ISNUMBER(SEARCH("R73",G402)),0)+IFERROR(--ISNUMBER(SEARCH("R74",G402)),0)+IFERROR(--ISNUMBER(SEARCH("R75",G402)),0)+IFERROR(--ISNUMBER(SEARCH("R76",G402)),0)+IFERROR(--ISNUMBER(SEARCH("R77",G402)),0)+IFERROR(--ISNUMBER(SEARCH("R78",G402)),0)+IFERROR(--ISNUMBER(SEARCH("R79",G402)),0)+IFERROR(--ISNUMBER(SEARCH("R80",G402)),0)+IFERROR(--ISNUMBER(SEARCH("R81",G402)),0)+IFERROR(--ISNUMBER(SEARCH("R82",G402)),0)+IFERROR(--ISNUMBER(SEARCH("R83",G402)),0)+IFERROR(--ISNUMBER(SEARCH("R84",G402)),0)+IFERROR(--ISNUMBER(SEARCH("R85",G402)),0)+IFERROR(--ISNUMBER(SEARCH("R86",G402)),0)+IFERROR(--ISNUMBER(SEARCH("R87",G402)),0)+IFERROR(--ISNUMBER(SEARCH("R88",G402)),0)+IFERROR(--ISNUMBER(SEARCH("R89",G402)),0)+IFERROR(--ISNUMBER(SEARCH("R90",G402)),0)+IFERROR(--ISNUMBER(SEARCH("R91",G402)),0)+IFERROR(--ISNUMBER(SEARCH("R92",G402)),0)+IFERROR(--ISNUMBER(SEARCH("R93",G402)),0)+IFERROR(--ISNUMBER(SEARCH("R94",G402)),0)+IFERROR(--ISNUMBER(SEARCH("R95",G402)),0)+IFERROR(--ISNUMBER(SEARCH("R96",G402)),0)+IFERROR(--ISNUMBER(SEARCH("R97",G402)),0)+IFERROR(--ISNUMBER(SEARCH("R98",G402)),0)+IFERROR(--ISNUMBER(SEARCH("R99",G402)),0)+IFERROR(--ISNUMBER(SEARCH("R100",G402)),0)+IFERROR(--ISNUMBER(SEARCH("R101",G402)),0)+IFERROR(--ISNUMBER(SEARCH("R102",G402)),0)+IFERROR(--ISNUMBER(SEARCH("R103",G402)),0)+IFERROR(--ISNUMBER(SEARCH("R104",G402)),0)+IFERROR(--ISNUMBER(SEARCH("R105",G402)),0)+IFERROR(--ISNUMBER(SEARCH("R106",G402)),0)+IFERROR(--ISNUMBER(SEARCH("R107",G402)),0)+IFERROR(--ISNUMBER(SEARCH("R108",G402)),0)+IFERROR(--ISNUMBER(SEARCH("R109",G402)),0)+IFERROR(--ISNUMBER(SEARCH("R110",G402)),0)+IFERROR(--ISNUMBER(SEARCH("R111",G402)),0)+IFERROR(--ISNUMBER(SEARCH("R112",G402)),0)+IFERROR(--ISNUMBER(SEARCH("R113",G402)),0)+IFERROR(--ISNUMBER(SEARCH("R114",G402)),0)+IFERROR(--ISNUMBER(SEARCH("R115",G402)),0)+IFERROR(--ISNUMBER(SEARCH("R116",G402)),0)+IFERROR(--ISNUMBER(SEARCH("R117",G402)),0)+IFERROR(--ISNUMBER(SEARCH("R118",G402)),0)+IFERROR(--ISNUMBER(SEARCH("R119",G402)),0)+IFERROR(--ISNUMBER(SEARCH("R120",G402)),0)+IFERROR(--ISNUMBER(SEARCH("R121",G402)),0)+IFERROR(--ISNUMBER(SEARCH("R122",G402)),0)+IFERROR(--ISNUMBER(SEARCH("R123",G402)),0)+IFERROR(--ISNUMBER(SEARCH("R124",G402)),0)+IFERROR(--ISNUMBER(SEARCH("R125",G402)),0)+IFERROR(--ISNUMBER(SEARCH("R126",G402)),0)+IFERROR(--ISNUMBER(SEARCH("R127",G402)),0)+IFERROR(--ISNUMBER(SEARCH("R128",G402)),0)+IFERROR(--ISNUMBER(SEARCH("R129",G402)),0)+IFERROR(--ISNUMBER(SEARCH("R130",G402)),0)+IFERROR(--ISNUMBER(SEARCH("R131",G402)),0)+IFERROR(--ISNUMBER(SEARCH("R132",G402)),0)+IFERROR(--ISNUMBER(SEARCH("R133",G402)),0)+IFERROR(--ISNUMBER(SEARCH("R134",G402)),0)+IFERROR(--ISNUMBER(SEARCH("R135",G402)),0)+IFERROR(--ISNUMBER(SEARCH("R136",G402)),0)+IFERROR(--ISNUMBER(SEARCH("R137",G402)),0)+IFERROR(--ISNUMBER(SEARCH("R138",G402)),0)+IFERROR(--ISNUMBER(SEARCH("R139",G402)),0)+IFERROR(--ISNUMBER(SEARCH("R140",G402)),0)+IFERROR(--ISNUMBER(SEARCH("R141",G402)),0))</f>
        <v/>
      </c>
      <c r="T402" s="58">
        <f>IF(A402="","",IFERROR(--ISNUMBER(SEARCH("R28",G402)),0)+IFERROR(--ISNUMBER(SEARCH("R29",G402)),0)+IFERROR(--ISNUMBER(SEARCH("R30",G402)),0)+IFERROR(--ISNUMBER(SEARCH("R32",G402)),0)+IFERROR(--ISNUMBER(SEARCH("R33",G402)),0)+IFERROR(--ISNUMBER(SEARCH("R35",G402)),0)+IFERROR(--ISNUMBER(SEARCH("R36",G402)),0)+IFERROR(--ISNUMBER(SEARCH("R38",G402)),0)+IFERROR(--ISNUMBER(SEARCH("R39",G402)),0)+IFERROR(--ISNUMBER(SEARCH("R43",G402)),0)+IFERROR(--ISNUMBER(SEARCH("R44",G402)),0)+IFERROR(--ISNUMBER(SEARCH("R45",G402)),0)+IFERROR(--ISNUMBER(SEARCH("R47",G402)),0)+IFERROR(--ISNUMBER(SEARCH("R48",G402)),0)+IFERROR(--ISNUMBER(SEARCH("R50",G402)),0)+IFERROR(--ISNUMBER(SEARCH("R51",G402)),0)+IFERROR(--ISNUMBER(SEARCH("R56",G402)),0)+IFERROR(--ISNUMBER(SEARCH("R58",G402)),0)+IFERROR(--ISNUMBER(SEARCH("R59",G402)),0)+IFERROR(--ISNUMBER(SEARCH("R60",G402)),0)+IFERROR(--ISNUMBER(SEARCH("R62",G402)),0)+IFERROR(--ISNUMBER(SEARCH("R63",G402)),0)+IFERROR(--ISNUMBER(SEARCH("R64",G402)),0)+IFERROR(--ISNUMBER(SEARCH("R66",G402)),0)+IFERROR(--ISNUMBER(SEARCH("R67",G402)),0)+IFERROR(--ISNUMBER(SEARCH("R72",G402)),0)+IFERROR(--ISNUMBER(SEARCH("R74",G402)),0)+IFERROR(--ISNUMBER(SEARCH("R75",G402)),0)+IFERROR(--ISNUMBER(SEARCH("R76",G402)),0)+IFERROR(--ISNUMBER(SEARCH("R77",G402)),0)+IFERROR(--ISNUMBER(SEARCH("R79",G402)),0)+IFERROR(--ISNUMBER(SEARCH("R80",G402)),0)+IFERROR(--ISNUMBER(SEARCH("R81",G402)),0)+IFERROR(--ISNUMBER(SEARCH("R83",G402)),0)+IFERROR(--ISNUMBER(SEARCH("R84",G402)),0)+IFERROR(--ISNUMBER(SEARCH("R89",G402)),0)+IFERROR(--ISNUMBER(SEARCH("R94",G402)),0)+IFERROR(--ISNUMBER(SEARCH("R95",G402)),0)+IFERROR(--ISNUMBER(SEARCH("R96",G402)),0)+IFERROR(--ISNUMBER(SEARCH("R98",G402)),0)+IFERROR(--ISNUMBER(SEARCH("R99",G402)),0)+IFERROR(--ISNUMBER(SEARCH("R100",G402)),0)+IFERROR(--ISNUMBER(SEARCH("R104",G402)),0)+IFERROR(--ISNUMBER(SEARCH("R105",G402)),0)+IFERROR(--ISNUMBER(SEARCH("R107",G402)),0)+IFERROR(--ISNUMBER(SEARCH("R108",G402)),0)+IFERROR(--ISNUMBER(SEARCH("R109",G402)),0)+IFERROR(--ISNUMBER(SEARCH("R110",G402)),0)+IFERROR(--ISNUMBER(SEARCH("R112",G402)),0)+IFERROR(--ISNUMBER(SEARCH("R113",G402)),0)+IFERROR(--ISNUMBER(SEARCH("R114",G402)),0)+IFERROR(--ISNUMBER(SEARCH("R118",G402)),0)+IFERROR(--ISNUMBER(SEARCH("R119",G402)),0)+IFERROR(--ISNUMBER(SEARCH("R120",G402)),0)+IFERROR(--ISNUMBER(SEARCH("R122",G402)),0)+IFERROR(--ISNUMBER(SEARCH("R123",G402)),0)+IFERROR(--ISNUMBER(SEARCH("R124",G402)),0)+IFERROR(--ISNUMBER(SEARCH("R128",G402)),0)+IFERROR(--ISNUMBER(SEARCH("R130",G402)),0)+IFERROR(--ISNUMBER(SEARCH("R131",G402)),0)+IFERROR(--ISNUMBER(SEARCH("R132",G402)),0)+IFERROR(--ISNUMBER(SEARCH("R135",G402)),0)+IFERROR(--ISNUMBER(SEARCH("R138",G402)),0)+IFERROR(--ISNUMBER(SEARCH("R141",G402)),0))</f>
        <v/>
      </c>
      <c r="U402" s="58">
        <f>IF(A402="","",IFERROR(--ISNUMBER(SEARCH("R28",G402))*28,0)+IFERROR(--ISNUMBER(SEARCH("R29",G402))*29,0)+IFERROR(--ISNUMBER(SEARCH("R30",G402))*30,0)+IFERROR(--ISNUMBER(SEARCH("R31",G402))*31,0)+IFERROR(--ISNUMBER(SEARCH("R32",G402))*32,0)+IFERROR(--ISNUMBER(SEARCH("R33",G402))*33,0)+IFERROR(--ISNUMBER(SEARCH("R34",G402))*34,0)+IFERROR(--ISNUMBER(SEARCH("R35",G402))*35,0)+IFERROR(--ISNUMBER(SEARCH("R36",G402))*36,0)+IFERROR(--ISNUMBER(SEARCH("R37",G402))*37,0)+IFERROR(--ISNUMBER(SEARCH("R38",G402))*38,0)+IFERROR(--ISNUMBER(SEARCH("R39",G402))*39,0)+IFERROR(--ISNUMBER(SEARCH("R40",G402))*40,0)+IFERROR(--ISNUMBER(SEARCH("R41",G402))*41,0)+IFERROR(--ISNUMBER(SEARCH("R42",G402))*42,0)+IFERROR(--ISNUMBER(SEARCH("R43",G402))*43,0)+IFERROR(--ISNUMBER(SEARCH("R44",G402))*44,0)+IFERROR(--ISNUMBER(SEARCH("R45",G402))*45,0)+IFERROR(--ISNUMBER(SEARCH("R46",G402))*46,0)+IFERROR(--ISNUMBER(SEARCH("R47",G402))*47,0)+IFERROR(--ISNUMBER(SEARCH("R48",G402))*48,0)+IFERROR(--ISNUMBER(SEARCH("R49",G402))*49,0)+IFERROR(--ISNUMBER(SEARCH("R50",G402))*50,0)+IFERROR(--ISNUMBER(SEARCH("R51",G402))*51,0)+IFERROR(--ISNUMBER(SEARCH("R52",G402))*52,0)+IFERROR(--ISNUMBER(SEARCH("R53",G402))*53,0)+IFERROR(--ISNUMBER(SEARCH("R54",G402))*54,0)+IFERROR(--ISNUMBER(SEARCH("R55",G402))*55,0)+IFERROR(--ISNUMBER(SEARCH("R56",G402))*56,0)+IFERROR(--ISNUMBER(SEARCH("R57",G402))*57,0)+IFERROR(--ISNUMBER(SEARCH("R58",G402))*58,0)+IFERROR(--ISNUMBER(SEARCH("R59",G402))*59,0)+IFERROR(--ISNUMBER(SEARCH("R60",G402))*60,0)+IFERROR(--ISNUMBER(SEARCH("R61",G402))*61,0)+IFERROR(--ISNUMBER(SEARCH("R62",G402))*62,0)+IFERROR(--ISNUMBER(SEARCH("R63",G402))*63,0)+IFERROR(--ISNUMBER(SEARCH("R64",G402))*64,0)+IFERROR(--ISNUMBER(SEARCH("R65",G402))*65,0)+IFERROR(--ISNUMBER(SEARCH("R66",G402))*66,0)+IFERROR(--ISNUMBER(SEARCH("R67",G402))*67,0)+IFERROR(--ISNUMBER(SEARCH("R68",G402))*68,0)+IFERROR(--ISNUMBER(SEARCH("R69",G402))*69,0)+IFERROR(--ISNUMBER(SEARCH("R70",G402))*70,0)+IFERROR(--ISNUMBER(SEARCH("R71",G402))*71,0)+IFERROR(--ISNUMBER(SEARCH("R72",G402))*72,0)+IFERROR(--ISNUMBER(SEARCH("R73",G402))*73,0)+IFERROR(--ISNUMBER(SEARCH("R74",G402))*74,0)+IFERROR(--ISNUMBER(SEARCH("R75",G402))*75,0)+IFERROR(--ISNUMBER(SEARCH("R76",G402))*76,0)+IFERROR(--ISNUMBER(SEARCH("R77",G402))*77,0)+IFERROR(--ISNUMBER(SEARCH("R78",G402))*78,0)+IFERROR(--ISNUMBER(SEARCH("R79",G402))*79,0)+IFERROR(--ISNUMBER(SEARCH("R80",G402))*80,0)+IFERROR(--ISNUMBER(SEARCH("R81",G402))*81,0)+IFERROR(--ISNUMBER(SEARCH("R82",G402))*82,0)+IFERROR(--ISNUMBER(SEARCH("R83",G402))*83,0)+IFERROR(--ISNUMBER(SEARCH("R84",G402))*84,0)+IFERROR(--ISNUMBER(SEARCH("R85",G402))*85,0)+IFERROR(--ISNUMBER(SEARCH("R86",G402))*86,0)+IFERROR(--ISNUMBER(SEARCH("R87",G402))*87,0)+IFERROR(--ISNUMBER(SEARCH("R88",G402))*88,0)+IFERROR(--ISNUMBER(SEARCH("R89",G402))*89,0)+IFERROR(--ISNUMBER(SEARCH("R90",G402))*90,0)+IFERROR(--ISNUMBER(SEARCH("R91",G402))*91,0)+IFERROR(--ISNUMBER(SEARCH("R92",G402))*92,0)+IFERROR(--ISNUMBER(SEARCH("R93",G402))*93,0)+IFERROR(--ISNUMBER(SEARCH("R94",G402))*94,0)+IFERROR(--ISNUMBER(SEARCH("R95",G402))*95,0)+IFERROR(--ISNUMBER(SEARCH("R96",G402))*96,0)+IFERROR(--ISNUMBER(SEARCH("R97",G402))*97,0)+IFERROR(--ISNUMBER(SEARCH("R98",G402))*98,0)+IFERROR(--ISNUMBER(SEARCH("R99",G402))*99,0)+IFERROR(--ISNUMBER(SEARCH("R100",G402))*100,0)+IFERROR(--ISNUMBER(SEARCH("R101",G402))*101,0)+IFERROR(--ISNUMBER(SEARCH("R102",G402))*102,0)+IFERROR(--ISNUMBER(SEARCH("R103",G402))*103,0)+IFERROR(--ISNUMBER(SEARCH("R104",G402))*104,0)+IFERROR(--ISNUMBER(SEARCH("R105",G402))*105,0)+IFERROR(--ISNUMBER(SEARCH("R106",G402))*106,0)+IFERROR(--ISNUMBER(SEARCH("R107",G402))*107,0)+IFERROR(--ISNUMBER(SEARCH("R108",G402))*108,0)+IFERROR(--ISNUMBER(SEARCH("R109",G402))*109,0)+IFERROR(--ISNUMBER(SEARCH("R110",G402))*110,0)+IFERROR(--ISNUMBER(SEARCH("R111",G402))*111,0)+IFERROR(--ISNUMBER(SEARCH("R112",G402))*112,0)+IFERROR(--ISNUMBER(SEARCH("R113",G402))*113,0)+IFERROR(--ISNUMBER(SEARCH("R114",G402))*114,0)+IFERROR(--ISNUMBER(SEARCH("R115",G402))*115,0)+IFERROR(--ISNUMBER(SEARCH("R116",G402))*116,0)+IFERROR(--ISNUMBER(SEARCH("R117",G402))*117,0)+IFERROR(--ISNUMBER(SEARCH("R118",G402))*118,0)+IFERROR(--ISNUMBER(SEARCH("R119",G402))*119,0)+IFERROR(--ISNUMBER(SEARCH("R120",G402))*120,0)+IFERROR(--ISNUMBER(SEARCH("R121",G402))*121,0)+IFERROR(--ISNUMBER(SEARCH("R122",G402))*122,0)+IFERROR(--ISNUMBER(SEARCH("R123",G402))*123,0)+IFERROR(--ISNUMBER(SEARCH("R124",G402))*124,0)+IFERROR(--ISNUMBER(SEARCH("R125",G402))*125,0)+IFERROR(--ISNUMBER(SEARCH("R126",G402))*126,0)+IFERROR(--ISNUMBER(SEARCH("R127",G402))*127,0)+IFERROR(--ISNUMBER(SEARCH("R128",G402))*128,0)+IFERROR(--ISNUMBER(SEARCH("R129",G402))*129,0)+IFERROR(--ISNUMBER(SEARCH("R130",G402))*130,0)+IFERROR(--ISNUMBER(SEARCH("R131",G402))*131,0)+IFERROR(--ISNUMBER(SEARCH("R132",G402))*132,0)+IFERROR(--ISNUMBER(SEARCH("R133",G402))*133,0)+IFERROR(--ISNUMBER(SEARCH("R134",G402))*134,0)+IFERROR(--ISNUMBER(SEARCH("R135",G402))*135,0)+IFERROR(--ISNUMBER(SEARCH("R136",G402))*136,0)+IFERROR(--ISNUMBER(SEARCH("R137",G402))*137,0)+IFERROR(--ISNUMBER(SEARCH("R138",G402))*138,0)+IFERROR(--ISNUMBER(SEARCH("R139",G402))*139,0)+IFERROR(--ISNUMBER(SEARCH("R140",G402))*140,0)+IFERROR(--ISNUMBER(SEARCH("R141",G402))*141,0))</f>
        <v/>
      </c>
      <c r="V402" s="59">
        <f>IF(A402="","",IF(K402&lt;&gt;"",K402,J402))</f>
        <v/>
      </c>
      <c r="W402" s="59">
        <f>IF(A402="","",IF(AND(V402=29,O402&lt;&gt;"",COUNTIFS($V$6:$V$505,29,$F$6:$F$505,F402,$C$6:$C$505,C402,$O$6:$O$505,"&lt;&gt;")&gt;1),IF(COUNTIFS($V$6:V402,29,$F$6:F402,F402,$C$6:C402,C402,$O$6:O402,"&lt;&gt;")=1,"Esta es la fila que se debe CONSERVAR (aparición 1 de "&amp;COUNTIFS($V$6:$V$505,29,$F$6:$F$505,F402,$C$6:$C$505,C402,$O$6:$O$505,"&lt;&gt;")&amp;" con el mismo tercero y valor, casilla 29). Si hay más filas iguales, bórreles el valor a ELLAS, no a esta.","DUPLICADO — ya existe otra fila con el mismo tercero y valor para casilla 29 (aparición "&amp;COUNTIFS($V$6:V402,29,$F$6:F402,F402,$C$6:C402,C402,$O$6:O402,"&lt;&gt;")&amp;" de "&amp;COUNTIFS($V$6:$V$505,29,$F$6:$F$505,F402,$C$6:$C$505,C402,$O$6:$O$505,"&lt;&gt;")&amp;"). Para resolverlo: seleccione la celda O"&amp;ROW()&amp;" (columna Valor a declarar de ESTA fila) y presione Supr."),""))</f>
        <v/>
      </c>
      <c r="X402" s="463">
        <f>IF(A402="","",F402)</f>
        <v/>
      </c>
      <c r="Y402" s="463">
        <f>IF(A402="","",SUMIF(Entrada_Manual!$I$88:$I$187,A402,Entrada_Manual!$F$88:$F$187))</f>
        <v/>
      </c>
      <c r="Z402" s="463">
        <f>IF(A402="","",X402-Y402)</f>
        <v/>
      </c>
      <c r="AA402">
        <f>IF(A402="","",SUMPRODUCT((Entrada_Manual!$I$88:$I$187=A402)*1))</f>
        <v/>
      </c>
      <c r="AB402">
        <f>IF(A402="","",IF(S402&lt;=1,"",IF(AA402=0,"PENDIENTE — SIN ASIGNAR",IF(Z402=0,"RESUELTO","PARCIAL — DIFERENCIA "&amp;TEXT(Z402,"#,##0")))))</f>
        <v/>
      </c>
    </row>
    <row r="403" ht="14.25" customHeight="1" s="235">
      <c r="A403" s="47">
        <f>IF(Exogena_RAW!E412&lt;&gt;"",ROW()-5,"")</f>
        <v/>
      </c>
      <c r="B403" s="48">
        <f>IF(A403="","",412)</f>
        <v/>
      </c>
      <c r="C403" s="48">
        <f>IF(A403="","",IFERROR(Exogena_RAW!A412,""))</f>
        <v/>
      </c>
      <c r="D403" s="48">
        <f>IF(A403="","",IFERROR(Exogena_RAW!B412,""))</f>
        <v/>
      </c>
      <c r="E403" s="48">
        <f>IF(A403="","",Exogena_RAW!E412)</f>
        <v/>
      </c>
      <c r="F403" s="461">
        <f>IF(A403="","",Exogena_RAW!F412)</f>
        <v/>
      </c>
      <c r="G403" s="48">
        <f>IF(A403="","",IFERROR(Exogena_RAW!G412,""))</f>
        <v/>
      </c>
      <c r="H403" s="48">
        <f>IF(A403="","",IFERROR(Exogena_RAW!H412,""))</f>
        <v/>
      </c>
      <c r="I403" s="48">
        <f>IF(A403="","",IFERROR(IF(S403&gt;1,"VARIAS CASILLAS",IF(S403=1,IF(T403=1,"PROPUESTA DE CASILLA","REVISIÓN: CASILLA NO DIRECTA"),IF(OR(ISNUMBER(SEARCH("TOPE",UPPER(E403))),ISNUMBER(SEARCH("TOPE",UPPER(G403)))),"SOLO CONTROL",IF(ISNUMBER(SEARCH("RETEN",UPPER(E403))),"RETENCIÓN","REVISAR")))),"REVISAR"))</f>
        <v/>
      </c>
      <c r="J403" s="48">
        <f>IF(A403="","",IF(ISNUMBER(SEARCH("ingreso laboral promedio de los últimos seis meses",E403)),"",IFERROR(IF(AND(S403=1,T403=1),U403,""),"")))</f>
        <v/>
      </c>
      <c r="K403" s="216" t="n"/>
      <c r="L403" s="48">
        <f>IF(A403="","",IFERROR(IF(K403&lt;&gt;"","Casilla elegida por usuario",IF(S403&gt;1,"Varias casillas — elegir en K",IF(J403&lt;&gt;"","Sugerencia directa",IF(S403=1,"No trasladar directo — revisar",IF(OR(ISNUMBER(SEARCH("TOPE",UPPER(E403))),ISNUMBER(SEARCH("TOPE",UPPER(G403)))),"Solo control","Revisar manualmente"))))),"Revisar manualmente"))</f>
        <v/>
      </c>
      <c r="M403" s="461">
        <f>IF(A403="","",IF(IF(K403&lt;&gt;"",K403,J403)="",0,IF(COUNTIFS(Reglas!$I$5:$I$118,IF(K403&lt;&gt;"",K403,J403),Reglas!$J$5:$J$118,"Sí")=1,F403,0)))</f>
        <v/>
      </c>
      <c r="N403" s="56" t="n"/>
      <c r="O403" s="462">
        <f>IF(A403="","",IF(M403=0,"",M403))</f>
        <v/>
      </c>
      <c r="P403" s="461">
        <f>IF(A403="","",IF(O403="",0,IF(ISNUMBER(O403),O403,0)))</f>
        <v/>
      </c>
      <c r="Q403" s="48">
        <f>IF(A403="","",IF(Exogena_RAW!$C$4="","BLOQUEADO: FALTA AÑO",IF(Exogena_RAW!$K$10&lt;&gt;Reglas!$B$5,"BLOQUEADO: AÑO",IF(IF(K403&lt;&gt;"",K403,J403)="",IF(S403&gt;1,"REQUIERE ASIGNACIÓN MANUAL (VARIAS CASILLAS)","INFORMATIVO (sin casilla — no se declara)"),IF(COUNTIFS(Reglas!$I$5:$I$118,IF(K403&lt;&gt;"",K403,J403),Reglas!$J$5:$J$118,"Sí")=0,"BLOQUEADO: CASILLA NO DIRECTA",IF(O403="","EXCLUIDO (valor borrado por el usuario)",IF(_xlfn.ISFORMULA(O403),IF(W403&lt;&gt;"","BORRADOR — VALOR SUGERIDO DIAN ⚠ VER ALERTA","BORRADOR — VALOR SUGERIDO DIAN"),IF(W403&lt;&gt;"","ACEPTADO ⚠ VER ALERTA","ACEPTADO"))))))))</f>
        <v/>
      </c>
      <c r="R403" s="218" t="n"/>
      <c r="S403" s="58">
        <f>IF(A403="","",IFERROR(--ISNUMBER(SEARCH("R28",G403)),0)+IFERROR(--ISNUMBER(SEARCH("R29",G403)),0)+IFERROR(--ISNUMBER(SEARCH("R30",G403)),0)+IFERROR(--ISNUMBER(SEARCH("R31",G403)),0)+IFERROR(--ISNUMBER(SEARCH("R32",G403)),0)+IFERROR(--ISNUMBER(SEARCH("R33",G403)),0)+IFERROR(--ISNUMBER(SEARCH("R34",G403)),0)+IFERROR(--ISNUMBER(SEARCH("R35",G403)),0)+IFERROR(--ISNUMBER(SEARCH("R36",G403)),0)+IFERROR(--ISNUMBER(SEARCH("R37",G403)),0)+IFERROR(--ISNUMBER(SEARCH("R38",G403)),0)+IFERROR(--ISNUMBER(SEARCH("R39",G403)),0)+IFERROR(--ISNUMBER(SEARCH("R40",G403)),0)+IFERROR(--ISNUMBER(SEARCH("R41",G403)),0)+IFERROR(--ISNUMBER(SEARCH("R42",G403)),0)+IFERROR(--ISNUMBER(SEARCH("R43",G403)),0)+IFERROR(--ISNUMBER(SEARCH("R44",G403)),0)+IFERROR(--ISNUMBER(SEARCH("R45",G403)),0)+IFERROR(--ISNUMBER(SEARCH("R46",G403)),0)+IFERROR(--ISNUMBER(SEARCH("R47",G403)),0)+IFERROR(--ISNUMBER(SEARCH("R48",G403)),0)+IFERROR(--ISNUMBER(SEARCH("R49",G403)),0)+IFERROR(--ISNUMBER(SEARCH("R50",G403)),0)+IFERROR(--ISNUMBER(SEARCH("R51",G403)),0)+IFERROR(--ISNUMBER(SEARCH("R52",G403)),0)+IFERROR(--ISNUMBER(SEARCH("R53",G403)),0)+IFERROR(--ISNUMBER(SEARCH("R54",G403)),0)+IFERROR(--ISNUMBER(SEARCH("R55",G403)),0)+IFERROR(--ISNUMBER(SEARCH("R56",G403)),0)+IFERROR(--ISNUMBER(SEARCH("R57",G403)),0)+IFERROR(--ISNUMBER(SEARCH("R58",G403)),0)+IFERROR(--ISNUMBER(SEARCH("R59",G403)),0)+IFERROR(--ISNUMBER(SEARCH("R60",G403)),0)+IFERROR(--ISNUMBER(SEARCH("R61",G403)),0)+IFERROR(--ISNUMBER(SEARCH("R62",G403)),0)+IFERROR(--ISNUMBER(SEARCH("R63",G403)),0)+IFERROR(--ISNUMBER(SEARCH("R64",G403)),0)+IFERROR(--ISNUMBER(SEARCH("R65",G403)),0)+IFERROR(--ISNUMBER(SEARCH("R66",G403)),0)+IFERROR(--ISNUMBER(SEARCH("R67",G403)),0)+IFERROR(--ISNUMBER(SEARCH("R68",G403)),0)+IFERROR(--ISNUMBER(SEARCH("R69",G403)),0)+IFERROR(--ISNUMBER(SEARCH("R70",G403)),0)+IFERROR(--ISNUMBER(SEARCH("R71",G403)),0)+IFERROR(--ISNUMBER(SEARCH("R72",G403)),0)+IFERROR(--ISNUMBER(SEARCH("R73",G403)),0)+IFERROR(--ISNUMBER(SEARCH("R74",G403)),0)+IFERROR(--ISNUMBER(SEARCH("R75",G403)),0)+IFERROR(--ISNUMBER(SEARCH("R76",G403)),0)+IFERROR(--ISNUMBER(SEARCH("R77",G403)),0)+IFERROR(--ISNUMBER(SEARCH("R78",G403)),0)+IFERROR(--ISNUMBER(SEARCH("R79",G403)),0)+IFERROR(--ISNUMBER(SEARCH("R80",G403)),0)+IFERROR(--ISNUMBER(SEARCH("R81",G403)),0)+IFERROR(--ISNUMBER(SEARCH("R82",G403)),0)+IFERROR(--ISNUMBER(SEARCH("R83",G403)),0)+IFERROR(--ISNUMBER(SEARCH("R84",G403)),0)+IFERROR(--ISNUMBER(SEARCH("R85",G403)),0)+IFERROR(--ISNUMBER(SEARCH("R86",G403)),0)+IFERROR(--ISNUMBER(SEARCH("R87",G403)),0)+IFERROR(--ISNUMBER(SEARCH("R88",G403)),0)+IFERROR(--ISNUMBER(SEARCH("R89",G403)),0)+IFERROR(--ISNUMBER(SEARCH("R90",G403)),0)+IFERROR(--ISNUMBER(SEARCH("R91",G403)),0)+IFERROR(--ISNUMBER(SEARCH("R92",G403)),0)+IFERROR(--ISNUMBER(SEARCH("R93",G403)),0)+IFERROR(--ISNUMBER(SEARCH("R94",G403)),0)+IFERROR(--ISNUMBER(SEARCH("R95",G403)),0)+IFERROR(--ISNUMBER(SEARCH("R96",G403)),0)+IFERROR(--ISNUMBER(SEARCH("R97",G403)),0)+IFERROR(--ISNUMBER(SEARCH("R98",G403)),0)+IFERROR(--ISNUMBER(SEARCH("R99",G403)),0)+IFERROR(--ISNUMBER(SEARCH("R100",G403)),0)+IFERROR(--ISNUMBER(SEARCH("R101",G403)),0)+IFERROR(--ISNUMBER(SEARCH("R102",G403)),0)+IFERROR(--ISNUMBER(SEARCH("R103",G403)),0)+IFERROR(--ISNUMBER(SEARCH("R104",G403)),0)+IFERROR(--ISNUMBER(SEARCH("R105",G403)),0)+IFERROR(--ISNUMBER(SEARCH("R106",G403)),0)+IFERROR(--ISNUMBER(SEARCH("R107",G403)),0)+IFERROR(--ISNUMBER(SEARCH("R108",G403)),0)+IFERROR(--ISNUMBER(SEARCH("R109",G403)),0)+IFERROR(--ISNUMBER(SEARCH("R110",G403)),0)+IFERROR(--ISNUMBER(SEARCH("R111",G403)),0)+IFERROR(--ISNUMBER(SEARCH("R112",G403)),0)+IFERROR(--ISNUMBER(SEARCH("R113",G403)),0)+IFERROR(--ISNUMBER(SEARCH("R114",G403)),0)+IFERROR(--ISNUMBER(SEARCH("R115",G403)),0)+IFERROR(--ISNUMBER(SEARCH("R116",G403)),0)+IFERROR(--ISNUMBER(SEARCH("R117",G403)),0)+IFERROR(--ISNUMBER(SEARCH("R118",G403)),0)+IFERROR(--ISNUMBER(SEARCH("R119",G403)),0)+IFERROR(--ISNUMBER(SEARCH("R120",G403)),0)+IFERROR(--ISNUMBER(SEARCH("R121",G403)),0)+IFERROR(--ISNUMBER(SEARCH("R122",G403)),0)+IFERROR(--ISNUMBER(SEARCH("R123",G403)),0)+IFERROR(--ISNUMBER(SEARCH("R124",G403)),0)+IFERROR(--ISNUMBER(SEARCH("R125",G403)),0)+IFERROR(--ISNUMBER(SEARCH("R126",G403)),0)+IFERROR(--ISNUMBER(SEARCH("R127",G403)),0)+IFERROR(--ISNUMBER(SEARCH("R128",G403)),0)+IFERROR(--ISNUMBER(SEARCH("R129",G403)),0)+IFERROR(--ISNUMBER(SEARCH("R130",G403)),0)+IFERROR(--ISNUMBER(SEARCH("R131",G403)),0)+IFERROR(--ISNUMBER(SEARCH("R132",G403)),0)+IFERROR(--ISNUMBER(SEARCH("R133",G403)),0)+IFERROR(--ISNUMBER(SEARCH("R134",G403)),0)+IFERROR(--ISNUMBER(SEARCH("R135",G403)),0)+IFERROR(--ISNUMBER(SEARCH("R136",G403)),0)+IFERROR(--ISNUMBER(SEARCH("R137",G403)),0)+IFERROR(--ISNUMBER(SEARCH("R138",G403)),0)+IFERROR(--ISNUMBER(SEARCH("R139",G403)),0)+IFERROR(--ISNUMBER(SEARCH("R140",G403)),0)+IFERROR(--ISNUMBER(SEARCH("R141",G403)),0))</f>
        <v/>
      </c>
      <c r="T403" s="58">
        <f>IF(A403="","",IFERROR(--ISNUMBER(SEARCH("R28",G403)),0)+IFERROR(--ISNUMBER(SEARCH("R29",G403)),0)+IFERROR(--ISNUMBER(SEARCH("R30",G403)),0)+IFERROR(--ISNUMBER(SEARCH("R32",G403)),0)+IFERROR(--ISNUMBER(SEARCH("R33",G403)),0)+IFERROR(--ISNUMBER(SEARCH("R35",G403)),0)+IFERROR(--ISNUMBER(SEARCH("R36",G403)),0)+IFERROR(--ISNUMBER(SEARCH("R38",G403)),0)+IFERROR(--ISNUMBER(SEARCH("R39",G403)),0)+IFERROR(--ISNUMBER(SEARCH("R43",G403)),0)+IFERROR(--ISNUMBER(SEARCH("R44",G403)),0)+IFERROR(--ISNUMBER(SEARCH("R45",G403)),0)+IFERROR(--ISNUMBER(SEARCH("R47",G403)),0)+IFERROR(--ISNUMBER(SEARCH("R48",G403)),0)+IFERROR(--ISNUMBER(SEARCH("R50",G403)),0)+IFERROR(--ISNUMBER(SEARCH("R51",G403)),0)+IFERROR(--ISNUMBER(SEARCH("R56",G403)),0)+IFERROR(--ISNUMBER(SEARCH("R58",G403)),0)+IFERROR(--ISNUMBER(SEARCH("R59",G403)),0)+IFERROR(--ISNUMBER(SEARCH("R60",G403)),0)+IFERROR(--ISNUMBER(SEARCH("R62",G403)),0)+IFERROR(--ISNUMBER(SEARCH("R63",G403)),0)+IFERROR(--ISNUMBER(SEARCH("R64",G403)),0)+IFERROR(--ISNUMBER(SEARCH("R66",G403)),0)+IFERROR(--ISNUMBER(SEARCH("R67",G403)),0)+IFERROR(--ISNUMBER(SEARCH("R72",G403)),0)+IFERROR(--ISNUMBER(SEARCH("R74",G403)),0)+IFERROR(--ISNUMBER(SEARCH("R75",G403)),0)+IFERROR(--ISNUMBER(SEARCH("R76",G403)),0)+IFERROR(--ISNUMBER(SEARCH("R77",G403)),0)+IFERROR(--ISNUMBER(SEARCH("R79",G403)),0)+IFERROR(--ISNUMBER(SEARCH("R80",G403)),0)+IFERROR(--ISNUMBER(SEARCH("R81",G403)),0)+IFERROR(--ISNUMBER(SEARCH("R83",G403)),0)+IFERROR(--ISNUMBER(SEARCH("R84",G403)),0)+IFERROR(--ISNUMBER(SEARCH("R89",G403)),0)+IFERROR(--ISNUMBER(SEARCH("R94",G403)),0)+IFERROR(--ISNUMBER(SEARCH("R95",G403)),0)+IFERROR(--ISNUMBER(SEARCH("R96",G403)),0)+IFERROR(--ISNUMBER(SEARCH("R98",G403)),0)+IFERROR(--ISNUMBER(SEARCH("R99",G403)),0)+IFERROR(--ISNUMBER(SEARCH("R100",G403)),0)+IFERROR(--ISNUMBER(SEARCH("R104",G403)),0)+IFERROR(--ISNUMBER(SEARCH("R105",G403)),0)+IFERROR(--ISNUMBER(SEARCH("R107",G403)),0)+IFERROR(--ISNUMBER(SEARCH("R108",G403)),0)+IFERROR(--ISNUMBER(SEARCH("R109",G403)),0)+IFERROR(--ISNUMBER(SEARCH("R110",G403)),0)+IFERROR(--ISNUMBER(SEARCH("R112",G403)),0)+IFERROR(--ISNUMBER(SEARCH("R113",G403)),0)+IFERROR(--ISNUMBER(SEARCH("R114",G403)),0)+IFERROR(--ISNUMBER(SEARCH("R118",G403)),0)+IFERROR(--ISNUMBER(SEARCH("R119",G403)),0)+IFERROR(--ISNUMBER(SEARCH("R120",G403)),0)+IFERROR(--ISNUMBER(SEARCH("R122",G403)),0)+IFERROR(--ISNUMBER(SEARCH("R123",G403)),0)+IFERROR(--ISNUMBER(SEARCH("R124",G403)),0)+IFERROR(--ISNUMBER(SEARCH("R128",G403)),0)+IFERROR(--ISNUMBER(SEARCH("R130",G403)),0)+IFERROR(--ISNUMBER(SEARCH("R131",G403)),0)+IFERROR(--ISNUMBER(SEARCH("R132",G403)),0)+IFERROR(--ISNUMBER(SEARCH("R135",G403)),0)+IFERROR(--ISNUMBER(SEARCH("R138",G403)),0)+IFERROR(--ISNUMBER(SEARCH("R141",G403)),0))</f>
        <v/>
      </c>
      <c r="U403" s="58">
        <f>IF(A403="","",IFERROR(--ISNUMBER(SEARCH("R28",G403))*28,0)+IFERROR(--ISNUMBER(SEARCH("R29",G403))*29,0)+IFERROR(--ISNUMBER(SEARCH("R30",G403))*30,0)+IFERROR(--ISNUMBER(SEARCH("R31",G403))*31,0)+IFERROR(--ISNUMBER(SEARCH("R32",G403))*32,0)+IFERROR(--ISNUMBER(SEARCH("R33",G403))*33,0)+IFERROR(--ISNUMBER(SEARCH("R34",G403))*34,0)+IFERROR(--ISNUMBER(SEARCH("R35",G403))*35,0)+IFERROR(--ISNUMBER(SEARCH("R36",G403))*36,0)+IFERROR(--ISNUMBER(SEARCH("R37",G403))*37,0)+IFERROR(--ISNUMBER(SEARCH("R38",G403))*38,0)+IFERROR(--ISNUMBER(SEARCH("R39",G403))*39,0)+IFERROR(--ISNUMBER(SEARCH("R40",G403))*40,0)+IFERROR(--ISNUMBER(SEARCH("R41",G403))*41,0)+IFERROR(--ISNUMBER(SEARCH("R42",G403))*42,0)+IFERROR(--ISNUMBER(SEARCH("R43",G403))*43,0)+IFERROR(--ISNUMBER(SEARCH("R44",G403))*44,0)+IFERROR(--ISNUMBER(SEARCH("R45",G403))*45,0)+IFERROR(--ISNUMBER(SEARCH("R46",G403))*46,0)+IFERROR(--ISNUMBER(SEARCH("R47",G403))*47,0)+IFERROR(--ISNUMBER(SEARCH("R48",G403))*48,0)+IFERROR(--ISNUMBER(SEARCH("R49",G403))*49,0)+IFERROR(--ISNUMBER(SEARCH("R50",G403))*50,0)+IFERROR(--ISNUMBER(SEARCH("R51",G403))*51,0)+IFERROR(--ISNUMBER(SEARCH("R52",G403))*52,0)+IFERROR(--ISNUMBER(SEARCH("R53",G403))*53,0)+IFERROR(--ISNUMBER(SEARCH("R54",G403))*54,0)+IFERROR(--ISNUMBER(SEARCH("R55",G403))*55,0)+IFERROR(--ISNUMBER(SEARCH("R56",G403))*56,0)+IFERROR(--ISNUMBER(SEARCH("R57",G403))*57,0)+IFERROR(--ISNUMBER(SEARCH("R58",G403))*58,0)+IFERROR(--ISNUMBER(SEARCH("R59",G403))*59,0)+IFERROR(--ISNUMBER(SEARCH("R60",G403))*60,0)+IFERROR(--ISNUMBER(SEARCH("R61",G403))*61,0)+IFERROR(--ISNUMBER(SEARCH("R62",G403))*62,0)+IFERROR(--ISNUMBER(SEARCH("R63",G403))*63,0)+IFERROR(--ISNUMBER(SEARCH("R64",G403))*64,0)+IFERROR(--ISNUMBER(SEARCH("R65",G403))*65,0)+IFERROR(--ISNUMBER(SEARCH("R66",G403))*66,0)+IFERROR(--ISNUMBER(SEARCH("R67",G403))*67,0)+IFERROR(--ISNUMBER(SEARCH("R68",G403))*68,0)+IFERROR(--ISNUMBER(SEARCH("R69",G403))*69,0)+IFERROR(--ISNUMBER(SEARCH("R70",G403))*70,0)+IFERROR(--ISNUMBER(SEARCH("R71",G403))*71,0)+IFERROR(--ISNUMBER(SEARCH("R72",G403))*72,0)+IFERROR(--ISNUMBER(SEARCH("R73",G403))*73,0)+IFERROR(--ISNUMBER(SEARCH("R74",G403))*74,0)+IFERROR(--ISNUMBER(SEARCH("R75",G403))*75,0)+IFERROR(--ISNUMBER(SEARCH("R76",G403))*76,0)+IFERROR(--ISNUMBER(SEARCH("R77",G403))*77,0)+IFERROR(--ISNUMBER(SEARCH("R78",G403))*78,0)+IFERROR(--ISNUMBER(SEARCH("R79",G403))*79,0)+IFERROR(--ISNUMBER(SEARCH("R80",G403))*80,0)+IFERROR(--ISNUMBER(SEARCH("R81",G403))*81,0)+IFERROR(--ISNUMBER(SEARCH("R82",G403))*82,0)+IFERROR(--ISNUMBER(SEARCH("R83",G403))*83,0)+IFERROR(--ISNUMBER(SEARCH("R84",G403))*84,0)+IFERROR(--ISNUMBER(SEARCH("R85",G403))*85,0)+IFERROR(--ISNUMBER(SEARCH("R86",G403))*86,0)+IFERROR(--ISNUMBER(SEARCH("R87",G403))*87,0)+IFERROR(--ISNUMBER(SEARCH("R88",G403))*88,0)+IFERROR(--ISNUMBER(SEARCH("R89",G403))*89,0)+IFERROR(--ISNUMBER(SEARCH("R90",G403))*90,0)+IFERROR(--ISNUMBER(SEARCH("R91",G403))*91,0)+IFERROR(--ISNUMBER(SEARCH("R92",G403))*92,0)+IFERROR(--ISNUMBER(SEARCH("R93",G403))*93,0)+IFERROR(--ISNUMBER(SEARCH("R94",G403))*94,0)+IFERROR(--ISNUMBER(SEARCH("R95",G403))*95,0)+IFERROR(--ISNUMBER(SEARCH("R96",G403))*96,0)+IFERROR(--ISNUMBER(SEARCH("R97",G403))*97,0)+IFERROR(--ISNUMBER(SEARCH("R98",G403))*98,0)+IFERROR(--ISNUMBER(SEARCH("R99",G403))*99,0)+IFERROR(--ISNUMBER(SEARCH("R100",G403))*100,0)+IFERROR(--ISNUMBER(SEARCH("R101",G403))*101,0)+IFERROR(--ISNUMBER(SEARCH("R102",G403))*102,0)+IFERROR(--ISNUMBER(SEARCH("R103",G403))*103,0)+IFERROR(--ISNUMBER(SEARCH("R104",G403))*104,0)+IFERROR(--ISNUMBER(SEARCH("R105",G403))*105,0)+IFERROR(--ISNUMBER(SEARCH("R106",G403))*106,0)+IFERROR(--ISNUMBER(SEARCH("R107",G403))*107,0)+IFERROR(--ISNUMBER(SEARCH("R108",G403))*108,0)+IFERROR(--ISNUMBER(SEARCH("R109",G403))*109,0)+IFERROR(--ISNUMBER(SEARCH("R110",G403))*110,0)+IFERROR(--ISNUMBER(SEARCH("R111",G403))*111,0)+IFERROR(--ISNUMBER(SEARCH("R112",G403))*112,0)+IFERROR(--ISNUMBER(SEARCH("R113",G403))*113,0)+IFERROR(--ISNUMBER(SEARCH("R114",G403))*114,0)+IFERROR(--ISNUMBER(SEARCH("R115",G403))*115,0)+IFERROR(--ISNUMBER(SEARCH("R116",G403))*116,0)+IFERROR(--ISNUMBER(SEARCH("R117",G403))*117,0)+IFERROR(--ISNUMBER(SEARCH("R118",G403))*118,0)+IFERROR(--ISNUMBER(SEARCH("R119",G403))*119,0)+IFERROR(--ISNUMBER(SEARCH("R120",G403))*120,0)+IFERROR(--ISNUMBER(SEARCH("R121",G403))*121,0)+IFERROR(--ISNUMBER(SEARCH("R122",G403))*122,0)+IFERROR(--ISNUMBER(SEARCH("R123",G403))*123,0)+IFERROR(--ISNUMBER(SEARCH("R124",G403))*124,0)+IFERROR(--ISNUMBER(SEARCH("R125",G403))*125,0)+IFERROR(--ISNUMBER(SEARCH("R126",G403))*126,0)+IFERROR(--ISNUMBER(SEARCH("R127",G403))*127,0)+IFERROR(--ISNUMBER(SEARCH("R128",G403))*128,0)+IFERROR(--ISNUMBER(SEARCH("R129",G403))*129,0)+IFERROR(--ISNUMBER(SEARCH("R130",G403))*130,0)+IFERROR(--ISNUMBER(SEARCH("R131",G403))*131,0)+IFERROR(--ISNUMBER(SEARCH("R132",G403))*132,0)+IFERROR(--ISNUMBER(SEARCH("R133",G403))*133,0)+IFERROR(--ISNUMBER(SEARCH("R134",G403))*134,0)+IFERROR(--ISNUMBER(SEARCH("R135",G403))*135,0)+IFERROR(--ISNUMBER(SEARCH("R136",G403))*136,0)+IFERROR(--ISNUMBER(SEARCH("R137",G403))*137,0)+IFERROR(--ISNUMBER(SEARCH("R138",G403))*138,0)+IFERROR(--ISNUMBER(SEARCH("R139",G403))*139,0)+IFERROR(--ISNUMBER(SEARCH("R140",G403))*140,0)+IFERROR(--ISNUMBER(SEARCH("R141",G403))*141,0))</f>
        <v/>
      </c>
      <c r="V403" s="59">
        <f>IF(A403="","",IF(K403&lt;&gt;"",K403,J403))</f>
        <v/>
      </c>
      <c r="W403" s="59">
        <f>IF(A403="","",IF(AND(V403=29,O403&lt;&gt;"",COUNTIFS($V$6:$V$505,29,$F$6:$F$505,F403,$C$6:$C$505,C403,$O$6:$O$505,"&lt;&gt;")&gt;1),IF(COUNTIFS($V$6:V403,29,$F$6:F403,F403,$C$6:C403,C403,$O$6:O403,"&lt;&gt;")=1,"Esta es la fila que se debe CONSERVAR (aparición 1 de "&amp;COUNTIFS($V$6:$V$505,29,$F$6:$F$505,F403,$C$6:$C$505,C403,$O$6:$O$505,"&lt;&gt;")&amp;" con el mismo tercero y valor, casilla 29). Si hay más filas iguales, bórreles el valor a ELLAS, no a esta.","DUPLICADO — ya existe otra fila con el mismo tercero y valor para casilla 29 (aparición "&amp;COUNTIFS($V$6:V403,29,$F$6:F403,F403,$C$6:C403,C403,$O$6:O403,"&lt;&gt;")&amp;" de "&amp;COUNTIFS($V$6:$V$505,29,$F$6:$F$505,F403,$C$6:$C$505,C403,$O$6:$O$505,"&lt;&gt;")&amp;"). Para resolverlo: seleccione la celda O"&amp;ROW()&amp;" (columna Valor a declarar de ESTA fila) y presione Supr."),""))</f>
        <v/>
      </c>
      <c r="X403" s="463">
        <f>IF(A403="","",F403)</f>
        <v/>
      </c>
      <c r="Y403" s="463">
        <f>IF(A403="","",SUMIF(Entrada_Manual!$I$88:$I$187,A403,Entrada_Manual!$F$88:$F$187))</f>
        <v/>
      </c>
      <c r="Z403" s="463">
        <f>IF(A403="","",X403-Y403)</f>
        <v/>
      </c>
      <c r="AA403">
        <f>IF(A403="","",SUMPRODUCT((Entrada_Manual!$I$88:$I$187=A403)*1))</f>
        <v/>
      </c>
      <c r="AB403">
        <f>IF(A403="","",IF(S403&lt;=1,"",IF(AA403=0,"PENDIENTE — SIN ASIGNAR",IF(Z403=0,"RESUELTO","PARCIAL — DIFERENCIA "&amp;TEXT(Z403,"#,##0")))))</f>
        <v/>
      </c>
    </row>
    <row r="404" ht="14.25" customHeight="1" s="235">
      <c r="A404" s="47">
        <f>IF(Exogena_RAW!E413&lt;&gt;"",ROW()-5,"")</f>
        <v/>
      </c>
      <c r="B404" s="48">
        <f>IF(A404="","",413)</f>
        <v/>
      </c>
      <c r="C404" s="48">
        <f>IF(A404="","",IFERROR(Exogena_RAW!A413,""))</f>
        <v/>
      </c>
      <c r="D404" s="48">
        <f>IF(A404="","",IFERROR(Exogena_RAW!B413,""))</f>
        <v/>
      </c>
      <c r="E404" s="48">
        <f>IF(A404="","",Exogena_RAW!E413)</f>
        <v/>
      </c>
      <c r="F404" s="461">
        <f>IF(A404="","",Exogena_RAW!F413)</f>
        <v/>
      </c>
      <c r="G404" s="48">
        <f>IF(A404="","",IFERROR(Exogena_RAW!G413,""))</f>
        <v/>
      </c>
      <c r="H404" s="48">
        <f>IF(A404="","",IFERROR(Exogena_RAW!H413,""))</f>
        <v/>
      </c>
      <c r="I404" s="48">
        <f>IF(A404="","",IFERROR(IF(S404&gt;1,"VARIAS CASILLAS",IF(S404=1,IF(T404=1,"PROPUESTA DE CASILLA","REVISIÓN: CASILLA NO DIRECTA"),IF(OR(ISNUMBER(SEARCH("TOPE",UPPER(E404))),ISNUMBER(SEARCH("TOPE",UPPER(G404)))),"SOLO CONTROL",IF(ISNUMBER(SEARCH("RETEN",UPPER(E404))),"RETENCIÓN","REVISAR")))),"REVISAR"))</f>
        <v/>
      </c>
      <c r="J404" s="48">
        <f>IF(A404="","",IF(ISNUMBER(SEARCH("ingreso laboral promedio de los últimos seis meses",E404)),"",IFERROR(IF(AND(S404=1,T404=1),U404,""),"")))</f>
        <v/>
      </c>
      <c r="K404" s="216" t="n"/>
      <c r="L404" s="48">
        <f>IF(A404="","",IFERROR(IF(K404&lt;&gt;"","Casilla elegida por usuario",IF(S404&gt;1,"Varias casillas — elegir en K",IF(J404&lt;&gt;"","Sugerencia directa",IF(S404=1,"No trasladar directo — revisar",IF(OR(ISNUMBER(SEARCH("TOPE",UPPER(E404))),ISNUMBER(SEARCH("TOPE",UPPER(G404)))),"Solo control","Revisar manualmente"))))),"Revisar manualmente"))</f>
        <v/>
      </c>
      <c r="M404" s="461">
        <f>IF(A404="","",IF(IF(K404&lt;&gt;"",K404,J404)="",0,IF(COUNTIFS(Reglas!$I$5:$I$118,IF(K404&lt;&gt;"",K404,J404),Reglas!$J$5:$J$118,"Sí")=1,F404,0)))</f>
        <v/>
      </c>
      <c r="N404" s="56" t="n"/>
      <c r="O404" s="462">
        <f>IF(A404="","",IF(M404=0,"",M404))</f>
        <v/>
      </c>
      <c r="P404" s="461">
        <f>IF(A404="","",IF(O404="",0,IF(ISNUMBER(O404),O404,0)))</f>
        <v/>
      </c>
      <c r="Q404" s="48">
        <f>IF(A404="","",IF(Exogena_RAW!$C$4="","BLOQUEADO: FALTA AÑO",IF(Exogena_RAW!$K$10&lt;&gt;Reglas!$B$5,"BLOQUEADO: AÑO",IF(IF(K404&lt;&gt;"",K404,J404)="",IF(S404&gt;1,"REQUIERE ASIGNACIÓN MANUAL (VARIAS CASILLAS)","INFORMATIVO (sin casilla — no se declara)"),IF(COUNTIFS(Reglas!$I$5:$I$118,IF(K404&lt;&gt;"",K404,J404),Reglas!$J$5:$J$118,"Sí")=0,"BLOQUEADO: CASILLA NO DIRECTA",IF(O404="","EXCLUIDO (valor borrado por el usuario)",IF(_xlfn.ISFORMULA(O404),IF(W404&lt;&gt;"","BORRADOR — VALOR SUGERIDO DIAN ⚠ VER ALERTA","BORRADOR — VALOR SUGERIDO DIAN"),IF(W404&lt;&gt;"","ACEPTADO ⚠ VER ALERTA","ACEPTADO"))))))))</f>
        <v/>
      </c>
      <c r="R404" s="218" t="n"/>
      <c r="S404" s="58">
        <f>IF(A404="","",IFERROR(--ISNUMBER(SEARCH("R28",G404)),0)+IFERROR(--ISNUMBER(SEARCH("R29",G404)),0)+IFERROR(--ISNUMBER(SEARCH("R30",G404)),0)+IFERROR(--ISNUMBER(SEARCH("R31",G404)),0)+IFERROR(--ISNUMBER(SEARCH("R32",G404)),0)+IFERROR(--ISNUMBER(SEARCH("R33",G404)),0)+IFERROR(--ISNUMBER(SEARCH("R34",G404)),0)+IFERROR(--ISNUMBER(SEARCH("R35",G404)),0)+IFERROR(--ISNUMBER(SEARCH("R36",G404)),0)+IFERROR(--ISNUMBER(SEARCH("R37",G404)),0)+IFERROR(--ISNUMBER(SEARCH("R38",G404)),0)+IFERROR(--ISNUMBER(SEARCH("R39",G404)),0)+IFERROR(--ISNUMBER(SEARCH("R40",G404)),0)+IFERROR(--ISNUMBER(SEARCH("R41",G404)),0)+IFERROR(--ISNUMBER(SEARCH("R42",G404)),0)+IFERROR(--ISNUMBER(SEARCH("R43",G404)),0)+IFERROR(--ISNUMBER(SEARCH("R44",G404)),0)+IFERROR(--ISNUMBER(SEARCH("R45",G404)),0)+IFERROR(--ISNUMBER(SEARCH("R46",G404)),0)+IFERROR(--ISNUMBER(SEARCH("R47",G404)),0)+IFERROR(--ISNUMBER(SEARCH("R48",G404)),0)+IFERROR(--ISNUMBER(SEARCH("R49",G404)),0)+IFERROR(--ISNUMBER(SEARCH("R50",G404)),0)+IFERROR(--ISNUMBER(SEARCH("R51",G404)),0)+IFERROR(--ISNUMBER(SEARCH("R52",G404)),0)+IFERROR(--ISNUMBER(SEARCH("R53",G404)),0)+IFERROR(--ISNUMBER(SEARCH("R54",G404)),0)+IFERROR(--ISNUMBER(SEARCH("R55",G404)),0)+IFERROR(--ISNUMBER(SEARCH("R56",G404)),0)+IFERROR(--ISNUMBER(SEARCH("R57",G404)),0)+IFERROR(--ISNUMBER(SEARCH("R58",G404)),0)+IFERROR(--ISNUMBER(SEARCH("R59",G404)),0)+IFERROR(--ISNUMBER(SEARCH("R60",G404)),0)+IFERROR(--ISNUMBER(SEARCH("R61",G404)),0)+IFERROR(--ISNUMBER(SEARCH("R62",G404)),0)+IFERROR(--ISNUMBER(SEARCH("R63",G404)),0)+IFERROR(--ISNUMBER(SEARCH("R64",G404)),0)+IFERROR(--ISNUMBER(SEARCH("R65",G404)),0)+IFERROR(--ISNUMBER(SEARCH("R66",G404)),0)+IFERROR(--ISNUMBER(SEARCH("R67",G404)),0)+IFERROR(--ISNUMBER(SEARCH("R68",G404)),0)+IFERROR(--ISNUMBER(SEARCH("R69",G404)),0)+IFERROR(--ISNUMBER(SEARCH("R70",G404)),0)+IFERROR(--ISNUMBER(SEARCH("R71",G404)),0)+IFERROR(--ISNUMBER(SEARCH("R72",G404)),0)+IFERROR(--ISNUMBER(SEARCH("R73",G404)),0)+IFERROR(--ISNUMBER(SEARCH("R74",G404)),0)+IFERROR(--ISNUMBER(SEARCH("R75",G404)),0)+IFERROR(--ISNUMBER(SEARCH("R76",G404)),0)+IFERROR(--ISNUMBER(SEARCH("R77",G404)),0)+IFERROR(--ISNUMBER(SEARCH("R78",G404)),0)+IFERROR(--ISNUMBER(SEARCH("R79",G404)),0)+IFERROR(--ISNUMBER(SEARCH("R80",G404)),0)+IFERROR(--ISNUMBER(SEARCH("R81",G404)),0)+IFERROR(--ISNUMBER(SEARCH("R82",G404)),0)+IFERROR(--ISNUMBER(SEARCH("R83",G404)),0)+IFERROR(--ISNUMBER(SEARCH("R84",G404)),0)+IFERROR(--ISNUMBER(SEARCH("R85",G404)),0)+IFERROR(--ISNUMBER(SEARCH("R86",G404)),0)+IFERROR(--ISNUMBER(SEARCH("R87",G404)),0)+IFERROR(--ISNUMBER(SEARCH("R88",G404)),0)+IFERROR(--ISNUMBER(SEARCH("R89",G404)),0)+IFERROR(--ISNUMBER(SEARCH("R90",G404)),0)+IFERROR(--ISNUMBER(SEARCH("R91",G404)),0)+IFERROR(--ISNUMBER(SEARCH("R92",G404)),0)+IFERROR(--ISNUMBER(SEARCH("R93",G404)),0)+IFERROR(--ISNUMBER(SEARCH("R94",G404)),0)+IFERROR(--ISNUMBER(SEARCH("R95",G404)),0)+IFERROR(--ISNUMBER(SEARCH("R96",G404)),0)+IFERROR(--ISNUMBER(SEARCH("R97",G404)),0)+IFERROR(--ISNUMBER(SEARCH("R98",G404)),0)+IFERROR(--ISNUMBER(SEARCH("R99",G404)),0)+IFERROR(--ISNUMBER(SEARCH("R100",G404)),0)+IFERROR(--ISNUMBER(SEARCH("R101",G404)),0)+IFERROR(--ISNUMBER(SEARCH("R102",G404)),0)+IFERROR(--ISNUMBER(SEARCH("R103",G404)),0)+IFERROR(--ISNUMBER(SEARCH("R104",G404)),0)+IFERROR(--ISNUMBER(SEARCH("R105",G404)),0)+IFERROR(--ISNUMBER(SEARCH("R106",G404)),0)+IFERROR(--ISNUMBER(SEARCH("R107",G404)),0)+IFERROR(--ISNUMBER(SEARCH("R108",G404)),0)+IFERROR(--ISNUMBER(SEARCH("R109",G404)),0)+IFERROR(--ISNUMBER(SEARCH("R110",G404)),0)+IFERROR(--ISNUMBER(SEARCH("R111",G404)),0)+IFERROR(--ISNUMBER(SEARCH("R112",G404)),0)+IFERROR(--ISNUMBER(SEARCH("R113",G404)),0)+IFERROR(--ISNUMBER(SEARCH("R114",G404)),0)+IFERROR(--ISNUMBER(SEARCH("R115",G404)),0)+IFERROR(--ISNUMBER(SEARCH("R116",G404)),0)+IFERROR(--ISNUMBER(SEARCH("R117",G404)),0)+IFERROR(--ISNUMBER(SEARCH("R118",G404)),0)+IFERROR(--ISNUMBER(SEARCH("R119",G404)),0)+IFERROR(--ISNUMBER(SEARCH("R120",G404)),0)+IFERROR(--ISNUMBER(SEARCH("R121",G404)),0)+IFERROR(--ISNUMBER(SEARCH("R122",G404)),0)+IFERROR(--ISNUMBER(SEARCH("R123",G404)),0)+IFERROR(--ISNUMBER(SEARCH("R124",G404)),0)+IFERROR(--ISNUMBER(SEARCH("R125",G404)),0)+IFERROR(--ISNUMBER(SEARCH("R126",G404)),0)+IFERROR(--ISNUMBER(SEARCH("R127",G404)),0)+IFERROR(--ISNUMBER(SEARCH("R128",G404)),0)+IFERROR(--ISNUMBER(SEARCH("R129",G404)),0)+IFERROR(--ISNUMBER(SEARCH("R130",G404)),0)+IFERROR(--ISNUMBER(SEARCH("R131",G404)),0)+IFERROR(--ISNUMBER(SEARCH("R132",G404)),0)+IFERROR(--ISNUMBER(SEARCH("R133",G404)),0)+IFERROR(--ISNUMBER(SEARCH("R134",G404)),0)+IFERROR(--ISNUMBER(SEARCH("R135",G404)),0)+IFERROR(--ISNUMBER(SEARCH("R136",G404)),0)+IFERROR(--ISNUMBER(SEARCH("R137",G404)),0)+IFERROR(--ISNUMBER(SEARCH("R138",G404)),0)+IFERROR(--ISNUMBER(SEARCH("R139",G404)),0)+IFERROR(--ISNUMBER(SEARCH("R140",G404)),0)+IFERROR(--ISNUMBER(SEARCH("R141",G404)),0))</f>
        <v/>
      </c>
      <c r="T404" s="58">
        <f>IF(A404="","",IFERROR(--ISNUMBER(SEARCH("R28",G404)),0)+IFERROR(--ISNUMBER(SEARCH("R29",G404)),0)+IFERROR(--ISNUMBER(SEARCH("R30",G404)),0)+IFERROR(--ISNUMBER(SEARCH("R32",G404)),0)+IFERROR(--ISNUMBER(SEARCH("R33",G404)),0)+IFERROR(--ISNUMBER(SEARCH("R35",G404)),0)+IFERROR(--ISNUMBER(SEARCH("R36",G404)),0)+IFERROR(--ISNUMBER(SEARCH("R38",G404)),0)+IFERROR(--ISNUMBER(SEARCH("R39",G404)),0)+IFERROR(--ISNUMBER(SEARCH("R43",G404)),0)+IFERROR(--ISNUMBER(SEARCH("R44",G404)),0)+IFERROR(--ISNUMBER(SEARCH("R45",G404)),0)+IFERROR(--ISNUMBER(SEARCH("R47",G404)),0)+IFERROR(--ISNUMBER(SEARCH("R48",G404)),0)+IFERROR(--ISNUMBER(SEARCH("R50",G404)),0)+IFERROR(--ISNUMBER(SEARCH("R51",G404)),0)+IFERROR(--ISNUMBER(SEARCH("R56",G404)),0)+IFERROR(--ISNUMBER(SEARCH("R58",G404)),0)+IFERROR(--ISNUMBER(SEARCH("R59",G404)),0)+IFERROR(--ISNUMBER(SEARCH("R60",G404)),0)+IFERROR(--ISNUMBER(SEARCH("R62",G404)),0)+IFERROR(--ISNUMBER(SEARCH("R63",G404)),0)+IFERROR(--ISNUMBER(SEARCH("R64",G404)),0)+IFERROR(--ISNUMBER(SEARCH("R66",G404)),0)+IFERROR(--ISNUMBER(SEARCH("R67",G404)),0)+IFERROR(--ISNUMBER(SEARCH("R72",G404)),0)+IFERROR(--ISNUMBER(SEARCH("R74",G404)),0)+IFERROR(--ISNUMBER(SEARCH("R75",G404)),0)+IFERROR(--ISNUMBER(SEARCH("R76",G404)),0)+IFERROR(--ISNUMBER(SEARCH("R77",G404)),0)+IFERROR(--ISNUMBER(SEARCH("R79",G404)),0)+IFERROR(--ISNUMBER(SEARCH("R80",G404)),0)+IFERROR(--ISNUMBER(SEARCH("R81",G404)),0)+IFERROR(--ISNUMBER(SEARCH("R83",G404)),0)+IFERROR(--ISNUMBER(SEARCH("R84",G404)),0)+IFERROR(--ISNUMBER(SEARCH("R89",G404)),0)+IFERROR(--ISNUMBER(SEARCH("R94",G404)),0)+IFERROR(--ISNUMBER(SEARCH("R95",G404)),0)+IFERROR(--ISNUMBER(SEARCH("R96",G404)),0)+IFERROR(--ISNUMBER(SEARCH("R98",G404)),0)+IFERROR(--ISNUMBER(SEARCH("R99",G404)),0)+IFERROR(--ISNUMBER(SEARCH("R100",G404)),0)+IFERROR(--ISNUMBER(SEARCH("R104",G404)),0)+IFERROR(--ISNUMBER(SEARCH("R105",G404)),0)+IFERROR(--ISNUMBER(SEARCH("R107",G404)),0)+IFERROR(--ISNUMBER(SEARCH("R108",G404)),0)+IFERROR(--ISNUMBER(SEARCH("R109",G404)),0)+IFERROR(--ISNUMBER(SEARCH("R110",G404)),0)+IFERROR(--ISNUMBER(SEARCH("R112",G404)),0)+IFERROR(--ISNUMBER(SEARCH("R113",G404)),0)+IFERROR(--ISNUMBER(SEARCH("R114",G404)),0)+IFERROR(--ISNUMBER(SEARCH("R118",G404)),0)+IFERROR(--ISNUMBER(SEARCH("R119",G404)),0)+IFERROR(--ISNUMBER(SEARCH("R120",G404)),0)+IFERROR(--ISNUMBER(SEARCH("R122",G404)),0)+IFERROR(--ISNUMBER(SEARCH("R123",G404)),0)+IFERROR(--ISNUMBER(SEARCH("R124",G404)),0)+IFERROR(--ISNUMBER(SEARCH("R128",G404)),0)+IFERROR(--ISNUMBER(SEARCH("R130",G404)),0)+IFERROR(--ISNUMBER(SEARCH("R131",G404)),0)+IFERROR(--ISNUMBER(SEARCH("R132",G404)),0)+IFERROR(--ISNUMBER(SEARCH("R135",G404)),0)+IFERROR(--ISNUMBER(SEARCH("R138",G404)),0)+IFERROR(--ISNUMBER(SEARCH("R141",G404)),0))</f>
        <v/>
      </c>
      <c r="U404" s="58">
        <f>IF(A404="","",IFERROR(--ISNUMBER(SEARCH("R28",G404))*28,0)+IFERROR(--ISNUMBER(SEARCH("R29",G404))*29,0)+IFERROR(--ISNUMBER(SEARCH("R30",G404))*30,0)+IFERROR(--ISNUMBER(SEARCH("R31",G404))*31,0)+IFERROR(--ISNUMBER(SEARCH("R32",G404))*32,0)+IFERROR(--ISNUMBER(SEARCH("R33",G404))*33,0)+IFERROR(--ISNUMBER(SEARCH("R34",G404))*34,0)+IFERROR(--ISNUMBER(SEARCH("R35",G404))*35,0)+IFERROR(--ISNUMBER(SEARCH("R36",G404))*36,0)+IFERROR(--ISNUMBER(SEARCH("R37",G404))*37,0)+IFERROR(--ISNUMBER(SEARCH("R38",G404))*38,0)+IFERROR(--ISNUMBER(SEARCH("R39",G404))*39,0)+IFERROR(--ISNUMBER(SEARCH("R40",G404))*40,0)+IFERROR(--ISNUMBER(SEARCH("R41",G404))*41,0)+IFERROR(--ISNUMBER(SEARCH("R42",G404))*42,0)+IFERROR(--ISNUMBER(SEARCH("R43",G404))*43,0)+IFERROR(--ISNUMBER(SEARCH("R44",G404))*44,0)+IFERROR(--ISNUMBER(SEARCH("R45",G404))*45,0)+IFERROR(--ISNUMBER(SEARCH("R46",G404))*46,0)+IFERROR(--ISNUMBER(SEARCH("R47",G404))*47,0)+IFERROR(--ISNUMBER(SEARCH("R48",G404))*48,0)+IFERROR(--ISNUMBER(SEARCH("R49",G404))*49,0)+IFERROR(--ISNUMBER(SEARCH("R50",G404))*50,0)+IFERROR(--ISNUMBER(SEARCH("R51",G404))*51,0)+IFERROR(--ISNUMBER(SEARCH("R52",G404))*52,0)+IFERROR(--ISNUMBER(SEARCH("R53",G404))*53,0)+IFERROR(--ISNUMBER(SEARCH("R54",G404))*54,0)+IFERROR(--ISNUMBER(SEARCH("R55",G404))*55,0)+IFERROR(--ISNUMBER(SEARCH("R56",G404))*56,0)+IFERROR(--ISNUMBER(SEARCH("R57",G404))*57,0)+IFERROR(--ISNUMBER(SEARCH("R58",G404))*58,0)+IFERROR(--ISNUMBER(SEARCH("R59",G404))*59,0)+IFERROR(--ISNUMBER(SEARCH("R60",G404))*60,0)+IFERROR(--ISNUMBER(SEARCH("R61",G404))*61,0)+IFERROR(--ISNUMBER(SEARCH("R62",G404))*62,0)+IFERROR(--ISNUMBER(SEARCH("R63",G404))*63,0)+IFERROR(--ISNUMBER(SEARCH("R64",G404))*64,0)+IFERROR(--ISNUMBER(SEARCH("R65",G404))*65,0)+IFERROR(--ISNUMBER(SEARCH("R66",G404))*66,0)+IFERROR(--ISNUMBER(SEARCH("R67",G404))*67,0)+IFERROR(--ISNUMBER(SEARCH("R68",G404))*68,0)+IFERROR(--ISNUMBER(SEARCH("R69",G404))*69,0)+IFERROR(--ISNUMBER(SEARCH("R70",G404))*70,0)+IFERROR(--ISNUMBER(SEARCH("R71",G404))*71,0)+IFERROR(--ISNUMBER(SEARCH("R72",G404))*72,0)+IFERROR(--ISNUMBER(SEARCH("R73",G404))*73,0)+IFERROR(--ISNUMBER(SEARCH("R74",G404))*74,0)+IFERROR(--ISNUMBER(SEARCH("R75",G404))*75,0)+IFERROR(--ISNUMBER(SEARCH("R76",G404))*76,0)+IFERROR(--ISNUMBER(SEARCH("R77",G404))*77,0)+IFERROR(--ISNUMBER(SEARCH("R78",G404))*78,0)+IFERROR(--ISNUMBER(SEARCH("R79",G404))*79,0)+IFERROR(--ISNUMBER(SEARCH("R80",G404))*80,0)+IFERROR(--ISNUMBER(SEARCH("R81",G404))*81,0)+IFERROR(--ISNUMBER(SEARCH("R82",G404))*82,0)+IFERROR(--ISNUMBER(SEARCH("R83",G404))*83,0)+IFERROR(--ISNUMBER(SEARCH("R84",G404))*84,0)+IFERROR(--ISNUMBER(SEARCH("R85",G404))*85,0)+IFERROR(--ISNUMBER(SEARCH("R86",G404))*86,0)+IFERROR(--ISNUMBER(SEARCH("R87",G404))*87,0)+IFERROR(--ISNUMBER(SEARCH("R88",G404))*88,0)+IFERROR(--ISNUMBER(SEARCH("R89",G404))*89,0)+IFERROR(--ISNUMBER(SEARCH("R90",G404))*90,0)+IFERROR(--ISNUMBER(SEARCH("R91",G404))*91,0)+IFERROR(--ISNUMBER(SEARCH("R92",G404))*92,0)+IFERROR(--ISNUMBER(SEARCH("R93",G404))*93,0)+IFERROR(--ISNUMBER(SEARCH("R94",G404))*94,0)+IFERROR(--ISNUMBER(SEARCH("R95",G404))*95,0)+IFERROR(--ISNUMBER(SEARCH("R96",G404))*96,0)+IFERROR(--ISNUMBER(SEARCH("R97",G404))*97,0)+IFERROR(--ISNUMBER(SEARCH("R98",G404))*98,0)+IFERROR(--ISNUMBER(SEARCH("R99",G404))*99,0)+IFERROR(--ISNUMBER(SEARCH("R100",G404))*100,0)+IFERROR(--ISNUMBER(SEARCH("R101",G404))*101,0)+IFERROR(--ISNUMBER(SEARCH("R102",G404))*102,0)+IFERROR(--ISNUMBER(SEARCH("R103",G404))*103,0)+IFERROR(--ISNUMBER(SEARCH("R104",G404))*104,0)+IFERROR(--ISNUMBER(SEARCH("R105",G404))*105,0)+IFERROR(--ISNUMBER(SEARCH("R106",G404))*106,0)+IFERROR(--ISNUMBER(SEARCH("R107",G404))*107,0)+IFERROR(--ISNUMBER(SEARCH("R108",G404))*108,0)+IFERROR(--ISNUMBER(SEARCH("R109",G404))*109,0)+IFERROR(--ISNUMBER(SEARCH("R110",G404))*110,0)+IFERROR(--ISNUMBER(SEARCH("R111",G404))*111,0)+IFERROR(--ISNUMBER(SEARCH("R112",G404))*112,0)+IFERROR(--ISNUMBER(SEARCH("R113",G404))*113,0)+IFERROR(--ISNUMBER(SEARCH("R114",G404))*114,0)+IFERROR(--ISNUMBER(SEARCH("R115",G404))*115,0)+IFERROR(--ISNUMBER(SEARCH("R116",G404))*116,0)+IFERROR(--ISNUMBER(SEARCH("R117",G404))*117,0)+IFERROR(--ISNUMBER(SEARCH("R118",G404))*118,0)+IFERROR(--ISNUMBER(SEARCH("R119",G404))*119,0)+IFERROR(--ISNUMBER(SEARCH("R120",G404))*120,0)+IFERROR(--ISNUMBER(SEARCH("R121",G404))*121,0)+IFERROR(--ISNUMBER(SEARCH("R122",G404))*122,0)+IFERROR(--ISNUMBER(SEARCH("R123",G404))*123,0)+IFERROR(--ISNUMBER(SEARCH("R124",G404))*124,0)+IFERROR(--ISNUMBER(SEARCH("R125",G404))*125,0)+IFERROR(--ISNUMBER(SEARCH("R126",G404))*126,0)+IFERROR(--ISNUMBER(SEARCH("R127",G404))*127,0)+IFERROR(--ISNUMBER(SEARCH("R128",G404))*128,0)+IFERROR(--ISNUMBER(SEARCH("R129",G404))*129,0)+IFERROR(--ISNUMBER(SEARCH("R130",G404))*130,0)+IFERROR(--ISNUMBER(SEARCH("R131",G404))*131,0)+IFERROR(--ISNUMBER(SEARCH("R132",G404))*132,0)+IFERROR(--ISNUMBER(SEARCH("R133",G404))*133,0)+IFERROR(--ISNUMBER(SEARCH("R134",G404))*134,0)+IFERROR(--ISNUMBER(SEARCH("R135",G404))*135,0)+IFERROR(--ISNUMBER(SEARCH("R136",G404))*136,0)+IFERROR(--ISNUMBER(SEARCH("R137",G404))*137,0)+IFERROR(--ISNUMBER(SEARCH("R138",G404))*138,0)+IFERROR(--ISNUMBER(SEARCH("R139",G404))*139,0)+IFERROR(--ISNUMBER(SEARCH("R140",G404))*140,0)+IFERROR(--ISNUMBER(SEARCH("R141",G404))*141,0))</f>
        <v/>
      </c>
      <c r="V404" s="59">
        <f>IF(A404="","",IF(K404&lt;&gt;"",K404,J404))</f>
        <v/>
      </c>
      <c r="W404" s="59">
        <f>IF(A404="","",IF(AND(V404=29,O404&lt;&gt;"",COUNTIFS($V$6:$V$505,29,$F$6:$F$505,F404,$C$6:$C$505,C404,$O$6:$O$505,"&lt;&gt;")&gt;1),IF(COUNTIFS($V$6:V404,29,$F$6:F404,F404,$C$6:C404,C404,$O$6:O404,"&lt;&gt;")=1,"Esta es la fila que se debe CONSERVAR (aparición 1 de "&amp;COUNTIFS($V$6:$V$505,29,$F$6:$F$505,F404,$C$6:$C$505,C404,$O$6:$O$505,"&lt;&gt;")&amp;" con el mismo tercero y valor, casilla 29). Si hay más filas iguales, bórreles el valor a ELLAS, no a esta.","DUPLICADO — ya existe otra fila con el mismo tercero y valor para casilla 29 (aparición "&amp;COUNTIFS($V$6:V404,29,$F$6:F404,F404,$C$6:C404,C404,$O$6:O404,"&lt;&gt;")&amp;" de "&amp;COUNTIFS($V$6:$V$505,29,$F$6:$F$505,F404,$C$6:$C$505,C404,$O$6:$O$505,"&lt;&gt;")&amp;"). Para resolverlo: seleccione la celda O"&amp;ROW()&amp;" (columna Valor a declarar de ESTA fila) y presione Supr."),""))</f>
        <v/>
      </c>
      <c r="X404" s="463">
        <f>IF(A404="","",F404)</f>
        <v/>
      </c>
      <c r="Y404" s="463">
        <f>IF(A404="","",SUMIF(Entrada_Manual!$I$88:$I$187,A404,Entrada_Manual!$F$88:$F$187))</f>
        <v/>
      </c>
      <c r="Z404" s="463">
        <f>IF(A404="","",X404-Y404)</f>
        <v/>
      </c>
      <c r="AA404">
        <f>IF(A404="","",SUMPRODUCT((Entrada_Manual!$I$88:$I$187=A404)*1))</f>
        <v/>
      </c>
      <c r="AB404">
        <f>IF(A404="","",IF(S404&lt;=1,"",IF(AA404=0,"PENDIENTE — SIN ASIGNAR",IF(Z404=0,"RESUELTO","PARCIAL — DIFERENCIA "&amp;TEXT(Z404,"#,##0")))))</f>
        <v/>
      </c>
    </row>
    <row r="405" ht="14.25" customHeight="1" s="235">
      <c r="A405" s="47">
        <f>IF(Exogena_RAW!E414&lt;&gt;"",ROW()-5,"")</f>
        <v/>
      </c>
      <c r="B405" s="48">
        <f>IF(A405="","",414)</f>
        <v/>
      </c>
      <c r="C405" s="48">
        <f>IF(A405="","",IFERROR(Exogena_RAW!A414,""))</f>
        <v/>
      </c>
      <c r="D405" s="48">
        <f>IF(A405="","",IFERROR(Exogena_RAW!B414,""))</f>
        <v/>
      </c>
      <c r="E405" s="48">
        <f>IF(A405="","",Exogena_RAW!E414)</f>
        <v/>
      </c>
      <c r="F405" s="461">
        <f>IF(A405="","",Exogena_RAW!F414)</f>
        <v/>
      </c>
      <c r="G405" s="48">
        <f>IF(A405="","",IFERROR(Exogena_RAW!G414,""))</f>
        <v/>
      </c>
      <c r="H405" s="48">
        <f>IF(A405="","",IFERROR(Exogena_RAW!H414,""))</f>
        <v/>
      </c>
      <c r="I405" s="48">
        <f>IF(A405="","",IFERROR(IF(S405&gt;1,"VARIAS CASILLAS",IF(S405=1,IF(T405=1,"PROPUESTA DE CASILLA","REVISIÓN: CASILLA NO DIRECTA"),IF(OR(ISNUMBER(SEARCH("TOPE",UPPER(E405))),ISNUMBER(SEARCH("TOPE",UPPER(G405)))),"SOLO CONTROL",IF(ISNUMBER(SEARCH("RETEN",UPPER(E405))),"RETENCIÓN","REVISAR")))),"REVISAR"))</f>
        <v/>
      </c>
      <c r="J405" s="48">
        <f>IF(A405="","",IF(ISNUMBER(SEARCH("ingreso laboral promedio de los últimos seis meses",E405)),"",IFERROR(IF(AND(S405=1,T405=1),U405,""),"")))</f>
        <v/>
      </c>
      <c r="K405" s="216" t="n"/>
      <c r="L405" s="48">
        <f>IF(A405="","",IFERROR(IF(K405&lt;&gt;"","Casilla elegida por usuario",IF(S405&gt;1,"Varias casillas — elegir en K",IF(J405&lt;&gt;"","Sugerencia directa",IF(S405=1,"No trasladar directo — revisar",IF(OR(ISNUMBER(SEARCH("TOPE",UPPER(E405))),ISNUMBER(SEARCH("TOPE",UPPER(G405)))),"Solo control","Revisar manualmente"))))),"Revisar manualmente"))</f>
        <v/>
      </c>
      <c r="M405" s="461">
        <f>IF(A405="","",IF(IF(K405&lt;&gt;"",K405,J405)="",0,IF(COUNTIFS(Reglas!$I$5:$I$118,IF(K405&lt;&gt;"",K405,J405),Reglas!$J$5:$J$118,"Sí")=1,F405,0)))</f>
        <v/>
      </c>
      <c r="N405" s="56" t="n"/>
      <c r="O405" s="462">
        <f>IF(A405="","",IF(M405=0,"",M405))</f>
        <v/>
      </c>
      <c r="P405" s="461">
        <f>IF(A405="","",IF(O405="",0,IF(ISNUMBER(O405),O405,0)))</f>
        <v/>
      </c>
      <c r="Q405" s="48">
        <f>IF(A405="","",IF(Exogena_RAW!$C$4="","BLOQUEADO: FALTA AÑO",IF(Exogena_RAW!$K$10&lt;&gt;Reglas!$B$5,"BLOQUEADO: AÑO",IF(IF(K405&lt;&gt;"",K405,J405)="",IF(S405&gt;1,"REQUIERE ASIGNACIÓN MANUAL (VARIAS CASILLAS)","INFORMATIVO (sin casilla — no se declara)"),IF(COUNTIFS(Reglas!$I$5:$I$118,IF(K405&lt;&gt;"",K405,J405),Reglas!$J$5:$J$118,"Sí")=0,"BLOQUEADO: CASILLA NO DIRECTA",IF(O405="","EXCLUIDO (valor borrado por el usuario)",IF(_xlfn.ISFORMULA(O405),IF(W405&lt;&gt;"","BORRADOR — VALOR SUGERIDO DIAN ⚠ VER ALERTA","BORRADOR — VALOR SUGERIDO DIAN"),IF(W405&lt;&gt;"","ACEPTADO ⚠ VER ALERTA","ACEPTADO"))))))))</f>
        <v/>
      </c>
      <c r="R405" s="218" t="n"/>
      <c r="S405" s="58">
        <f>IF(A405="","",IFERROR(--ISNUMBER(SEARCH("R28",G405)),0)+IFERROR(--ISNUMBER(SEARCH("R29",G405)),0)+IFERROR(--ISNUMBER(SEARCH("R30",G405)),0)+IFERROR(--ISNUMBER(SEARCH("R31",G405)),0)+IFERROR(--ISNUMBER(SEARCH("R32",G405)),0)+IFERROR(--ISNUMBER(SEARCH("R33",G405)),0)+IFERROR(--ISNUMBER(SEARCH("R34",G405)),0)+IFERROR(--ISNUMBER(SEARCH("R35",G405)),0)+IFERROR(--ISNUMBER(SEARCH("R36",G405)),0)+IFERROR(--ISNUMBER(SEARCH("R37",G405)),0)+IFERROR(--ISNUMBER(SEARCH("R38",G405)),0)+IFERROR(--ISNUMBER(SEARCH("R39",G405)),0)+IFERROR(--ISNUMBER(SEARCH("R40",G405)),0)+IFERROR(--ISNUMBER(SEARCH("R41",G405)),0)+IFERROR(--ISNUMBER(SEARCH("R42",G405)),0)+IFERROR(--ISNUMBER(SEARCH("R43",G405)),0)+IFERROR(--ISNUMBER(SEARCH("R44",G405)),0)+IFERROR(--ISNUMBER(SEARCH("R45",G405)),0)+IFERROR(--ISNUMBER(SEARCH("R46",G405)),0)+IFERROR(--ISNUMBER(SEARCH("R47",G405)),0)+IFERROR(--ISNUMBER(SEARCH("R48",G405)),0)+IFERROR(--ISNUMBER(SEARCH("R49",G405)),0)+IFERROR(--ISNUMBER(SEARCH("R50",G405)),0)+IFERROR(--ISNUMBER(SEARCH("R51",G405)),0)+IFERROR(--ISNUMBER(SEARCH("R52",G405)),0)+IFERROR(--ISNUMBER(SEARCH("R53",G405)),0)+IFERROR(--ISNUMBER(SEARCH("R54",G405)),0)+IFERROR(--ISNUMBER(SEARCH("R55",G405)),0)+IFERROR(--ISNUMBER(SEARCH("R56",G405)),0)+IFERROR(--ISNUMBER(SEARCH("R57",G405)),0)+IFERROR(--ISNUMBER(SEARCH("R58",G405)),0)+IFERROR(--ISNUMBER(SEARCH("R59",G405)),0)+IFERROR(--ISNUMBER(SEARCH("R60",G405)),0)+IFERROR(--ISNUMBER(SEARCH("R61",G405)),0)+IFERROR(--ISNUMBER(SEARCH("R62",G405)),0)+IFERROR(--ISNUMBER(SEARCH("R63",G405)),0)+IFERROR(--ISNUMBER(SEARCH("R64",G405)),0)+IFERROR(--ISNUMBER(SEARCH("R65",G405)),0)+IFERROR(--ISNUMBER(SEARCH("R66",G405)),0)+IFERROR(--ISNUMBER(SEARCH("R67",G405)),0)+IFERROR(--ISNUMBER(SEARCH("R68",G405)),0)+IFERROR(--ISNUMBER(SEARCH("R69",G405)),0)+IFERROR(--ISNUMBER(SEARCH("R70",G405)),0)+IFERROR(--ISNUMBER(SEARCH("R71",G405)),0)+IFERROR(--ISNUMBER(SEARCH("R72",G405)),0)+IFERROR(--ISNUMBER(SEARCH("R73",G405)),0)+IFERROR(--ISNUMBER(SEARCH("R74",G405)),0)+IFERROR(--ISNUMBER(SEARCH("R75",G405)),0)+IFERROR(--ISNUMBER(SEARCH("R76",G405)),0)+IFERROR(--ISNUMBER(SEARCH("R77",G405)),0)+IFERROR(--ISNUMBER(SEARCH("R78",G405)),0)+IFERROR(--ISNUMBER(SEARCH("R79",G405)),0)+IFERROR(--ISNUMBER(SEARCH("R80",G405)),0)+IFERROR(--ISNUMBER(SEARCH("R81",G405)),0)+IFERROR(--ISNUMBER(SEARCH("R82",G405)),0)+IFERROR(--ISNUMBER(SEARCH("R83",G405)),0)+IFERROR(--ISNUMBER(SEARCH("R84",G405)),0)+IFERROR(--ISNUMBER(SEARCH("R85",G405)),0)+IFERROR(--ISNUMBER(SEARCH("R86",G405)),0)+IFERROR(--ISNUMBER(SEARCH("R87",G405)),0)+IFERROR(--ISNUMBER(SEARCH("R88",G405)),0)+IFERROR(--ISNUMBER(SEARCH("R89",G405)),0)+IFERROR(--ISNUMBER(SEARCH("R90",G405)),0)+IFERROR(--ISNUMBER(SEARCH("R91",G405)),0)+IFERROR(--ISNUMBER(SEARCH("R92",G405)),0)+IFERROR(--ISNUMBER(SEARCH("R93",G405)),0)+IFERROR(--ISNUMBER(SEARCH("R94",G405)),0)+IFERROR(--ISNUMBER(SEARCH("R95",G405)),0)+IFERROR(--ISNUMBER(SEARCH("R96",G405)),0)+IFERROR(--ISNUMBER(SEARCH("R97",G405)),0)+IFERROR(--ISNUMBER(SEARCH("R98",G405)),0)+IFERROR(--ISNUMBER(SEARCH("R99",G405)),0)+IFERROR(--ISNUMBER(SEARCH("R100",G405)),0)+IFERROR(--ISNUMBER(SEARCH("R101",G405)),0)+IFERROR(--ISNUMBER(SEARCH("R102",G405)),0)+IFERROR(--ISNUMBER(SEARCH("R103",G405)),0)+IFERROR(--ISNUMBER(SEARCH("R104",G405)),0)+IFERROR(--ISNUMBER(SEARCH("R105",G405)),0)+IFERROR(--ISNUMBER(SEARCH("R106",G405)),0)+IFERROR(--ISNUMBER(SEARCH("R107",G405)),0)+IFERROR(--ISNUMBER(SEARCH("R108",G405)),0)+IFERROR(--ISNUMBER(SEARCH("R109",G405)),0)+IFERROR(--ISNUMBER(SEARCH("R110",G405)),0)+IFERROR(--ISNUMBER(SEARCH("R111",G405)),0)+IFERROR(--ISNUMBER(SEARCH("R112",G405)),0)+IFERROR(--ISNUMBER(SEARCH("R113",G405)),0)+IFERROR(--ISNUMBER(SEARCH("R114",G405)),0)+IFERROR(--ISNUMBER(SEARCH("R115",G405)),0)+IFERROR(--ISNUMBER(SEARCH("R116",G405)),0)+IFERROR(--ISNUMBER(SEARCH("R117",G405)),0)+IFERROR(--ISNUMBER(SEARCH("R118",G405)),0)+IFERROR(--ISNUMBER(SEARCH("R119",G405)),0)+IFERROR(--ISNUMBER(SEARCH("R120",G405)),0)+IFERROR(--ISNUMBER(SEARCH("R121",G405)),0)+IFERROR(--ISNUMBER(SEARCH("R122",G405)),0)+IFERROR(--ISNUMBER(SEARCH("R123",G405)),0)+IFERROR(--ISNUMBER(SEARCH("R124",G405)),0)+IFERROR(--ISNUMBER(SEARCH("R125",G405)),0)+IFERROR(--ISNUMBER(SEARCH("R126",G405)),0)+IFERROR(--ISNUMBER(SEARCH("R127",G405)),0)+IFERROR(--ISNUMBER(SEARCH("R128",G405)),0)+IFERROR(--ISNUMBER(SEARCH("R129",G405)),0)+IFERROR(--ISNUMBER(SEARCH("R130",G405)),0)+IFERROR(--ISNUMBER(SEARCH("R131",G405)),0)+IFERROR(--ISNUMBER(SEARCH("R132",G405)),0)+IFERROR(--ISNUMBER(SEARCH("R133",G405)),0)+IFERROR(--ISNUMBER(SEARCH("R134",G405)),0)+IFERROR(--ISNUMBER(SEARCH("R135",G405)),0)+IFERROR(--ISNUMBER(SEARCH("R136",G405)),0)+IFERROR(--ISNUMBER(SEARCH("R137",G405)),0)+IFERROR(--ISNUMBER(SEARCH("R138",G405)),0)+IFERROR(--ISNUMBER(SEARCH("R139",G405)),0)+IFERROR(--ISNUMBER(SEARCH("R140",G405)),0)+IFERROR(--ISNUMBER(SEARCH("R141",G405)),0))</f>
        <v/>
      </c>
      <c r="T405" s="58">
        <f>IF(A405="","",IFERROR(--ISNUMBER(SEARCH("R28",G405)),0)+IFERROR(--ISNUMBER(SEARCH("R29",G405)),0)+IFERROR(--ISNUMBER(SEARCH("R30",G405)),0)+IFERROR(--ISNUMBER(SEARCH("R32",G405)),0)+IFERROR(--ISNUMBER(SEARCH("R33",G405)),0)+IFERROR(--ISNUMBER(SEARCH("R35",G405)),0)+IFERROR(--ISNUMBER(SEARCH("R36",G405)),0)+IFERROR(--ISNUMBER(SEARCH("R38",G405)),0)+IFERROR(--ISNUMBER(SEARCH("R39",G405)),0)+IFERROR(--ISNUMBER(SEARCH("R43",G405)),0)+IFERROR(--ISNUMBER(SEARCH("R44",G405)),0)+IFERROR(--ISNUMBER(SEARCH("R45",G405)),0)+IFERROR(--ISNUMBER(SEARCH("R47",G405)),0)+IFERROR(--ISNUMBER(SEARCH("R48",G405)),0)+IFERROR(--ISNUMBER(SEARCH("R50",G405)),0)+IFERROR(--ISNUMBER(SEARCH("R51",G405)),0)+IFERROR(--ISNUMBER(SEARCH("R56",G405)),0)+IFERROR(--ISNUMBER(SEARCH("R58",G405)),0)+IFERROR(--ISNUMBER(SEARCH("R59",G405)),0)+IFERROR(--ISNUMBER(SEARCH("R60",G405)),0)+IFERROR(--ISNUMBER(SEARCH("R62",G405)),0)+IFERROR(--ISNUMBER(SEARCH("R63",G405)),0)+IFERROR(--ISNUMBER(SEARCH("R64",G405)),0)+IFERROR(--ISNUMBER(SEARCH("R66",G405)),0)+IFERROR(--ISNUMBER(SEARCH("R67",G405)),0)+IFERROR(--ISNUMBER(SEARCH("R72",G405)),0)+IFERROR(--ISNUMBER(SEARCH("R74",G405)),0)+IFERROR(--ISNUMBER(SEARCH("R75",G405)),0)+IFERROR(--ISNUMBER(SEARCH("R76",G405)),0)+IFERROR(--ISNUMBER(SEARCH("R77",G405)),0)+IFERROR(--ISNUMBER(SEARCH("R79",G405)),0)+IFERROR(--ISNUMBER(SEARCH("R80",G405)),0)+IFERROR(--ISNUMBER(SEARCH("R81",G405)),0)+IFERROR(--ISNUMBER(SEARCH("R83",G405)),0)+IFERROR(--ISNUMBER(SEARCH("R84",G405)),0)+IFERROR(--ISNUMBER(SEARCH("R89",G405)),0)+IFERROR(--ISNUMBER(SEARCH("R94",G405)),0)+IFERROR(--ISNUMBER(SEARCH("R95",G405)),0)+IFERROR(--ISNUMBER(SEARCH("R96",G405)),0)+IFERROR(--ISNUMBER(SEARCH("R98",G405)),0)+IFERROR(--ISNUMBER(SEARCH("R99",G405)),0)+IFERROR(--ISNUMBER(SEARCH("R100",G405)),0)+IFERROR(--ISNUMBER(SEARCH("R104",G405)),0)+IFERROR(--ISNUMBER(SEARCH("R105",G405)),0)+IFERROR(--ISNUMBER(SEARCH("R107",G405)),0)+IFERROR(--ISNUMBER(SEARCH("R108",G405)),0)+IFERROR(--ISNUMBER(SEARCH("R109",G405)),0)+IFERROR(--ISNUMBER(SEARCH("R110",G405)),0)+IFERROR(--ISNUMBER(SEARCH("R112",G405)),0)+IFERROR(--ISNUMBER(SEARCH("R113",G405)),0)+IFERROR(--ISNUMBER(SEARCH("R114",G405)),0)+IFERROR(--ISNUMBER(SEARCH("R118",G405)),0)+IFERROR(--ISNUMBER(SEARCH("R119",G405)),0)+IFERROR(--ISNUMBER(SEARCH("R120",G405)),0)+IFERROR(--ISNUMBER(SEARCH("R122",G405)),0)+IFERROR(--ISNUMBER(SEARCH("R123",G405)),0)+IFERROR(--ISNUMBER(SEARCH("R124",G405)),0)+IFERROR(--ISNUMBER(SEARCH("R128",G405)),0)+IFERROR(--ISNUMBER(SEARCH("R130",G405)),0)+IFERROR(--ISNUMBER(SEARCH("R131",G405)),0)+IFERROR(--ISNUMBER(SEARCH("R132",G405)),0)+IFERROR(--ISNUMBER(SEARCH("R135",G405)),0)+IFERROR(--ISNUMBER(SEARCH("R138",G405)),0)+IFERROR(--ISNUMBER(SEARCH("R141",G405)),0))</f>
        <v/>
      </c>
      <c r="U405" s="58">
        <f>IF(A405="","",IFERROR(--ISNUMBER(SEARCH("R28",G405))*28,0)+IFERROR(--ISNUMBER(SEARCH("R29",G405))*29,0)+IFERROR(--ISNUMBER(SEARCH("R30",G405))*30,0)+IFERROR(--ISNUMBER(SEARCH("R31",G405))*31,0)+IFERROR(--ISNUMBER(SEARCH("R32",G405))*32,0)+IFERROR(--ISNUMBER(SEARCH("R33",G405))*33,0)+IFERROR(--ISNUMBER(SEARCH("R34",G405))*34,0)+IFERROR(--ISNUMBER(SEARCH("R35",G405))*35,0)+IFERROR(--ISNUMBER(SEARCH("R36",G405))*36,0)+IFERROR(--ISNUMBER(SEARCH("R37",G405))*37,0)+IFERROR(--ISNUMBER(SEARCH("R38",G405))*38,0)+IFERROR(--ISNUMBER(SEARCH("R39",G405))*39,0)+IFERROR(--ISNUMBER(SEARCH("R40",G405))*40,0)+IFERROR(--ISNUMBER(SEARCH("R41",G405))*41,0)+IFERROR(--ISNUMBER(SEARCH("R42",G405))*42,0)+IFERROR(--ISNUMBER(SEARCH("R43",G405))*43,0)+IFERROR(--ISNUMBER(SEARCH("R44",G405))*44,0)+IFERROR(--ISNUMBER(SEARCH("R45",G405))*45,0)+IFERROR(--ISNUMBER(SEARCH("R46",G405))*46,0)+IFERROR(--ISNUMBER(SEARCH("R47",G405))*47,0)+IFERROR(--ISNUMBER(SEARCH("R48",G405))*48,0)+IFERROR(--ISNUMBER(SEARCH("R49",G405))*49,0)+IFERROR(--ISNUMBER(SEARCH("R50",G405))*50,0)+IFERROR(--ISNUMBER(SEARCH("R51",G405))*51,0)+IFERROR(--ISNUMBER(SEARCH("R52",G405))*52,0)+IFERROR(--ISNUMBER(SEARCH("R53",G405))*53,0)+IFERROR(--ISNUMBER(SEARCH("R54",G405))*54,0)+IFERROR(--ISNUMBER(SEARCH("R55",G405))*55,0)+IFERROR(--ISNUMBER(SEARCH("R56",G405))*56,0)+IFERROR(--ISNUMBER(SEARCH("R57",G405))*57,0)+IFERROR(--ISNUMBER(SEARCH("R58",G405))*58,0)+IFERROR(--ISNUMBER(SEARCH("R59",G405))*59,0)+IFERROR(--ISNUMBER(SEARCH("R60",G405))*60,0)+IFERROR(--ISNUMBER(SEARCH("R61",G405))*61,0)+IFERROR(--ISNUMBER(SEARCH("R62",G405))*62,0)+IFERROR(--ISNUMBER(SEARCH("R63",G405))*63,0)+IFERROR(--ISNUMBER(SEARCH("R64",G405))*64,0)+IFERROR(--ISNUMBER(SEARCH("R65",G405))*65,0)+IFERROR(--ISNUMBER(SEARCH("R66",G405))*66,0)+IFERROR(--ISNUMBER(SEARCH("R67",G405))*67,0)+IFERROR(--ISNUMBER(SEARCH("R68",G405))*68,0)+IFERROR(--ISNUMBER(SEARCH("R69",G405))*69,0)+IFERROR(--ISNUMBER(SEARCH("R70",G405))*70,0)+IFERROR(--ISNUMBER(SEARCH("R71",G405))*71,0)+IFERROR(--ISNUMBER(SEARCH("R72",G405))*72,0)+IFERROR(--ISNUMBER(SEARCH("R73",G405))*73,0)+IFERROR(--ISNUMBER(SEARCH("R74",G405))*74,0)+IFERROR(--ISNUMBER(SEARCH("R75",G405))*75,0)+IFERROR(--ISNUMBER(SEARCH("R76",G405))*76,0)+IFERROR(--ISNUMBER(SEARCH("R77",G405))*77,0)+IFERROR(--ISNUMBER(SEARCH("R78",G405))*78,0)+IFERROR(--ISNUMBER(SEARCH("R79",G405))*79,0)+IFERROR(--ISNUMBER(SEARCH("R80",G405))*80,0)+IFERROR(--ISNUMBER(SEARCH("R81",G405))*81,0)+IFERROR(--ISNUMBER(SEARCH("R82",G405))*82,0)+IFERROR(--ISNUMBER(SEARCH("R83",G405))*83,0)+IFERROR(--ISNUMBER(SEARCH("R84",G405))*84,0)+IFERROR(--ISNUMBER(SEARCH("R85",G405))*85,0)+IFERROR(--ISNUMBER(SEARCH("R86",G405))*86,0)+IFERROR(--ISNUMBER(SEARCH("R87",G405))*87,0)+IFERROR(--ISNUMBER(SEARCH("R88",G405))*88,0)+IFERROR(--ISNUMBER(SEARCH("R89",G405))*89,0)+IFERROR(--ISNUMBER(SEARCH("R90",G405))*90,0)+IFERROR(--ISNUMBER(SEARCH("R91",G405))*91,0)+IFERROR(--ISNUMBER(SEARCH("R92",G405))*92,0)+IFERROR(--ISNUMBER(SEARCH("R93",G405))*93,0)+IFERROR(--ISNUMBER(SEARCH("R94",G405))*94,0)+IFERROR(--ISNUMBER(SEARCH("R95",G405))*95,0)+IFERROR(--ISNUMBER(SEARCH("R96",G405))*96,0)+IFERROR(--ISNUMBER(SEARCH("R97",G405))*97,0)+IFERROR(--ISNUMBER(SEARCH("R98",G405))*98,0)+IFERROR(--ISNUMBER(SEARCH("R99",G405))*99,0)+IFERROR(--ISNUMBER(SEARCH("R100",G405))*100,0)+IFERROR(--ISNUMBER(SEARCH("R101",G405))*101,0)+IFERROR(--ISNUMBER(SEARCH("R102",G405))*102,0)+IFERROR(--ISNUMBER(SEARCH("R103",G405))*103,0)+IFERROR(--ISNUMBER(SEARCH("R104",G405))*104,0)+IFERROR(--ISNUMBER(SEARCH("R105",G405))*105,0)+IFERROR(--ISNUMBER(SEARCH("R106",G405))*106,0)+IFERROR(--ISNUMBER(SEARCH("R107",G405))*107,0)+IFERROR(--ISNUMBER(SEARCH("R108",G405))*108,0)+IFERROR(--ISNUMBER(SEARCH("R109",G405))*109,0)+IFERROR(--ISNUMBER(SEARCH("R110",G405))*110,0)+IFERROR(--ISNUMBER(SEARCH("R111",G405))*111,0)+IFERROR(--ISNUMBER(SEARCH("R112",G405))*112,0)+IFERROR(--ISNUMBER(SEARCH("R113",G405))*113,0)+IFERROR(--ISNUMBER(SEARCH("R114",G405))*114,0)+IFERROR(--ISNUMBER(SEARCH("R115",G405))*115,0)+IFERROR(--ISNUMBER(SEARCH("R116",G405))*116,0)+IFERROR(--ISNUMBER(SEARCH("R117",G405))*117,0)+IFERROR(--ISNUMBER(SEARCH("R118",G405))*118,0)+IFERROR(--ISNUMBER(SEARCH("R119",G405))*119,0)+IFERROR(--ISNUMBER(SEARCH("R120",G405))*120,0)+IFERROR(--ISNUMBER(SEARCH("R121",G405))*121,0)+IFERROR(--ISNUMBER(SEARCH("R122",G405))*122,0)+IFERROR(--ISNUMBER(SEARCH("R123",G405))*123,0)+IFERROR(--ISNUMBER(SEARCH("R124",G405))*124,0)+IFERROR(--ISNUMBER(SEARCH("R125",G405))*125,0)+IFERROR(--ISNUMBER(SEARCH("R126",G405))*126,0)+IFERROR(--ISNUMBER(SEARCH("R127",G405))*127,0)+IFERROR(--ISNUMBER(SEARCH("R128",G405))*128,0)+IFERROR(--ISNUMBER(SEARCH("R129",G405))*129,0)+IFERROR(--ISNUMBER(SEARCH("R130",G405))*130,0)+IFERROR(--ISNUMBER(SEARCH("R131",G405))*131,0)+IFERROR(--ISNUMBER(SEARCH("R132",G405))*132,0)+IFERROR(--ISNUMBER(SEARCH("R133",G405))*133,0)+IFERROR(--ISNUMBER(SEARCH("R134",G405))*134,0)+IFERROR(--ISNUMBER(SEARCH("R135",G405))*135,0)+IFERROR(--ISNUMBER(SEARCH("R136",G405))*136,0)+IFERROR(--ISNUMBER(SEARCH("R137",G405))*137,0)+IFERROR(--ISNUMBER(SEARCH("R138",G405))*138,0)+IFERROR(--ISNUMBER(SEARCH("R139",G405))*139,0)+IFERROR(--ISNUMBER(SEARCH("R140",G405))*140,0)+IFERROR(--ISNUMBER(SEARCH("R141",G405))*141,0))</f>
        <v/>
      </c>
      <c r="V405" s="59">
        <f>IF(A405="","",IF(K405&lt;&gt;"",K405,J405))</f>
        <v/>
      </c>
      <c r="W405" s="59">
        <f>IF(A405="","",IF(AND(V405=29,O405&lt;&gt;"",COUNTIFS($V$6:$V$505,29,$F$6:$F$505,F405,$C$6:$C$505,C405,$O$6:$O$505,"&lt;&gt;")&gt;1),IF(COUNTIFS($V$6:V405,29,$F$6:F405,F405,$C$6:C405,C405,$O$6:O405,"&lt;&gt;")=1,"Esta es la fila que se debe CONSERVAR (aparición 1 de "&amp;COUNTIFS($V$6:$V$505,29,$F$6:$F$505,F405,$C$6:$C$505,C405,$O$6:$O$505,"&lt;&gt;")&amp;" con el mismo tercero y valor, casilla 29). Si hay más filas iguales, bórreles el valor a ELLAS, no a esta.","DUPLICADO — ya existe otra fila con el mismo tercero y valor para casilla 29 (aparición "&amp;COUNTIFS($V$6:V405,29,$F$6:F405,F405,$C$6:C405,C405,$O$6:O405,"&lt;&gt;")&amp;" de "&amp;COUNTIFS($V$6:$V$505,29,$F$6:$F$505,F405,$C$6:$C$505,C405,$O$6:$O$505,"&lt;&gt;")&amp;"). Para resolverlo: seleccione la celda O"&amp;ROW()&amp;" (columna Valor a declarar de ESTA fila) y presione Supr."),""))</f>
        <v/>
      </c>
      <c r="X405" s="463">
        <f>IF(A405="","",F405)</f>
        <v/>
      </c>
      <c r="Y405" s="463">
        <f>IF(A405="","",SUMIF(Entrada_Manual!$I$88:$I$187,A405,Entrada_Manual!$F$88:$F$187))</f>
        <v/>
      </c>
      <c r="Z405" s="463">
        <f>IF(A405="","",X405-Y405)</f>
        <v/>
      </c>
      <c r="AA405">
        <f>IF(A405="","",SUMPRODUCT((Entrada_Manual!$I$88:$I$187=A405)*1))</f>
        <v/>
      </c>
      <c r="AB405">
        <f>IF(A405="","",IF(S405&lt;=1,"",IF(AA405=0,"PENDIENTE — SIN ASIGNAR",IF(Z405=0,"RESUELTO","PARCIAL — DIFERENCIA "&amp;TEXT(Z405,"#,##0")))))</f>
        <v/>
      </c>
    </row>
    <row r="406" ht="14.25" customHeight="1" s="235">
      <c r="A406" s="47">
        <f>IF(Exogena_RAW!E415&lt;&gt;"",ROW()-5,"")</f>
        <v/>
      </c>
      <c r="B406" s="48">
        <f>IF(A406="","",415)</f>
        <v/>
      </c>
      <c r="C406" s="48">
        <f>IF(A406="","",IFERROR(Exogena_RAW!A415,""))</f>
        <v/>
      </c>
      <c r="D406" s="48">
        <f>IF(A406="","",IFERROR(Exogena_RAW!B415,""))</f>
        <v/>
      </c>
      <c r="E406" s="48">
        <f>IF(A406="","",Exogena_RAW!E415)</f>
        <v/>
      </c>
      <c r="F406" s="461">
        <f>IF(A406="","",Exogena_RAW!F415)</f>
        <v/>
      </c>
      <c r="G406" s="48">
        <f>IF(A406="","",IFERROR(Exogena_RAW!G415,""))</f>
        <v/>
      </c>
      <c r="H406" s="48">
        <f>IF(A406="","",IFERROR(Exogena_RAW!H415,""))</f>
        <v/>
      </c>
      <c r="I406" s="48">
        <f>IF(A406="","",IFERROR(IF(S406&gt;1,"VARIAS CASILLAS",IF(S406=1,IF(T406=1,"PROPUESTA DE CASILLA","REVISIÓN: CASILLA NO DIRECTA"),IF(OR(ISNUMBER(SEARCH("TOPE",UPPER(E406))),ISNUMBER(SEARCH("TOPE",UPPER(G406)))),"SOLO CONTROL",IF(ISNUMBER(SEARCH("RETEN",UPPER(E406))),"RETENCIÓN","REVISAR")))),"REVISAR"))</f>
        <v/>
      </c>
      <c r="J406" s="48">
        <f>IF(A406="","",IF(ISNUMBER(SEARCH("ingreso laboral promedio de los últimos seis meses",E406)),"",IFERROR(IF(AND(S406=1,T406=1),U406,""),"")))</f>
        <v/>
      </c>
      <c r="K406" s="216" t="n"/>
      <c r="L406" s="48">
        <f>IF(A406="","",IFERROR(IF(K406&lt;&gt;"","Casilla elegida por usuario",IF(S406&gt;1,"Varias casillas — elegir en K",IF(J406&lt;&gt;"","Sugerencia directa",IF(S406=1,"No trasladar directo — revisar",IF(OR(ISNUMBER(SEARCH("TOPE",UPPER(E406))),ISNUMBER(SEARCH("TOPE",UPPER(G406)))),"Solo control","Revisar manualmente"))))),"Revisar manualmente"))</f>
        <v/>
      </c>
      <c r="M406" s="461">
        <f>IF(A406="","",IF(IF(K406&lt;&gt;"",K406,J406)="",0,IF(COUNTIFS(Reglas!$I$5:$I$118,IF(K406&lt;&gt;"",K406,J406),Reglas!$J$5:$J$118,"Sí")=1,F406,0)))</f>
        <v/>
      </c>
      <c r="N406" s="56" t="n"/>
      <c r="O406" s="462">
        <f>IF(A406="","",IF(M406=0,"",M406))</f>
        <v/>
      </c>
      <c r="P406" s="461">
        <f>IF(A406="","",IF(O406="",0,IF(ISNUMBER(O406),O406,0)))</f>
        <v/>
      </c>
      <c r="Q406" s="48">
        <f>IF(A406="","",IF(Exogena_RAW!$C$4="","BLOQUEADO: FALTA AÑO",IF(Exogena_RAW!$K$10&lt;&gt;Reglas!$B$5,"BLOQUEADO: AÑO",IF(IF(K406&lt;&gt;"",K406,J406)="",IF(S406&gt;1,"REQUIERE ASIGNACIÓN MANUAL (VARIAS CASILLAS)","INFORMATIVO (sin casilla — no se declara)"),IF(COUNTIFS(Reglas!$I$5:$I$118,IF(K406&lt;&gt;"",K406,J406),Reglas!$J$5:$J$118,"Sí")=0,"BLOQUEADO: CASILLA NO DIRECTA",IF(O406="","EXCLUIDO (valor borrado por el usuario)",IF(_xlfn.ISFORMULA(O406),IF(W406&lt;&gt;"","BORRADOR — VALOR SUGERIDO DIAN ⚠ VER ALERTA","BORRADOR — VALOR SUGERIDO DIAN"),IF(W406&lt;&gt;"","ACEPTADO ⚠ VER ALERTA","ACEPTADO"))))))))</f>
        <v/>
      </c>
      <c r="R406" s="218" t="n"/>
      <c r="S406" s="58">
        <f>IF(A406="","",IFERROR(--ISNUMBER(SEARCH("R28",G406)),0)+IFERROR(--ISNUMBER(SEARCH("R29",G406)),0)+IFERROR(--ISNUMBER(SEARCH("R30",G406)),0)+IFERROR(--ISNUMBER(SEARCH("R31",G406)),0)+IFERROR(--ISNUMBER(SEARCH("R32",G406)),0)+IFERROR(--ISNUMBER(SEARCH("R33",G406)),0)+IFERROR(--ISNUMBER(SEARCH("R34",G406)),0)+IFERROR(--ISNUMBER(SEARCH("R35",G406)),0)+IFERROR(--ISNUMBER(SEARCH("R36",G406)),0)+IFERROR(--ISNUMBER(SEARCH("R37",G406)),0)+IFERROR(--ISNUMBER(SEARCH("R38",G406)),0)+IFERROR(--ISNUMBER(SEARCH("R39",G406)),0)+IFERROR(--ISNUMBER(SEARCH("R40",G406)),0)+IFERROR(--ISNUMBER(SEARCH("R41",G406)),0)+IFERROR(--ISNUMBER(SEARCH("R42",G406)),0)+IFERROR(--ISNUMBER(SEARCH("R43",G406)),0)+IFERROR(--ISNUMBER(SEARCH("R44",G406)),0)+IFERROR(--ISNUMBER(SEARCH("R45",G406)),0)+IFERROR(--ISNUMBER(SEARCH("R46",G406)),0)+IFERROR(--ISNUMBER(SEARCH("R47",G406)),0)+IFERROR(--ISNUMBER(SEARCH("R48",G406)),0)+IFERROR(--ISNUMBER(SEARCH("R49",G406)),0)+IFERROR(--ISNUMBER(SEARCH("R50",G406)),0)+IFERROR(--ISNUMBER(SEARCH("R51",G406)),0)+IFERROR(--ISNUMBER(SEARCH("R52",G406)),0)+IFERROR(--ISNUMBER(SEARCH("R53",G406)),0)+IFERROR(--ISNUMBER(SEARCH("R54",G406)),0)+IFERROR(--ISNUMBER(SEARCH("R55",G406)),0)+IFERROR(--ISNUMBER(SEARCH("R56",G406)),0)+IFERROR(--ISNUMBER(SEARCH("R57",G406)),0)+IFERROR(--ISNUMBER(SEARCH("R58",G406)),0)+IFERROR(--ISNUMBER(SEARCH("R59",G406)),0)+IFERROR(--ISNUMBER(SEARCH("R60",G406)),0)+IFERROR(--ISNUMBER(SEARCH("R61",G406)),0)+IFERROR(--ISNUMBER(SEARCH("R62",G406)),0)+IFERROR(--ISNUMBER(SEARCH("R63",G406)),0)+IFERROR(--ISNUMBER(SEARCH("R64",G406)),0)+IFERROR(--ISNUMBER(SEARCH("R65",G406)),0)+IFERROR(--ISNUMBER(SEARCH("R66",G406)),0)+IFERROR(--ISNUMBER(SEARCH("R67",G406)),0)+IFERROR(--ISNUMBER(SEARCH("R68",G406)),0)+IFERROR(--ISNUMBER(SEARCH("R69",G406)),0)+IFERROR(--ISNUMBER(SEARCH("R70",G406)),0)+IFERROR(--ISNUMBER(SEARCH("R71",G406)),0)+IFERROR(--ISNUMBER(SEARCH("R72",G406)),0)+IFERROR(--ISNUMBER(SEARCH("R73",G406)),0)+IFERROR(--ISNUMBER(SEARCH("R74",G406)),0)+IFERROR(--ISNUMBER(SEARCH("R75",G406)),0)+IFERROR(--ISNUMBER(SEARCH("R76",G406)),0)+IFERROR(--ISNUMBER(SEARCH("R77",G406)),0)+IFERROR(--ISNUMBER(SEARCH("R78",G406)),0)+IFERROR(--ISNUMBER(SEARCH("R79",G406)),0)+IFERROR(--ISNUMBER(SEARCH("R80",G406)),0)+IFERROR(--ISNUMBER(SEARCH("R81",G406)),0)+IFERROR(--ISNUMBER(SEARCH("R82",G406)),0)+IFERROR(--ISNUMBER(SEARCH("R83",G406)),0)+IFERROR(--ISNUMBER(SEARCH("R84",G406)),0)+IFERROR(--ISNUMBER(SEARCH("R85",G406)),0)+IFERROR(--ISNUMBER(SEARCH("R86",G406)),0)+IFERROR(--ISNUMBER(SEARCH("R87",G406)),0)+IFERROR(--ISNUMBER(SEARCH("R88",G406)),0)+IFERROR(--ISNUMBER(SEARCH("R89",G406)),0)+IFERROR(--ISNUMBER(SEARCH("R90",G406)),0)+IFERROR(--ISNUMBER(SEARCH("R91",G406)),0)+IFERROR(--ISNUMBER(SEARCH("R92",G406)),0)+IFERROR(--ISNUMBER(SEARCH("R93",G406)),0)+IFERROR(--ISNUMBER(SEARCH("R94",G406)),0)+IFERROR(--ISNUMBER(SEARCH("R95",G406)),0)+IFERROR(--ISNUMBER(SEARCH("R96",G406)),0)+IFERROR(--ISNUMBER(SEARCH("R97",G406)),0)+IFERROR(--ISNUMBER(SEARCH("R98",G406)),0)+IFERROR(--ISNUMBER(SEARCH("R99",G406)),0)+IFERROR(--ISNUMBER(SEARCH("R100",G406)),0)+IFERROR(--ISNUMBER(SEARCH("R101",G406)),0)+IFERROR(--ISNUMBER(SEARCH("R102",G406)),0)+IFERROR(--ISNUMBER(SEARCH("R103",G406)),0)+IFERROR(--ISNUMBER(SEARCH("R104",G406)),0)+IFERROR(--ISNUMBER(SEARCH("R105",G406)),0)+IFERROR(--ISNUMBER(SEARCH("R106",G406)),0)+IFERROR(--ISNUMBER(SEARCH("R107",G406)),0)+IFERROR(--ISNUMBER(SEARCH("R108",G406)),0)+IFERROR(--ISNUMBER(SEARCH("R109",G406)),0)+IFERROR(--ISNUMBER(SEARCH("R110",G406)),0)+IFERROR(--ISNUMBER(SEARCH("R111",G406)),0)+IFERROR(--ISNUMBER(SEARCH("R112",G406)),0)+IFERROR(--ISNUMBER(SEARCH("R113",G406)),0)+IFERROR(--ISNUMBER(SEARCH("R114",G406)),0)+IFERROR(--ISNUMBER(SEARCH("R115",G406)),0)+IFERROR(--ISNUMBER(SEARCH("R116",G406)),0)+IFERROR(--ISNUMBER(SEARCH("R117",G406)),0)+IFERROR(--ISNUMBER(SEARCH("R118",G406)),0)+IFERROR(--ISNUMBER(SEARCH("R119",G406)),0)+IFERROR(--ISNUMBER(SEARCH("R120",G406)),0)+IFERROR(--ISNUMBER(SEARCH("R121",G406)),0)+IFERROR(--ISNUMBER(SEARCH("R122",G406)),0)+IFERROR(--ISNUMBER(SEARCH("R123",G406)),0)+IFERROR(--ISNUMBER(SEARCH("R124",G406)),0)+IFERROR(--ISNUMBER(SEARCH("R125",G406)),0)+IFERROR(--ISNUMBER(SEARCH("R126",G406)),0)+IFERROR(--ISNUMBER(SEARCH("R127",G406)),0)+IFERROR(--ISNUMBER(SEARCH("R128",G406)),0)+IFERROR(--ISNUMBER(SEARCH("R129",G406)),0)+IFERROR(--ISNUMBER(SEARCH("R130",G406)),0)+IFERROR(--ISNUMBER(SEARCH("R131",G406)),0)+IFERROR(--ISNUMBER(SEARCH("R132",G406)),0)+IFERROR(--ISNUMBER(SEARCH("R133",G406)),0)+IFERROR(--ISNUMBER(SEARCH("R134",G406)),0)+IFERROR(--ISNUMBER(SEARCH("R135",G406)),0)+IFERROR(--ISNUMBER(SEARCH("R136",G406)),0)+IFERROR(--ISNUMBER(SEARCH("R137",G406)),0)+IFERROR(--ISNUMBER(SEARCH("R138",G406)),0)+IFERROR(--ISNUMBER(SEARCH("R139",G406)),0)+IFERROR(--ISNUMBER(SEARCH("R140",G406)),0)+IFERROR(--ISNUMBER(SEARCH("R141",G406)),0))</f>
        <v/>
      </c>
      <c r="T406" s="58">
        <f>IF(A406="","",IFERROR(--ISNUMBER(SEARCH("R28",G406)),0)+IFERROR(--ISNUMBER(SEARCH("R29",G406)),0)+IFERROR(--ISNUMBER(SEARCH("R30",G406)),0)+IFERROR(--ISNUMBER(SEARCH("R32",G406)),0)+IFERROR(--ISNUMBER(SEARCH("R33",G406)),0)+IFERROR(--ISNUMBER(SEARCH("R35",G406)),0)+IFERROR(--ISNUMBER(SEARCH("R36",G406)),0)+IFERROR(--ISNUMBER(SEARCH("R38",G406)),0)+IFERROR(--ISNUMBER(SEARCH("R39",G406)),0)+IFERROR(--ISNUMBER(SEARCH("R43",G406)),0)+IFERROR(--ISNUMBER(SEARCH("R44",G406)),0)+IFERROR(--ISNUMBER(SEARCH("R45",G406)),0)+IFERROR(--ISNUMBER(SEARCH("R47",G406)),0)+IFERROR(--ISNUMBER(SEARCH("R48",G406)),0)+IFERROR(--ISNUMBER(SEARCH("R50",G406)),0)+IFERROR(--ISNUMBER(SEARCH("R51",G406)),0)+IFERROR(--ISNUMBER(SEARCH("R56",G406)),0)+IFERROR(--ISNUMBER(SEARCH("R58",G406)),0)+IFERROR(--ISNUMBER(SEARCH("R59",G406)),0)+IFERROR(--ISNUMBER(SEARCH("R60",G406)),0)+IFERROR(--ISNUMBER(SEARCH("R62",G406)),0)+IFERROR(--ISNUMBER(SEARCH("R63",G406)),0)+IFERROR(--ISNUMBER(SEARCH("R64",G406)),0)+IFERROR(--ISNUMBER(SEARCH("R66",G406)),0)+IFERROR(--ISNUMBER(SEARCH("R67",G406)),0)+IFERROR(--ISNUMBER(SEARCH("R72",G406)),0)+IFERROR(--ISNUMBER(SEARCH("R74",G406)),0)+IFERROR(--ISNUMBER(SEARCH("R75",G406)),0)+IFERROR(--ISNUMBER(SEARCH("R76",G406)),0)+IFERROR(--ISNUMBER(SEARCH("R77",G406)),0)+IFERROR(--ISNUMBER(SEARCH("R79",G406)),0)+IFERROR(--ISNUMBER(SEARCH("R80",G406)),0)+IFERROR(--ISNUMBER(SEARCH("R81",G406)),0)+IFERROR(--ISNUMBER(SEARCH("R83",G406)),0)+IFERROR(--ISNUMBER(SEARCH("R84",G406)),0)+IFERROR(--ISNUMBER(SEARCH("R89",G406)),0)+IFERROR(--ISNUMBER(SEARCH("R94",G406)),0)+IFERROR(--ISNUMBER(SEARCH("R95",G406)),0)+IFERROR(--ISNUMBER(SEARCH("R96",G406)),0)+IFERROR(--ISNUMBER(SEARCH("R98",G406)),0)+IFERROR(--ISNUMBER(SEARCH("R99",G406)),0)+IFERROR(--ISNUMBER(SEARCH("R100",G406)),0)+IFERROR(--ISNUMBER(SEARCH("R104",G406)),0)+IFERROR(--ISNUMBER(SEARCH("R105",G406)),0)+IFERROR(--ISNUMBER(SEARCH("R107",G406)),0)+IFERROR(--ISNUMBER(SEARCH("R108",G406)),0)+IFERROR(--ISNUMBER(SEARCH("R109",G406)),0)+IFERROR(--ISNUMBER(SEARCH("R110",G406)),0)+IFERROR(--ISNUMBER(SEARCH("R112",G406)),0)+IFERROR(--ISNUMBER(SEARCH("R113",G406)),0)+IFERROR(--ISNUMBER(SEARCH("R114",G406)),0)+IFERROR(--ISNUMBER(SEARCH("R118",G406)),0)+IFERROR(--ISNUMBER(SEARCH("R119",G406)),0)+IFERROR(--ISNUMBER(SEARCH("R120",G406)),0)+IFERROR(--ISNUMBER(SEARCH("R122",G406)),0)+IFERROR(--ISNUMBER(SEARCH("R123",G406)),0)+IFERROR(--ISNUMBER(SEARCH("R124",G406)),0)+IFERROR(--ISNUMBER(SEARCH("R128",G406)),0)+IFERROR(--ISNUMBER(SEARCH("R130",G406)),0)+IFERROR(--ISNUMBER(SEARCH("R131",G406)),0)+IFERROR(--ISNUMBER(SEARCH("R132",G406)),0)+IFERROR(--ISNUMBER(SEARCH("R135",G406)),0)+IFERROR(--ISNUMBER(SEARCH("R138",G406)),0)+IFERROR(--ISNUMBER(SEARCH("R141",G406)),0))</f>
        <v/>
      </c>
      <c r="U406" s="58">
        <f>IF(A406="","",IFERROR(--ISNUMBER(SEARCH("R28",G406))*28,0)+IFERROR(--ISNUMBER(SEARCH("R29",G406))*29,0)+IFERROR(--ISNUMBER(SEARCH("R30",G406))*30,0)+IFERROR(--ISNUMBER(SEARCH("R31",G406))*31,0)+IFERROR(--ISNUMBER(SEARCH("R32",G406))*32,0)+IFERROR(--ISNUMBER(SEARCH("R33",G406))*33,0)+IFERROR(--ISNUMBER(SEARCH("R34",G406))*34,0)+IFERROR(--ISNUMBER(SEARCH("R35",G406))*35,0)+IFERROR(--ISNUMBER(SEARCH("R36",G406))*36,0)+IFERROR(--ISNUMBER(SEARCH("R37",G406))*37,0)+IFERROR(--ISNUMBER(SEARCH("R38",G406))*38,0)+IFERROR(--ISNUMBER(SEARCH("R39",G406))*39,0)+IFERROR(--ISNUMBER(SEARCH("R40",G406))*40,0)+IFERROR(--ISNUMBER(SEARCH("R41",G406))*41,0)+IFERROR(--ISNUMBER(SEARCH("R42",G406))*42,0)+IFERROR(--ISNUMBER(SEARCH("R43",G406))*43,0)+IFERROR(--ISNUMBER(SEARCH("R44",G406))*44,0)+IFERROR(--ISNUMBER(SEARCH("R45",G406))*45,0)+IFERROR(--ISNUMBER(SEARCH("R46",G406))*46,0)+IFERROR(--ISNUMBER(SEARCH("R47",G406))*47,0)+IFERROR(--ISNUMBER(SEARCH("R48",G406))*48,0)+IFERROR(--ISNUMBER(SEARCH("R49",G406))*49,0)+IFERROR(--ISNUMBER(SEARCH("R50",G406))*50,0)+IFERROR(--ISNUMBER(SEARCH("R51",G406))*51,0)+IFERROR(--ISNUMBER(SEARCH("R52",G406))*52,0)+IFERROR(--ISNUMBER(SEARCH("R53",G406))*53,0)+IFERROR(--ISNUMBER(SEARCH("R54",G406))*54,0)+IFERROR(--ISNUMBER(SEARCH("R55",G406))*55,0)+IFERROR(--ISNUMBER(SEARCH("R56",G406))*56,0)+IFERROR(--ISNUMBER(SEARCH("R57",G406))*57,0)+IFERROR(--ISNUMBER(SEARCH("R58",G406))*58,0)+IFERROR(--ISNUMBER(SEARCH("R59",G406))*59,0)+IFERROR(--ISNUMBER(SEARCH("R60",G406))*60,0)+IFERROR(--ISNUMBER(SEARCH("R61",G406))*61,0)+IFERROR(--ISNUMBER(SEARCH("R62",G406))*62,0)+IFERROR(--ISNUMBER(SEARCH("R63",G406))*63,0)+IFERROR(--ISNUMBER(SEARCH("R64",G406))*64,0)+IFERROR(--ISNUMBER(SEARCH("R65",G406))*65,0)+IFERROR(--ISNUMBER(SEARCH("R66",G406))*66,0)+IFERROR(--ISNUMBER(SEARCH("R67",G406))*67,0)+IFERROR(--ISNUMBER(SEARCH("R68",G406))*68,0)+IFERROR(--ISNUMBER(SEARCH("R69",G406))*69,0)+IFERROR(--ISNUMBER(SEARCH("R70",G406))*70,0)+IFERROR(--ISNUMBER(SEARCH("R71",G406))*71,0)+IFERROR(--ISNUMBER(SEARCH("R72",G406))*72,0)+IFERROR(--ISNUMBER(SEARCH("R73",G406))*73,0)+IFERROR(--ISNUMBER(SEARCH("R74",G406))*74,0)+IFERROR(--ISNUMBER(SEARCH("R75",G406))*75,0)+IFERROR(--ISNUMBER(SEARCH("R76",G406))*76,0)+IFERROR(--ISNUMBER(SEARCH("R77",G406))*77,0)+IFERROR(--ISNUMBER(SEARCH("R78",G406))*78,0)+IFERROR(--ISNUMBER(SEARCH("R79",G406))*79,0)+IFERROR(--ISNUMBER(SEARCH("R80",G406))*80,0)+IFERROR(--ISNUMBER(SEARCH("R81",G406))*81,0)+IFERROR(--ISNUMBER(SEARCH("R82",G406))*82,0)+IFERROR(--ISNUMBER(SEARCH("R83",G406))*83,0)+IFERROR(--ISNUMBER(SEARCH("R84",G406))*84,0)+IFERROR(--ISNUMBER(SEARCH("R85",G406))*85,0)+IFERROR(--ISNUMBER(SEARCH("R86",G406))*86,0)+IFERROR(--ISNUMBER(SEARCH("R87",G406))*87,0)+IFERROR(--ISNUMBER(SEARCH("R88",G406))*88,0)+IFERROR(--ISNUMBER(SEARCH("R89",G406))*89,0)+IFERROR(--ISNUMBER(SEARCH("R90",G406))*90,0)+IFERROR(--ISNUMBER(SEARCH("R91",G406))*91,0)+IFERROR(--ISNUMBER(SEARCH("R92",G406))*92,0)+IFERROR(--ISNUMBER(SEARCH("R93",G406))*93,0)+IFERROR(--ISNUMBER(SEARCH("R94",G406))*94,0)+IFERROR(--ISNUMBER(SEARCH("R95",G406))*95,0)+IFERROR(--ISNUMBER(SEARCH("R96",G406))*96,0)+IFERROR(--ISNUMBER(SEARCH("R97",G406))*97,0)+IFERROR(--ISNUMBER(SEARCH("R98",G406))*98,0)+IFERROR(--ISNUMBER(SEARCH("R99",G406))*99,0)+IFERROR(--ISNUMBER(SEARCH("R100",G406))*100,0)+IFERROR(--ISNUMBER(SEARCH("R101",G406))*101,0)+IFERROR(--ISNUMBER(SEARCH("R102",G406))*102,0)+IFERROR(--ISNUMBER(SEARCH("R103",G406))*103,0)+IFERROR(--ISNUMBER(SEARCH("R104",G406))*104,0)+IFERROR(--ISNUMBER(SEARCH("R105",G406))*105,0)+IFERROR(--ISNUMBER(SEARCH("R106",G406))*106,0)+IFERROR(--ISNUMBER(SEARCH("R107",G406))*107,0)+IFERROR(--ISNUMBER(SEARCH("R108",G406))*108,0)+IFERROR(--ISNUMBER(SEARCH("R109",G406))*109,0)+IFERROR(--ISNUMBER(SEARCH("R110",G406))*110,0)+IFERROR(--ISNUMBER(SEARCH("R111",G406))*111,0)+IFERROR(--ISNUMBER(SEARCH("R112",G406))*112,0)+IFERROR(--ISNUMBER(SEARCH("R113",G406))*113,0)+IFERROR(--ISNUMBER(SEARCH("R114",G406))*114,0)+IFERROR(--ISNUMBER(SEARCH("R115",G406))*115,0)+IFERROR(--ISNUMBER(SEARCH("R116",G406))*116,0)+IFERROR(--ISNUMBER(SEARCH("R117",G406))*117,0)+IFERROR(--ISNUMBER(SEARCH("R118",G406))*118,0)+IFERROR(--ISNUMBER(SEARCH("R119",G406))*119,0)+IFERROR(--ISNUMBER(SEARCH("R120",G406))*120,0)+IFERROR(--ISNUMBER(SEARCH("R121",G406))*121,0)+IFERROR(--ISNUMBER(SEARCH("R122",G406))*122,0)+IFERROR(--ISNUMBER(SEARCH("R123",G406))*123,0)+IFERROR(--ISNUMBER(SEARCH("R124",G406))*124,0)+IFERROR(--ISNUMBER(SEARCH("R125",G406))*125,0)+IFERROR(--ISNUMBER(SEARCH("R126",G406))*126,0)+IFERROR(--ISNUMBER(SEARCH("R127",G406))*127,0)+IFERROR(--ISNUMBER(SEARCH("R128",G406))*128,0)+IFERROR(--ISNUMBER(SEARCH("R129",G406))*129,0)+IFERROR(--ISNUMBER(SEARCH("R130",G406))*130,0)+IFERROR(--ISNUMBER(SEARCH("R131",G406))*131,0)+IFERROR(--ISNUMBER(SEARCH("R132",G406))*132,0)+IFERROR(--ISNUMBER(SEARCH("R133",G406))*133,0)+IFERROR(--ISNUMBER(SEARCH("R134",G406))*134,0)+IFERROR(--ISNUMBER(SEARCH("R135",G406))*135,0)+IFERROR(--ISNUMBER(SEARCH("R136",G406))*136,0)+IFERROR(--ISNUMBER(SEARCH("R137",G406))*137,0)+IFERROR(--ISNUMBER(SEARCH("R138",G406))*138,0)+IFERROR(--ISNUMBER(SEARCH("R139",G406))*139,0)+IFERROR(--ISNUMBER(SEARCH("R140",G406))*140,0)+IFERROR(--ISNUMBER(SEARCH("R141",G406))*141,0))</f>
        <v/>
      </c>
      <c r="V406" s="59">
        <f>IF(A406="","",IF(K406&lt;&gt;"",K406,J406))</f>
        <v/>
      </c>
      <c r="W406" s="59">
        <f>IF(A406="","",IF(AND(V406=29,O406&lt;&gt;"",COUNTIFS($V$6:$V$505,29,$F$6:$F$505,F406,$C$6:$C$505,C406,$O$6:$O$505,"&lt;&gt;")&gt;1),IF(COUNTIFS($V$6:V406,29,$F$6:F406,F406,$C$6:C406,C406,$O$6:O406,"&lt;&gt;")=1,"Esta es la fila que se debe CONSERVAR (aparición 1 de "&amp;COUNTIFS($V$6:$V$505,29,$F$6:$F$505,F406,$C$6:$C$505,C406,$O$6:$O$505,"&lt;&gt;")&amp;" con el mismo tercero y valor, casilla 29). Si hay más filas iguales, bórreles el valor a ELLAS, no a esta.","DUPLICADO — ya existe otra fila con el mismo tercero y valor para casilla 29 (aparición "&amp;COUNTIFS($V$6:V406,29,$F$6:F406,F406,$C$6:C406,C406,$O$6:O406,"&lt;&gt;")&amp;" de "&amp;COUNTIFS($V$6:$V$505,29,$F$6:$F$505,F406,$C$6:$C$505,C406,$O$6:$O$505,"&lt;&gt;")&amp;"). Para resolverlo: seleccione la celda O"&amp;ROW()&amp;" (columna Valor a declarar de ESTA fila) y presione Supr."),""))</f>
        <v/>
      </c>
      <c r="X406" s="463">
        <f>IF(A406="","",F406)</f>
        <v/>
      </c>
      <c r="Y406" s="463">
        <f>IF(A406="","",SUMIF(Entrada_Manual!$I$88:$I$187,A406,Entrada_Manual!$F$88:$F$187))</f>
        <v/>
      </c>
      <c r="Z406" s="463">
        <f>IF(A406="","",X406-Y406)</f>
        <v/>
      </c>
      <c r="AA406">
        <f>IF(A406="","",SUMPRODUCT((Entrada_Manual!$I$88:$I$187=A406)*1))</f>
        <v/>
      </c>
      <c r="AB406">
        <f>IF(A406="","",IF(S406&lt;=1,"",IF(AA406=0,"PENDIENTE — SIN ASIGNAR",IF(Z406=0,"RESUELTO","PARCIAL — DIFERENCIA "&amp;TEXT(Z406,"#,##0")))))</f>
        <v/>
      </c>
    </row>
    <row r="407" ht="14.25" customHeight="1" s="235">
      <c r="A407" s="47">
        <f>IF(Exogena_RAW!E416&lt;&gt;"",ROW()-5,"")</f>
        <v/>
      </c>
      <c r="B407" s="48">
        <f>IF(A407="","",416)</f>
        <v/>
      </c>
      <c r="C407" s="48">
        <f>IF(A407="","",IFERROR(Exogena_RAW!A416,""))</f>
        <v/>
      </c>
      <c r="D407" s="48">
        <f>IF(A407="","",IFERROR(Exogena_RAW!B416,""))</f>
        <v/>
      </c>
      <c r="E407" s="48">
        <f>IF(A407="","",Exogena_RAW!E416)</f>
        <v/>
      </c>
      <c r="F407" s="461">
        <f>IF(A407="","",Exogena_RAW!F416)</f>
        <v/>
      </c>
      <c r="G407" s="48">
        <f>IF(A407="","",IFERROR(Exogena_RAW!G416,""))</f>
        <v/>
      </c>
      <c r="H407" s="48">
        <f>IF(A407="","",IFERROR(Exogena_RAW!H416,""))</f>
        <v/>
      </c>
      <c r="I407" s="48">
        <f>IF(A407="","",IFERROR(IF(S407&gt;1,"VARIAS CASILLAS",IF(S407=1,IF(T407=1,"PROPUESTA DE CASILLA","REVISIÓN: CASILLA NO DIRECTA"),IF(OR(ISNUMBER(SEARCH("TOPE",UPPER(E407))),ISNUMBER(SEARCH("TOPE",UPPER(G407)))),"SOLO CONTROL",IF(ISNUMBER(SEARCH("RETEN",UPPER(E407))),"RETENCIÓN","REVISAR")))),"REVISAR"))</f>
        <v/>
      </c>
      <c r="J407" s="48">
        <f>IF(A407="","",IF(ISNUMBER(SEARCH("ingreso laboral promedio de los últimos seis meses",E407)),"",IFERROR(IF(AND(S407=1,T407=1),U407,""),"")))</f>
        <v/>
      </c>
      <c r="K407" s="216" t="n"/>
      <c r="L407" s="48">
        <f>IF(A407="","",IFERROR(IF(K407&lt;&gt;"","Casilla elegida por usuario",IF(S407&gt;1,"Varias casillas — elegir en K",IF(J407&lt;&gt;"","Sugerencia directa",IF(S407=1,"No trasladar directo — revisar",IF(OR(ISNUMBER(SEARCH("TOPE",UPPER(E407))),ISNUMBER(SEARCH("TOPE",UPPER(G407)))),"Solo control","Revisar manualmente"))))),"Revisar manualmente"))</f>
        <v/>
      </c>
      <c r="M407" s="461">
        <f>IF(A407="","",IF(IF(K407&lt;&gt;"",K407,J407)="",0,IF(COUNTIFS(Reglas!$I$5:$I$118,IF(K407&lt;&gt;"",K407,J407),Reglas!$J$5:$J$118,"Sí")=1,F407,0)))</f>
        <v/>
      </c>
      <c r="N407" s="56" t="n"/>
      <c r="O407" s="462">
        <f>IF(A407="","",IF(M407=0,"",M407))</f>
        <v/>
      </c>
      <c r="P407" s="461">
        <f>IF(A407="","",IF(O407="",0,IF(ISNUMBER(O407),O407,0)))</f>
        <v/>
      </c>
      <c r="Q407" s="48">
        <f>IF(A407="","",IF(Exogena_RAW!$C$4="","BLOQUEADO: FALTA AÑO",IF(Exogena_RAW!$K$10&lt;&gt;Reglas!$B$5,"BLOQUEADO: AÑO",IF(IF(K407&lt;&gt;"",K407,J407)="",IF(S407&gt;1,"REQUIERE ASIGNACIÓN MANUAL (VARIAS CASILLAS)","INFORMATIVO (sin casilla — no se declara)"),IF(COUNTIFS(Reglas!$I$5:$I$118,IF(K407&lt;&gt;"",K407,J407),Reglas!$J$5:$J$118,"Sí")=0,"BLOQUEADO: CASILLA NO DIRECTA",IF(O407="","EXCLUIDO (valor borrado por el usuario)",IF(_xlfn.ISFORMULA(O407),IF(W407&lt;&gt;"","BORRADOR — VALOR SUGERIDO DIAN ⚠ VER ALERTA","BORRADOR — VALOR SUGERIDO DIAN"),IF(W407&lt;&gt;"","ACEPTADO ⚠ VER ALERTA","ACEPTADO"))))))))</f>
        <v/>
      </c>
      <c r="R407" s="218" t="n"/>
      <c r="S407" s="58">
        <f>IF(A407="","",IFERROR(--ISNUMBER(SEARCH("R28",G407)),0)+IFERROR(--ISNUMBER(SEARCH("R29",G407)),0)+IFERROR(--ISNUMBER(SEARCH("R30",G407)),0)+IFERROR(--ISNUMBER(SEARCH("R31",G407)),0)+IFERROR(--ISNUMBER(SEARCH("R32",G407)),0)+IFERROR(--ISNUMBER(SEARCH("R33",G407)),0)+IFERROR(--ISNUMBER(SEARCH("R34",G407)),0)+IFERROR(--ISNUMBER(SEARCH("R35",G407)),0)+IFERROR(--ISNUMBER(SEARCH("R36",G407)),0)+IFERROR(--ISNUMBER(SEARCH("R37",G407)),0)+IFERROR(--ISNUMBER(SEARCH("R38",G407)),0)+IFERROR(--ISNUMBER(SEARCH("R39",G407)),0)+IFERROR(--ISNUMBER(SEARCH("R40",G407)),0)+IFERROR(--ISNUMBER(SEARCH("R41",G407)),0)+IFERROR(--ISNUMBER(SEARCH("R42",G407)),0)+IFERROR(--ISNUMBER(SEARCH("R43",G407)),0)+IFERROR(--ISNUMBER(SEARCH("R44",G407)),0)+IFERROR(--ISNUMBER(SEARCH("R45",G407)),0)+IFERROR(--ISNUMBER(SEARCH("R46",G407)),0)+IFERROR(--ISNUMBER(SEARCH("R47",G407)),0)+IFERROR(--ISNUMBER(SEARCH("R48",G407)),0)+IFERROR(--ISNUMBER(SEARCH("R49",G407)),0)+IFERROR(--ISNUMBER(SEARCH("R50",G407)),0)+IFERROR(--ISNUMBER(SEARCH("R51",G407)),0)+IFERROR(--ISNUMBER(SEARCH("R52",G407)),0)+IFERROR(--ISNUMBER(SEARCH("R53",G407)),0)+IFERROR(--ISNUMBER(SEARCH("R54",G407)),0)+IFERROR(--ISNUMBER(SEARCH("R55",G407)),0)+IFERROR(--ISNUMBER(SEARCH("R56",G407)),0)+IFERROR(--ISNUMBER(SEARCH("R57",G407)),0)+IFERROR(--ISNUMBER(SEARCH("R58",G407)),0)+IFERROR(--ISNUMBER(SEARCH("R59",G407)),0)+IFERROR(--ISNUMBER(SEARCH("R60",G407)),0)+IFERROR(--ISNUMBER(SEARCH("R61",G407)),0)+IFERROR(--ISNUMBER(SEARCH("R62",G407)),0)+IFERROR(--ISNUMBER(SEARCH("R63",G407)),0)+IFERROR(--ISNUMBER(SEARCH("R64",G407)),0)+IFERROR(--ISNUMBER(SEARCH("R65",G407)),0)+IFERROR(--ISNUMBER(SEARCH("R66",G407)),0)+IFERROR(--ISNUMBER(SEARCH("R67",G407)),0)+IFERROR(--ISNUMBER(SEARCH("R68",G407)),0)+IFERROR(--ISNUMBER(SEARCH("R69",G407)),0)+IFERROR(--ISNUMBER(SEARCH("R70",G407)),0)+IFERROR(--ISNUMBER(SEARCH("R71",G407)),0)+IFERROR(--ISNUMBER(SEARCH("R72",G407)),0)+IFERROR(--ISNUMBER(SEARCH("R73",G407)),0)+IFERROR(--ISNUMBER(SEARCH("R74",G407)),0)+IFERROR(--ISNUMBER(SEARCH("R75",G407)),0)+IFERROR(--ISNUMBER(SEARCH("R76",G407)),0)+IFERROR(--ISNUMBER(SEARCH("R77",G407)),0)+IFERROR(--ISNUMBER(SEARCH("R78",G407)),0)+IFERROR(--ISNUMBER(SEARCH("R79",G407)),0)+IFERROR(--ISNUMBER(SEARCH("R80",G407)),0)+IFERROR(--ISNUMBER(SEARCH("R81",G407)),0)+IFERROR(--ISNUMBER(SEARCH("R82",G407)),0)+IFERROR(--ISNUMBER(SEARCH("R83",G407)),0)+IFERROR(--ISNUMBER(SEARCH("R84",G407)),0)+IFERROR(--ISNUMBER(SEARCH("R85",G407)),0)+IFERROR(--ISNUMBER(SEARCH("R86",G407)),0)+IFERROR(--ISNUMBER(SEARCH("R87",G407)),0)+IFERROR(--ISNUMBER(SEARCH("R88",G407)),0)+IFERROR(--ISNUMBER(SEARCH("R89",G407)),0)+IFERROR(--ISNUMBER(SEARCH("R90",G407)),0)+IFERROR(--ISNUMBER(SEARCH("R91",G407)),0)+IFERROR(--ISNUMBER(SEARCH("R92",G407)),0)+IFERROR(--ISNUMBER(SEARCH("R93",G407)),0)+IFERROR(--ISNUMBER(SEARCH("R94",G407)),0)+IFERROR(--ISNUMBER(SEARCH("R95",G407)),0)+IFERROR(--ISNUMBER(SEARCH("R96",G407)),0)+IFERROR(--ISNUMBER(SEARCH("R97",G407)),0)+IFERROR(--ISNUMBER(SEARCH("R98",G407)),0)+IFERROR(--ISNUMBER(SEARCH("R99",G407)),0)+IFERROR(--ISNUMBER(SEARCH("R100",G407)),0)+IFERROR(--ISNUMBER(SEARCH("R101",G407)),0)+IFERROR(--ISNUMBER(SEARCH("R102",G407)),0)+IFERROR(--ISNUMBER(SEARCH("R103",G407)),0)+IFERROR(--ISNUMBER(SEARCH("R104",G407)),0)+IFERROR(--ISNUMBER(SEARCH("R105",G407)),0)+IFERROR(--ISNUMBER(SEARCH("R106",G407)),0)+IFERROR(--ISNUMBER(SEARCH("R107",G407)),0)+IFERROR(--ISNUMBER(SEARCH("R108",G407)),0)+IFERROR(--ISNUMBER(SEARCH("R109",G407)),0)+IFERROR(--ISNUMBER(SEARCH("R110",G407)),0)+IFERROR(--ISNUMBER(SEARCH("R111",G407)),0)+IFERROR(--ISNUMBER(SEARCH("R112",G407)),0)+IFERROR(--ISNUMBER(SEARCH("R113",G407)),0)+IFERROR(--ISNUMBER(SEARCH("R114",G407)),0)+IFERROR(--ISNUMBER(SEARCH("R115",G407)),0)+IFERROR(--ISNUMBER(SEARCH("R116",G407)),0)+IFERROR(--ISNUMBER(SEARCH("R117",G407)),0)+IFERROR(--ISNUMBER(SEARCH("R118",G407)),0)+IFERROR(--ISNUMBER(SEARCH("R119",G407)),0)+IFERROR(--ISNUMBER(SEARCH("R120",G407)),0)+IFERROR(--ISNUMBER(SEARCH("R121",G407)),0)+IFERROR(--ISNUMBER(SEARCH("R122",G407)),0)+IFERROR(--ISNUMBER(SEARCH("R123",G407)),0)+IFERROR(--ISNUMBER(SEARCH("R124",G407)),0)+IFERROR(--ISNUMBER(SEARCH("R125",G407)),0)+IFERROR(--ISNUMBER(SEARCH("R126",G407)),0)+IFERROR(--ISNUMBER(SEARCH("R127",G407)),0)+IFERROR(--ISNUMBER(SEARCH("R128",G407)),0)+IFERROR(--ISNUMBER(SEARCH("R129",G407)),0)+IFERROR(--ISNUMBER(SEARCH("R130",G407)),0)+IFERROR(--ISNUMBER(SEARCH("R131",G407)),0)+IFERROR(--ISNUMBER(SEARCH("R132",G407)),0)+IFERROR(--ISNUMBER(SEARCH("R133",G407)),0)+IFERROR(--ISNUMBER(SEARCH("R134",G407)),0)+IFERROR(--ISNUMBER(SEARCH("R135",G407)),0)+IFERROR(--ISNUMBER(SEARCH("R136",G407)),0)+IFERROR(--ISNUMBER(SEARCH("R137",G407)),0)+IFERROR(--ISNUMBER(SEARCH("R138",G407)),0)+IFERROR(--ISNUMBER(SEARCH("R139",G407)),0)+IFERROR(--ISNUMBER(SEARCH("R140",G407)),0)+IFERROR(--ISNUMBER(SEARCH("R141",G407)),0))</f>
        <v/>
      </c>
      <c r="T407" s="58">
        <f>IF(A407="","",IFERROR(--ISNUMBER(SEARCH("R28",G407)),0)+IFERROR(--ISNUMBER(SEARCH("R29",G407)),0)+IFERROR(--ISNUMBER(SEARCH("R30",G407)),0)+IFERROR(--ISNUMBER(SEARCH("R32",G407)),0)+IFERROR(--ISNUMBER(SEARCH("R33",G407)),0)+IFERROR(--ISNUMBER(SEARCH("R35",G407)),0)+IFERROR(--ISNUMBER(SEARCH("R36",G407)),0)+IFERROR(--ISNUMBER(SEARCH("R38",G407)),0)+IFERROR(--ISNUMBER(SEARCH("R39",G407)),0)+IFERROR(--ISNUMBER(SEARCH("R43",G407)),0)+IFERROR(--ISNUMBER(SEARCH("R44",G407)),0)+IFERROR(--ISNUMBER(SEARCH("R45",G407)),0)+IFERROR(--ISNUMBER(SEARCH("R47",G407)),0)+IFERROR(--ISNUMBER(SEARCH("R48",G407)),0)+IFERROR(--ISNUMBER(SEARCH("R50",G407)),0)+IFERROR(--ISNUMBER(SEARCH("R51",G407)),0)+IFERROR(--ISNUMBER(SEARCH("R56",G407)),0)+IFERROR(--ISNUMBER(SEARCH("R58",G407)),0)+IFERROR(--ISNUMBER(SEARCH("R59",G407)),0)+IFERROR(--ISNUMBER(SEARCH("R60",G407)),0)+IFERROR(--ISNUMBER(SEARCH("R62",G407)),0)+IFERROR(--ISNUMBER(SEARCH("R63",G407)),0)+IFERROR(--ISNUMBER(SEARCH("R64",G407)),0)+IFERROR(--ISNUMBER(SEARCH("R66",G407)),0)+IFERROR(--ISNUMBER(SEARCH("R67",G407)),0)+IFERROR(--ISNUMBER(SEARCH("R72",G407)),0)+IFERROR(--ISNUMBER(SEARCH("R74",G407)),0)+IFERROR(--ISNUMBER(SEARCH("R75",G407)),0)+IFERROR(--ISNUMBER(SEARCH("R76",G407)),0)+IFERROR(--ISNUMBER(SEARCH("R77",G407)),0)+IFERROR(--ISNUMBER(SEARCH("R79",G407)),0)+IFERROR(--ISNUMBER(SEARCH("R80",G407)),0)+IFERROR(--ISNUMBER(SEARCH("R81",G407)),0)+IFERROR(--ISNUMBER(SEARCH("R83",G407)),0)+IFERROR(--ISNUMBER(SEARCH("R84",G407)),0)+IFERROR(--ISNUMBER(SEARCH("R89",G407)),0)+IFERROR(--ISNUMBER(SEARCH("R94",G407)),0)+IFERROR(--ISNUMBER(SEARCH("R95",G407)),0)+IFERROR(--ISNUMBER(SEARCH("R96",G407)),0)+IFERROR(--ISNUMBER(SEARCH("R98",G407)),0)+IFERROR(--ISNUMBER(SEARCH("R99",G407)),0)+IFERROR(--ISNUMBER(SEARCH("R100",G407)),0)+IFERROR(--ISNUMBER(SEARCH("R104",G407)),0)+IFERROR(--ISNUMBER(SEARCH("R105",G407)),0)+IFERROR(--ISNUMBER(SEARCH("R107",G407)),0)+IFERROR(--ISNUMBER(SEARCH("R108",G407)),0)+IFERROR(--ISNUMBER(SEARCH("R109",G407)),0)+IFERROR(--ISNUMBER(SEARCH("R110",G407)),0)+IFERROR(--ISNUMBER(SEARCH("R112",G407)),0)+IFERROR(--ISNUMBER(SEARCH("R113",G407)),0)+IFERROR(--ISNUMBER(SEARCH("R114",G407)),0)+IFERROR(--ISNUMBER(SEARCH("R118",G407)),0)+IFERROR(--ISNUMBER(SEARCH("R119",G407)),0)+IFERROR(--ISNUMBER(SEARCH("R120",G407)),0)+IFERROR(--ISNUMBER(SEARCH("R122",G407)),0)+IFERROR(--ISNUMBER(SEARCH("R123",G407)),0)+IFERROR(--ISNUMBER(SEARCH("R124",G407)),0)+IFERROR(--ISNUMBER(SEARCH("R128",G407)),0)+IFERROR(--ISNUMBER(SEARCH("R130",G407)),0)+IFERROR(--ISNUMBER(SEARCH("R131",G407)),0)+IFERROR(--ISNUMBER(SEARCH("R132",G407)),0)+IFERROR(--ISNUMBER(SEARCH("R135",G407)),0)+IFERROR(--ISNUMBER(SEARCH("R138",G407)),0)+IFERROR(--ISNUMBER(SEARCH("R141",G407)),0))</f>
        <v/>
      </c>
      <c r="U407" s="58">
        <f>IF(A407="","",IFERROR(--ISNUMBER(SEARCH("R28",G407))*28,0)+IFERROR(--ISNUMBER(SEARCH("R29",G407))*29,0)+IFERROR(--ISNUMBER(SEARCH("R30",G407))*30,0)+IFERROR(--ISNUMBER(SEARCH("R31",G407))*31,0)+IFERROR(--ISNUMBER(SEARCH("R32",G407))*32,0)+IFERROR(--ISNUMBER(SEARCH("R33",G407))*33,0)+IFERROR(--ISNUMBER(SEARCH("R34",G407))*34,0)+IFERROR(--ISNUMBER(SEARCH("R35",G407))*35,0)+IFERROR(--ISNUMBER(SEARCH("R36",G407))*36,0)+IFERROR(--ISNUMBER(SEARCH("R37",G407))*37,0)+IFERROR(--ISNUMBER(SEARCH("R38",G407))*38,0)+IFERROR(--ISNUMBER(SEARCH("R39",G407))*39,0)+IFERROR(--ISNUMBER(SEARCH("R40",G407))*40,0)+IFERROR(--ISNUMBER(SEARCH("R41",G407))*41,0)+IFERROR(--ISNUMBER(SEARCH("R42",G407))*42,0)+IFERROR(--ISNUMBER(SEARCH("R43",G407))*43,0)+IFERROR(--ISNUMBER(SEARCH("R44",G407))*44,0)+IFERROR(--ISNUMBER(SEARCH("R45",G407))*45,0)+IFERROR(--ISNUMBER(SEARCH("R46",G407))*46,0)+IFERROR(--ISNUMBER(SEARCH("R47",G407))*47,0)+IFERROR(--ISNUMBER(SEARCH("R48",G407))*48,0)+IFERROR(--ISNUMBER(SEARCH("R49",G407))*49,0)+IFERROR(--ISNUMBER(SEARCH("R50",G407))*50,0)+IFERROR(--ISNUMBER(SEARCH("R51",G407))*51,0)+IFERROR(--ISNUMBER(SEARCH("R52",G407))*52,0)+IFERROR(--ISNUMBER(SEARCH("R53",G407))*53,0)+IFERROR(--ISNUMBER(SEARCH("R54",G407))*54,0)+IFERROR(--ISNUMBER(SEARCH("R55",G407))*55,0)+IFERROR(--ISNUMBER(SEARCH("R56",G407))*56,0)+IFERROR(--ISNUMBER(SEARCH("R57",G407))*57,0)+IFERROR(--ISNUMBER(SEARCH("R58",G407))*58,0)+IFERROR(--ISNUMBER(SEARCH("R59",G407))*59,0)+IFERROR(--ISNUMBER(SEARCH("R60",G407))*60,0)+IFERROR(--ISNUMBER(SEARCH("R61",G407))*61,0)+IFERROR(--ISNUMBER(SEARCH("R62",G407))*62,0)+IFERROR(--ISNUMBER(SEARCH("R63",G407))*63,0)+IFERROR(--ISNUMBER(SEARCH("R64",G407))*64,0)+IFERROR(--ISNUMBER(SEARCH("R65",G407))*65,0)+IFERROR(--ISNUMBER(SEARCH("R66",G407))*66,0)+IFERROR(--ISNUMBER(SEARCH("R67",G407))*67,0)+IFERROR(--ISNUMBER(SEARCH("R68",G407))*68,0)+IFERROR(--ISNUMBER(SEARCH("R69",G407))*69,0)+IFERROR(--ISNUMBER(SEARCH("R70",G407))*70,0)+IFERROR(--ISNUMBER(SEARCH("R71",G407))*71,0)+IFERROR(--ISNUMBER(SEARCH("R72",G407))*72,0)+IFERROR(--ISNUMBER(SEARCH("R73",G407))*73,0)+IFERROR(--ISNUMBER(SEARCH("R74",G407))*74,0)+IFERROR(--ISNUMBER(SEARCH("R75",G407))*75,0)+IFERROR(--ISNUMBER(SEARCH("R76",G407))*76,0)+IFERROR(--ISNUMBER(SEARCH("R77",G407))*77,0)+IFERROR(--ISNUMBER(SEARCH("R78",G407))*78,0)+IFERROR(--ISNUMBER(SEARCH("R79",G407))*79,0)+IFERROR(--ISNUMBER(SEARCH("R80",G407))*80,0)+IFERROR(--ISNUMBER(SEARCH("R81",G407))*81,0)+IFERROR(--ISNUMBER(SEARCH("R82",G407))*82,0)+IFERROR(--ISNUMBER(SEARCH("R83",G407))*83,0)+IFERROR(--ISNUMBER(SEARCH("R84",G407))*84,0)+IFERROR(--ISNUMBER(SEARCH("R85",G407))*85,0)+IFERROR(--ISNUMBER(SEARCH("R86",G407))*86,0)+IFERROR(--ISNUMBER(SEARCH("R87",G407))*87,0)+IFERROR(--ISNUMBER(SEARCH("R88",G407))*88,0)+IFERROR(--ISNUMBER(SEARCH("R89",G407))*89,0)+IFERROR(--ISNUMBER(SEARCH("R90",G407))*90,0)+IFERROR(--ISNUMBER(SEARCH("R91",G407))*91,0)+IFERROR(--ISNUMBER(SEARCH("R92",G407))*92,0)+IFERROR(--ISNUMBER(SEARCH("R93",G407))*93,0)+IFERROR(--ISNUMBER(SEARCH("R94",G407))*94,0)+IFERROR(--ISNUMBER(SEARCH("R95",G407))*95,0)+IFERROR(--ISNUMBER(SEARCH("R96",G407))*96,0)+IFERROR(--ISNUMBER(SEARCH("R97",G407))*97,0)+IFERROR(--ISNUMBER(SEARCH("R98",G407))*98,0)+IFERROR(--ISNUMBER(SEARCH("R99",G407))*99,0)+IFERROR(--ISNUMBER(SEARCH("R100",G407))*100,0)+IFERROR(--ISNUMBER(SEARCH("R101",G407))*101,0)+IFERROR(--ISNUMBER(SEARCH("R102",G407))*102,0)+IFERROR(--ISNUMBER(SEARCH("R103",G407))*103,0)+IFERROR(--ISNUMBER(SEARCH("R104",G407))*104,0)+IFERROR(--ISNUMBER(SEARCH("R105",G407))*105,0)+IFERROR(--ISNUMBER(SEARCH("R106",G407))*106,0)+IFERROR(--ISNUMBER(SEARCH("R107",G407))*107,0)+IFERROR(--ISNUMBER(SEARCH("R108",G407))*108,0)+IFERROR(--ISNUMBER(SEARCH("R109",G407))*109,0)+IFERROR(--ISNUMBER(SEARCH("R110",G407))*110,0)+IFERROR(--ISNUMBER(SEARCH("R111",G407))*111,0)+IFERROR(--ISNUMBER(SEARCH("R112",G407))*112,0)+IFERROR(--ISNUMBER(SEARCH("R113",G407))*113,0)+IFERROR(--ISNUMBER(SEARCH("R114",G407))*114,0)+IFERROR(--ISNUMBER(SEARCH("R115",G407))*115,0)+IFERROR(--ISNUMBER(SEARCH("R116",G407))*116,0)+IFERROR(--ISNUMBER(SEARCH("R117",G407))*117,0)+IFERROR(--ISNUMBER(SEARCH("R118",G407))*118,0)+IFERROR(--ISNUMBER(SEARCH("R119",G407))*119,0)+IFERROR(--ISNUMBER(SEARCH("R120",G407))*120,0)+IFERROR(--ISNUMBER(SEARCH("R121",G407))*121,0)+IFERROR(--ISNUMBER(SEARCH("R122",G407))*122,0)+IFERROR(--ISNUMBER(SEARCH("R123",G407))*123,0)+IFERROR(--ISNUMBER(SEARCH("R124",G407))*124,0)+IFERROR(--ISNUMBER(SEARCH("R125",G407))*125,0)+IFERROR(--ISNUMBER(SEARCH("R126",G407))*126,0)+IFERROR(--ISNUMBER(SEARCH("R127",G407))*127,0)+IFERROR(--ISNUMBER(SEARCH("R128",G407))*128,0)+IFERROR(--ISNUMBER(SEARCH("R129",G407))*129,0)+IFERROR(--ISNUMBER(SEARCH("R130",G407))*130,0)+IFERROR(--ISNUMBER(SEARCH("R131",G407))*131,0)+IFERROR(--ISNUMBER(SEARCH("R132",G407))*132,0)+IFERROR(--ISNUMBER(SEARCH("R133",G407))*133,0)+IFERROR(--ISNUMBER(SEARCH("R134",G407))*134,0)+IFERROR(--ISNUMBER(SEARCH("R135",G407))*135,0)+IFERROR(--ISNUMBER(SEARCH("R136",G407))*136,0)+IFERROR(--ISNUMBER(SEARCH("R137",G407))*137,0)+IFERROR(--ISNUMBER(SEARCH("R138",G407))*138,0)+IFERROR(--ISNUMBER(SEARCH("R139",G407))*139,0)+IFERROR(--ISNUMBER(SEARCH("R140",G407))*140,0)+IFERROR(--ISNUMBER(SEARCH("R141",G407))*141,0))</f>
        <v/>
      </c>
      <c r="V407" s="59">
        <f>IF(A407="","",IF(K407&lt;&gt;"",K407,J407))</f>
        <v/>
      </c>
      <c r="W407" s="59">
        <f>IF(A407="","",IF(AND(V407=29,O407&lt;&gt;"",COUNTIFS($V$6:$V$505,29,$F$6:$F$505,F407,$C$6:$C$505,C407,$O$6:$O$505,"&lt;&gt;")&gt;1),IF(COUNTIFS($V$6:V407,29,$F$6:F407,F407,$C$6:C407,C407,$O$6:O407,"&lt;&gt;")=1,"Esta es la fila que se debe CONSERVAR (aparición 1 de "&amp;COUNTIFS($V$6:$V$505,29,$F$6:$F$505,F407,$C$6:$C$505,C407,$O$6:$O$505,"&lt;&gt;")&amp;" con el mismo tercero y valor, casilla 29). Si hay más filas iguales, bórreles el valor a ELLAS, no a esta.","DUPLICADO — ya existe otra fila con el mismo tercero y valor para casilla 29 (aparición "&amp;COUNTIFS($V$6:V407,29,$F$6:F407,F407,$C$6:C407,C407,$O$6:O407,"&lt;&gt;")&amp;" de "&amp;COUNTIFS($V$6:$V$505,29,$F$6:$F$505,F407,$C$6:$C$505,C407,$O$6:$O$505,"&lt;&gt;")&amp;"). Para resolverlo: seleccione la celda O"&amp;ROW()&amp;" (columna Valor a declarar de ESTA fila) y presione Supr."),""))</f>
        <v/>
      </c>
      <c r="X407" s="463">
        <f>IF(A407="","",F407)</f>
        <v/>
      </c>
      <c r="Y407" s="463">
        <f>IF(A407="","",SUMIF(Entrada_Manual!$I$88:$I$187,A407,Entrada_Manual!$F$88:$F$187))</f>
        <v/>
      </c>
      <c r="Z407" s="463">
        <f>IF(A407="","",X407-Y407)</f>
        <v/>
      </c>
      <c r="AA407">
        <f>IF(A407="","",SUMPRODUCT((Entrada_Manual!$I$88:$I$187=A407)*1))</f>
        <v/>
      </c>
      <c r="AB407">
        <f>IF(A407="","",IF(S407&lt;=1,"",IF(AA407=0,"PENDIENTE — SIN ASIGNAR",IF(Z407=0,"RESUELTO","PARCIAL — DIFERENCIA "&amp;TEXT(Z407,"#,##0")))))</f>
        <v/>
      </c>
    </row>
    <row r="408" ht="14.25" customHeight="1" s="235">
      <c r="A408" s="47">
        <f>IF(Exogena_RAW!E417&lt;&gt;"",ROW()-5,"")</f>
        <v/>
      </c>
      <c r="B408" s="48">
        <f>IF(A408="","",417)</f>
        <v/>
      </c>
      <c r="C408" s="48">
        <f>IF(A408="","",IFERROR(Exogena_RAW!A417,""))</f>
        <v/>
      </c>
      <c r="D408" s="48">
        <f>IF(A408="","",IFERROR(Exogena_RAW!B417,""))</f>
        <v/>
      </c>
      <c r="E408" s="48">
        <f>IF(A408="","",Exogena_RAW!E417)</f>
        <v/>
      </c>
      <c r="F408" s="461">
        <f>IF(A408="","",Exogena_RAW!F417)</f>
        <v/>
      </c>
      <c r="G408" s="48">
        <f>IF(A408="","",IFERROR(Exogena_RAW!G417,""))</f>
        <v/>
      </c>
      <c r="H408" s="48">
        <f>IF(A408="","",IFERROR(Exogena_RAW!H417,""))</f>
        <v/>
      </c>
      <c r="I408" s="48">
        <f>IF(A408="","",IFERROR(IF(S408&gt;1,"VARIAS CASILLAS",IF(S408=1,IF(T408=1,"PROPUESTA DE CASILLA","REVISIÓN: CASILLA NO DIRECTA"),IF(OR(ISNUMBER(SEARCH("TOPE",UPPER(E408))),ISNUMBER(SEARCH("TOPE",UPPER(G408)))),"SOLO CONTROL",IF(ISNUMBER(SEARCH("RETEN",UPPER(E408))),"RETENCIÓN","REVISAR")))),"REVISAR"))</f>
        <v/>
      </c>
      <c r="J408" s="48">
        <f>IF(A408="","",IF(ISNUMBER(SEARCH("ingreso laboral promedio de los últimos seis meses",E408)),"",IFERROR(IF(AND(S408=1,T408=1),U408,""),"")))</f>
        <v/>
      </c>
      <c r="K408" s="216" t="n"/>
      <c r="L408" s="48">
        <f>IF(A408="","",IFERROR(IF(K408&lt;&gt;"","Casilla elegida por usuario",IF(S408&gt;1,"Varias casillas — elegir en K",IF(J408&lt;&gt;"","Sugerencia directa",IF(S408=1,"No trasladar directo — revisar",IF(OR(ISNUMBER(SEARCH("TOPE",UPPER(E408))),ISNUMBER(SEARCH("TOPE",UPPER(G408)))),"Solo control","Revisar manualmente"))))),"Revisar manualmente"))</f>
        <v/>
      </c>
      <c r="M408" s="461">
        <f>IF(A408="","",IF(IF(K408&lt;&gt;"",K408,J408)="",0,IF(COUNTIFS(Reglas!$I$5:$I$118,IF(K408&lt;&gt;"",K408,J408),Reglas!$J$5:$J$118,"Sí")=1,F408,0)))</f>
        <v/>
      </c>
      <c r="N408" s="56" t="n"/>
      <c r="O408" s="462">
        <f>IF(A408="","",IF(M408=0,"",M408))</f>
        <v/>
      </c>
      <c r="P408" s="461">
        <f>IF(A408="","",IF(O408="",0,IF(ISNUMBER(O408),O408,0)))</f>
        <v/>
      </c>
      <c r="Q408" s="48">
        <f>IF(A408="","",IF(Exogena_RAW!$C$4="","BLOQUEADO: FALTA AÑO",IF(Exogena_RAW!$K$10&lt;&gt;Reglas!$B$5,"BLOQUEADO: AÑO",IF(IF(K408&lt;&gt;"",K408,J408)="",IF(S408&gt;1,"REQUIERE ASIGNACIÓN MANUAL (VARIAS CASILLAS)","INFORMATIVO (sin casilla — no se declara)"),IF(COUNTIFS(Reglas!$I$5:$I$118,IF(K408&lt;&gt;"",K408,J408),Reglas!$J$5:$J$118,"Sí")=0,"BLOQUEADO: CASILLA NO DIRECTA",IF(O408="","EXCLUIDO (valor borrado por el usuario)",IF(_xlfn.ISFORMULA(O408),IF(W408&lt;&gt;"","BORRADOR — VALOR SUGERIDO DIAN ⚠ VER ALERTA","BORRADOR — VALOR SUGERIDO DIAN"),IF(W408&lt;&gt;"","ACEPTADO ⚠ VER ALERTA","ACEPTADO"))))))))</f>
        <v/>
      </c>
      <c r="R408" s="218" t="n"/>
      <c r="S408" s="58">
        <f>IF(A408="","",IFERROR(--ISNUMBER(SEARCH("R28",G408)),0)+IFERROR(--ISNUMBER(SEARCH("R29",G408)),0)+IFERROR(--ISNUMBER(SEARCH("R30",G408)),0)+IFERROR(--ISNUMBER(SEARCH("R31",G408)),0)+IFERROR(--ISNUMBER(SEARCH("R32",G408)),0)+IFERROR(--ISNUMBER(SEARCH("R33",G408)),0)+IFERROR(--ISNUMBER(SEARCH("R34",G408)),0)+IFERROR(--ISNUMBER(SEARCH("R35",G408)),0)+IFERROR(--ISNUMBER(SEARCH("R36",G408)),0)+IFERROR(--ISNUMBER(SEARCH("R37",G408)),0)+IFERROR(--ISNUMBER(SEARCH("R38",G408)),0)+IFERROR(--ISNUMBER(SEARCH("R39",G408)),0)+IFERROR(--ISNUMBER(SEARCH("R40",G408)),0)+IFERROR(--ISNUMBER(SEARCH("R41",G408)),0)+IFERROR(--ISNUMBER(SEARCH("R42",G408)),0)+IFERROR(--ISNUMBER(SEARCH("R43",G408)),0)+IFERROR(--ISNUMBER(SEARCH("R44",G408)),0)+IFERROR(--ISNUMBER(SEARCH("R45",G408)),0)+IFERROR(--ISNUMBER(SEARCH("R46",G408)),0)+IFERROR(--ISNUMBER(SEARCH("R47",G408)),0)+IFERROR(--ISNUMBER(SEARCH("R48",G408)),0)+IFERROR(--ISNUMBER(SEARCH("R49",G408)),0)+IFERROR(--ISNUMBER(SEARCH("R50",G408)),0)+IFERROR(--ISNUMBER(SEARCH("R51",G408)),0)+IFERROR(--ISNUMBER(SEARCH("R52",G408)),0)+IFERROR(--ISNUMBER(SEARCH("R53",G408)),0)+IFERROR(--ISNUMBER(SEARCH("R54",G408)),0)+IFERROR(--ISNUMBER(SEARCH("R55",G408)),0)+IFERROR(--ISNUMBER(SEARCH("R56",G408)),0)+IFERROR(--ISNUMBER(SEARCH("R57",G408)),0)+IFERROR(--ISNUMBER(SEARCH("R58",G408)),0)+IFERROR(--ISNUMBER(SEARCH("R59",G408)),0)+IFERROR(--ISNUMBER(SEARCH("R60",G408)),0)+IFERROR(--ISNUMBER(SEARCH("R61",G408)),0)+IFERROR(--ISNUMBER(SEARCH("R62",G408)),0)+IFERROR(--ISNUMBER(SEARCH("R63",G408)),0)+IFERROR(--ISNUMBER(SEARCH("R64",G408)),0)+IFERROR(--ISNUMBER(SEARCH("R65",G408)),0)+IFERROR(--ISNUMBER(SEARCH("R66",G408)),0)+IFERROR(--ISNUMBER(SEARCH("R67",G408)),0)+IFERROR(--ISNUMBER(SEARCH("R68",G408)),0)+IFERROR(--ISNUMBER(SEARCH("R69",G408)),0)+IFERROR(--ISNUMBER(SEARCH("R70",G408)),0)+IFERROR(--ISNUMBER(SEARCH("R71",G408)),0)+IFERROR(--ISNUMBER(SEARCH("R72",G408)),0)+IFERROR(--ISNUMBER(SEARCH("R73",G408)),0)+IFERROR(--ISNUMBER(SEARCH("R74",G408)),0)+IFERROR(--ISNUMBER(SEARCH("R75",G408)),0)+IFERROR(--ISNUMBER(SEARCH("R76",G408)),0)+IFERROR(--ISNUMBER(SEARCH("R77",G408)),0)+IFERROR(--ISNUMBER(SEARCH("R78",G408)),0)+IFERROR(--ISNUMBER(SEARCH("R79",G408)),0)+IFERROR(--ISNUMBER(SEARCH("R80",G408)),0)+IFERROR(--ISNUMBER(SEARCH("R81",G408)),0)+IFERROR(--ISNUMBER(SEARCH("R82",G408)),0)+IFERROR(--ISNUMBER(SEARCH("R83",G408)),0)+IFERROR(--ISNUMBER(SEARCH("R84",G408)),0)+IFERROR(--ISNUMBER(SEARCH("R85",G408)),0)+IFERROR(--ISNUMBER(SEARCH("R86",G408)),0)+IFERROR(--ISNUMBER(SEARCH("R87",G408)),0)+IFERROR(--ISNUMBER(SEARCH("R88",G408)),0)+IFERROR(--ISNUMBER(SEARCH("R89",G408)),0)+IFERROR(--ISNUMBER(SEARCH("R90",G408)),0)+IFERROR(--ISNUMBER(SEARCH("R91",G408)),0)+IFERROR(--ISNUMBER(SEARCH("R92",G408)),0)+IFERROR(--ISNUMBER(SEARCH("R93",G408)),0)+IFERROR(--ISNUMBER(SEARCH("R94",G408)),0)+IFERROR(--ISNUMBER(SEARCH("R95",G408)),0)+IFERROR(--ISNUMBER(SEARCH("R96",G408)),0)+IFERROR(--ISNUMBER(SEARCH("R97",G408)),0)+IFERROR(--ISNUMBER(SEARCH("R98",G408)),0)+IFERROR(--ISNUMBER(SEARCH("R99",G408)),0)+IFERROR(--ISNUMBER(SEARCH("R100",G408)),0)+IFERROR(--ISNUMBER(SEARCH("R101",G408)),0)+IFERROR(--ISNUMBER(SEARCH("R102",G408)),0)+IFERROR(--ISNUMBER(SEARCH("R103",G408)),0)+IFERROR(--ISNUMBER(SEARCH("R104",G408)),0)+IFERROR(--ISNUMBER(SEARCH("R105",G408)),0)+IFERROR(--ISNUMBER(SEARCH("R106",G408)),0)+IFERROR(--ISNUMBER(SEARCH("R107",G408)),0)+IFERROR(--ISNUMBER(SEARCH("R108",G408)),0)+IFERROR(--ISNUMBER(SEARCH("R109",G408)),0)+IFERROR(--ISNUMBER(SEARCH("R110",G408)),0)+IFERROR(--ISNUMBER(SEARCH("R111",G408)),0)+IFERROR(--ISNUMBER(SEARCH("R112",G408)),0)+IFERROR(--ISNUMBER(SEARCH("R113",G408)),0)+IFERROR(--ISNUMBER(SEARCH("R114",G408)),0)+IFERROR(--ISNUMBER(SEARCH("R115",G408)),0)+IFERROR(--ISNUMBER(SEARCH("R116",G408)),0)+IFERROR(--ISNUMBER(SEARCH("R117",G408)),0)+IFERROR(--ISNUMBER(SEARCH("R118",G408)),0)+IFERROR(--ISNUMBER(SEARCH("R119",G408)),0)+IFERROR(--ISNUMBER(SEARCH("R120",G408)),0)+IFERROR(--ISNUMBER(SEARCH("R121",G408)),0)+IFERROR(--ISNUMBER(SEARCH("R122",G408)),0)+IFERROR(--ISNUMBER(SEARCH("R123",G408)),0)+IFERROR(--ISNUMBER(SEARCH("R124",G408)),0)+IFERROR(--ISNUMBER(SEARCH("R125",G408)),0)+IFERROR(--ISNUMBER(SEARCH("R126",G408)),0)+IFERROR(--ISNUMBER(SEARCH("R127",G408)),0)+IFERROR(--ISNUMBER(SEARCH("R128",G408)),0)+IFERROR(--ISNUMBER(SEARCH("R129",G408)),0)+IFERROR(--ISNUMBER(SEARCH("R130",G408)),0)+IFERROR(--ISNUMBER(SEARCH("R131",G408)),0)+IFERROR(--ISNUMBER(SEARCH("R132",G408)),0)+IFERROR(--ISNUMBER(SEARCH("R133",G408)),0)+IFERROR(--ISNUMBER(SEARCH("R134",G408)),0)+IFERROR(--ISNUMBER(SEARCH("R135",G408)),0)+IFERROR(--ISNUMBER(SEARCH("R136",G408)),0)+IFERROR(--ISNUMBER(SEARCH("R137",G408)),0)+IFERROR(--ISNUMBER(SEARCH("R138",G408)),0)+IFERROR(--ISNUMBER(SEARCH("R139",G408)),0)+IFERROR(--ISNUMBER(SEARCH("R140",G408)),0)+IFERROR(--ISNUMBER(SEARCH("R141",G408)),0))</f>
        <v/>
      </c>
      <c r="T408" s="58">
        <f>IF(A408="","",IFERROR(--ISNUMBER(SEARCH("R28",G408)),0)+IFERROR(--ISNUMBER(SEARCH("R29",G408)),0)+IFERROR(--ISNUMBER(SEARCH("R30",G408)),0)+IFERROR(--ISNUMBER(SEARCH("R32",G408)),0)+IFERROR(--ISNUMBER(SEARCH("R33",G408)),0)+IFERROR(--ISNUMBER(SEARCH("R35",G408)),0)+IFERROR(--ISNUMBER(SEARCH("R36",G408)),0)+IFERROR(--ISNUMBER(SEARCH("R38",G408)),0)+IFERROR(--ISNUMBER(SEARCH("R39",G408)),0)+IFERROR(--ISNUMBER(SEARCH("R43",G408)),0)+IFERROR(--ISNUMBER(SEARCH("R44",G408)),0)+IFERROR(--ISNUMBER(SEARCH("R45",G408)),0)+IFERROR(--ISNUMBER(SEARCH("R47",G408)),0)+IFERROR(--ISNUMBER(SEARCH("R48",G408)),0)+IFERROR(--ISNUMBER(SEARCH("R50",G408)),0)+IFERROR(--ISNUMBER(SEARCH("R51",G408)),0)+IFERROR(--ISNUMBER(SEARCH("R56",G408)),0)+IFERROR(--ISNUMBER(SEARCH("R58",G408)),0)+IFERROR(--ISNUMBER(SEARCH("R59",G408)),0)+IFERROR(--ISNUMBER(SEARCH("R60",G408)),0)+IFERROR(--ISNUMBER(SEARCH("R62",G408)),0)+IFERROR(--ISNUMBER(SEARCH("R63",G408)),0)+IFERROR(--ISNUMBER(SEARCH("R64",G408)),0)+IFERROR(--ISNUMBER(SEARCH("R66",G408)),0)+IFERROR(--ISNUMBER(SEARCH("R67",G408)),0)+IFERROR(--ISNUMBER(SEARCH("R72",G408)),0)+IFERROR(--ISNUMBER(SEARCH("R74",G408)),0)+IFERROR(--ISNUMBER(SEARCH("R75",G408)),0)+IFERROR(--ISNUMBER(SEARCH("R76",G408)),0)+IFERROR(--ISNUMBER(SEARCH("R77",G408)),0)+IFERROR(--ISNUMBER(SEARCH("R79",G408)),0)+IFERROR(--ISNUMBER(SEARCH("R80",G408)),0)+IFERROR(--ISNUMBER(SEARCH("R81",G408)),0)+IFERROR(--ISNUMBER(SEARCH("R83",G408)),0)+IFERROR(--ISNUMBER(SEARCH("R84",G408)),0)+IFERROR(--ISNUMBER(SEARCH("R89",G408)),0)+IFERROR(--ISNUMBER(SEARCH("R94",G408)),0)+IFERROR(--ISNUMBER(SEARCH("R95",G408)),0)+IFERROR(--ISNUMBER(SEARCH("R96",G408)),0)+IFERROR(--ISNUMBER(SEARCH("R98",G408)),0)+IFERROR(--ISNUMBER(SEARCH("R99",G408)),0)+IFERROR(--ISNUMBER(SEARCH("R100",G408)),0)+IFERROR(--ISNUMBER(SEARCH("R104",G408)),0)+IFERROR(--ISNUMBER(SEARCH("R105",G408)),0)+IFERROR(--ISNUMBER(SEARCH("R107",G408)),0)+IFERROR(--ISNUMBER(SEARCH("R108",G408)),0)+IFERROR(--ISNUMBER(SEARCH("R109",G408)),0)+IFERROR(--ISNUMBER(SEARCH("R110",G408)),0)+IFERROR(--ISNUMBER(SEARCH("R112",G408)),0)+IFERROR(--ISNUMBER(SEARCH("R113",G408)),0)+IFERROR(--ISNUMBER(SEARCH("R114",G408)),0)+IFERROR(--ISNUMBER(SEARCH("R118",G408)),0)+IFERROR(--ISNUMBER(SEARCH("R119",G408)),0)+IFERROR(--ISNUMBER(SEARCH("R120",G408)),0)+IFERROR(--ISNUMBER(SEARCH("R122",G408)),0)+IFERROR(--ISNUMBER(SEARCH("R123",G408)),0)+IFERROR(--ISNUMBER(SEARCH("R124",G408)),0)+IFERROR(--ISNUMBER(SEARCH("R128",G408)),0)+IFERROR(--ISNUMBER(SEARCH("R130",G408)),0)+IFERROR(--ISNUMBER(SEARCH("R131",G408)),0)+IFERROR(--ISNUMBER(SEARCH("R132",G408)),0)+IFERROR(--ISNUMBER(SEARCH("R135",G408)),0)+IFERROR(--ISNUMBER(SEARCH("R138",G408)),0)+IFERROR(--ISNUMBER(SEARCH("R141",G408)),0))</f>
        <v/>
      </c>
      <c r="U408" s="58">
        <f>IF(A408="","",IFERROR(--ISNUMBER(SEARCH("R28",G408))*28,0)+IFERROR(--ISNUMBER(SEARCH("R29",G408))*29,0)+IFERROR(--ISNUMBER(SEARCH("R30",G408))*30,0)+IFERROR(--ISNUMBER(SEARCH("R31",G408))*31,0)+IFERROR(--ISNUMBER(SEARCH("R32",G408))*32,0)+IFERROR(--ISNUMBER(SEARCH("R33",G408))*33,0)+IFERROR(--ISNUMBER(SEARCH("R34",G408))*34,0)+IFERROR(--ISNUMBER(SEARCH("R35",G408))*35,0)+IFERROR(--ISNUMBER(SEARCH("R36",G408))*36,0)+IFERROR(--ISNUMBER(SEARCH("R37",G408))*37,0)+IFERROR(--ISNUMBER(SEARCH("R38",G408))*38,0)+IFERROR(--ISNUMBER(SEARCH("R39",G408))*39,0)+IFERROR(--ISNUMBER(SEARCH("R40",G408))*40,0)+IFERROR(--ISNUMBER(SEARCH("R41",G408))*41,0)+IFERROR(--ISNUMBER(SEARCH("R42",G408))*42,0)+IFERROR(--ISNUMBER(SEARCH("R43",G408))*43,0)+IFERROR(--ISNUMBER(SEARCH("R44",G408))*44,0)+IFERROR(--ISNUMBER(SEARCH("R45",G408))*45,0)+IFERROR(--ISNUMBER(SEARCH("R46",G408))*46,0)+IFERROR(--ISNUMBER(SEARCH("R47",G408))*47,0)+IFERROR(--ISNUMBER(SEARCH("R48",G408))*48,0)+IFERROR(--ISNUMBER(SEARCH("R49",G408))*49,0)+IFERROR(--ISNUMBER(SEARCH("R50",G408))*50,0)+IFERROR(--ISNUMBER(SEARCH("R51",G408))*51,0)+IFERROR(--ISNUMBER(SEARCH("R52",G408))*52,0)+IFERROR(--ISNUMBER(SEARCH("R53",G408))*53,0)+IFERROR(--ISNUMBER(SEARCH("R54",G408))*54,0)+IFERROR(--ISNUMBER(SEARCH("R55",G408))*55,0)+IFERROR(--ISNUMBER(SEARCH("R56",G408))*56,0)+IFERROR(--ISNUMBER(SEARCH("R57",G408))*57,0)+IFERROR(--ISNUMBER(SEARCH("R58",G408))*58,0)+IFERROR(--ISNUMBER(SEARCH("R59",G408))*59,0)+IFERROR(--ISNUMBER(SEARCH("R60",G408))*60,0)+IFERROR(--ISNUMBER(SEARCH("R61",G408))*61,0)+IFERROR(--ISNUMBER(SEARCH("R62",G408))*62,0)+IFERROR(--ISNUMBER(SEARCH("R63",G408))*63,0)+IFERROR(--ISNUMBER(SEARCH("R64",G408))*64,0)+IFERROR(--ISNUMBER(SEARCH("R65",G408))*65,0)+IFERROR(--ISNUMBER(SEARCH("R66",G408))*66,0)+IFERROR(--ISNUMBER(SEARCH("R67",G408))*67,0)+IFERROR(--ISNUMBER(SEARCH("R68",G408))*68,0)+IFERROR(--ISNUMBER(SEARCH("R69",G408))*69,0)+IFERROR(--ISNUMBER(SEARCH("R70",G408))*70,0)+IFERROR(--ISNUMBER(SEARCH("R71",G408))*71,0)+IFERROR(--ISNUMBER(SEARCH("R72",G408))*72,0)+IFERROR(--ISNUMBER(SEARCH("R73",G408))*73,0)+IFERROR(--ISNUMBER(SEARCH("R74",G408))*74,0)+IFERROR(--ISNUMBER(SEARCH("R75",G408))*75,0)+IFERROR(--ISNUMBER(SEARCH("R76",G408))*76,0)+IFERROR(--ISNUMBER(SEARCH("R77",G408))*77,0)+IFERROR(--ISNUMBER(SEARCH("R78",G408))*78,0)+IFERROR(--ISNUMBER(SEARCH("R79",G408))*79,0)+IFERROR(--ISNUMBER(SEARCH("R80",G408))*80,0)+IFERROR(--ISNUMBER(SEARCH("R81",G408))*81,0)+IFERROR(--ISNUMBER(SEARCH("R82",G408))*82,0)+IFERROR(--ISNUMBER(SEARCH("R83",G408))*83,0)+IFERROR(--ISNUMBER(SEARCH("R84",G408))*84,0)+IFERROR(--ISNUMBER(SEARCH("R85",G408))*85,0)+IFERROR(--ISNUMBER(SEARCH("R86",G408))*86,0)+IFERROR(--ISNUMBER(SEARCH("R87",G408))*87,0)+IFERROR(--ISNUMBER(SEARCH("R88",G408))*88,0)+IFERROR(--ISNUMBER(SEARCH("R89",G408))*89,0)+IFERROR(--ISNUMBER(SEARCH("R90",G408))*90,0)+IFERROR(--ISNUMBER(SEARCH("R91",G408))*91,0)+IFERROR(--ISNUMBER(SEARCH("R92",G408))*92,0)+IFERROR(--ISNUMBER(SEARCH("R93",G408))*93,0)+IFERROR(--ISNUMBER(SEARCH("R94",G408))*94,0)+IFERROR(--ISNUMBER(SEARCH("R95",G408))*95,0)+IFERROR(--ISNUMBER(SEARCH("R96",G408))*96,0)+IFERROR(--ISNUMBER(SEARCH("R97",G408))*97,0)+IFERROR(--ISNUMBER(SEARCH("R98",G408))*98,0)+IFERROR(--ISNUMBER(SEARCH("R99",G408))*99,0)+IFERROR(--ISNUMBER(SEARCH("R100",G408))*100,0)+IFERROR(--ISNUMBER(SEARCH("R101",G408))*101,0)+IFERROR(--ISNUMBER(SEARCH("R102",G408))*102,0)+IFERROR(--ISNUMBER(SEARCH("R103",G408))*103,0)+IFERROR(--ISNUMBER(SEARCH("R104",G408))*104,0)+IFERROR(--ISNUMBER(SEARCH("R105",G408))*105,0)+IFERROR(--ISNUMBER(SEARCH("R106",G408))*106,0)+IFERROR(--ISNUMBER(SEARCH("R107",G408))*107,0)+IFERROR(--ISNUMBER(SEARCH("R108",G408))*108,0)+IFERROR(--ISNUMBER(SEARCH("R109",G408))*109,0)+IFERROR(--ISNUMBER(SEARCH("R110",G408))*110,0)+IFERROR(--ISNUMBER(SEARCH("R111",G408))*111,0)+IFERROR(--ISNUMBER(SEARCH("R112",G408))*112,0)+IFERROR(--ISNUMBER(SEARCH("R113",G408))*113,0)+IFERROR(--ISNUMBER(SEARCH("R114",G408))*114,0)+IFERROR(--ISNUMBER(SEARCH("R115",G408))*115,0)+IFERROR(--ISNUMBER(SEARCH("R116",G408))*116,0)+IFERROR(--ISNUMBER(SEARCH("R117",G408))*117,0)+IFERROR(--ISNUMBER(SEARCH("R118",G408))*118,0)+IFERROR(--ISNUMBER(SEARCH("R119",G408))*119,0)+IFERROR(--ISNUMBER(SEARCH("R120",G408))*120,0)+IFERROR(--ISNUMBER(SEARCH("R121",G408))*121,0)+IFERROR(--ISNUMBER(SEARCH("R122",G408))*122,0)+IFERROR(--ISNUMBER(SEARCH("R123",G408))*123,0)+IFERROR(--ISNUMBER(SEARCH("R124",G408))*124,0)+IFERROR(--ISNUMBER(SEARCH("R125",G408))*125,0)+IFERROR(--ISNUMBER(SEARCH("R126",G408))*126,0)+IFERROR(--ISNUMBER(SEARCH("R127",G408))*127,0)+IFERROR(--ISNUMBER(SEARCH("R128",G408))*128,0)+IFERROR(--ISNUMBER(SEARCH("R129",G408))*129,0)+IFERROR(--ISNUMBER(SEARCH("R130",G408))*130,0)+IFERROR(--ISNUMBER(SEARCH("R131",G408))*131,0)+IFERROR(--ISNUMBER(SEARCH("R132",G408))*132,0)+IFERROR(--ISNUMBER(SEARCH("R133",G408))*133,0)+IFERROR(--ISNUMBER(SEARCH("R134",G408))*134,0)+IFERROR(--ISNUMBER(SEARCH("R135",G408))*135,0)+IFERROR(--ISNUMBER(SEARCH("R136",G408))*136,0)+IFERROR(--ISNUMBER(SEARCH("R137",G408))*137,0)+IFERROR(--ISNUMBER(SEARCH("R138",G408))*138,0)+IFERROR(--ISNUMBER(SEARCH("R139",G408))*139,0)+IFERROR(--ISNUMBER(SEARCH("R140",G408))*140,0)+IFERROR(--ISNUMBER(SEARCH("R141",G408))*141,0))</f>
        <v/>
      </c>
      <c r="V408" s="59">
        <f>IF(A408="","",IF(K408&lt;&gt;"",K408,J408))</f>
        <v/>
      </c>
      <c r="W408" s="59">
        <f>IF(A408="","",IF(AND(V408=29,O408&lt;&gt;"",COUNTIFS($V$6:$V$505,29,$F$6:$F$505,F408,$C$6:$C$505,C408,$O$6:$O$505,"&lt;&gt;")&gt;1),IF(COUNTIFS($V$6:V408,29,$F$6:F408,F408,$C$6:C408,C408,$O$6:O408,"&lt;&gt;")=1,"Esta es la fila que se debe CONSERVAR (aparición 1 de "&amp;COUNTIFS($V$6:$V$505,29,$F$6:$F$505,F408,$C$6:$C$505,C408,$O$6:$O$505,"&lt;&gt;")&amp;" con el mismo tercero y valor, casilla 29). Si hay más filas iguales, bórreles el valor a ELLAS, no a esta.","DUPLICADO — ya existe otra fila con el mismo tercero y valor para casilla 29 (aparición "&amp;COUNTIFS($V$6:V408,29,$F$6:F408,F408,$C$6:C408,C408,$O$6:O408,"&lt;&gt;")&amp;" de "&amp;COUNTIFS($V$6:$V$505,29,$F$6:$F$505,F408,$C$6:$C$505,C408,$O$6:$O$505,"&lt;&gt;")&amp;"). Para resolverlo: seleccione la celda O"&amp;ROW()&amp;" (columna Valor a declarar de ESTA fila) y presione Supr."),""))</f>
        <v/>
      </c>
      <c r="X408" s="463">
        <f>IF(A408="","",F408)</f>
        <v/>
      </c>
      <c r="Y408" s="463">
        <f>IF(A408="","",SUMIF(Entrada_Manual!$I$88:$I$187,A408,Entrada_Manual!$F$88:$F$187))</f>
        <v/>
      </c>
      <c r="Z408" s="463">
        <f>IF(A408="","",X408-Y408)</f>
        <v/>
      </c>
      <c r="AA408">
        <f>IF(A408="","",SUMPRODUCT((Entrada_Manual!$I$88:$I$187=A408)*1))</f>
        <v/>
      </c>
      <c r="AB408">
        <f>IF(A408="","",IF(S408&lt;=1,"",IF(AA408=0,"PENDIENTE — SIN ASIGNAR",IF(Z408=0,"RESUELTO","PARCIAL — DIFERENCIA "&amp;TEXT(Z408,"#,##0")))))</f>
        <v/>
      </c>
    </row>
    <row r="409" ht="14.25" customHeight="1" s="235">
      <c r="A409" s="47">
        <f>IF(Exogena_RAW!E418&lt;&gt;"",ROW()-5,"")</f>
        <v/>
      </c>
      <c r="B409" s="48">
        <f>IF(A409="","",418)</f>
        <v/>
      </c>
      <c r="C409" s="48">
        <f>IF(A409="","",IFERROR(Exogena_RAW!A418,""))</f>
        <v/>
      </c>
      <c r="D409" s="48">
        <f>IF(A409="","",IFERROR(Exogena_RAW!B418,""))</f>
        <v/>
      </c>
      <c r="E409" s="48">
        <f>IF(A409="","",Exogena_RAW!E418)</f>
        <v/>
      </c>
      <c r="F409" s="461">
        <f>IF(A409="","",Exogena_RAW!F418)</f>
        <v/>
      </c>
      <c r="G409" s="48">
        <f>IF(A409="","",IFERROR(Exogena_RAW!G418,""))</f>
        <v/>
      </c>
      <c r="H409" s="48">
        <f>IF(A409="","",IFERROR(Exogena_RAW!H418,""))</f>
        <v/>
      </c>
      <c r="I409" s="48">
        <f>IF(A409="","",IFERROR(IF(S409&gt;1,"VARIAS CASILLAS",IF(S409=1,IF(T409=1,"PROPUESTA DE CASILLA","REVISIÓN: CASILLA NO DIRECTA"),IF(OR(ISNUMBER(SEARCH("TOPE",UPPER(E409))),ISNUMBER(SEARCH("TOPE",UPPER(G409)))),"SOLO CONTROL",IF(ISNUMBER(SEARCH("RETEN",UPPER(E409))),"RETENCIÓN","REVISAR")))),"REVISAR"))</f>
        <v/>
      </c>
      <c r="J409" s="48">
        <f>IF(A409="","",IF(ISNUMBER(SEARCH("ingreso laboral promedio de los últimos seis meses",E409)),"",IFERROR(IF(AND(S409=1,T409=1),U409,""),"")))</f>
        <v/>
      </c>
      <c r="K409" s="216" t="n"/>
      <c r="L409" s="48">
        <f>IF(A409="","",IFERROR(IF(K409&lt;&gt;"","Casilla elegida por usuario",IF(S409&gt;1,"Varias casillas — elegir en K",IF(J409&lt;&gt;"","Sugerencia directa",IF(S409=1,"No trasladar directo — revisar",IF(OR(ISNUMBER(SEARCH("TOPE",UPPER(E409))),ISNUMBER(SEARCH("TOPE",UPPER(G409)))),"Solo control","Revisar manualmente"))))),"Revisar manualmente"))</f>
        <v/>
      </c>
      <c r="M409" s="461">
        <f>IF(A409="","",IF(IF(K409&lt;&gt;"",K409,J409)="",0,IF(COUNTIFS(Reglas!$I$5:$I$118,IF(K409&lt;&gt;"",K409,J409),Reglas!$J$5:$J$118,"Sí")=1,F409,0)))</f>
        <v/>
      </c>
      <c r="N409" s="56" t="n"/>
      <c r="O409" s="462">
        <f>IF(A409="","",IF(M409=0,"",M409))</f>
        <v/>
      </c>
      <c r="P409" s="461">
        <f>IF(A409="","",IF(O409="",0,IF(ISNUMBER(O409),O409,0)))</f>
        <v/>
      </c>
      <c r="Q409" s="48">
        <f>IF(A409="","",IF(Exogena_RAW!$C$4="","BLOQUEADO: FALTA AÑO",IF(Exogena_RAW!$K$10&lt;&gt;Reglas!$B$5,"BLOQUEADO: AÑO",IF(IF(K409&lt;&gt;"",K409,J409)="",IF(S409&gt;1,"REQUIERE ASIGNACIÓN MANUAL (VARIAS CASILLAS)","INFORMATIVO (sin casilla — no se declara)"),IF(COUNTIFS(Reglas!$I$5:$I$118,IF(K409&lt;&gt;"",K409,J409),Reglas!$J$5:$J$118,"Sí")=0,"BLOQUEADO: CASILLA NO DIRECTA",IF(O409="","EXCLUIDO (valor borrado por el usuario)",IF(_xlfn.ISFORMULA(O409),IF(W409&lt;&gt;"","BORRADOR — VALOR SUGERIDO DIAN ⚠ VER ALERTA","BORRADOR — VALOR SUGERIDO DIAN"),IF(W409&lt;&gt;"","ACEPTADO ⚠ VER ALERTA","ACEPTADO"))))))))</f>
        <v/>
      </c>
      <c r="R409" s="218" t="n"/>
      <c r="S409" s="58">
        <f>IF(A409="","",IFERROR(--ISNUMBER(SEARCH("R28",G409)),0)+IFERROR(--ISNUMBER(SEARCH("R29",G409)),0)+IFERROR(--ISNUMBER(SEARCH("R30",G409)),0)+IFERROR(--ISNUMBER(SEARCH("R31",G409)),0)+IFERROR(--ISNUMBER(SEARCH("R32",G409)),0)+IFERROR(--ISNUMBER(SEARCH("R33",G409)),0)+IFERROR(--ISNUMBER(SEARCH("R34",G409)),0)+IFERROR(--ISNUMBER(SEARCH("R35",G409)),0)+IFERROR(--ISNUMBER(SEARCH("R36",G409)),0)+IFERROR(--ISNUMBER(SEARCH("R37",G409)),0)+IFERROR(--ISNUMBER(SEARCH("R38",G409)),0)+IFERROR(--ISNUMBER(SEARCH("R39",G409)),0)+IFERROR(--ISNUMBER(SEARCH("R40",G409)),0)+IFERROR(--ISNUMBER(SEARCH("R41",G409)),0)+IFERROR(--ISNUMBER(SEARCH("R42",G409)),0)+IFERROR(--ISNUMBER(SEARCH("R43",G409)),0)+IFERROR(--ISNUMBER(SEARCH("R44",G409)),0)+IFERROR(--ISNUMBER(SEARCH("R45",G409)),0)+IFERROR(--ISNUMBER(SEARCH("R46",G409)),0)+IFERROR(--ISNUMBER(SEARCH("R47",G409)),0)+IFERROR(--ISNUMBER(SEARCH("R48",G409)),0)+IFERROR(--ISNUMBER(SEARCH("R49",G409)),0)+IFERROR(--ISNUMBER(SEARCH("R50",G409)),0)+IFERROR(--ISNUMBER(SEARCH("R51",G409)),0)+IFERROR(--ISNUMBER(SEARCH("R52",G409)),0)+IFERROR(--ISNUMBER(SEARCH("R53",G409)),0)+IFERROR(--ISNUMBER(SEARCH("R54",G409)),0)+IFERROR(--ISNUMBER(SEARCH("R55",G409)),0)+IFERROR(--ISNUMBER(SEARCH("R56",G409)),0)+IFERROR(--ISNUMBER(SEARCH("R57",G409)),0)+IFERROR(--ISNUMBER(SEARCH("R58",G409)),0)+IFERROR(--ISNUMBER(SEARCH("R59",G409)),0)+IFERROR(--ISNUMBER(SEARCH("R60",G409)),0)+IFERROR(--ISNUMBER(SEARCH("R61",G409)),0)+IFERROR(--ISNUMBER(SEARCH("R62",G409)),0)+IFERROR(--ISNUMBER(SEARCH("R63",G409)),0)+IFERROR(--ISNUMBER(SEARCH("R64",G409)),0)+IFERROR(--ISNUMBER(SEARCH("R65",G409)),0)+IFERROR(--ISNUMBER(SEARCH("R66",G409)),0)+IFERROR(--ISNUMBER(SEARCH("R67",G409)),0)+IFERROR(--ISNUMBER(SEARCH("R68",G409)),0)+IFERROR(--ISNUMBER(SEARCH("R69",G409)),0)+IFERROR(--ISNUMBER(SEARCH("R70",G409)),0)+IFERROR(--ISNUMBER(SEARCH("R71",G409)),0)+IFERROR(--ISNUMBER(SEARCH("R72",G409)),0)+IFERROR(--ISNUMBER(SEARCH("R73",G409)),0)+IFERROR(--ISNUMBER(SEARCH("R74",G409)),0)+IFERROR(--ISNUMBER(SEARCH("R75",G409)),0)+IFERROR(--ISNUMBER(SEARCH("R76",G409)),0)+IFERROR(--ISNUMBER(SEARCH("R77",G409)),0)+IFERROR(--ISNUMBER(SEARCH("R78",G409)),0)+IFERROR(--ISNUMBER(SEARCH("R79",G409)),0)+IFERROR(--ISNUMBER(SEARCH("R80",G409)),0)+IFERROR(--ISNUMBER(SEARCH("R81",G409)),0)+IFERROR(--ISNUMBER(SEARCH("R82",G409)),0)+IFERROR(--ISNUMBER(SEARCH("R83",G409)),0)+IFERROR(--ISNUMBER(SEARCH("R84",G409)),0)+IFERROR(--ISNUMBER(SEARCH("R85",G409)),0)+IFERROR(--ISNUMBER(SEARCH("R86",G409)),0)+IFERROR(--ISNUMBER(SEARCH("R87",G409)),0)+IFERROR(--ISNUMBER(SEARCH("R88",G409)),0)+IFERROR(--ISNUMBER(SEARCH("R89",G409)),0)+IFERROR(--ISNUMBER(SEARCH("R90",G409)),0)+IFERROR(--ISNUMBER(SEARCH("R91",G409)),0)+IFERROR(--ISNUMBER(SEARCH("R92",G409)),0)+IFERROR(--ISNUMBER(SEARCH("R93",G409)),0)+IFERROR(--ISNUMBER(SEARCH("R94",G409)),0)+IFERROR(--ISNUMBER(SEARCH("R95",G409)),0)+IFERROR(--ISNUMBER(SEARCH("R96",G409)),0)+IFERROR(--ISNUMBER(SEARCH("R97",G409)),0)+IFERROR(--ISNUMBER(SEARCH("R98",G409)),0)+IFERROR(--ISNUMBER(SEARCH("R99",G409)),0)+IFERROR(--ISNUMBER(SEARCH("R100",G409)),0)+IFERROR(--ISNUMBER(SEARCH("R101",G409)),0)+IFERROR(--ISNUMBER(SEARCH("R102",G409)),0)+IFERROR(--ISNUMBER(SEARCH("R103",G409)),0)+IFERROR(--ISNUMBER(SEARCH("R104",G409)),0)+IFERROR(--ISNUMBER(SEARCH("R105",G409)),0)+IFERROR(--ISNUMBER(SEARCH("R106",G409)),0)+IFERROR(--ISNUMBER(SEARCH("R107",G409)),0)+IFERROR(--ISNUMBER(SEARCH("R108",G409)),0)+IFERROR(--ISNUMBER(SEARCH("R109",G409)),0)+IFERROR(--ISNUMBER(SEARCH("R110",G409)),0)+IFERROR(--ISNUMBER(SEARCH("R111",G409)),0)+IFERROR(--ISNUMBER(SEARCH("R112",G409)),0)+IFERROR(--ISNUMBER(SEARCH("R113",G409)),0)+IFERROR(--ISNUMBER(SEARCH("R114",G409)),0)+IFERROR(--ISNUMBER(SEARCH("R115",G409)),0)+IFERROR(--ISNUMBER(SEARCH("R116",G409)),0)+IFERROR(--ISNUMBER(SEARCH("R117",G409)),0)+IFERROR(--ISNUMBER(SEARCH("R118",G409)),0)+IFERROR(--ISNUMBER(SEARCH("R119",G409)),0)+IFERROR(--ISNUMBER(SEARCH("R120",G409)),0)+IFERROR(--ISNUMBER(SEARCH("R121",G409)),0)+IFERROR(--ISNUMBER(SEARCH("R122",G409)),0)+IFERROR(--ISNUMBER(SEARCH("R123",G409)),0)+IFERROR(--ISNUMBER(SEARCH("R124",G409)),0)+IFERROR(--ISNUMBER(SEARCH("R125",G409)),0)+IFERROR(--ISNUMBER(SEARCH("R126",G409)),0)+IFERROR(--ISNUMBER(SEARCH("R127",G409)),0)+IFERROR(--ISNUMBER(SEARCH("R128",G409)),0)+IFERROR(--ISNUMBER(SEARCH("R129",G409)),0)+IFERROR(--ISNUMBER(SEARCH("R130",G409)),0)+IFERROR(--ISNUMBER(SEARCH("R131",G409)),0)+IFERROR(--ISNUMBER(SEARCH("R132",G409)),0)+IFERROR(--ISNUMBER(SEARCH("R133",G409)),0)+IFERROR(--ISNUMBER(SEARCH("R134",G409)),0)+IFERROR(--ISNUMBER(SEARCH("R135",G409)),0)+IFERROR(--ISNUMBER(SEARCH("R136",G409)),0)+IFERROR(--ISNUMBER(SEARCH("R137",G409)),0)+IFERROR(--ISNUMBER(SEARCH("R138",G409)),0)+IFERROR(--ISNUMBER(SEARCH("R139",G409)),0)+IFERROR(--ISNUMBER(SEARCH("R140",G409)),0)+IFERROR(--ISNUMBER(SEARCH("R141",G409)),0))</f>
        <v/>
      </c>
      <c r="T409" s="58">
        <f>IF(A409="","",IFERROR(--ISNUMBER(SEARCH("R28",G409)),0)+IFERROR(--ISNUMBER(SEARCH("R29",G409)),0)+IFERROR(--ISNUMBER(SEARCH("R30",G409)),0)+IFERROR(--ISNUMBER(SEARCH("R32",G409)),0)+IFERROR(--ISNUMBER(SEARCH("R33",G409)),0)+IFERROR(--ISNUMBER(SEARCH("R35",G409)),0)+IFERROR(--ISNUMBER(SEARCH("R36",G409)),0)+IFERROR(--ISNUMBER(SEARCH("R38",G409)),0)+IFERROR(--ISNUMBER(SEARCH("R39",G409)),0)+IFERROR(--ISNUMBER(SEARCH("R43",G409)),0)+IFERROR(--ISNUMBER(SEARCH("R44",G409)),0)+IFERROR(--ISNUMBER(SEARCH("R45",G409)),0)+IFERROR(--ISNUMBER(SEARCH("R47",G409)),0)+IFERROR(--ISNUMBER(SEARCH("R48",G409)),0)+IFERROR(--ISNUMBER(SEARCH("R50",G409)),0)+IFERROR(--ISNUMBER(SEARCH("R51",G409)),0)+IFERROR(--ISNUMBER(SEARCH("R56",G409)),0)+IFERROR(--ISNUMBER(SEARCH("R58",G409)),0)+IFERROR(--ISNUMBER(SEARCH("R59",G409)),0)+IFERROR(--ISNUMBER(SEARCH("R60",G409)),0)+IFERROR(--ISNUMBER(SEARCH("R62",G409)),0)+IFERROR(--ISNUMBER(SEARCH("R63",G409)),0)+IFERROR(--ISNUMBER(SEARCH("R64",G409)),0)+IFERROR(--ISNUMBER(SEARCH("R66",G409)),0)+IFERROR(--ISNUMBER(SEARCH("R67",G409)),0)+IFERROR(--ISNUMBER(SEARCH("R72",G409)),0)+IFERROR(--ISNUMBER(SEARCH("R74",G409)),0)+IFERROR(--ISNUMBER(SEARCH("R75",G409)),0)+IFERROR(--ISNUMBER(SEARCH("R76",G409)),0)+IFERROR(--ISNUMBER(SEARCH("R77",G409)),0)+IFERROR(--ISNUMBER(SEARCH("R79",G409)),0)+IFERROR(--ISNUMBER(SEARCH("R80",G409)),0)+IFERROR(--ISNUMBER(SEARCH("R81",G409)),0)+IFERROR(--ISNUMBER(SEARCH("R83",G409)),0)+IFERROR(--ISNUMBER(SEARCH("R84",G409)),0)+IFERROR(--ISNUMBER(SEARCH("R89",G409)),0)+IFERROR(--ISNUMBER(SEARCH("R94",G409)),0)+IFERROR(--ISNUMBER(SEARCH("R95",G409)),0)+IFERROR(--ISNUMBER(SEARCH("R96",G409)),0)+IFERROR(--ISNUMBER(SEARCH("R98",G409)),0)+IFERROR(--ISNUMBER(SEARCH("R99",G409)),0)+IFERROR(--ISNUMBER(SEARCH("R100",G409)),0)+IFERROR(--ISNUMBER(SEARCH("R104",G409)),0)+IFERROR(--ISNUMBER(SEARCH("R105",G409)),0)+IFERROR(--ISNUMBER(SEARCH("R107",G409)),0)+IFERROR(--ISNUMBER(SEARCH("R108",G409)),0)+IFERROR(--ISNUMBER(SEARCH("R109",G409)),0)+IFERROR(--ISNUMBER(SEARCH("R110",G409)),0)+IFERROR(--ISNUMBER(SEARCH("R112",G409)),0)+IFERROR(--ISNUMBER(SEARCH("R113",G409)),0)+IFERROR(--ISNUMBER(SEARCH("R114",G409)),0)+IFERROR(--ISNUMBER(SEARCH("R118",G409)),0)+IFERROR(--ISNUMBER(SEARCH("R119",G409)),0)+IFERROR(--ISNUMBER(SEARCH("R120",G409)),0)+IFERROR(--ISNUMBER(SEARCH("R122",G409)),0)+IFERROR(--ISNUMBER(SEARCH("R123",G409)),0)+IFERROR(--ISNUMBER(SEARCH("R124",G409)),0)+IFERROR(--ISNUMBER(SEARCH("R128",G409)),0)+IFERROR(--ISNUMBER(SEARCH("R130",G409)),0)+IFERROR(--ISNUMBER(SEARCH("R131",G409)),0)+IFERROR(--ISNUMBER(SEARCH("R132",G409)),0)+IFERROR(--ISNUMBER(SEARCH("R135",G409)),0)+IFERROR(--ISNUMBER(SEARCH("R138",G409)),0)+IFERROR(--ISNUMBER(SEARCH("R141",G409)),0))</f>
        <v/>
      </c>
      <c r="U409" s="58">
        <f>IF(A409="","",IFERROR(--ISNUMBER(SEARCH("R28",G409))*28,0)+IFERROR(--ISNUMBER(SEARCH("R29",G409))*29,0)+IFERROR(--ISNUMBER(SEARCH("R30",G409))*30,0)+IFERROR(--ISNUMBER(SEARCH("R31",G409))*31,0)+IFERROR(--ISNUMBER(SEARCH("R32",G409))*32,0)+IFERROR(--ISNUMBER(SEARCH("R33",G409))*33,0)+IFERROR(--ISNUMBER(SEARCH("R34",G409))*34,0)+IFERROR(--ISNUMBER(SEARCH("R35",G409))*35,0)+IFERROR(--ISNUMBER(SEARCH("R36",G409))*36,0)+IFERROR(--ISNUMBER(SEARCH("R37",G409))*37,0)+IFERROR(--ISNUMBER(SEARCH("R38",G409))*38,0)+IFERROR(--ISNUMBER(SEARCH("R39",G409))*39,0)+IFERROR(--ISNUMBER(SEARCH("R40",G409))*40,0)+IFERROR(--ISNUMBER(SEARCH("R41",G409))*41,0)+IFERROR(--ISNUMBER(SEARCH("R42",G409))*42,0)+IFERROR(--ISNUMBER(SEARCH("R43",G409))*43,0)+IFERROR(--ISNUMBER(SEARCH("R44",G409))*44,0)+IFERROR(--ISNUMBER(SEARCH("R45",G409))*45,0)+IFERROR(--ISNUMBER(SEARCH("R46",G409))*46,0)+IFERROR(--ISNUMBER(SEARCH("R47",G409))*47,0)+IFERROR(--ISNUMBER(SEARCH("R48",G409))*48,0)+IFERROR(--ISNUMBER(SEARCH("R49",G409))*49,0)+IFERROR(--ISNUMBER(SEARCH("R50",G409))*50,0)+IFERROR(--ISNUMBER(SEARCH("R51",G409))*51,0)+IFERROR(--ISNUMBER(SEARCH("R52",G409))*52,0)+IFERROR(--ISNUMBER(SEARCH("R53",G409))*53,0)+IFERROR(--ISNUMBER(SEARCH("R54",G409))*54,0)+IFERROR(--ISNUMBER(SEARCH("R55",G409))*55,0)+IFERROR(--ISNUMBER(SEARCH("R56",G409))*56,0)+IFERROR(--ISNUMBER(SEARCH("R57",G409))*57,0)+IFERROR(--ISNUMBER(SEARCH("R58",G409))*58,0)+IFERROR(--ISNUMBER(SEARCH("R59",G409))*59,0)+IFERROR(--ISNUMBER(SEARCH("R60",G409))*60,0)+IFERROR(--ISNUMBER(SEARCH("R61",G409))*61,0)+IFERROR(--ISNUMBER(SEARCH("R62",G409))*62,0)+IFERROR(--ISNUMBER(SEARCH("R63",G409))*63,0)+IFERROR(--ISNUMBER(SEARCH("R64",G409))*64,0)+IFERROR(--ISNUMBER(SEARCH("R65",G409))*65,0)+IFERROR(--ISNUMBER(SEARCH("R66",G409))*66,0)+IFERROR(--ISNUMBER(SEARCH("R67",G409))*67,0)+IFERROR(--ISNUMBER(SEARCH("R68",G409))*68,0)+IFERROR(--ISNUMBER(SEARCH("R69",G409))*69,0)+IFERROR(--ISNUMBER(SEARCH("R70",G409))*70,0)+IFERROR(--ISNUMBER(SEARCH("R71",G409))*71,0)+IFERROR(--ISNUMBER(SEARCH("R72",G409))*72,0)+IFERROR(--ISNUMBER(SEARCH("R73",G409))*73,0)+IFERROR(--ISNUMBER(SEARCH("R74",G409))*74,0)+IFERROR(--ISNUMBER(SEARCH("R75",G409))*75,0)+IFERROR(--ISNUMBER(SEARCH("R76",G409))*76,0)+IFERROR(--ISNUMBER(SEARCH("R77",G409))*77,0)+IFERROR(--ISNUMBER(SEARCH("R78",G409))*78,0)+IFERROR(--ISNUMBER(SEARCH("R79",G409))*79,0)+IFERROR(--ISNUMBER(SEARCH("R80",G409))*80,0)+IFERROR(--ISNUMBER(SEARCH("R81",G409))*81,0)+IFERROR(--ISNUMBER(SEARCH("R82",G409))*82,0)+IFERROR(--ISNUMBER(SEARCH("R83",G409))*83,0)+IFERROR(--ISNUMBER(SEARCH("R84",G409))*84,0)+IFERROR(--ISNUMBER(SEARCH("R85",G409))*85,0)+IFERROR(--ISNUMBER(SEARCH("R86",G409))*86,0)+IFERROR(--ISNUMBER(SEARCH("R87",G409))*87,0)+IFERROR(--ISNUMBER(SEARCH("R88",G409))*88,0)+IFERROR(--ISNUMBER(SEARCH("R89",G409))*89,0)+IFERROR(--ISNUMBER(SEARCH("R90",G409))*90,0)+IFERROR(--ISNUMBER(SEARCH("R91",G409))*91,0)+IFERROR(--ISNUMBER(SEARCH("R92",G409))*92,0)+IFERROR(--ISNUMBER(SEARCH("R93",G409))*93,0)+IFERROR(--ISNUMBER(SEARCH("R94",G409))*94,0)+IFERROR(--ISNUMBER(SEARCH("R95",G409))*95,0)+IFERROR(--ISNUMBER(SEARCH("R96",G409))*96,0)+IFERROR(--ISNUMBER(SEARCH("R97",G409))*97,0)+IFERROR(--ISNUMBER(SEARCH("R98",G409))*98,0)+IFERROR(--ISNUMBER(SEARCH("R99",G409))*99,0)+IFERROR(--ISNUMBER(SEARCH("R100",G409))*100,0)+IFERROR(--ISNUMBER(SEARCH("R101",G409))*101,0)+IFERROR(--ISNUMBER(SEARCH("R102",G409))*102,0)+IFERROR(--ISNUMBER(SEARCH("R103",G409))*103,0)+IFERROR(--ISNUMBER(SEARCH("R104",G409))*104,0)+IFERROR(--ISNUMBER(SEARCH("R105",G409))*105,0)+IFERROR(--ISNUMBER(SEARCH("R106",G409))*106,0)+IFERROR(--ISNUMBER(SEARCH("R107",G409))*107,0)+IFERROR(--ISNUMBER(SEARCH("R108",G409))*108,0)+IFERROR(--ISNUMBER(SEARCH("R109",G409))*109,0)+IFERROR(--ISNUMBER(SEARCH("R110",G409))*110,0)+IFERROR(--ISNUMBER(SEARCH("R111",G409))*111,0)+IFERROR(--ISNUMBER(SEARCH("R112",G409))*112,0)+IFERROR(--ISNUMBER(SEARCH("R113",G409))*113,0)+IFERROR(--ISNUMBER(SEARCH("R114",G409))*114,0)+IFERROR(--ISNUMBER(SEARCH("R115",G409))*115,0)+IFERROR(--ISNUMBER(SEARCH("R116",G409))*116,0)+IFERROR(--ISNUMBER(SEARCH("R117",G409))*117,0)+IFERROR(--ISNUMBER(SEARCH("R118",G409))*118,0)+IFERROR(--ISNUMBER(SEARCH("R119",G409))*119,0)+IFERROR(--ISNUMBER(SEARCH("R120",G409))*120,0)+IFERROR(--ISNUMBER(SEARCH("R121",G409))*121,0)+IFERROR(--ISNUMBER(SEARCH("R122",G409))*122,0)+IFERROR(--ISNUMBER(SEARCH("R123",G409))*123,0)+IFERROR(--ISNUMBER(SEARCH("R124",G409))*124,0)+IFERROR(--ISNUMBER(SEARCH("R125",G409))*125,0)+IFERROR(--ISNUMBER(SEARCH("R126",G409))*126,0)+IFERROR(--ISNUMBER(SEARCH("R127",G409))*127,0)+IFERROR(--ISNUMBER(SEARCH("R128",G409))*128,0)+IFERROR(--ISNUMBER(SEARCH("R129",G409))*129,0)+IFERROR(--ISNUMBER(SEARCH("R130",G409))*130,0)+IFERROR(--ISNUMBER(SEARCH("R131",G409))*131,0)+IFERROR(--ISNUMBER(SEARCH("R132",G409))*132,0)+IFERROR(--ISNUMBER(SEARCH("R133",G409))*133,0)+IFERROR(--ISNUMBER(SEARCH("R134",G409))*134,0)+IFERROR(--ISNUMBER(SEARCH("R135",G409))*135,0)+IFERROR(--ISNUMBER(SEARCH("R136",G409))*136,0)+IFERROR(--ISNUMBER(SEARCH("R137",G409))*137,0)+IFERROR(--ISNUMBER(SEARCH("R138",G409))*138,0)+IFERROR(--ISNUMBER(SEARCH("R139",G409))*139,0)+IFERROR(--ISNUMBER(SEARCH("R140",G409))*140,0)+IFERROR(--ISNUMBER(SEARCH("R141",G409))*141,0))</f>
        <v/>
      </c>
      <c r="V409" s="59">
        <f>IF(A409="","",IF(K409&lt;&gt;"",K409,J409))</f>
        <v/>
      </c>
      <c r="W409" s="59">
        <f>IF(A409="","",IF(AND(V409=29,O409&lt;&gt;"",COUNTIFS($V$6:$V$505,29,$F$6:$F$505,F409,$C$6:$C$505,C409,$O$6:$O$505,"&lt;&gt;")&gt;1),IF(COUNTIFS($V$6:V409,29,$F$6:F409,F409,$C$6:C409,C409,$O$6:O409,"&lt;&gt;")=1,"Esta es la fila que se debe CONSERVAR (aparición 1 de "&amp;COUNTIFS($V$6:$V$505,29,$F$6:$F$505,F409,$C$6:$C$505,C409,$O$6:$O$505,"&lt;&gt;")&amp;" con el mismo tercero y valor, casilla 29). Si hay más filas iguales, bórreles el valor a ELLAS, no a esta.","DUPLICADO — ya existe otra fila con el mismo tercero y valor para casilla 29 (aparición "&amp;COUNTIFS($V$6:V409,29,$F$6:F409,F409,$C$6:C409,C409,$O$6:O409,"&lt;&gt;")&amp;" de "&amp;COUNTIFS($V$6:$V$505,29,$F$6:$F$505,F409,$C$6:$C$505,C409,$O$6:$O$505,"&lt;&gt;")&amp;"). Para resolverlo: seleccione la celda O"&amp;ROW()&amp;" (columna Valor a declarar de ESTA fila) y presione Supr."),""))</f>
        <v/>
      </c>
      <c r="X409" s="463">
        <f>IF(A409="","",F409)</f>
        <v/>
      </c>
      <c r="Y409" s="463">
        <f>IF(A409="","",SUMIF(Entrada_Manual!$I$88:$I$187,A409,Entrada_Manual!$F$88:$F$187))</f>
        <v/>
      </c>
      <c r="Z409" s="463">
        <f>IF(A409="","",X409-Y409)</f>
        <v/>
      </c>
      <c r="AA409">
        <f>IF(A409="","",SUMPRODUCT((Entrada_Manual!$I$88:$I$187=A409)*1))</f>
        <v/>
      </c>
      <c r="AB409">
        <f>IF(A409="","",IF(S409&lt;=1,"",IF(AA409=0,"PENDIENTE — SIN ASIGNAR",IF(Z409=0,"RESUELTO","PARCIAL — DIFERENCIA "&amp;TEXT(Z409,"#,##0")))))</f>
        <v/>
      </c>
    </row>
    <row r="410" ht="14.25" customHeight="1" s="235">
      <c r="A410" s="47">
        <f>IF(Exogena_RAW!E419&lt;&gt;"",ROW()-5,"")</f>
        <v/>
      </c>
      <c r="B410" s="48">
        <f>IF(A410="","",419)</f>
        <v/>
      </c>
      <c r="C410" s="48">
        <f>IF(A410="","",IFERROR(Exogena_RAW!A419,""))</f>
        <v/>
      </c>
      <c r="D410" s="48">
        <f>IF(A410="","",IFERROR(Exogena_RAW!B419,""))</f>
        <v/>
      </c>
      <c r="E410" s="48">
        <f>IF(A410="","",Exogena_RAW!E419)</f>
        <v/>
      </c>
      <c r="F410" s="461">
        <f>IF(A410="","",Exogena_RAW!F419)</f>
        <v/>
      </c>
      <c r="G410" s="48">
        <f>IF(A410="","",IFERROR(Exogena_RAW!G419,""))</f>
        <v/>
      </c>
      <c r="H410" s="48">
        <f>IF(A410="","",IFERROR(Exogena_RAW!H419,""))</f>
        <v/>
      </c>
      <c r="I410" s="48">
        <f>IF(A410="","",IFERROR(IF(S410&gt;1,"VARIAS CASILLAS",IF(S410=1,IF(T410=1,"PROPUESTA DE CASILLA","REVISIÓN: CASILLA NO DIRECTA"),IF(OR(ISNUMBER(SEARCH("TOPE",UPPER(E410))),ISNUMBER(SEARCH("TOPE",UPPER(G410)))),"SOLO CONTROL",IF(ISNUMBER(SEARCH("RETEN",UPPER(E410))),"RETENCIÓN","REVISAR")))),"REVISAR"))</f>
        <v/>
      </c>
      <c r="J410" s="48">
        <f>IF(A410="","",IF(ISNUMBER(SEARCH("ingreso laboral promedio de los últimos seis meses",E410)),"",IFERROR(IF(AND(S410=1,T410=1),U410,""),"")))</f>
        <v/>
      </c>
      <c r="K410" s="216" t="n"/>
      <c r="L410" s="48">
        <f>IF(A410="","",IFERROR(IF(K410&lt;&gt;"","Casilla elegida por usuario",IF(S410&gt;1,"Varias casillas — elegir en K",IF(J410&lt;&gt;"","Sugerencia directa",IF(S410=1,"No trasladar directo — revisar",IF(OR(ISNUMBER(SEARCH("TOPE",UPPER(E410))),ISNUMBER(SEARCH("TOPE",UPPER(G410)))),"Solo control","Revisar manualmente"))))),"Revisar manualmente"))</f>
        <v/>
      </c>
      <c r="M410" s="461">
        <f>IF(A410="","",IF(IF(K410&lt;&gt;"",K410,J410)="",0,IF(COUNTIFS(Reglas!$I$5:$I$118,IF(K410&lt;&gt;"",K410,J410),Reglas!$J$5:$J$118,"Sí")=1,F410,0)))</f>
        <v/>
      </c>
      <c r="N410" s="56" t="n"/>
      <c r="O410" s="462">
        <f>IF(A410="","",IF(M410=0,"",M410))</f>
        <v/>
      </c>
      <c r="P410" s="461">
        <f>IF(A410="","",IF(O410="",0,IF(ISNUMBER(O410),O410,0)))</f>
        <v/>
      </c>
      <c r="Q410" s="48">
        <f>IF(A410="","",IF(Exogena_RAW!$C$4="","BLOQUEADO: FALTA AÑO",IF(Exogena_RAW!$K$10&lt;&gt;Reglas!$B$5,"BLOQUEADO: AÑO",IF(IF(K410&lt;&gt;"",K410,J410)="",IF(S410&gt;1,"REQUIERE ASIGNACIÓN MANUAL (VARIAS CASILLAS)","INFORMATIVO (sin casilla — no se declara)"),IF(COUNTIFS(Reglas!$I$5:$I$118,IF(K410&lt;&gt;"",K410,J410),Reglas!$J$5:$J$118,"Sí")=0,"BLOQUEADO: CASILLA NO DIRECTA",IF(O410="","EXCLUIDO (valor borrado por el usuario)",IF(_xlfn.ISFORMULA(O410),IF(W410&lt;&gt;"","BORRADOR — VALOR SUGERIDO DIAN ⚠ VER ALERTA","BORRADOR — VALOR SUGERIDO DIAN"),IF(W410&lt;&gt;"","ACEPTADO ⚠ VER ALERTA","ACEPTADO"))))))))</f>
        <v/>
      </c>
      <c r="R410" s="218" t="n"/>
      <c r="S410" s="58">
        <f>IF(A410="","",IFERROR(--ISNUMBER(SEARCH("R28",G410)),0)+IFERROR(--ISNUMBER(SEARCH("R29",G410)),0)+IFERROR(--ISNUMBER(SEARCH("R30",G410)),0)+IFERROR(--ISNUMBER(SEARCH("R31",G410)),0)+IFERROR(--ISNUMBER(SEARCH("R32",G410)),0)+IFERROR(--ISNUMBER(SEARCH("R33",G410)),0)+IFERROR(--ISNUMBER(SEARCH("R34",G410)),0)+IFERROR(--ISNUMBER(SEARCH("R35",G410)),0)+IFERROR(--ISNUMBER(SEARCH("R36",G410)),0)+IFERROR(--ISNUMBER(SEARCH("R37",G410)),0)+IFERROR(--ISNUMBER(SEARCH("R38",G410)),0)+IFERROR(--ISNUMBER(SEARCH("R39",G410)),0)+IFERROR(--ISNUMBER(SEARCH("R40",G410)),0)+IFERROR(--ISNUMBER(SEARCH("R41",G410)),0)+IFERROR(--ISNUMBER(SEARCH("R42",G410)),0)+IFERROR(--ISNUMBER(SEARCH("R43",G410)),0)+IFERROR(--ISNUMBER(SEARCH("R44",G410)),0)+IFERROR(--ISNUMBER(SEARCH("R45",G410)),0)+IFERROR(--ISNUMBER(SEARCH("R46",G410)),0)+IFERROR(--ISNUMBER(SEARCH("R47",G410)),0)+IFERROR(--ISNUMBER(SEARCH("R48",G410)),0)+IFERROR(--ISNUMBER(SEARCH("R49",G410)),0)+IFERROR(--ISNUMBER(SEARCH("R50",G410)),0)+IFERROR(--ISNUMBER(SEARCH("R51",G410)),0)+IFERROR(--ISNUMBER(SEARCH("R52",G410)),0)+IFERROR(--ISNUMBER(SEARCH("R53",G410)),0)+IFERROR(--ISNUMBER(SEARCH("R54",G410)),0)+IFERROR(--ISNUMBER(SEARCH("R55",G410)),0)+IFERROR(--ISNUMBER(SEARCH("R56",G410)),0)+IFERROR(--ISNUMBER(SEARCH("R57",G410)),0)+IFERROR(--ISNUMBER(SEARCH("R58",G410)),0)+IFERROR(--ISNUMBER(SEARCH("R59",G410)),0)+IFERROR(--ISNUMBER(SEARCH("R60",G410)),0)+IFERROR(--ISNUMBER(SEARCH("R61",G410)),0)+IFERROR(--ISNUMBER(SEARCH("R62",G410)),0)+IFERROR(--ISNUMBER(SEARCH("R63",G410)),0)+IFERROR(--ISNUMBER(SEARCH("R64",G410)),0)+IFERROR(--ISNUMBER(SEARCH("R65",G410)),0)+IFERROR(--ISNUMBER(SEARCH("R66",G410)),0)+IFERROR(--ISNUMBER(SEARCH("R67",G410)),0)+IFERROR(--ISNUMBER(SEARCH("R68",G410)),0)+IFERROR(--ISNUMBER(SEARCH("R69",G410)),0)+IFERROR(--ISNUMBER(SEARCH("R70",G410)),0)+IFERROR(--ISNUMBER(SEARCH("R71",G410)),0)+IFERROR(--ISNUMBER(SEARCH("R72",G410)),0)+IFERROR(--ISNUMBER(SEARCH("R73",G410)),0)+IFERROR(--ISNUMBER(SEARCH("R74",G410)),0)+IFERROR(--ISNUMBER(SEARCH("R75",G410)),0)+IFERROR(--ISNUMBER(SEARCH("R76",G410)),0)+IFERROR(--ISNUMBER(SEARCH("R77",G410)),0)+IFERROR(--ISNUMBER(SEARCH("R78",G410)),0)+IFERROR(--ISNUMBER(SEARCH("R79",G410)),0)+IFERROR(--ISNUMBER(SEARCH("R80",G410)),0)+IFERROR(--ISNUMBER(SEARCH("R81",G410)),0)+IFERROR(--ISNUMBER(SEARCH("R82",G410)),0)+IFERROR(--ISNUMBER(SEARCH("R83",G410)),0)+IFERROR(--ISNUMBER(SEARCH("R84",G410)),0)+IFERROR(--ISNUMBER(SEARCH("R85",G410)),0)+IFERROR(--ISNUMBER(SEARCH("R86",G410)),0)+IFERROR(--ISNUMBER(SEARCH("R87",G410)),0)+IFERROR(--ISNUMBER(SEARCH("R88",G410)),0)+IFERROR(--ISNUMBER(SEARCH("R89",G410)),0)+IFERROR(--ISNUMBER(SEARCH("R90",G410)),0)+IFERROR(--ISNUMBER(SEARCH("R91",G410)),0)+IFERROR(--ISNUMBER(SEARCH("R92",G410)),0)+IFERROR(--ISNUMBER(SEARCH("R93",G410)),0)+IFERROR(--ISNUMBER(SEARCH("R94",G410)),0)+IFERROR(--ISNUMBER(SEARCH("R95",G410)),0)+IFERROR(--ISNUMBER(SEARCH("R96",G410)),0)+IFERROR(--ISNUMBER(SEARCH("R97",G410)),0)+IFERROR(--ISNUMBER(SEARCH("R98",G410)),0)+IFERROR(--ISNUMBER(SEARCH("R99",G410)),0)+IFERROR(--ISNUMBER(SEARCH("R100",G410)),0)+IFERROR(--ISNUMBER(SEARCH("R101",G410)),0)+IFERROR(--ISNUMBER(SEARCH("R102",G410)),0)+IFERROR(--ISNUMBER(SEARCH("R103",G410)),0)+IFERROR(--ISNUMBER(SEARCH("R104",G410)),0)+IFERROR(--ISNUMBER(SEARCH("R105",G410)),0)+IFERROR(--ISNUMBER(SEARCH("R106",G410)),0)+IFERROR(--ISNUMBER(SEARCH("R107",G410)),0)+IFERROR(--ISNUMBER(SEARCH("R108",G410)),0)+IFERROR(--ISNUMBER(SEARCH("R109",G410)),0)+IFERROR(--ISNUMBER(SEARCH("R110",G410)),0)+IFERROR(--ISNUMBER(SEARCH("R111",G410)),0)+IFERROR(--ISNUMBER(SEARCH("R112",G410)),0)+IFERROR(--ISNUMBER(SEARCH("R113",G410)),0)+IFERROR(--ISNUMBER(SEARCH("R114",G410)),0)+IFERROR(--ISNUMBER(SEARCH("R115",G410)),0)+IFERROR(--ISNUMBER(SEARCH("R116",G410)),0)+IFERROR(--ISNUMBER(SEARCH("R117",G410)),0)+IFERROR(--ISNUMBER(SEARCH("R118",G410)),0)+IFERROR(--ISNUMBER(SEARCH("R119",G410)),0)+IFERROR(--ISNUMBER(SEARCH("R120",G410)),0)+IFERROR(--ISNUMBER(SEARCH("R121",G410)),0)+IFERROR(--ISNUMBER(SEARCH("R122",G410)),0)+IFERROR(--ISNUMBER(SEARCH("R123",G410)),0)+IFERROR(--ISNUMBER(SEARCH("R124",G410)),0)+IFERROR(--ISNUMBER(SEARCH("R125",G410)),0)+IFERROR(--ISNUMBER(SEARCH("R126",G410)),0)+IFERROR(--ISNUMBER(SEARCH("R127",G410)),0)+IFERROR(--ISNUMBER(SEARCH("R128",G410)),0)+IFERROR(--ISNUMBER(SEARCH("R129",G410)),0)+IFERROR(--ISNUMBER(SEARCH("R130",G410)),0)+IFERROR(--ISNUMBER(SEARCH("R131",G410)),0)+IFERROR(--ISNUMBER(SEARCH("R132",G410)),0)+IFERROR(--ISNUMBER(SEARCH("R133",G410)),0)+IFERROR(--ISNUMBER(SEARCH("R134",G410)),0)+IFERROR(--ISNUMBER(SEARCH("R135",G410)),0)+IFERROR(--ISNUMBER(SEARCH("R136",G410)),0)+IFERROR(--ISNUMBER(SEARCH("R137",G410)),0)+IFERROR(--ISNUMBER(SEARCH("R138",G410)),0)+IFERROR(--ISNUMBER(SEARCH("R139",G410)),0)+IFERROR(--ISNUMBER(SEARCH("R140",G410)),0)+IFERROR(--ISNUMBER(SEARCH("R141",G410)),0))</f>
        <v/>
      </c>
      <c r="T410" s="58">
        <f>IF(A410="","",IFERROR(--ISNUMBER(SEARCH("R28",G410)),0)+IFERROR(--ISNUMBER(SEARCH("R29",G410)),0)+IFERROR(--ISNUMBER(SEARCH("R30",G410)),0)+IFERROR(--ISNUMBER(SEARCH("R32",G410)),0)+IFERROR(--ISNUMBER(SEARCH("R33",G410)),0)+IFERROR(--ISNUMBER(SEARCH("R35",G410)),0)+IFERROR(--ISNUMBER(SEARCH("R36",G410)),0)+IFERROR(--ISNUMBER(SEARCH("R38",G410)),0)+IFERROR(--ISNUMBER(SEARCH("R39",G410)),0)+IFERROR(--ISNUMBER(SEARCH("R43",G410)),0)+IFERROR(--ISNUMBER(SEARCH("R44",G410)),0)+IFERROR(--ISNUMBER(SEARCH("R45",G410)),0)+IFERROR(--ISNUMBER(SEARCH("R47",G410)),0)+IFERROR(--ISNUMBER(SEARCH("R48",G410)),0)+IFERROR(--ISNUMBER(SEARCH("R50",G410)),0)+IFERROR(--ISNUMBER(SEARCH("R51",G410)),0)+IFERROR(--ISNUMBER(SEARCH("R56",G410)),0)+IFERROR(--ISNUMBER(SEARCH("R58",G410)),0)+IFERROR(--ISNUMBER(SEARCH("R59",G410)),0)+IFERROR(--ISNUMBER(SEARCH("R60",G410)),0)+IFERROR(--ISNUMBER(SEARCH("R62",G410)),0)+IFERROR(--ISNUMBER(SEARCH("R63",G410)),0)+IFERROR(--ISNUMBER(SEARCH("R64",G410)),0)+IFERROR(--ISNUMBER(SEARCH("R66",G410)),0)+IFERROR(--ISNUMBER(SEARCH("R67",G410)),0)+IFERROR(--ISNUMBER(SEARCH("R72",G410)),0)+IFERROR(--ISNUMBER(SEARCH("R74",G410)),0)+IFERROR(--ISNUMBER(SEARCH("R75",G410)),0)+IFERROR(--ISNUMBER(SEARCH("R76",G410)),0)+IFERROR(--ISNUMBER(SEARCH("R77",G410)),0)+IFERROR(--ISNUMBER(SEARCH("R79",G410)),0)+IFERROR(--ISNUMBER(SEARCH("R80",G410)),0)+IFERROR(--ISNUMBER(SEARCH("R81",G410)),0)+IFERROR(--ISNUMBER(SEARCH("R83",G410)),0)+IFERROR(--ISNUMBER(SEARCH("R84",G410)),0)+IFERROR(--ISNUMBER(SEARCH("R89",G410)),0)+IFERROR(--ISNUMBER(SEARCH("R94",G410)),0)+IFERROR(--ISNUMBER(SEARCH("R95",G410)),0)+IFERROR(--ISNUMBER(SEARCH("R96",G410)),0)+IFERROR(--ISNUMBER(SEARCH("R98",G410)),0)+IFERROR(--ISNUMBER(SEARCH("R99",G410)),0)+IFERROR(--ISNUMBER(SEARCH("R100",G410)),0)+IFERROR(--ISNUMBER(SEARCH("R104",G410)),0)+IFERROR(--ISNUMBER(SEARCH("R105",G410)),0)+IFERROR(--ISNUMBER(SEARCH("R107",G410)),0)+IFERROR(--ISNUMBER(SEARCH("R108",G410)),0)+IFERROR(--ISNUMBER(SEARCH("R109",G410)),0)+IFERROR(--ISNUMBER(SEARCH("R110",G410)),0)+IFERROR(--ISNUMBER(SEARCH("R112",G410)),0)+IFERROR(--ISNUMBER(SEARCH("R113",G410)),0)+IFERROR(--ISNUMBER(SEARCH("R114",G410)),0)+IFERROR(--ISNUMBER(SEARCH("R118",G410)),0)+IFERROR(--ISNUMBER(SEARCH("R119",G410)),0)+IFERROR(--ISNUMBER(SEARCH("R120",G410)),0)+IFERROR(--ISNUMBER(SEARCH("R122",G410)),0)+IFERROR(--ISNUMBER(SEARCH("R123",G410)),0)+IFERROR(--ISNUMBER(SEARCH("R124",G410)),0)+IFERROR(--ISNUMBER(SEARCH("R128",G410)),0)+IFERROR(--ISNUMBER(SEARCH("R130",G410)),0)+IFERROR(--ISNUMBER(SEARCH("R131",G410)),0)+IFERROR(--ISNUMBER(SEARCH("R132",G410)),0)+IFERROR(--ISNUMBER(SEARCH("R135",G410)),0)+IFERROR(--ISNUMBER(SEARCH("R138",G410)),0)+IFERROR(--ISNUMBER(SEARCH("R141",G410)),0))</f>
        <v/>
      </c>
      <c r="U410" s="58">
        <f>IF(A410="","",IFERROR(--ISNUMBER(SEARCH("R28",G410))*28,0)+IFERROR(--ISNUMBER(SEARCH("R29",G410))*29,0)+IFERROR(--ISNUMBER(SEARCH("R30",G410))*30,0)+IFERROR(--ISNUMBER(SEARCH("R31",G410))*31,0)+IFERROR(--ISNUMBER(SEARCH("R32",G410))*32,0)+IFERROR(--ISNUMBER(SEARCH("R33",G410))*33,0)+IFERROR(--ISNUMBER(SEARCH("R34",G410))*34,0)+IFERROR(--ISNUMBER(SEARCH("R35",G410))*35,0)+IFERROR(--ISNUMBER(SEARCH("R36",G410))*36,0)+IFERROR(--ISNUMBER(SEARCH("R37",G410))*37,0)+IFERROR(--ISNUMBER(SEARCH("R38",G410))*38,0)+IFERROR(--ISNUMBER(SEARCH("R39",G410))*39,0)+IFERROR(--ISNUMBER(SEARCH("R40",G410))*40,0)+IFERROR(--ISNUMBER(SEARCH("R41",G410))*41,0)+IFERROR(--ISNUMBER(SEARCH("R42",G410))*42,0)+IFERROR(--ISNUMBER(SEARCH("R43",G410))*43,0)+IFERROR(--ISNUMBER(SEARCH("R44",G410))*44,0)+IFERROR(--ISNUMBER(SEARCH("R45",G410))*45,0)+IFERROR(--ISNUMBER(SEARCH("R46",G410))*46,0)+IFERROR(--ISNUMBER(SEARCH("R47",G410))*47,0)+IFERROR(--ISNUMBER(SEARCH("R48",G410))*48,0)+IFERROR(--ISNUMBER(SEARCH("R49",G410))*49,0)+IFERROR(--ISNUMBER(SEARCH("R50",G410))*50,0)+IFERROR(--ISNUMBER(SEARCH("R51",G410))*51,0)+IFERROR(--ISNUMBER(SEARCH("R52",G410))*52,0)+IFERROR(--ISNUMBER(SEARCH("R53",G410))*53,0)+IFERROR(--ISNUMBER(SEARCH("R54",G410))*54,0)+IFERROR(--ISNUMBER(SEARCH("R55",G410))*55,0)+IFERROR(--ISNUMBER(SEARCH("R56",G410))*56,0)+IFERROR(--ISNUMBER(SEARCH("R57",G410))*57,0)+IFERROR(--ISNUMBER(SEARCH("R58",G410))*58,0)+IFERROR(--ISNUMBER(SEARCH("R59",G410))*59,0)+IFERROR(--ISNUMBER(SEARCH("R60",G410))*60,0)+IFERROR(--ISNUMBER(SEARCH("R61",G410))*61,0)+IFERROR(--ISNUMBER(SEARCH("R62",G410))*62,0)+IFERROR(--ISNUMBER(SEARCH("R63",G410))*63,0)+IFERROR(--ISNUMBER(SEARCH("R64",G410))*64,0)+IFERROR(--ISNUMBER(SEARCH("R65",G410))*65,0)+IFERROR(--ISNUMBER(SEARCH("R66",G410))*66,0)+IFERROR(--ISNUMBER(SEARCH("R67",G410))*67,0)+IFERROR(--ISNUMBER(SEARCH("R68",G410))*68,0)+IFERROR(--ISNUMBER(SEARCH("R69",G410))*69,0)+IFERROR(--ISNUMBER(SEARCH("R70",G410))*70,0)+IFERROR(--ISNUMBER(SEARCH("R71",G410))*71,0)+IFERROR(--ISNUMBER(SEARCH("R72",G410))*72,0)+IFERROR(--ISNUMBER(SEARCH("R73",G410))*73,0)+IFERROR(--ISNUMBER(SEARCH("R74",G410))*74,0)+IFERROR(--ISNUMBER(SEARCH("R75",G410))*75,0)+IFERROR(--ISNUMBER(SEARCH("R76",G410))*76,0)+IFERROR(--ISNUMBER(SEARCH("R77",G410))*77,0)+IFERROR(--ISNUMBER(SEARCH("R78",G410))*78,0)+IFERROR(--ISNUMBER(SEARCH("R79",G410))*79,0)+IFERROR(--ISNUMBER(SEARCH("R80",G410))*80,0)+IFERROR(--ISNUMBER(SEARCH("R81",G410))*81,0)+IFERROR(--ISNUMBER(SEARCH("R82",G410))*82,0)+IFERROR(--ISNUMBER(SEARCH("R83",G410))*83,0)+IFERROR(--ISNUMBER(SEARCH("R84",G410))*84,0)+IFERROR(--ISNUMBER(SEARCH("R85",G410))*85,0)+IFERROR(--ISNUMBER(SEARCH("R86",G410))*86,0)+IFERROR(--ISNUMBER(SEARCH("R87",G410))*87,0)+IFERROR(--ISNUMBER(SEARCH("R88",G410))*88,0)+IFERROR(--ISNUMBER(SEARCH("R89",G410))*89,0)+IFERROR(--ISNUMBER(SEARCH("R90",G410))*90,0)+IFERROR(--ISNUMBER(SEARCH("R91",G410))*91,0)+IFERROR(--ISNUMBER(SEARCH("R92",G410))*92,0)+IFERROR(--ISNUMBER(SEARCH("R93",G410))*93,0)+IFERROR(--ISNUMBER(SEARCH("R94",G410))*94,0)+IFERROR(--ISNUMBER(SEARCH("R95",G410))*95,0)+IFERROR(--ISNUMBER(SEARCH("R96",G410))*96,0)+IFERROR(--ISNUMBER(SEARCH("R97",G410))*97,0)+IFERROR(--ISNUMBER(SEARCH("R98",G410))*98,0)+IFERROR(--ISNUMBER(SEARCH("R99",G410))*99,0)+IFERROR(--ISNUMBER(SEARCH("R100",G410))*100,0)+IFERROR(--ISNUMBER(SEARCH("R101",G410))*101,0)+IFERROR(--ISNUMBER(SEARCH("R102",G410))*102,0)+IFERROR(--ISNUMBER(SEARCH("R103",G410))*103,0)+IFERROR(--ISNUMBER(SEARCH("R104",G410))*104,0)+IFERROR(--ISNUMBER(SEARCH("R105",G410))*105,0)+IFERROR(--ISNUMBER(SEARCH("R106",G410))*106,0)+IFERROR(--ISNUMBER(SEARCH("R107",G410))*107,0)+IFERROR(--ISNUMBER(SEARCH("R108",G410))*108,0)+IFERROR(--ISNUMBER(SEARCH("R109",G410))*109,0)+IFERROR(--ISNUMBER(SEARCH("R110",G410))*110,0)+IFERROR(--ISNUMBER(SEARCH("R111",G410))*111,0)+IFERROR(--ISNUMBER(SEARCH("R112",G410))*112,0)+IFERROR(--ISNUMBER(SEARCH("R113",G410))*113,0)+IFERROR(--ISNUMBER(SEARCH("R114",G410))*114,0)+IFERROR(--ISNUMBER(SEARCH("R115",G410))*115,0)+IFERROR(--ISNUMBER(SEARCH("R116",G410))*116,0)+IFERROR(--ISNUMBER(SEARCH("R117",G410))*117,0)+IFERROR(--ISNUMBER(SEARCH("R118",G410))*118,0)+IFERROR(--ISNUMBER(SEARCH("R119",G410))*119,0)+IFERROR(--ISNUMBER(SEARCH("R120",G410))*120,0)+IFERROR(--ISNUMBER(SEARCH("R121",G410))*121,0)+IFERROR(--ISNUMBER(SEARCH("R122",G410))*122,0)+IFERROR(--ISNUMBER(SEARCH("R123",G410))*123,0)+IFERROR(--ISNUMBER(SEARCH("R124",G410))*124,0)+IFERROR(--ISNUMBER(SEARCH("R125",G410))*125,0)+IFERROR(--ISNUMBER(SEARCH("R126",G410))*126,0)+IFERROR(--ISNUMBER(SEARCH("R127",G410))*127,0)+IFERROR(--ISNUMBER(SEARCH("R128",G410))*128,0)+IFERROR(--ISNUMBER(SEARCH("R129",G410))*129,0)+IFERROR(--ISNUMBER(SEARCH("R130",G410))*130,0)+IFERROR(--ISNUMBER(SEARCH("R131",G410))*131,0)+IFERROR(--ISNUMBER(SEARCH("R132",G410))*132,0)+IFERROR(--ISNUMBER(SEARCH("R133",G410))*133,0)+IFERROR(--ISNUMBER(SEARCH("R134",G410))*134,0)+IFERROR(--ISNUMBER(SEARCH("R135",G410))*135,0)+IFERROR(--ISNUMBER(SEARCH("R136",G410))*136,0)+IFERROR(--ISNUMBER(SEARCH("R137",G410))*137,0)+IFERROR(--ISNUMBER(SEARCH("R138",G410))*138,0)+IFERROR(--ISNUMBER(SEARCH("R139",G410))*139,0)+IFERROR(--ISNUMBER(SEARCH("R140",G410))*140,0)+IFERROR(--ISNUMBER(SEARCH("R141",G410))*141,0))</f>
        <v/>
      </c>
      <c r="V410" s="59">
        <f>IF(A410="","",IF(K410&lt;&gt;"",K410,J410))</f>
        <v/>
      </c>
      <c r="W410" s="59">
        <f>IF(A410="","",IF(AND(V410=29,O410&lt;&gt;"",COUNTIFS($V$6:$V$505,29,$F$6:$F$505,F410,$C$6:$C$505,C410,$O$6:$O$505,"&lt;&gt;")&gt;1),IF(COUNTIFS($V$6:V410,29,$F$6:F410,F410,$C$6:C410,C410,$O$6:O410,"&lt;&gt;")=1,"Esta es la fila que se debe CONSERVAR (aparición 1 de "&amp;COUNTIFS($V$6:$V$505,29,$F$6:$F$505,F410,$C$6:$C$505,C410,$O$6:$O$505,"&lt;&gt;")&amp;" con el mismo tercero y valor, casilla 29). Si hay más filas iguales, bórreles el valor a ELLAS, no a esta.","DUPLICADO — ya existe otra fila con el mismo tercero y valor para casilla 29 (aparición "&amp;COUNTIFS($V$6:V410,29,$F$6:F410,F410,$C$6:C410,C410,$O$6:O410,"&lt;&gt;")&amp;" de "&amp;COUNTIFS($V$6:$V$505,29,$F$6:$F$505,F410,$C$6:$C$505,C410,$O$6:$O$505,"&lt;&gt;")&amp;"). Para resolverlo: seleccione la celda O"&amp;ROW()&amp;" (columna Valor a declarar de ESTA fila) y presione Supr."),""))</f>
        <v/>
      </c>
      <c r="X410" s="463">
        <f>IF(A410="","",F410)</f>
        <v/>
      </c>
      <c r="Y410" s="463">
        <f>IF(A410="","",SUMIF(Entrada_Manual!$I$88:$I$187,A410,Entrada_Manual!$F$88:$F$187))</f>
        <v/>
      </c>
      <c r="Z410" s="463">
        <f>IF(A410="","",X410-Y410)</f>
        <v/>
      </c>
      <c r="AA410">
        <f>IF(A410="","",SUMPRODUCT((Entrada_Manual!$I$88:$I$187=A410)*1))</f>
        <v/>
      </c>
      <c r="AB410">
        <f>IF(A410="","",IF(S410&lt;=1,"",IF(AA410=0,"PENDIENTE — SIN ASIGNAR",IF(Z410=0,"RESUELTO","PARCIAL — DIFERENCIA "&amp;TEXT(Z410,"#,##0")))))</f>
        <v/>
      </c>
    </row>
    <row r="411" ht="14.25" customHeight="1" s="235">
      <c r="A411" s="47">
        <f>IF(Exogena_RAW!E420&lt;&gt;"",ROW()-5,"")</f>
        <v/>
      </c>
      <c r="B411" s="48">
        <f>IF(A411="","",420)</f>
        <v/>
      </c>
      <c r="C411" s="48">
        <f>IF(A411="","",IFERROR(Exogena_RAW!A420,""))</f>
        <v/>
      </c>
      <c r="D411" s="48">
        <f>IF(A411="","",IFERROR(Exogena_RAW!B420,""))</f>
        <v/>
      </c>
      <c r="E411" s="48">
        <f>IF(A411="","",Exogena_RAW!E420)</f>
        <v/>
      </c>
      <c r="F411" s="461">
        <f>IF(A411="","",Exogena_RAW!F420)</f>
        <v/>
      </c>
      <c r="G411" s="48">
        <f>IF(A411="","",IFERROR(Exogena_RAW!G420,""))</f>
        <v/>
      </c>
      <c r="H411" s="48">
        <f>IF(A411="","",IFERROR(Exogena_RAW!H420,""))</f>
        <v/>
      </c>
      <c r="I411" s="48">
        <f>IF(A411="","",IFERROR(IF(S411&gt;1,"VARIAS CASILLAS",IF(S411=1,IF(T411=1,"PROPUESTA DE CASILLA","REVISIÓN: CASILLA NO DIRECTA"),IF(OR(ISNUMBER(SEARCH("TOPE",UPPER(E411))),ISNUMBER(SEARCH("TOPE",UPPER(G411)))),"SOLO CONTROL",IF(ISNUMBER(SEARCH("RETEN",UPPER(E411))),"RETENCIÓN","REVISAR")))),"REVISAR"))</f>
        <v/>
      </c>
      <c r="J411" s="48">
        <f>IF(A411="","",IF(ISNUMBER(SEARCH("ingreso laboral promedio de los últimos seis meses",E411)),"",IFERROR(IF(AND(S411=1,T411=1),U411,""),"")))</f>
        <v/>
      </c>
      <c r="K411" s="216" t="n"/>
      <c r="L411" s="48">
        <f>IF(A411="","",IFERROR(IF(K411&lt;&gt;"","Casilla elegida por usuario",IF(S411&gt;1,"Varias casillas — elegir en K",IF(J411&lt;&gt;"","Sugerencia directa",IF(S411=1,"No trasladar directo — revisar",IF(OR(ISNUMBER(SEARCH("TOPE",UPPER(E411))),ISNUMBER(SEARCH("TOPE",UPPER(G411)))),"Solo control","Revisar manualmente"))))),"Revisar manualmente"))</f>
        <v/>
      </c>
      <c r="M411" s="461">
        <f>IF(A411="","",IF(IF(K411&lt;&gt;"",K411,J411)="",0,IF(COUNTIFS(Reglas!$I$5:$I$118,IF(K411&lt;&gt;"",K411,J411),Reglas!$J$5:$J$118,"Sí")=1,F411,0)))</f>
        <v/>
      </c>
      <c r="N411" s="56" t="n"/>
      <c r="O411" s="462">
        <f>IF(A411="","",IF(M411=0,"",M411))</f>
        <v/>
      </c>
      <c r="P411" s="461">
        <f>IF(A411="","",IF(O411="",0,IF(ISNUMBER(O411),O411,0)))</f>
        <v/>
      </c>
      <c r="Q411" s="48">
        <f>IF(A411="","",IF(Exogena_RAW!$C$4="","BLOQUEADO: FALTA AÑO",IF(Exogena_RAW!$K$10&lt;&gt;Reglas!$B$5,"BLOQUEADO: AÑO",IF(IF(K411&lt;&gt;"",K411,J411)="",IF(S411&gt;1,"REQUIERE ASIGNACIÓN MANUAL (VARIAS CASILLAS)","INFORMATIVO (sin casilla — no se declara)"),IF(COUNTIFS(Reglas!$I$5:$I$118,IF(K411&lt;&gt;"",K411,J411),Reglas!$J$5:$J$118,"Sí")=0,"BLOQUEADO: CASILLA NO DIRECTA",IF(O411="","EXCLUIDO (valor borrado por el usuario)",IF(_xlfn.ISFORMULA(O411),IF(W411&lt;&gt;"","BORRADOR — VALOR SUGERIDO DIAN ⚠ VER ALERTA","BORRADOR — VALOR SUGERIDO DIAN"),IF(W411&lt;&gt;"","ACEPTADO ⚠ VER ALERTA","ACEPTADO"))))))))</f>
        <v/>
      </c>
      <c r="R411" s="218" t="n"/>
      <c r="S411" s="58">
        <f>IF(A411="","",IFERROR(--ISNUMBER(SEARCH("R28",G411)),0)+IFERROR(--ISNUMBER(SEARCH("R29",G411)),0)+IFERROR(--ISNUMBER(SEARCH("R30",G411)),0)+IFERROR(--ISNUMBER(SEARCH("R31",G411)),0)+IFERROR(--ISNUMBER(SEARCH("R32",G411)),0)+IFERROR(--ISNUMBER(SEARCH("R33",G411)),0)+IFERROR(--ISNUMBER(SEARCH("R34",G411)),0)+IFERROR(--ISNUMBER(SEARCH("R35",G411)),0)+IFERROR(--ISNUMBER(SEARCH("R36",G411)),0)+IFERROR(--ISNUMBER(SEARCH("R37",G411)),0)+IFERROR(--ISNUMBER(SEARCH("R38",G411)),0)+IFERROR(--ISNUMBER(SEARCH("R39",G411)),0)+IFERROR(--ISNUMBER(SEARCH("R40",G411)),0)+IFERROR(--ISNUMBER(SEARCH("R41",G411)),0)+IFERROR(--ISNUMBER(SEARCH("R42",G411)),0)+IFERROR(--ISNUMBER(SEARCH("R43",G411)),0)+IFERROR(--ISNUMBER(SEARCH("R44",G411)),0)+IFERROR(--ISNUMBER(SEARCH("R45",G411)),0)+IFERROR(--ISNUMBER(SEARCH("R46",G411)),0)+IFERROR(--ISNUMBER(SEARCH("R47",G411)),0)+IFERROR(--ISNUMBER(SEARCH("R48",G411)),0)+IFERROR(--ISNUMBER(SEARCH("R49",G411)),0)+IFERROR(--ISNUMBER(SEARCH("R50",G411)),0)+IFERROR(--ISNUMBER(SEARCH("R51",G411)),0)+IFERROR(--ISNUMBER(SEARCH("R52",G411)),0)+IFERROR(--ISNUMBER(SEARCH("R53",G411)),0)+IFERROR(--ISNUMBER(SEARCH("R54",G411)),0)+IFERROR(--ISNUMBER(SEARCH("R55",G411)),0)+IFERROR(--ISNUMBER(SEARCH("R56",G411)),0)+IFERROR(--ISNUMBER(SEARCH("R57",G411)),0)+IFERROR(--ISNUMBER(SEARCH("R58",G411)),0)+IFERROR(--ISNUMBER(SEARCH("R59",G411)),0)+IFERROR(--ISNUMBER(SEARCH("R60",G411)),0)+IFERROR(--ISNUMBER(SEARCH("R61",G411)),0)+IFERROR(--ISNUMBER(SEARCH("R62",G411)),0)+IFERROR(--ISNUMBER(SEARCH("R63",G411)),0)+IFERROR(--ISNUMBER(SEARCH("R64",G411)),0)+IFERROR(--ISNUMBER(SEARCH("R65",G411)),0)+IFERROR(--ISNUMBER(SEARCH("R66",G411)),0)+IFERROR(--ISNUMBER(SEARCH("R67",G411)),0)+IFERROR(--ISNUMBER(SEARCH("R68",G411)),0)+IFERROR(--ISNUMBER(SEARCH("R69",G411)),0)+IFERROR(--ISNUMBER(SEARCH("R70",G411)),0)+IFERROR(--ISNUMBER(SEARCH("R71",G411)),0)+IFERROR(--ISNUMBER(SEARCH("R72",G411)),0)+IFERROR(--ISNUMBER(SEARCH("R73",G411)),0)+IFERROR(--ISNUMBER(SEARCH("R74",G411)),0)+IFERROR(--ISNUMBER(SEARCH("R75",G411)),0)+IFERROR(--ISNUMBER(SEARCH("R76",G411)),0)+IFERROR(--ISNUMBER(SEARCH("R77",G411)),0)+IFERROR(--ISNUMBER(SEARCH("R78",G411)),0)+IFERROR(--ISNUMBER(SEARCH("R79",G411)),0)+IFERROR(--ISNUMBER(SEARCH("R80",G411)),0)+IFERROR(--ISNUMBER(SEARCH("R81",G411)),0)+IFERROR(--ISNUMBER(SEARCH("R82",G411)),0)+IFERROR(--ISNUMBER(SEARCH("R83",G411)),0)+IFERROR(--ISNUMBER(SEARCH("R84",G411)),0)+IFERROR(--ISNUMBER(SEARCH("R85",G411)),0)+IFERROR(--ISNUMBER(SEARCH("R86",G411)),0)+IFERROR(--ISNUMBER(SEARCH("R87",G411)),0)+IFERROR(--ISNUMBER(SEARCH("R88",G411)),0)+IFERROR(--ISNUMBER(SEARCH("R89",G411)),0)+IFERROR(--ISNUMBER(SEARCH("R90",G411)),0)+IFERROR(--ISNUMBER(SEARCH("R91",G411)),0)+IFERROR(--ISNUMBER(SEARCH("R92",G411)),0)+IFERROR(--ISNUMBER(SEARCH("R93",G411)),0)+IFERROR(--ISNUMBER(SEARCH("R94",G411)),0)+IFERROR(--ISNUMBER(SEARCH("R95",G411)),0)+IFERROR(--ISNUMBER(SEARCH("R96",G411)),0)+IFERROR(--ISNUMBER(SEARCH("R97",G411)),0)+IFERROR(--ISNUMBER(SEARCH("R98",G411)),0)+IFERROR(--ISNUMBER(SEARCH("R99",G411)),0)+IFERROR(--ISNUMBER(SEARCH("R100",G411)),0)+IFERROR(--ISNUMBER(SEARCH("R101",G411)),0)+IFERROR(--ISNUMBER(SEARCH("R102",G411)),0)+IFERROR(--ISNUMBER(SEARCH("R103",G411)),0)+IFERROR(--ISNUMBER(SEARCH("R104",G411)),0)+IFERROR(--ISNUMBER(SEARCH("R105",G411)),0)+IFERROR(--ISNUMBER(SEARCH("R106",G411)),0)+IFERROR(--ISNUMBER(SEARCH("R107",G411)),0)+IFERROR(--ISNUMBER(SEARCH("R108",G411)),0)+IFERROR(--ISNUMBER(SEARCH("R109",G411)),0)+IFERROR(--ISNUMBER(SEARCH("R110",G411)),0)+IFERROR(--ISNUMBER(SEARCH("R111",G411)),0)+IFERROR(--ISNUMBER(SEARCH("R112",G411)),0)+IFERROR(--ISNUMBER(SEARCH("R113",G411)),0)+IFERROR(--ISNUMBER(SEARCH("R114",G411)),0)+IFERROR(--ISNUMBER(SEARCH("R115",G411)),0)+IFERROR(--ISNUMBER(SEARCH("R116",G411)),0)+IFERROR(--ISNUMBER(SEARCH("R117",G411)),0)+IFERROR(--ISNUMBER(SEARCH("R118",G411)),0)+IFERROR(--ISNUMBER(SEARCH("R119",G411)),0)+IFERROR(--ISNUMBER(SEARCH("R120",G411)),0)+IFERROR(--ISNUMBER(SEARCH("R121",G411)),0)+IFERROR(--ISNUMBER(SEARCH("R122",G411)),0)+IFERROR(--ISNUMBER(SEARCH("R123",G411)),0)+IFERROR(--ISNUMBER(SEARCH("R124",G411)),0)+IFERROR(--ISNUMBER(SEARCH("R125",G411)),0)+IFERROR(--ISNUMBER(SEARCH("R126",G411)),0)+IFERROR(--ISNUMBER(SEARCH("R127",G411)),0)+IFERROR(--ISNUMBER(SEARCH("R128",G411)),0)+IFERROR(--ISNUMBER(SEARCH("R129",G411)),0)+IFERROR(--ISNUMBER(SEARCH("R130",G411)),0)+IFERROR(--ISNUMBER(SEARCH("R131",G411)),0)+IFERROR(--ISNUMBER(SEARCH("R132",G411)),0)+IFERROR(--ISNUMBER(SEARCH("R133",G411)),0)+IFERROR(--ISNUMBER(SEARCH("R134",G411)),0)+IFERROR(--ISNUMBER(SEARCH("R135",G411)),0)+IFERROR(--ISNUMBER(SEARCH("R136",G411)),0)+IFERROR(--ISNUMBER(SEARCH("R137",G411)),0)+IFERROR(--ISNUMBER(SEARCH("R138",G411)),0)+IFERROR(--ISNUMBER(SEARCH("R139",G411)),0)+IFERROR(--ISNUMBER(SEARCH("R140",G411)),0)+IFERROR(--ISNUMBER(SEARCH("R141",G411)),0))</f>
        <v/>
      </c>
      <c r="T411" s="58">
        <f>IF(A411="","",IFERROR(--ISNUMBER(SEARCH("R28",G411)),0)+IFERROR(--ISNUMBER(SEARCH("R29",G411)),0)+IFERROR(--ISNUMBER(SEARCH("R30",G411)),0)+IFERROR(--ISNUMBER(SEARCH("R32",G411)),0)+IFERROR(--ISNUMBER(SEARCH("R33",G411)),0)+IFERROR(--ISNUMBER(SEARCH("R35",G411)),0)+IFERROR(--ISNUMBER(SEARCH("R36",G411)),0)+IFERROR(--ISNUMBER(SEARCH("R38",G411)),0)+IFERROR(--ISNUMBER(SEARCH("R39",G411)),0)+IFERROR(--ISNUMBER(SEARCH("R43",G411)),0)+IFERROR(--ISNUMBER(SEARCH("R44",G411)),0)+IFERROR(--ISNUMBER(SEARCH("R45",G411)),0)+IFERROR(--ISNUMBER(SEARCH("R47",G411)),0)+IFERROR(--ISNUMBER(SEARCH("R48",G411)),0)+IFERROR(--ISNUMBER(SEARCH("R50",G411)),0)+IFERROR(--ISNUMBER(SEARCH("R51",G411)),0)+IFERROR(--ISNUMBER(SEARCH("R56",G411)),0)+IFERROR(--ISNUMBER(SEARCH("R58",G411)),0)+IFERROR(--ISNUMBER(SEARCH("R59",G411)),0)+IFERROR(--ISNUMBER(SEARCH("R60",G411)),0)+IFERROR(--ISNUMBER(SEARCH("R62",G411)),0)+IFERROR(--ISNUMBER(SEARCH("R63",G411)),0)+IFERROR(--ISNUMBER(SEARCH("R64",G411)),0)+IFERROR(--ISNUMBER(SEARCH("R66",G411)),0)+IFERROR(--ISNUMBER(SEARCH("R67",G411)),0)+IFERROR(--ISNUMBER(SEARCH("R72",G411)),0)+IFERROR(--ISNUMBER(SEARCH("R74",G411)),0)+IFERROR(--ISNUMBER(SEARCH("R75",G411)),0)+IFERROR(--ISNUMBER(SEARCH("R76",G411)),0)+IFERROR(--ISNUMBER(SEARCH("R77",G411)),0)+IFERROR(--ISNUMBER(SEARCH("R79",G411)),0)+IFERROR(--ISNUMBER(SEARCH("R80",G411)),0)+IFERROR(--ISNUMBER(SEARCH("R81",G411)),0)+IFERROR(--ISNUMBER(SEARCH("R83",G411)),0)+IFERROR(--ISNUMBER(SEARCH("R84",G411)),0)+IFERROR(--ISNUMBER(SEARCH("R89",G411)),0)+IFERROR(--ISNUMBER(SEARCH("R94",G411)),0)+IFERROR(--ISNUMBER(SEARCH("R95",G411)),0)+IFERROR(--ISNUMBER(SEARCH("R96",G411)),0)+IFERROR(--ISNUMBER(SEARCH("R98",G411)),0)+IFERROR(--ISNUMBER(SEARCH("R99",G411)),0)+IFERROR(--ISNUMBER(SEARCH("R100",G411)),0)+IFERROR(--ISNUMBER(SEARCH("R104",G411)),0)+IFERROR(--ISNUMBER(SEARCH("R105",G411)),0)+IFERROR(--ISNUMBER(SEARCH("R107",G411)),0)+IFERROR(--ISNUMBER(SEARCH("R108",G411)),0)+IFERROR(--ISNUMBER(SEARCH("R109",G411)),0)+IFERROR(--ISNUMBER(SEARCH("R110",G411)),0)+IFERROR(--ISNUMBER(SEARCH("R112",G411)),0)+IFERROR(--ISNUMBER(SEARCH("R113",G411)),0)+IFERROR(--ISNUMBER(SEARCH("R114",G411)),0)+IFERROR(--ISNUMBER(SEARCH("R118",G411)),0)+IFERROR(--ISNUMBER(SEARCH("R119",G411)),0)+IFERROR(--ISNUMBER(SEARCH("R120",G411)),0)+IFERROR(--ISNUMBER(SEARCH("R122",G411)),0)+IFERROR(--ISNUMBER(SEARCH("R123",G411)),0)+IFERROR(--ISNUMBER(SEARCH("R124",G411)),0)+IFERROR(--ISNUMBER(SEARCH("R128",G411)),0)+IFERROR(--ISNUMBER(SEARCH("R130",G411)),0)+IFERROR(--ISNUMBER(SEARCH("R131",G411)),0)+IFERROR(--ISNUMBER(SEARCH("R132",G411)),0)+IFERROR(--ISNUMBER(SEARCH("R135",G411)),0)+IFERROR(--ISNUMBER(SEARCH("R138",G411)),0)+IFERROR(--ISNUMBER(SEARCH("R141",G411)),0))</f>
        <v/>
      </c>
      <c r="U411" s="58">
        <f>IF(A411="","",IFERROR(--ISNUMBER(SEARCH("R28",G411))*28,0)+IFERROR(--ISNUMBER(SEARCH("R29",G411))*29,0)+IFERROR(--ISNUMBER(SEARCH("R30",G411))*30,0)+IFERROR(--ISNUMBER(SEARCH("R31",G411))*31,0)+IFERROR(--ISNUMBER(SEARCH("R32",G411))*32,0)+IFERROR(--ISNUMBER(SEARCH("R33",G411))*33,0)+IFERROR(--ISNUMBER(SEARCH("R34",G411))*34,0)+IFERROR(--ISNUMBER(SEARCH("R35",G411))*35,0)+IFERROR(--ISNUMBER(SEARCH("R36",G411))*36,0)+IFERROR(--ISNUMBER(SEARCH("R37",G411))*37,0)+IFERROR(--ISNUMBER(SEARCH("R38",G411))*38,0)+IFERROR(--ISNUMBER(SEARCH("R39",G411))*39,0)+IFERROR(--ISNUMBER(SEARCH("R40",G411))*40,0)+IFERROR(--ISNUMBER(SEARCH("R41",G411))*41,0)+IFERROR(--ISNUMBER(SEARCH("R42",G411))*42,0)+IFERROR(--ISNUMBER(SEARCH("R43",G411))*43,0)+IFERROR(--ISNUMBER(SEARCH("R44",G411))*44,0)+IFERROR(--ISNUMBER(SEARCH("R45",G411))*45,0)+IFERROR(--ISNUMBER(SEARCH("R46",G411))*46,0)+IFERROR(--ISNUMBER(SEARCH("R47",G411))*47,0)+IFERROR(--ISNUMBER(SEARCH("R48",G411))*48,0)+IFERROR(--ISNUMBER(SEARCH("R49",G411))*49,0)+IFERROR(--ISNUMBER(SEARCH("R50",G411))*50,0)+IFERROR(--ISNUMBER(SEARCH("R51",G411))*51,0)+IFERROR(--ISNUMBER(SEARCH("R52",G411))*52,0)+IFERROR(--ISNUMBER(SEARCH("R53",G411))*53,0)+IFERROR(--ISNUMBER(SEARCH("R54",G411))*54,0)+IFERROR(--ISNUMBER(SEARCH("R55",G411))*55,0)+IFERROR(--ISNUMBER(SEARCH("R56",G411))*56,0)+IFERROR(--ISNUMBER(SEARCH("R57",G411))*57,0)+IFERROR(--ISNUMBER(SEARCH("R58",G411))*58,0)+IFERROR(--ISNUMBER(SEARCH("R59",G411))*59,0)+IFERROR(--ISNUMBER(SEARCH("R60",G411))*60,0)+IFERROR(--ISNUMBER(SEARCH("R61",G411))*61,0)+IFERROR(--ISNUMBER(SEARCH("R62",G411))*62,0)+IFERROR(--ISNUMBER(SEARCH("R63",G411))*63,0)+IFERROR(--ISNUMBER(SEARCH("R64",G411))*64,0)+IFERROR(--ISNUMBER(SEARCH("R65",G411))*65,0)+IFERROR(--ISNUMBER(SEARCH("R66",G411))*66,0)+IFERROR(--ISNUMBER(SEARCH("R67",G411))*67,0)+IFERROR(--ISNUMBER(SEARCH("R68",G411))*68,0)+IFERROR(--ISNUMBER(SEARCH("R69",G411))*69,0)+IFERROR(--ISNUMBER(SEARCH("R70",G411))*70,0)+IFERROR(--ISNUMBER(SEARCH("R71",G411))*71,0)+IFERROR(--ISNUMBER(SEARCH("R72",G411))*72,0)+IFERROR(--ISNUMBER(SEARCH("R73",G411))*73,0)+IFERROR(--ISNUMBER(SEARCH("R74",G411))*74,0)+IFERROR(--ISNUMBER(SEARCH("R75",G411))*75,0)+IFERROR(--ISNUMBER(SEARCH("R76",G411))*76,0)+IFERROR(--ISNUMBER(SEARCH("R77",G411))*77,0)+IFERROR(--ISNUMBER(SEARCH("R78",G411))*78,0)+IFERROR(--ISNUMBER(SEARCH("R79",G411))*79,0)+IFERROR(--ISNUMBER(SEARCH("R80",G411))*80,0)+IFERROR(--ISNUMBER(SEARCH("R81",G411))*81,0)+IFERROR(--ISNUMBER(SEARCH("R82",G411))*82,0)+IFERROR(--ISNUMBER(SEARCH("R83",G411))*83,0)+IFERROR(--ISNUMBER(SEARCH("R84",G411))*84,0)+IFERROR(--ISNUMBER(SEARCH("R85",G411))*85,0)+IFERROR(--ISNUMBER(SEARCH("R86",G411))*86,0)+IFERROR(--ISNUMBER(SEARCH("R87",G411))*87,0)+IFERROR(--ISNUMBER(SEARCH("R88",G411))*88,0)+IFERROR(--ISNUMBER(SEARCH("R89",G411))*89,0)+IFERROR(--ISNUMBER(SEARCH("R90",G411))*90,0)+IFERROR(--ISNUMBER(SEARCH("R91",G411))*91,0)+IFERROR(--ISNUMBER(SEARCH("R92",G411))*92,0)+IFERROR(--ISNUMBER(SEARCH("R93",G411))*93,0)+IFERROR(--ISNUMBER(SEARCH("R94",G411))*94,0)+IFERROR(--ISNUMBER(SEARCH("R95",G411))*95,0)+IFERROR(--ISNUMBER(SEARCH("R96",G411))*96,0)+IFERROR(--ISNUMBER(SEARCH("R97",G411))*97,0)+IFERROR(--ISNUMBER(SEARCH("R98",G411))*98,0)+IFERROR(--ISNUMBER(SEARCH("R99",G411))*99,0)+IFERROR(--ISNUMBER(SEARCH("R100",G411))*100,0)+IFERROR(--ISNUMBER(SEARCH("R101",G411))*101,0)+IFERROR(--ISNUMBER(SEARCH("R102",G411))*102,0)+IFERROR(--ISNUMBER(SEARCH("R103",G411))*103,0)+IFERROR(--ISNUMBER(SEARCH("R104",G411))*104,0)+IFERROR(--ISNUMBER(SEARCH("R105",G411))*105,0)+IFERROR(--ISNUMBER(SEARCH("R106",G411))*106,0)+IFERROR(--ISNUMBER(SEARCH("R107",G411))*107,0)+IFERROR(--ISNUMBER(SEARCH("R108",G411))*108,0)+IFERROR(--ISNUMBER(SEARCH("R109",G411))*109,0)+IFERROR(--ISNUMBER(SEARCH("R110",G411))*110,0)+IFERROR(--ISNUMBER(SEARCH("R111",G411))*111,0)+IFERROR(--ISNUMBER(SEARCH("R112",G411))*112,0)+IFERROR(--ISNUMBER(SEARCH("R113",G411))*113,0)+IFERROR(--ISNUMBER(SEARCH("R114",G411))*114,0)+IFERROR(--ISNUMBER(SEARCH("R115",G411))*115,0)+IFERROR(--ISNUMBER(SEARCH("R116",G411))*116,0)+IFERROR(--ISNUMBER(SEARCH("R117",G411))*117,0)+IFERROR(--ISNUMBER(SEARCH("R118",G411))*118,0)+IFERROR(--ISNUMBER(SEARCH("R119",G411))*119,0)+IFERROR(--ISNUMBER(SEARCH("R120",G411))*120,0)+IFERROR(--ISNUMBER(SEARCH("R121",G411))*121,0)+IFERROR(--ISNUMBER(SEARCH("R122",G411))*122,0)+IFERROR(--ISNUMBER(SEARCH("R123",G411))*123,0)+IFERROR(--ISNUMBER(SEARCH("R124",G411))*124,0)+IFERROR(--ISNUMBER(SEARCH("R125",G411))*125,0)+IFERROR(--ISNUMBER(SEARCH("R126",G411))*126,0)+IFERROR(--ISNUMBER(SEARCH("R127",G411))*127,0)+IFERROR(--ISNUMBER(SEARCH("R128",G411))*128,0)+IFERROR(--ISNUMBER(SEARCH("R129",G411))*129,0)+IFERROR(--ISNUMBER(SEARCH("R130",G411))*130,0)+IFERROR(--ISNUMBER(SEARCH("R131",G411))*131,0)+IFERROR(--ISNUMBER(SEARCH("R132",G411))*132,0)+IFERROR(--ISNUMBER(SEARCH("R133",G411))*133,0)+IFERROR(--ISNUMBER(SEARCH("R134",G411))*134,0)+IFERROR(--ISNUMBER(SEARCH("R135",G411))*135,0)+IFERROR(--ISNUMBER(SEARCH("R136",G411))*136,0)+IFERROR(--ISNUMBER(SEARCH("R137",G411))*137,0)+IFERROR(--ISNUMBER(SEARCH("R138",G411))*138,0)+IFERROR(--ISNUMBER(SEARCH("R139",G411))*139,0)+IFERROR(--ISNUMBER(SEARCH("R140",G411))*140,0)+IFERROR(--ISNUMBER(SEARCH("R141",G411))*141,0))</f>
        <v/>
      </c>
      <c r="V411" s="59">
        <f>IF(A411="","",IF(K411&lt;&gt;"",K411,J411))</f>
        <v/>
      </c>
      <c r="W411" s="59">
        <f>IF(A411="","",IF(AND(V411=29,O411&lt;&gt;"",COUNTIFS($V$6:$V$505,29,$F$6:$F$505,F411,$C$6:$C$505,C411,$O$6:$O$505,"&lt;&gt;")&gt;1),IF(COUNTIFS($V$6:V411,29,$F$6:F411,F411,$C$6:C411,C411,$O$6:O411,"&lt;&gt;")=1,"Esta es la fila que se debe CONSERVAR (aparición 1 de "&amp;COUNTIFS($V$6:$V$505,29,$F$6:$F$505,F411,$C$6:$C$505,C411,$O$6:$O$505,"&lt;&gt;")&amp;" con el mismo tercero y valor, casilla 29). Si hay más filas iguales, bórreles el valor a ELLAS, no a esta.","DUPLICADO — ya existe otra fila con el mismo tercero y valor para casilla 29 (aparición "&amp;COUNTIFS($V$6:V411,29,$F$6:F411,F411,$C$6:C411,C411,$O$6:O411,"&lt;&gt;")&amp;" de "&amp;COUNTIFS($V$6:$V$505,29,$F$6:$F$505,F411,$C$6:$C$505,C411,$O$6:$O$505,"&lt;&gt;")&amp;"). Para resolverlo: seleccione la celda O"&amp;ROW()&amp;" (columna Valor a declarar de ESTA fila) y presione Supr."),""))</f>
        <v/>
      </c>
      <c r="X411" s="463">
        <f>IF(A411="","",F411)</f>
        <v/>
      </c>
      <c r="Y411" s="463">
        <f>IF(A411="","",SUMIF(Entrada_Manual!$I$88:$I$187,A411,Entrada_Manual!$F$88:$F$187))</f>
        <v/>
      </c>
      <c r="Z411" s="463">
        <f>IF(A411="","",X411-Y411)</f>
        <v/>
      </c>
      <c r="AA411">
        <f>IF(A411="","",SUMPRODUCT((Entrada_Manual!$I$88:$I$187=A411)*1))</f>
        <v/>
      </c>
      <c r="AB411">
        <f>IF(A411="","",IF(S411&lt;=1,"",IF(AA411=0,"PENDIENTE — SIN ASIGNAR",IF(Z411=0,"RESUELTO","PARCIAL — DIFERENCIA "&amp;TEXT(Z411,"#,##0")))))</f>
        <v/>
      </c>
    </row>
    <row r="412" ht="14.25" customHeight="1" s="235">
      <c r="A412" s="47">
        <f>IF(Exogena_RAW!E421&lt;&gt;"",ROW()-5,"")</f>
        <v/>
      </c>
      <c r="B412" s="48">
        <f>IF(A412="","",421)</f>
        <v/>
      </c>
      <c r="C412" s="48">
        <f>IF(A412="","",IFERROR(Exogena_RAW!A421,""))</f>
        <v/>
      </c>
      <c r="D412" s="48">
        <f>IF(A412="","",IFERROR(Exogena_RAW!B421,""))</f>
        <v/>
      </c>
      <c r="E412" s="48">
        <f>IF(A412="","",Exogena_RAW!E421)</f>
        <v/>
      </c>
      <c r="F412" s="461">
        <f>IF(A412="","",Exogena_RAW!F421)</f>
        <v/>
      </c>
      <c r="G412" s="48">
        <f>IF(A412="","",IFERROR(Exogena_RAW!G421,""))</f>
        <v/>
      </c>
      <c r="H412" s="48">
        <f>IF(A412="","",IFERROR(Exogena_RAW!H421,""))</f>
        <v/>
      </c>
      <c r="I412" s="48">
        <f>IF(A412="","",IFERROR(IF(S412&gt;1,"VARIAS CASILLAS",IF(S412=1,IF(T412=1,"PROPUESTA DE CASILLA","REVISIÓN: CASILLA NO DIRECTA"),IF(OR(ISNUMBER(SEARCH("TOPE",UPPER(E412))),ISNUMBER(SEARCH("TOPE",UPPER(G412)))),"SOLO CONTROL",IF(ISNUMBER(SEARCH("RETEN",UPPER(E412))),"RETENCIÓN","REVISAR")))),"REVISAR"))</f>
        <v/>
      </c>
      <c r="J412" s="48">
        <f>IF(A412="","",IF(ISNUMBER(SEARCH("ingreso laboral promedio de los últimos seis meses",E412)),"",IFERROR(IF(AND(S412=1,T412=1),U412,""),"")))</f>
        <v/>
      </c>
      <c r="K412" s="216" t="n"/>
      <c r="L412" s="48">
        <f>IF(A412="","",IFERROR(IF(K412&lt;&gt;"","Casilla elegida por usuario",IF(S412&gt;1,"Varias casillas — elegir en K",IF(J412&lt;&gt;"","Sugerencia directa",IF(S412=1,"No trasladar directo — revisar",IF(OR(ISNUMBER(SEARCH("TOPE",UPPER(E412))),ISNUMBER(SEARCH("TOPE",UPPER(G412)))),"Solo control","Revisar manualmente"))))),"Revisar manualmente"))</f>
        <v/>
      </c>
      <c r="M412" s="461">
        <f>IF(A412="","",IF(IF(K412&lt;&gt;"",K412,J412)="",0,IF(COUNTIFS(Reglas!$I$5:$I$118,IF(K412&lt;&gt;"",K412,J412),Reglas!$J$5:$J$118,"Sí")=1,F412,0)))</f>
        <v/>
      </c>
      <c r="N412" s="56" t="n"/>
      <c r="O412" s="462">
        <f>IF(A412="","",IF(M412=0,"",M412))</f>
        <v/>
      </c>
      <c r="P412" s="461">
        <f>IF(A412="","",IF(O412="",0,IF(ISNUMBER(O412),O412,0)))</f>
        <v/>
      </c>
      <c r="Q412" s="48">
        <f>IF(A412="","",IF(Exogena_RAW!$C$4="","BLOQUEADO: FALTA AÑO",IF(Exogena_RAW!$K$10&lt;&gt;Reglas!$B$5,"BLOQUEADO: AÑO",IF(IF(K412&lt;&gt;"",K412,J412)="",IF(S412&gt;1,"REQUIERE ASIGNACIÓN MANUAL (VARIAS CASILLAS)","INFORMATIVO (sin casilla — no se declara)"),IF(COUNTIFS(Reglas!$I$5:$I$118,IF(K412&lt;&gt;"",K412,J412),Reglas!$J$5:$J$118,"Sí")=0,"BLOQUEADO: CASILLA NO DIRECTA",IF(O412="","EXCLUIDO (valor borrado por el usuario)",IF(_xlfn.ISFORMULA(O412),IF(W412&lt;&gt;"","BORRADOR — VALOR SUGERIDO DIAN ⚠ VER ALERTA","BORRADOR — VALOR SUGERIDO DIAN"),IF(W412&lt;&gt;"","ACEPTADO ⚠ VER ALERTA","ACEPTADO"))))))))</f>
        <v/>
      </c>
      <c r="R412" s="218" t="n"/>
      <c r="S412" s="58">
        <f>IF(A412="","",IFERROR(--ISNUMBER(SEARCH("R28",G412)),0)+IFERROR(--ISNUMBER(SEARCH("R29",G412)),0)+IFERROR(--ISNUMBER(SEARCH("R30",G412)),0)+IFERROR(--ISNUMBER(SEARCH("R31",G412)),0)+IFERROR(--ISNUMBER(SEARCH("R32",G412)),0)+IFERROR(--ISNUMBER(SEARCH("R33",G412)),0)+IFERROR(--ISNUMBER(SEARCH("R34",G412)),0)+IFERROR(--ISNUMBER(SEARCH("R35",G412)),0)+IFERROR(--ISNUMBER(SEARCH("R36",G412)),0)+IFERROR(--ISNUMBER(SEARCH("R37",G412)),0)+IFERROR(--ISNUMBER(SEARCH("R38",G412)),0)+IFERROR(--ISNUMBER(SEARCH("R39",G412)),0)+IFERROR(--ISNUMBER(SEARCH("R40",G412)),0)+IFERROR(--ISNUMBER(SEARCH("R41",G412)),0)+IFERROR(--ISNUMBER(SEARCH("R42",G412)),0)+IFERROR(--ISNUMBER(SEARCH("R43",G412)),0)+IFERROR(--ISNUMBER(SEARCH("R44",G412)),0)+IFERROR(--ISNUMBER(SEARCH("R45",G412)),0)+IFERROR(--ISNUMBER(SEARCH("R46",G412)),0)+IFERROR(--ISNUMBER(SEARCH("R47",G412)),0)+IFERROR(--ISNUMBER(SEARCH("R48",G412)),0)+IFERROR(--ISNUMBER(SEARCH("R49",G412)),0)+IFERROR(--ISNUMBER(SEARCH("R50",G412)),0)+IFERROR(--ISNUMBER(SEARCH("R51",G412)),0)+IFERROR(--ISNUMBER(SEARCH("R52",G412)),0)+IFERROR(--ISNUMBER(SEARCH("R53",G412)),0)+IFERROR(--ISNUMBER(SEARCH("R54",G412)),0)+IFERROR(--ISNUMBER(SEARCH("R55",G412)),0)+IFERROR(--ISNUMBER(SEARCH("R56",G412)),0)+IFERROR(--ISNUMBER(SEARCH("R57",G412)),0)+IFERROR(--ISNUMBER(SEARCH("R58",G412)),0)+IFERROR(--ISNUMBER(SEARCH("R59",G412)),0)+IFERROR(--ISNUMBER(SEARCH("R60",G412)),0)+IFERROR(--ISNUMBER(SEARCH("R61",G412)),0)+IFERROR(--ISNUMBER(SEARCH("R62",G412)),0)+IFERROR(--ISNUMBER(SEARCH("R63",G412)),0)+IFERROR(--ISNUMBER(SEARCH("R64",G412)),0)+IFERROR(--ISNUMBER(SEARCH("R65",G412)),0)+IFERROR(--ISNUMBER(SEARCH("R66",G412)),0)+IFERROR(--ISNUMBER(SEARCH("R67",G412)),0)+IFERROR(--ISNUMBER(SEARCH("R68",G412)),0)+IFERROR(--ISNUMBER(SEARCH("R69",G412)),0)+IFERROR(--ISNUMBER(SEARCH("R70",G412)),0)+IFERROR(--ISNUMBER(SEARCH("R71",G412)),0)+IFERROR(--ISNUMBER(SEARCH("R72",G412)),0)+IFERROR(--ISNUMBER(SEARCH("R73",G412)),0)+IFERROR(--ISNUMBER(SEARCH("R74",G412)),0)+IFERROR(--ISNUMBER(SEARCH("R75",G412)),0)+IFERROR(--ISNUMBER(SEARCH("R76",G412)),0)+IFERROR(--ISNUMBER(SEARCH("R77",G412)),0)+IFERROR(--ISNUMBER(SEARCH("R78",G412)),0)+IFERROR(--ISNUMBER(SEARCH("R79",G412)),0)+IFERROR(--ISNUMBER(SEARCH("R80",G412)),0)+IFERROR(--ISNUMBER(SEARCH("R81",G412)),0)+IFERROR(--ISNUMBER(SEARCH("R82",G412)),0)+IFERROR(--ISNUMBER(SEARCH("R83",G412)),0)+IFERROR(--ISNUMBER(SEARCH("R84",G412)),0)+IFERROR(--ISNUMBER(SEARCH("R85",G412)),0)+IFERROR(--ISNUMBER(SEARCH("R86",G412)),0)+IFERROR(--ISNUMBER(SEARCH("R87",G412)),0)+IFERROR(--ISNUMBER(SEARCH("R88",G412)),0)+IFERROR(--ISNUMBER(SEARCH("R89",G412)),0)+IFERROR(--ISNUMBER(SEARCH("R90",G412)),0)+IFERROR(--ISNUMBER(SEARCH("R91",G412)),0)+IFERROR(--ISNUMBER(SEARCH("R92",G412)),0)+IFERROR(--ISNUMBER(SEARCH("R93",G412)),0)+IFERROR(--ISNUMBER(SEARCH("R94",G412)),0)+IFERROR(--ISNUMBER(SEARCH("R95",G412)),0)+IFERROR(--ISNUMBER(SEARCH("R96",G412)),0)+IFERROR(--ISNUMBER(SEARCH("R97",G412)),0)+IFERROR(--ISNUMBER(SEARCH("R98",G412)),0)+IFERROR(--ISNUMBER(SEARCH("R99",G412)),0)+IFERROR(--ISNUMBER(SEARCH("R100",G412)),0)+IFERROR(--ISNUMBER(SEARCH("R101",G412)),0)+IFERROR(--ISNUMBER(SEARCH("R102",G412)),0)+IFERROR(--ISNUMBER(SEARCH("R103",G412)),0)+IFERROR(--ISNUMBER(SEARCH("R104",G412)),0)+IFERROR(--ISNUMBER(SEARCH("R105",G412)),0)+IFERROR(--ISNUMBER(SEARCH("R106",G412)),0)+IFERROR(--ISNUMBER(SEARCH("R107",G412)),0)+IFERROR(--ISNUMBER(SEARCH("R108",G412)),0)+IFERROR(--ISNUMBER(SEARCH("R109",G412)),0)+IFERROR(--ISNUMBER(SEARCH("R110",G412)),0)+IFERROR(--ISNUMBER(SEARCH("R111",G412)),0)+IFERROR(--ISNUMBER(SEARCH("R112",G412)),0)+IFERROR(--ISNUMBER(SEARCH("R113",G412)),0)+IFERROR(--ISNUMBER(SEARCH("R114",G412)),0)+IFERROR(--ISNUMBER(SEARCH("R115",G412)),0)+IFERROR(--ISNUMBER(SEARCH("R116",G412)),0)+IFERROR(--ISNUMBER(SEARCH("R117",G412)),0)+IFERROR(--ISNUMBER(SEARCH("R118",G412)),0)+IFERROR(--ISNUMBER(SEARCH("R119",G412)),0)+IFERROR(--ISNUMBER(SEARCH("R120",G412)),0)+IFERROR(--ISNUMBER(SEARCH("R121",G412)),0)+IFERROR(--ISNUMBER(SEARCH("R122",G412)),0)+IFERROR(--ISNUMBER(SEARCH("R123",G412)),0)+IFERROR(--ISNUMBER(SEARCH("R124",G412)),0)+IFERROR(--ISNUMBER(SEARCH("R125",G412)),0)+IFERROR(--ISNUMBER(SEARCH("R126",G412)),0)+IFERROR(--ISNUMBER(SEARCH("R127",G412)),0)+IFERROR(--ISNUMBER(SEARCH("R128",G412)),0)+IFERROR(--ISNUMBER(SEARCH("R129",G412)),0)+IFERROR(--ISNUMBER(SEARCH("R130",G412)),0)+IFERROR(--ISNUMBER(SEARCH("R131",G412)),0)+IFERROR(--ISNUMBER(SEARCH("R132",G412)),0)+IFERROR(--ISNUMBER(SEARCH("R133",G412)),0)+IFERROR(--ISNUMBER(SEARCH("R134",G412)),0)+IFERROR(--ISNUMBER(SEARCH("R135",G412)),0)+IFERROR(--ISNUMBER(SEARCH("R136",G412)),0)+IFERROR(--ISNUMBER(SEARCH("R137",G412)),0)+IFERROR(--ISNUMBER(SEARCH("R138",G412)),0)+IFERROR(--ISNUMBER(SEARCH("R139",G412)),0)+IFERROR(--ISNUMBER(SEARCH("R140",G412)),0)+IFERROR(--ISNUMBER(SEARCH("R141",G412)),0))</f>
        <v/>
      </c>
      <c r="T412" s="58">
        <f>IF(A412="","",IFERROR(--ISNUMBER(SEARCH("R28",G412)),0)+IFERROR(--ISNUMBER(SEARCH("R29",G412)),0)+IFERROR(--ISNUMBER(SEARCH("R30",G412)),0)+IFERROR(--ISNUMBER(SEARCH("R32",G412)),0)+IFERROR(--ISNUMBER(SEARCH("R33",G412)),0)+IFERROR(--ISNUMBER(SEARCH("R35",G412)),0)+IFERROR(--ISNUMBER(SEARCH("R36",G412)),0)+IFERROR(--ISNUMBER(SEARCH("R38",G412)),0)+IFERROR(--ISNUMBER(SEARCH("R39",G412)),0)+IFERROR(--ISNUMBER(SEARCH("R43",G412)),0)+IFERROR(--ISNUMBER(SEARCH("R44",G412)),0)+IFERROR(--ISNUMBER(SEARCH("R45",G412)),0)+IFERROR(--ISNUMBER(SEARCH("R47",G412)),0)+IFERROR(--ISNUMBER(SEARCH("R48",G412)),0)+IFERROR(--ISNUMBER(SEARCH("R50",G412)),0)+IFERROR(--ISNUMBER(SEARCH("R51",G412)),0)+IFERROR(--ISNUMBER(SEARCH("R56",G412)),0)+IFERROR(--ISNUMBER(SEARCH("R58",G412)),0)+IFERROR(--ISNUMBER(SEARCH("R59",G412)),0)+IFERROR(--ISNUMBER(SEARCH("R60",G412)),0)+IFERROR(--ISNUMBER(SEARCH("R62",G412)),0)+IFERROR(--ISNUMBER(SEARCH("R63",G412)),0)+IFERROR(--ISNUMBER(SEARCH("R64",G412)),0)+IFERROR(--ISNUMBER(SEARCH("R66",G412)),0)+IFERROR(--ISNUMBER(SEARCH("R67",G412)),0)+IFERROR(--ISNUMBER(SEARCH("R72",G412)),0)+IFERROR(--ISNUMBER(SEARCH("R74",G412)),0)+IFERROR(--ISNUMBER(SEARCH("R75",G412)),0)+IFERROR(--ISNUMBER(SEARCH("R76",G412)),0)+IFERROR(--ISNUMBER(SEARCH("R77",G412)),0)+IFERROR(--ISNUMBER(SEARCH("R79",G412)),0)+IFERROR(--ISNUMBER(SEARCH("R80",G412)),0)+IFERROR(--ISNUMBER(SEARCH("R81",G412)),0)+IFERROR(--ISNUMBER(SEARCH("R83",G412)),0)+IFERROR(--ISNUMBER(SEARCH("R84",G412)),0)+IFERROR(--ISNUMBER(SEARCH("R89",G412)),0)+IFERROR(--ISNUMBER(SEARCH("R94",G412)),0)+IFERROR(--ISNUMBER(SEARCH("R95",G412)),0)+IFERROR(--ISNUMBER(SEARCH("R96",G412)),0)+IFERROR(--ISNUMBER(SEARCH("R98",G412)),0)+IFERROR(--ISNUMBER(SEARCH("R99",G412)),0)+IFERROR(--ISNUMBER(SEARCH("R100",G412)),0)+IFERROR(--ISNUMBER(SEARCH("R104",G412)),0)+IFERROR(--ISNUMBER(SEARCH("R105",G412)),0)+IFERROR(--ISNUMBER(SEARCH("R107",G412)),0)+IFERROR(--ISNUMBER(SEARCH("R108",G412)),0)+IFERROR(--ISNUMBER(SEARCH("R109",G412)),0)+IFERROR(--ISNUMBER(SEARCH("R110",G412)),0)+IFERROR(--ISNUMBER(SEARCH("R112",G412)),0)+IFERROR(--ISNUMBER(SEARCH("R113",G412)),0)+IFERROR(--ISNUMBER(SEARCH("R114",G412)),0)+IFERROR(--ISNUMBER(SEARCH("R118",G412)),0)+IFERROR(--ISNUMBER(SEARCH("R119",G412)),0)+IFERROR(--ISNUMBER(SEARCH("R120",G412)),0)+IFERROR(--ISNUMBER(SEARCH("R122",G412)),0)+IFERROR(--ISNUMBER(SEARCH("R123",G412)),0)+IFERROR(--ISNUMBER(SEARCH("R124",G412)),0)+IFERROR(--ISNUMBER(SEARCH("R128",G412)),0)+IFERROR(--ISNUMBER(SEARCH("R130",G412)),0)+IFERROR(--ISNUMBER(SEARCH("R131",G412)),0)+IFERROR(--ISNUMBER(SEARCH("R132",G412)),0)+IFERROR(--ISNUMBER(SEARCH("R135",G412)),0)+IFERROR(--ISNUMBER(SEARCH("R138",G412)),0)+IFERROR(--ISNUMBER(SEARCH("R141",G412)),0))</f>
        <v/>
      </c>
      <c r="U412" s="58">
        <f>IF(A412="","",IFERROR(--ISNUMBER(SEARCH("R28",G412))*28,0)+IFERROR(--ISNUMBER(SEARCH("R29",G412))*29,0)+IFERROR(--ISNUMBER(SEARCH("R30",G412))*30,0)+IFERROR(--ISNUMBER(SEARCH("R31",G412))*31,0)+IFERROR(--ISNUMBER(SEARCH("R32",G412))*32,0)+IFERROR(--ISNUMBER(SEARCH("R33",G412))*33,0)+IFERROR(--ISNUMBER(SEARCH("R34",G412))*34,0)+IFERROR(--ISNUMBER(SEARCH("R35",G412))*35,0)+IFERROR(--ISNUMBER(SEARCH("R36",G412))*36,0)+IFERROR(--ISNUMBER(SEARCH("R37",G412))*37,0)+IFERROR(--ISNUMBER(SEARCH("R38",G412))*38,0)+IFERROR(--ISNUMBER(SEARCH("R39",G412))*39,0)+IFERROR(--ISNUMBER(SEARCH("R40",G412))*40,0)+IFERROR(--ISNUMBER(SEARCH("R41",G412))*41,0)+IFERROR(--ISNUMBER(SEARCH("R42",G412))*42,0)+IFERROR(--ISNUMBER(SEARCH("R43",G412))*43,0)+IFERROR(--ISNUMBER(SEARCH("R44",G412))*44,0)+IFERROR(--ISNUMBER(SEARCH("R45",G412))*45,0)+IFERROR(--ISNUMBER(SEARCH("R46",G412))*46,0)+IFERROR(--ISNUMBER(SEARCH("R47",G412))*47,0)+IFERROR(--ISNUMBER(SEARCH("R48",G412))*48,0)+IFERROR(--ISNUMBER(SEARCH("R49",G412))*49,0)+IFERROR(--ISNUMBER(SEARCH("R50",G412))*50,0)+IFERROR(--ISNUMBER(SEARCH("R51",G412))*51,0)+IFERROR(--ISNUMBER(SEARCH("R52",G412))*52,0)+IFERROR(--ISNUMBER(SEARCH("R53",G412))*53,0)+IFERROR(--ISNUMBER(SEARCH("R54",G412))*54,0)+IFERROR(--ISNUMBER(SEARCH("R55",G412))*55,0)+IFERROR(--ISNUMBER(SEARCH("R56",G412))*56,0)+IFERROR(--ISNUMBER(SEARCH("R57",G412))*57,0)+IFERROR(--ISNUMBER(SEARCH("R58",G412))*58,0)+IFERROR(--ISNUMBER(SEARCH("R59",G412))*59,0)+IFERROR(--ISNUMBER(SEARCH("R60",G412))*60,0)+IFERROR(--ISNUMBER(SEARCH("R61",G412))*61,0)+IFERROR(--ISNUMBER(SEARCH("R62",G412))*62,0)+IFERROR(--ISNUMBER(SEARCH("R63",G412))*63,0)+IFERROR(--ISNUMBER(SEARCH("R64",G412))*64,0)+IFERROR(--ISNUMBER(SEARCH("R65",G412))*65,0)+IFERROR(--ISNUMBER(SEARCH("R66",G412))*66,0)+IFERROR(--ISNUMBER(SEARCH("R67",G412))*67,0)+IFERROR(--ISNUMBER(SEARCH("R68",G412))*68,0)+IFERROR(--ISNUMBER(SEARCH("R69",G412))*69,0)+IFERROR(--ISNUMBER(SEARCH("R70",G412))*70,0)+IFERROR(--ISNUMBER(SEARCH("R71",G412))*71,0)+IFERROR(--ISNUMBER(SEARCH("R72",G412))*72,0)+IFERROR(--ISNUMBER(SEARCH("R73",G412))*73,0)+IFERROR(--ISNUMBER(SEARCH("R74",G412))*74,0)+IFERROR(--ISNUMBER(SEARCH("R75",G412))*75,0)+IFERROR(--ISNUMBER(SEARCH("R76",G412))*76,0)+IFERROR(--ISNUMBER(SEARCH("R77",G412))*77,0)+IFERROR(--ISNUMBER(SEARCH("R78",G412))*78,0)+IFERROR(--ISNUMBER(SEARCH("R79",G412))*79,0)+IFERROR(--ISNUMBER(SEARCH("R80",G412))*80,0)+IFERROR(--ISNUMBER(SEARCH("R81",G412))*81,0)+IFERROR(--ISNUMBER(SEARCH("R82",G412))*82,0)+IFERROR(--ISNUMBER(SEARCH("R83",G412))*83,0)+IFERROR(--ISNUMBER(SEARCH("R84",G412))*84,0)+IFERROR(--ISNUMBER(SEARCH("R85",G412))*85,0)+IFERROR(--ISNUMBER(SEARCH("R86",G412))*86,0)+IFERROR(--ISNUMBER(SEARCH("R87",G412))*87,0)+IFERROR(--ISNUMBER(SEARCH("R88",G412))*88,0)+IFERROR(--ISNUMBER(SEARCH("R89",G412))*89,0)+IFERROR(--ISNUMBER(SEARCH("R90",G412))*90,0)+IFERROR(--ISNUMBER(SEARCH("R91",G412))*91,0)+IFERROR(--ISNUMBER(SEARCH("R92",G412))*92,0)+IFERROR(--ISNUMBER(SEARCH("R93",G412))*93,0)+IFERROR(--ISNUMBER(SEARCH("R94",G412))*94,0)+IFERROR(--ISNUMBER(SEARCH("R95",G412))*95,0)+IFERROR(--ISNUMBER(SEARCH("R96",G412))*96,0)+IFERROR(--ISNUMBER(SEARCH("R97",G412))*97,0)+IFERROR(--ISNUMBER(SEARCH("R98",G412))*98,0)+IFERROR(--ISNUMBER(SEARCH("R99",G412))*99,0)+IFERROR(--ISNUMBER(SEARCH("R100",G412))*100,0)+IFERROR(--ISNUMBER(SEARCH("R101",G412))*101,0)+IFERROR(--ISNUMBER(SEARCH("R102",G412))*102,0)+IFERROR(--ISNUMBER(SEARCH("R103",G412))*103,0)+IFERROR(--ISNUMBER(SEARCH("R104",G412))*104,0)+IFERROR(--ISNUMBER(SEARCH("R105",G412))*105,0)+IFERROR(--ISNUMBER(SEARCH("R106",G412))*106,0)+IFERROR(--ISNUMBER(SEARCH("R107",G412))*107,0)+IFERROR(--ISNUMBER(SEARCH("R108",G412))*108,0)+IFERROR(--ISNUMBER(SEARCH("R109",G412))*109,0)+IFERROR(--ISNUMBER(SEARCH("R110",G412))*110,0)+IFERROR(--ISNUMBER(SEARCH("R111",G412))*111,0)+IFERROR(--ISNUMBER(SEARCH("R112",G412))*112,0)+IFERROR(--ISNUMBER(SEARCH("R113",G412))*113,0)+IFERROR(--ISNUMBER(SEARCH("R114",G412))*114,0)+IFERROR(--ISNUMBER(SEARCH("R115",G412))*115,0)+IFERROR(--ISNUMBER(SEARCH("R116",G412))*116,0)+IFERROR(--ISNUMBER(SEARCH("R117",G412))*117,0)+IFERROR(--ISNUMBER(SEARCH("R118",G412))*118,0)+IFERROR(--ISNUMBER(SEARCH("R119",G412))*119,0)+IFERROR(--ISNUMBER(SEARCH("R120",G412))*120,0)+IFERROR(--ISNUMBER(SEARCH("R121",G412))*121,0)+IFERROR(--ISNUMBER(SEARCH("R122",G412))*122,0)+IFERROR(--ISNUMBER(SEARCH("R123",G412))*123,0)+IFERROR(--ISNUMBER(SEARCH("R124",G412))*124,0)+IFERROR(--ISNUMBER(SEARCH("R125",G412))*125,0)+IFERROR(--ISNUMBER(SEARCH("R126",G412))*126,0)+IFERROR(--ISNUMBER(SEARCH("R127",G412))*127,0)+IFERROR(--ISNUMBER(SEARCH("R128",G412))*128,0)+IFERROR(--ISNUMBER(SEARCH("R129",G412))*129,0)+IFERROR(--ISNUMBER(SEARCH("R130",G412))*130,0)+IFERROR(--ISNUMBER(SEARCH("R131",G412))*131,0)+IFERROR(--ISNUMBER(SEARCH("R132",G412))*132,0)+IFERROR(--ISNUMBER(SEARCH("R133",G412))*133,0)+IFERROR(--ISNUMBER(SEARCH("R134",G412))*134,0)+IFERROR(--ISNUMBER(SEARCH("R135",G412))*135,0)+IFERROR(--ISNUMBER(SEARCH("R136",G412))*136,0)+IFERROR(--ISNUMBER(SEARCH("R137",G412))*137,0)+IFERROR(--ISNUMBER(SEARCH("R138",G412))*138,0)+IFERROR(--ISNUMBER(SEARCH("R139",G412))*139,0)+IFERROR(--ISNUMBER(SEARCH("R140",G412))*140,0)+IFERROR(--ISNUMBER(SEARCH("R141",G412))*141,0))</f>
        <v/>
      </c>
      <c r="V412" s="59">
        <f>IF(A412="","",IF(K412&lt;&gt;"",K412,J412))</f>
        <v/>
      </c>
      <c r="W412" s="59">
        <f>IF(A412="","",IF(AND(V412=29,O412&lt;&gt;"",COUNTIFS($V$6:$V$505,29,$F$6:$F$505,F412,$C$6:$C$505,C412,$O$6:$O$505,"&lt;&gt;")&gt;1),IF(COUNTIFS($V$6:V412,29,$F$6:F412,F412,$C$6:C412,C412,$O$6:O412,"&lt;&gt;")=1,"Esta es la fila que se debe CONSERVAR (aparición 1 de "&amp;COUNTIFS($V$6:$V$505,29,$F$6:$F$505,F412,$C$6:$C$505,C412,$O$6:$O$505,"&lt;&gt;")&amp;" con el mismo tercero y valor, casilla 29). Si hay más filas iguales, bórreles el valor a ELLAS, no a esta.","DUPLICADO — ya existe otra fila con el mismo tercero y valor para casilla 29 (aparición "&amp;COUNTIFS($V$6:V412,29,$F$6:F412,F412,$C$6:C412,C412,$O$6:O412,"&lt;&gt;")&amp;" de "&amp;COUNTIFS($V$6:$V$505,29,$F$6:$F$505,F412,$C$6:$C$505,C412,$O$6:$O$505,"&lt;&gt;")&amp;"). Para resolverlo: seleccione la celda O"&amp;ROW()&amp;" (columna Valor a declarar de ESTA fila) y presione Supr."),""))</f>
        <v/>
      </c>
      <c r="X412" s="463">
        <f>IF(A412="","",F412)</f>
        <v/>
      </c>
      <c r="Y412" s="463">
        <f>IF(A412="","",SUMIF(Entrada_Manual!$I$88:$I$187,A412,Entrada_Manual!$F$88:$F$187))</f>
        <v/>
      </c>
      <c r="Z412" s="463">
        <f>IF(A412="","",X412-Y412)</f>
        <v/>
      </c>
      <c r="AA412">
        <f>IF(A412="","",SUMPRODUCT((Entrada_Manual!$I$88:$I$187=A412)*1))</f>
        <v/>
      </c>
      <c r="AB412">
        <f>IF(A412="","",IF(S412&lt;=1,"",IF(AA412=0,"PENDIENTE — SIN ASIGNAR",IF(Z412=0,"RESUELTO","PARCIAL — DIFERENCIA "&amp;TEXT(Z412,"#,##0")))))</f>
        <v/>
      </c>
    </row>
    <row r="413" ht="14.25" customHeight="1" s="235">
      <c r="A413" s="47">
        <f>IF(Exogena_RAW!E422&lt;&gt;"",ROW()-5,"")</f>
        <v/>
      </c>
      <c r="B413" s="48">
        <f>IF(A413="","",422)</f>
        <v/>
      </c>
      <c r="C413" s="48">
        <f>IF(A413="","",IFERROR(Exogena_RAW!A422,""))</f>
        <v/>
      </c>
      <c r="D413" s="48">
        <f>IF(A413="","",IFERROR(Exogena_RAW!B422,""))</f>
        <v/>
      </c>
      <c r="E413" s="48">
        <f>IF(A413="","",Exogena_RAW!E422)</f>
        <v/>
      </c>
      <c r="F413" s="461">
        <f>IF(A413="","",Exogena_RAW!F422)</f>
        <v/>
      </c>
      <c r="G413" s="48">
        <f>IF(A413="","",IFERROR(Exogena_RAW!G422,""))</f>
        <v/>
      </c>
      <c r="H413" s="48">
        <f>IF(A413="","",IFERROR(Exogena_RAW!H422,""))</f>
        <v/>
      </c>
      <c r="I413" s="48">
        <f>IF(A413="","",IFERROR(IF(S413&gt;1,"VARIAS CASILLAS",IF(S413=1,IF(T413=1,"PROPUESTA DE CASILLA","REVISIÓN: CASILLA NO DIRECTA"),IF(OR(ISNUMBER(SEARCH("TOPE",UPPER(E413))),ISNUMBER(SEARCH("TOPE",UPPER(G413)))),"SOLO CONTROL",IF(ISNUMBER(SEARCH("RETEN",UPPER(E413))),"RETENCIÓN","REVISAR")))),"REVISAR"))</f>
        <v/>
      </c>
      <c r="J413" s="48">
        <f>IF(A413="","",IF(ISNUMBER(SEARCH("ingreso laboral promedio de los últimos seis meses",E413)),"",IFERROR(IF(AND(S413=1,T413=1),U413,""),"")))</f>
        <v/>
      </c>
      <c r="K413" s="216" t="n"/>
      <c r="L413" s="48">
        <f>IF(A413="","",IFERROR(IF(K413&lt;&gt;"","Casilla elegida por usuario",IF(S413&gt;1,"Varias casillas — elegir en K",IF(J413&lt;&gt;"","Sugerencia directa",IF(S413=1,"No trasladar directo — revisar",IF(OR(ISNUMBER(SEARCH("TOPE",UPPER(E413))),ISNUMBER(SEARCH("TOPE",UPPER(G413)))),"Solo control","Revisar manualmente"))))),"Revisar manualmente"))</f>
        <v/>
      </c>
      <c r="M413" s="461">
        <f>IF(A413="","",IF(IF(K413&lt;&gt;"",K413,J413)="",0,IF(COUNTIFS(Reglas!$I$5:$I$118,IF(K413&lt;&gt;"",K413,J413),Reglas!$J$5:$J$118,"Sí")=1,F413,0)))</f>
        <v/>
      </c>
      <c r="N413" s="56" t="n"/>
      <c r="O413" s="462">
        <f>IF(A413="","",IF(M413=0,"",M413))</f>
        <v/>
      </c>
      <c r="P413" s="461">
        <f>IF(A413="","",IF(O413="",0,IF(ISNUMBER(O413),O413,0)))</f>
        <v/>
      </c>
      <c r="Q413" s="48">
        <f>IF(A413="","",IF(Exogena_RAW!$C$4="","BLOQUEADO: FALTA AÑO",IF(Exogena_RAW!$K$10&lt;&gt;Reglas!$B$5,"BLOQUEADO: AÑO",IF(IF(K413&lt;&gt;"",K413,J413)="",IF(S413&gt;1,"REQUIERE ASIGNACIÓN MANUAL (VARIAS CASILLAS)","INFORMATIVO (sin casilla — no se declara)"),IF(COUNTIFS(Reglas!$I$5:$I$118,IF(K413&lt;&gt;"",K413,J413),Reglas!$J$5:$J$118,"Sí")=0,"BLOQUEADO: CASILLA NO DIRECTA",IF(O413="","EXCLUIDO (valor borrado por el usuario)",IF(_xlfn.ISFORMULA(O413),IF(W413&lt;&gt;"","BORRADOR — VALOR SUGERIDO DIAN ⚠ VER ALERTA","BORRADOR — VALOR SUGERIDO DIAN"),IF(W413&lt;&gt;"","ACEPTADO ⚠ VER ALERTA","ACEPTADO"))))))))</f>
        <v/>
      </c>
      <c r="R413" s="218" t="n"/>
      <c r="S413" s="58">
        <f>IF(A413="","",IFERROR(--ISNUMBER(SEARCH("R28",G413)),0)+IFERROR(--ISNUMBER(SEARCH("R29",G413)),0)+IFERROR(--ISNUMBER(SEARCH("R30",G413)),0)+IFERROR(--ISNUMBER(SEARCH("R31",G413)),0)+IFERROR(--ISNUMBER(SEARCH("R32",G413)),0)+IFERROR(--ISNUMBER(SEARCH("R33",G413)),0)+IFERROR(--ISNUMBER(SEARCH("R34",G413)),0)+IFERROR(--ISNUMBER(SEARCH("R35",G413)),0)+IFERROR(--ISNUMBER(SEARCH("R36",G413)),0)+IFERROR(--ISNUMBER(SEARCH("R37",G413)),0)+IFERROR(--ISNUMBER(SEARCH("R38",G413)),0)+IFERROR(--ISNUMBER(SEARCH("R39",G413)),0)+IFERROR(--ISNUMBER(SEARCH("R40",G413)),0)+IFERROR(--ISNUMBER(SEARCH("R41",G413)),0)+IFERROR(--ISNUMBER(SEARCH("R42",G413)),0)+IFERROR(--ISNUMBER(SEARCH("R43",G413)),0)+IFERROR(--ISNUMBER(SEARCH("R44",G413)),0)+IFERROR(--ISNUMBER(SEARCH("R45",G413)),0)+IFERROR(--ISNUMBER(SEARCH("R46",G413)),0)+IFERROR(--ISNUMBER(SEARCH("R47",G413)),0)+IFERROR(--ISNUMBER(SEARCH("R48",G413)),0)+IFERROR(--ISNUMBER(SEARCH("R49",G413)),0)+IFERROR(--ISNUMBER(SEARCH("R50",G413)),0)+IFERROR(--ISNUMBER(SEARCH("R51",G413)),0)+IFERROR(--ISNUMBER(SEARCH("R52",G413)),0)+IFERROR(--ISNUMBER(SEARCH("R53",G413)),0)+IFERROR(--ISNUMBER(SEARCH("R54",G413)),0)+IFERROR(--ISNUMBER(SEARCH("R55",G413)),0)+IFERROR(--ISNUMBER(SEARCH("R56",G413)),0)+IFERROR(--ISNUMBER(SEARCH("R57",G413)),0)+IFERROR(--ISNUMBER(SEARCH("R58",G413)),0)+IFERROR(--ISNUMBER(SEARCH("R59",G413)),0)+IFERROR(--ISNUMBER(SEARCH("R60",G413)),0)+IFERROR(--ISNUMBER(SEARCH("R61",G413)),0)+IFERROR(--ISNUMBER(SEARCH("R62",G413)),0)+IFERROR(--ISNUMBER(SEARCH("R63",G413)),0)+IFERROR(--ISNUMBER(SEARCH("R64",G413)),0)+IFERROR(--ISNUMBER(SEARCH("R65",G413)),0)+IFERROR(--ISNUMBER(SEARCH("R66",G413)),0)+IFERROR(--ISNUMBER(SEARCH("R67",G413)),0)+IFERROR(--ISNUMBER(SEARCH("R68",G413)),0)+IFERROR(--ISNUMBER(SEARCH("R69",G413)),0)+IFERROR(--ISNUMBER(SEARCH("R70",G413)),0)+IFERROR(--ISNUMBER(SEARCH("R71",G413)),0)+IFERROR(--ISNUMBER(SEARCH("R72",G413)),0)+IFERROR(--ISNUMBER(SEARCH("R73",G413)),0)+IFERROR(--ISNUMBER(SEARCH("R74",G413)),0)+IFERROR(--ISNUMBER(SEARCH("R75",G413)),0)+IFERROR(--ISNUMBER(SEARCH("R76",G413)),0)+IFERROR(--ISNUMBER(SEARCH("R77",G413)),0)+IFERROR(--ISNUMBER(SEARCH("R78",G413)),0)+IFERROR(--ISNUMBER(SEARCH("R79",G413)),0)+IFERROR(--ISNUMBER(SEARCH("R80",G413)),0)+IFERROR(--ISNUMBER(SEARCH("R81",G413)),0)+IFERROR(--ISNUMBER(SEARCH("R82",G413)),0)+IFERROR(--ISNUMBER(SEARCH("R83",G413)),0)+IFERROR(--ISNUMBER(SEARCH("R84",G413)),0)+IFERROR(--ISNUMBER(SEARCH("R85",G413)),0)+IFERROR(--ISNUMBER(SEARCH("R86",G413)),0)+IFERROR(--ISNUMBER(SEARCH("R87",G413)),0)+IFERROR(--ISNUMBER(SEARCH("R88",G413)),0)+IFERROR(--ISNUMBER(SEARCH("R89",G413)),0)+IFERROR(--ISNUMBER(SEARCH("R90",G413)),0)+IFERROR(--ISNUMBER(SEARCH("R91",G413)),0)+IFERROR(--ISNUMBER(SEARCH("R92",G413)),0)+IFERROR(--ISNUMBER(SEARCH("R93",G413)),0)+IFERROR(--ISNUMBER(SEARCH("R94",G413)),0)+IFERROR(--ISNUMBER(SEARCH("R95",G413)),0)+IFERROR(--ISNUMBER(SEARCH("R96",G413)),0)+IFERROR(--ISNUMBER(SEARCH("R97",G413)),0)+IFERROR(--ISNUMBER(SEARCH("R98",G413)),0)+IFERROR(--ISNUMBER(SEARCH("R99",G413)),0)+IFERROR(--ISNUMBER(SEARCH("R100",G413)),0)+IFERROR(--ISNUMBER(SEARCH("R101",G413)),0)+IFERROR(--ISNUMBER(SEARCH("R102",G413)),0)+IFERROR(--ISNUMBER(SEARCH("R103",G413)),0)+IFERROR(--ISNUMBER(SEARCH("R104",G413)),0)+IFERROR(--ISNUMBER(SEARCH("R105",G413)),0)+IFERROR(--ISNUMBER(SEARCH("R106",G413)),0)+IFERROR(--ISNUMBER(SEARCH("R107",G413)),0)+IFERROR(--ISNUMBER(SEARCH("R108",G413)),0)+IFERROR(--ISNUMBER(SEARCH("R109",G413)),0)+IFERROR(--ISNUMBER(SEARCH("R110",G413)),0)+IFERROR(--ISNUMBER(SEARCH("R111",G413)),0)+IFERROR(--ISNUMBER(SEARCH("R112",G413)),0)+IFERROR(--ISNUMBER(SEARCH("R113",G413)),0)+IFERROR(--ISNUMBER(SEARCH("R114",G413)),0)+IFERROR(--ISNUMBER(SEARCH("R115",G413)),0)+IFERROR(--ISNUMBER(SEARCH("R116",G413)),0)+IFERROR(--ISNUMBER(SEARCH("R117",G413)),0)+IFERROR(--ISNUMBER(SEARCH("R118",G413)),0)+IFERROR(--ISNUMBER(SEARCH("R119",G413)),0)+IFERROR(--ISNUMBER(SEARCH("R120",G413)),0)+IFERROR(--ISNUMBER(SEARCH("R121",G413)),0)+IFERROR(--ISNUMBER(SEARCH("R122",G413)),0)+IFERROR(--ISNUMBER(SEARCH("R123",G413)),0)+IFERROR(--ISNUMBER(SEARCH("R124",G413)),0)+IFERROR(--ISNUMBER(SEARCH("R125",G413)),0)+IFERROR(--ISNUMBER(SEARCH("R126",G413)),0)+IFERROR(--ISNUMBER(SEARCH("R127",G413)),0)+IFERROR(--ISNUMBER(SEARCH("R128",G413)),0)+IFERROR(--ISNUMBER(SEARCH("R129",G413)),0)+IFERROR(--ISNUMBER(SEARCH("R130",G413)),0)+IFERROR(--ISNUMBER(SEARCH("R131",G413)),0)+IFERROR(--ISNUMBER(SEARCH("R132",G413)),0)+IFERROR(--ISNUMBER(SEARCH("R133",G413)),0)+IFERROR(--ISNUMBER(SEARCH("R134",G413)),0)+IFERROR(--ISNUMBER(SEARCH("R135",G413)),0)+IFERROR(--ISNUMBER(SEARCH("R136",G413)),0)+IFERROR(--ISNUMBER(SEARCH("R137",G413)),0)+IFERROR(--ISNUMBER(SEARCH("R138",G413)),0)+IFERROR(--ISNUMBER(SEARCH("R139",G413)),0)+IFERROR(--ISNUMBER(SEARCH("R140",G413)),0)+IFERROR(--ISNUMBER(SEARCH("R141",G413)),0))</f>
        <v/>
      </c>
      <c r="T413" s="58">
        <f>IF(A413="","",IFERROR(--ISNUMBER(SEARCH("R28",G413)),0)+IFERROR(--ISNUMBER(SEARCH("R29",G413)),0)+IFERROR(--ISNUMBER(SEARCH("R30",G413)),0)+IFERROR(--ISNUMBER(SEARCH("R32",G413)),0)+IFERROR(--ISNUMBER(SEARCH("R33",G413)),0)+IFERROR(--ISNUMBER(SEARCH("R35",G413)),0)+IFERROR(--ISNUMBER(SEARCH("R36",G413)),0)+IFERROR(--ISNUMBER(SEARCH("R38",G413)),0)+IFERROR(--ISNUMBER(SEARCH("R39",G413)),0)+IFERROR(--ISNUMBER(SEARCH("R43",G413)),0)+IFERROR(--ISNUMBER(SEARCH("R44",G413)),0)+IFERROR(--ISNUMBER(SEARCH("R45",G413)),0)+IFERROR(--ISNUMBER(SEARCH("R47",G413)),0)+IFERROR(--ISNUMBER(SEARCH("R48",G413)),0)+IFERROR(--ISNUMBER(SEARCH("R50",G413)),0)+IFERROR(--ISNUMBER(SEARCH("R51",G413)),0)+IFERROR(--ISNUMBER(SEARCH("R56",G413)),0)+IFERROR(--ISNUMBER(SEARCH("R58",G413)),0)+IFERROR(--ISNUMBER(SEARCH("R59",G413)),0)+IFERROR(--ISNUMBER(SEARCH("R60",G413)),0)+IFERROR(--ISNUMBER(SEARCH("R62",G413)),0)+IFERROR(--ISNUMBER(SEARCH("R63",G413)),0)+IFERROR(--ISNUMBER(SEARCH("R64",G413)),0)+IFERROR(--ISNUMBER(SEARCH("R66",G413)),0)+IFERROR(--ISNUMBER(SEARCH("R67",G413)),0)+IFERROR(--ISNUMBER(SEARCH("R72",G413)),0)+IFERROR(--ISNUMBER(SEARCH("R74",G413)),0)+IFERROR(--ISNUMBER(SEARCH("R75",G413)),0)+IFERROR(--ISNUMBER(SEARCH("R76",G413)),0)+IFERROR(--ISNUMBER(SEARCH("R77",G413)),0)+IFERROR(--ISNUMBER(SEARCH("R79",G413)),0)+IFERROR(--ISNUMBER(SEARCH("R80",G413)),0)+IFERROR(--ISNUMBER(SEARCH("R81",G413)),0)+IFERROR(--ISNUMBER(SEARCH("R83",G413)),0)+IFERROR(--ISNUMBER(SEARCH("R84",G413)),0)+IFERROR(--ISNUMBER(SEARCH("R89",G413)),0)+IFERROR(--ISNUMBER(SEARCH("R94",G413)),0)+IFERROR(--ISNUMBER(SEARCH("R95",G413)),0)+IFERROR(--ISNUMBER(SEARCH("R96",G413)),0)+IFERROR(--ISNUMBER(SEARCH("R98",G413)),0)+IFERROR(--ISNUMBER(SEARCH("R99",G413)),0)+IFERROR(--ISNUMBER(SEARCH("R100",G413)),0)+IFERROR(--ISNUMBER(SEARCH("R104",G413)),0)+IFERROR(--ISNUMBER(SEARCH("R105",G413)),0)+IFERROR(--ISNUMBER(SEARCH("R107",G413)),0)+IFERROR(--ISNUMBER(SEARCH("R108",G413)),0)+IFERROR(--ISNUMBER(SEARCH("R109",G413)),0)+IFERROR(--ISNUMBER(SEARCH("R110",G413)),0)+IFERROR(--ISNUMBER(SEARCH("R112",G413)),0)+IFERROR(--ISNUMBER(SEARCH("R113",G413)),0)+IFERROR(--ISNUMBER(SEARCH("R114",G413)),0)+IFERROR(--ISNUMBER(SEARCH("R118",G413)),0)+IFERROR(--ISNUMBER(SEARCH("R119",G413)),0)+IFERROR(--ISNUMBER(SEARCH("R120",G413)),0)+IFERROR(--ISNUMBER(SEARCH("R122",G413)),0)+IFERROR(--ISNUMBER(SEARCH("R123",G413)),0)+IFERROR(--ISNUMBER(SEARCH("R124",G413)),0)+IFERROR(--ISNUMBER(SEARCH("R128",G413)),0)+IFERROR(--ISNUMBER(SEARCH("R130",G413)),0)+IFERROR(--ISNUMBER(SEARCH("R131",G413)),0)+IFERROR(--ISNUMBER(SEARCH("R132",G413)),0)+IFERROR(--ISNUMBER(SEARCH("R135",G413)),0)+IFERROR(--ISNUMBER(SEARCH("R138",G413)),0)+IFERROR(--ISNUMBER(SEARCH("R141",G413)),0))</f>
        <v/>
      </c>
      <c r="U413" s="58">
        <f>IF(A413="","",IFERROR(--ISNUMBER(SEARCH("R28",G413))*28,0)+IFERROR(--ISNUMBER(SEARCH("R29",G413))*29,0)+IFERROR(--ISNUMBER(SEARCH("R30",G413))*30,0)+IFERROR(--ISNUMBER(SEARCH("R31",G413))*31,0)+IFERROR(--ISNUMBER(SEARCH("R32",G413))*32,0)+IFERROR(--ISNUMBER(SEARCH("R33",G413))*33,0)+IFERROR(--ISNUMBER(SEARCH("R34",G413))*34,0)+IFERROR(--ISNUMBER(SEARCH("R35",G413))*35,0)+IFERROR(--ISNUMBER(SEARCH("R36",G413))*36,0)+IFERROR(--ISNUMBER(SEARCH("R37",G413))*37,0)+IFERROR(--ISNUMBER(SEARCH("R38",G413))*38,0)+IFERROR(--ISNUMBER(SEARCH("R39",G413))*39,0)+IFERROR(--ISNUMBER(SEARCH("R40",G413))*40,0)+IFERROR(--ISNUMBER(SEARCH("R41",G413))*41,0)+IFERROR(--ISNUMBER(SEARCH("R42",G413))*42,0)+IFERROR(--ISNUMBER(SEARCH("R43",G413))*43,0)+IFERROR(--ISNUMBER(SEARCH("R44",G413))*44,0)+IFERROR(--ISNUMBER(SEARCH("R45",G413))*45,0)+IFERROR(--ISNUMBER(SEARCH("R46",G413))*46,0)+IFERROR(--ISNUMBER(SEARCH("R47",G413))*47,0)+IFERROR(--ISNUMBER(SEARCH("R48",G413))*48,0)+IFERROR(--ISNUMBER(SEARCH("R49",G413))*49,0)+IFERROR(--ISNUMBER(SEARCH("R50",G413))*50,0)+IFERROR(--ISNUMBER(SEARCH("R51",G413))*51,0)+IFERROR(--ISNUMBER(SEARCH("R52",G413))*52,0)+IFERROR(--ISNUMBER(SEARCH("R53",G413))*53,0)+IFERROR(--ISNUMBER(SEARCH("R54",G413))*54,0)+IFERROR(--ISNUMBER(SEARCH("R55",G413))*55,0)+IFERROR(--ISNUMBER(SEARCH("R56",G413))*56,0)+IFERROR(--ISNUMBER(SEARCH("R57",G413))*57,0)+IFERROR(--ISNUMBER(SEARCH("R58",G413))*58,0)+IFERROR(--ISNUMBER(SEARCH("R59",G413))*59,0)+IFERROR(--ISNUMBER(SEARCH("R60",G413))*60,0)+IFERROR(--ISNUMBER(SEARCH("R61",G413))*61,0)+IFERROR(--ISNUMBER(SEARCH("R62",G413))*62,0)+IFERROR(--ISNUMBER(SEARCH("R63",G413))*63,0)+IFERROR(--ISNUMBER(SEARCH("R64",G413))*64,0)+IFERROR(--ISNUMBER(SEARCH("R65",G413))*65,0)+IFERROR(--ISNUMBER(SEARCH("R66",G413))*66,0)+IFERROR(--ISNUMBER(SEARCH("R67",G413))*67,0)+IFERROR(--ISNUMBER(SEARCH("R68",G413))*68,0)+IFERROR(--ISNUMBER(SEARCH("R69",G413))*69,0)+IFERROR(--ISNUMBER(SEARCH("R70",G413))*70,0)+IFERROR(--ISNUMBER(SEARCH("R71",G413))*71,0)+IFERROR(--ISNUMBER(SEARCH("R72",G413))*72,0)+IFERROR(--ISNUMBER(SEARCH("R73",G413))*73,0)+IFERROR(--ISNUMBER(SEARCH("R74",G413))*74,0)+IFERROR(--ISNUMBER(SEARCH("R75",G413))*75,0)+IFERROR(--ISNUMBER(SEARCH("R76",G413))*76,0)+IFERROR(--ISNUMBER(SEARCH("R77",G413))*77,0)+IFERROR(--ISNUMBER(SEARCH("R78",G413))*78,0)+IFERROR(--ISNUMBER(SEARCH("R79",G413))*79,0)+IFERROR(--ISNUMBER(SEARCH("R80",G413))*80,0)+IFERROR(--ISNUMBER(SEARCH("R81",G413))*81,0)+IFERROR(--ISNUMBER(SEARCH("R82",G413))*82,0)+IFERROR(--ISNUMBER(SEARCH("R83",G413))*83,0)+IFERROR(--ISNUMBER(SEARCH("R84",G413))*84,0)+IFERROR(--ISNUMBER(SEARCH("R85",G413))*85,0)+IFERROR(--ISNUMBER(SEARCH("R86",G413))*86,0)+IFERROR(--ISNUMBER(SEARCH("R87",G413))*87,0)+IFERROR(--ISNUMBER(SEARCH("R88",G413))*88,0)+IFERROR(--ISNUMBER(SEARCH("R89",G413))*89,0)+IFERROR(--ISNUMBER(SEARCH("R90",G413))*90,0)+IFERROR(--ISNUMBER(SEARCH("R91",G413))*91,0)+IFERROR(--ISNUMBER(SEARCH("R92",G413))*92,0)+IFERROR(--ISNUMBER(SEARCH("R93",G413))*93,0)+IFERROR(--ISNUMBER(SEARCH("R94",G413))*94,0)+IFERROR(--ISNUMBER(SEARCH("R95",G413))*95,0)+IFERROR(--ISNUMBER(SEARCH("R96",G413))*96,0)+IFERROR(--ISNUMBER(SEARCH("R97",G413))*97,0)+IFERROR(--ISNUMBER(SEARCH("R98",G413))*98,0)+IFERROR(--ISNUMBER(SEARCH("R99",G413))*99,0)+IFERROR(--ISNUMBER(SEARCH("R100",G413))*100,0)+IFERROR(--ISNUMBER(SEARCH("R101",G413))*101,0)+IFERROR(--ISNUMBER(SEARCH("R102",G413))*102,0)+IFERROR(--ISNUMBER(SEARCH("R103",G413))*103,0)+IFERROR(--ISNUMBER(SEARCH("R104",G413))*104,0)+IFERROR(--ISNUMBER(SEARCH("R105",G413))*105,0)+IFERROR(--ISNUMBER(SEARCH("R106",G413))*106,0)+IFERROR(--ISNUMBER(SEARCH("R107",G413))*107,0)+IFERROR(--ISNUMBER(SEARCH("R108",G413))*108,0)+IFERROR(--ISNUMBER(SEARCH("R109",G413))*109,0)+IFERROR(--ISNUMBER(SEARCH("R110",G413))*110,0)+IFERROR(--ISNUMBER(SEARCH("R111",G413))*111,0)+IFERROR(--ISNUMBER(SEARCH("R112",G413))*112,0)+IFERROR(--ISNUMBER(SEARCH("R113",G413))*113,0)+IFERROR(--ISNUMBER(SEARCH("R114",G413))*114,0)+IFERROR(--ISNUMBER(SEARCH("R115",G413))*115,0)+IFERROR(--ISNUMBER(SEARCH("R116",G413))*116,0)+IFERROR(--ISNUMBER(SEARCH("R117",G413))*117,0)+IFERROR(--ISNUMBER(SEARCH("R118",G413))*118,0)+IFERROR(--ISNUMBER(SEARCH("R119",G413))*119,0)+IFERROR(--ISNUMBER(SEARCH("R120",G413))*120,0)+IFERROR(--ISNUMBER(SEARCH("R121",G413))*121,0)+IFERROR(--ISNUMBER(SEARCH("R122",G413))*122,0)+IFERROR(--ISNUMBER(SEARCH("R123",G413))*123,0)+IFERROR(--ISNUMBER(SEARCH("R124",G413))*124,0)+IFERROR(--ISNUMBER(SEARCH("R125",G413))*125,0)+IFERROR(--ISNUMBER(SEARCH("R126",G413))*126,0)+IFERROR(--ISNUMBER(SEARCH("R127",G413))*127,0)+IFERROR(--ISNUMBER(SEARCH("R128",G413))*128,0)+IFERROR(--ISNUMBER(SEARCH("R129",G413))*129,0)+IFERROR(--ISNUMBER(SEARCH("R130",G413))*130,0)+IFERROR(--ISNUMBER(SEARCH("R131",G413))*131,0)+IFERROR(--ISNUMBER(SEARCH("R132",G413))*132,0)+IFERROR(--ISNUMBER(SEARCH("R133",G413))*133,0)+IFERROR(--ISNUMBER(SEARCH("R134",G413))*134,0)+IFERROR(--ISNUMBER(SEARCH("R135",G413))*135,0)+IFERROR(--ISNUMBER(SEARCH("R136",G413))*136,0)+IFERROR(--ISNUMBER(SEARCH("R137",G413))*137,0)+IFERROR(--ISNUMBER(SEARCH("R138",G413))*138,0)+IFERROR(--ISNUMBER(SEARCH("R139",G413))*139,0)+IFERROR(--ISNUMBER(SEARCH("R140",G413))*140,0)+IFERROR(--ISNUMBER(SEARCH("R141",G413))*141,0))</f>
        <v/>
      </c>
      <c r="V413" s="59">
        <f>IF(A413="","",IF(K413&lt;&gt;"",K413,J413))</f>
        <v/>
      </c>
      <c r="W413" s="59">
        <f>IF(A413="","",IF(AND(V413=29,O413&lt;&gt;"",COUNTIFS($V$6:$V$505,29,$F$6:$F$505,F413,$C$6:$C$505,C413,$O$6:$O$505,"&lt;&gt;")&gt;1),IF(COUNTIFS($V$6:V413,29,$F$6:F413,F413,$C$6:C413,C413,$O$6:O413,"&lt;&gt;")=1,"Esta es la fila que se debe CONSERVAR (aparición 1 de "&amp;COUNTIFS($V$6:$V$505,29,$F$6:$F$505,F413,$C$6:$C$505,C413,$O$6:$O$505,"&lt;&gt;")&amp;" con el mismo tercero y valor, casilla 29). Si hay más filas iguales, bórreles el valor a ELLAS, no a esta.","DUPLICADO — ya existe otra fila con el mismo tercero y valor para casilla 29 (aparición "&amp;COUNTIFS($V$6:V413,29,$F$6:F413,F413,$C$6:C413,C413,$O$6:O413,"&lt;&gt;")&amp;" de "&amp;COUNTIFS($V$6:$V$505,29,$F$6:$F$505,F413,$C$6:$C$505,C413,$O$6:$O$505,"&lt;&gt;")&amp;"). Para resolverlo: seleccione la celda O"&amp;ROW()&amp;" (columna Valor a declarar de ESTA fila) y presione Supr."),""))</f>
        <v/>
      </c>
      <c r="X413" s="463">
        <f>IF(A413="","",F413)</f>
        <v/>
      </c>
      <c r="Y413" s="463">
        <f>IF(A413="","",SUMIF(Entrada_Manual!$I$88:$I$187,A413,Entrada_Manual!$F$88:$F$187))</f>
        <v/>
      </c>
      <c r="Z413" s="463">
        <f>IF(A413="","",X413-Y413)</f>
        <v/>
      </c>
      <c r="AA413">
        <f>IF(A413="","",SUMPRODUCT((Entrada_Manual!$I$88:$I$187=A413)*1))</f>
        <v/>
      </c>
      <c r="AB413">
        <f>IF(A413="","",IF(S413&lt;=1,"",IF(AA413=0,"PENDIENTE — SIN ASIGNAR",IF(Z413=0,"RESUELTO","PARCIAL — DIFERENCIA "&amp;TEXT(Z413,"#,##0")))))</f>
        <v/>
      </c>
    </row>
    <row r="414" ht="14.25" customHeight="1" s="235">
      <c r="A414" s="47">
        <f>IF(Exogena_RAW!E423&lt;&gt;"",ROW()-5,"")</f>
        <v/>
      </c>
      <c r="B414" s="48">
        <f>IF(A414="","",423)</f>
        <v/>
      </c>
      <c r="C414" s="48">
        <f>IF(A414="","",IFERROR(Exogena_RAW!A423,""))</f>
        <v/>
      </c>
      <c r="D414" s="48">
        <f>IF(A414="","",IFERROR(Exogena_RAW!B423,""))</f>
        <v/>
      </c>
      <c r="E414" s="48">
        <f>IF(A414="","",Exogena_RAW!E423)</f>
        <v/>
      </c>
      <c r="F414" s="461">
        <f>IF(A414="","",Exogena_RAW!F423)</f>
        <v/>
      </c>
      <c r="G414" s="48">
        <f>IF(A414="","",IFERROR(Exogena_RAW!G423,""))</f>
        <v/>
      </c>
      <c r="H414" s="48">
        <f>IF(A414="","",IFERROR(Exogena_RAW!H423,""))</f>
        <v/>
      </c>
      <c r="I414" s="48">
        <f>IF(A414="","",IFERROR(IF(S414&gt;1,"VARIAS CASILLAS",IF(S414=1,IF(T414=1,"PROPUESTA DE CASILLA","REVISIÓN: CASILLA NO DIRECTA"),IF(OR(ISNUMBER(SEARCH("TOPE",UPPER(E414))),ISNUMBER(SEARCH("TOPE",UPPER(G414)))),"SOLO CONTROL",IF(ISNUMBER(SEARCH("RETEN",UPPER(E414))),"RETENCIÓN","REVISAR")))),"REVISAR"))</f>
        <v/>
      </c>
      <c r="J414" s="48">
        <f>IF(A414="","",IF(ISNUMBER(SEARCH("ingreso laboral promedio de los últimos seis meses",E414)),"",IFERROR(IF(AND(S414=1,T414=1),U414,""),"")))</f>
        <v/>
      </c>
      <c r="K414" s="216" t="n"/>
      <c r="L414" s="48">
        <f>IF(A414="","",IFERROR(IF(K414&lt;&gt;"","Casilla elegida por usuario",IF(S414&gt;1,"Varias casillas — elegir en K",IF(J414&lt;&gt;"","Sugerencia directa",IF(S414=1,"No trasladar directo — revisar",IF(OR(ISNUMBER(SEARCH("TOPE",UPPER(E414))),ISNUMBER(SEARCH("TOPE",UPPER(G414)))),"Solo control","Revisar manualmente"))))),"Revisar manualmente"))</f>
        <v/>
      </c>
      <c r="M414" s="461">
        <f>IF(A414="","",IF(IF(K414&lt;&gt;"",K414,J414)="",0,IF(COUNTIFS(Reglas!$I$5:$I$118,IF(K414&lt;&gt;"",K414,J414),Reglas!$J$5:$J$118,"Sí")=1,F414,0)))</f>
        <v/>
      </c>
      <c r="N414" s="56" t="n"/>
      <c r="O414" s="462">
        <f>IF(A414="","",IF(M414=0,"",M414))</f>
        <v/>
      </c>
      <c r="P414" s="461">
        <f>IF(A414="","",IF(O414="",0,IF(ISNUMBER(O414),O414,0)))</f>
        <v/>
      </c>
      <c r="Q414" s="48">
        <f>IF(A414="","",IF(Exogena_RAW!$C$4="","BLOQUEADO: FALTA AÑO",IF(Exogena_RAW!$K$10&lt;&gt;Reglas!$B$5,"BLOQUEADO: AÑO",IF(IF(K414&lt;&gt;"",K414,J414)="",IF(S414&gt;1,"REQUIERE ASIGNACIÓN MANUAL (VARIAS CASILLAS)","INFORMATIVO (sin casilla — no se declara)"),IF(COUNTIFS(Reglas!$I$5:$I$118,IF(K414&lt;&gt;"",K414,J414),Reglas!$J$5:$J$118,"Sí")=0,"BLOQUEADO: CASILLA NO DIRECTA",IF(O414="","EXCLUIDO (valor borrado por el usuario)",IF(_xlfn.ISFORMULA(O414),IF(W414&lt;&gt;"","BORRADOR — VALOR SUGERIDO DIAN ⚠ VER ALERTA","BORRADOR — VALOR SUGERIDO DIAN"),IF(W414&lt;&gt;"","ACEPTADO ⚠ VER ALERTA","ACEPTADO"))))))))</f>
        <v/>
      </c>
      <c r="R414" s="218" t="n"/>
      <c r="S414" s="58">
        <f>IF(A414="","",IFERROR(--ISNUMBER(SEARCH("R28",G414)),0)+IFERROR(--ISNUMBER(SEARCH("R29",G414)),0)+IFERROR(--ISNUMBER(SEARCH("R30",G414)),0)+IFERROR(--ISNUMBER(SEARCH("R31",G414)),0)+IFERROR(--ISNUMBER(SEARCH("R32",G414)),0)+IFERROR(--ISNUMBER(SEARCH("R33",G414)),0)+IFERROR(--ISNUMBER(SEARCH("R34",G414)),0)+IFERROR(--ISNUMBER(SEARCH("R35",G414)),0)+IFERROR(--ISNUMBER(SEARCH("R36",G414)),0)+IFERROR(--ISNUMBER(SEARCH("R37",G414)),0)+IFERROR(--ISNUMBER(SEARCH("R38",G414)),0)+IFERROR(--ISNUMBER(SEARCH("R39",G414)),0)+IFERROR(--ISNUMBER(SEARCH("R40",G414)),0)+IFERROR(--ISNUMBER(SEARCH("R41",G414)),0)+IFERROR(--ISNUMBER(SEARCH("R42",G414)),0)+IFERROR(--ISNUMBER(SEARCH("R43",G414)),0)+IFERROR(--ISNUMBER(SEARCH("R44",G414)),0)+IFERROR(--ISNUMBER(SEARCH("R45",G414)),0)+IFERROR(--ISNUMBER(SEARCH("R46",G414)),0)+IFERROR(--ISNUMBER(SEARCH("R47",G414)),0)+IFERROR(--ISNUMBER(SEARCH("R48",G414)),0)+IFERROR(--ISNUMBER(SEARCH("R49",G414)),0)+IFERROR(--ISNUMBER(SEARCH("R50",G414)),0)+IFERROR(--ISNUMBER(SEARCH("R51",G414)),0)+IFERROR(--ISNUMBER(SEARCH("R52",G414)),0)+IFERROR(--ISNUMBER(SEARCH("R53",G414)),0)+IFERROR(--ISNUMBER(SEARCH("R54",G414)),0)+IFERROR(--ISNUMBER(SEARCH("R55",G414)),0)+IFERROR(--ISNUMBER(SEARCH("R56",G414)),0)+IFERROR(--ISNUMBER(SEARCH("R57",G414)),0)+IFERROR(--ISNUMBER(SEARCH("R58",G414)),0)+IFERROR(--ISNUMBER(SEARCH("R59",G414)),0)+IFERROR(--ISNUMBER(SEARCH("R60",G414)),0)+IFERROR(--ISNUMBER(SEARCH("R61",G414)),0)+IFERROR(--ISNUMBER(SEARCH("R62",G414)),0)+IFERROR(--ISNUMBER(SEARCH("R63",G414)),0)+IFERROR(--ISNUMBER(SEARCH("R64",G414)),0)+IFERROR(--ISNUMBER(SEARCH("R65",G414)),0)+IFERROR(--ISNUMBER(SEARCH("R66",G414)),0)+IFERROR(--ISNUMBER(SEARCH("R67",G414)),0)+IFERROR(--ISNUMBER(SEARCH("R68",G414)),0)+IFERROR(--ISNUMBER(SEARCH("R69",G414)),0)+IFERROR(--ISNUMBER(SEARCH("R70",G414)),0)+IFERROR(--ISNUMBER(SEARCH("R71",G414)),0)+IFERROR(--ISNUMBER(SEARCH("R72",G414)),0)+IFERROR(--ISNUMBER(SEARCH("R73",G414)),0)+IFERROR(--ISNUMBER(SEARCH("R74",G414)),0)+IFERROR(--ISNUMBER(SEARCH("R75",G414)),0)+IFERROR(--ISNUMBER(SEARCH("R76",G414)),0)+IFERROR(--ISNUMBER(SEARCH("R77",G414)),0)+IFERROR(--ISNUMBER(SEARCH("R78",G414)),0)+IFERROR(--ISNUMBER(SEARCH("R79",G414)),0)+IFERROR(--ISNUMBER(SEARCH("R80",G414)),0)+IFERROR(--ISNUMBER(SEARCH("R81",G414)),0)+IFERROR(--ISNUMBER(SEARCH("R82",G414)),0)+IFERROR(--ISNUMBER(SEARCH("R83",G414)),0)+IFERROR(--ISNUMBER(SEARCH("R84",G414)),0)+IFERROR(--ISNUMBER(SEARCH("R85",G414)),0)+IFERROR(--ISNUMBER(SEARCH("R86",G414)),0)+IFERROR(--ISNUMBER(SEARCH("R87",G414)),0)+IFERROR(--ISNUMBER(SEARCH("R88",G414)),0)+IFERROR(--ISNUMBER(SEARCH("R89",G414)),0)+IFERROR(--ISNUMBER(SEARCH("R90",G414)),0)+IFERROR(--ISNUMBER(SEARCH("R91",G414)),0)+IFERROR(--ISNUMBER(SEARCH("R92",G414)),0)+IFERROR(--ISNUMBER(SEARCH("R93",G414)),0)+IFERROR(--ISNUMBER(SEARCH("R94",G414)),0)+IFERROR(--ISNUMBER(SEARCH("R95",G414)),0)+IFERROR(--ISNUMBER(SEARCH("R96",G414)),0)+IFERROR(--ISNUMBER(SEARCH("R97",G414)),0)+IFERROR(--ISNUMBER(SEARCH("R98",G414)),0)+IFERROR(--ISNUMBER(SEARCH("R99",G414)),0)+IFERROR(--ISNUMBER(SEARCH("R100",G414)),0)+IFERROR(--ISNUMBER(SEARCH("R101",G414)),0)+IFERROR(--ISNUMBER(SEARCH("R102",G414)),0)+IFERROR(--ISNUMBER(SEARCH("R103",G414)),0)+IFERROR(--ISNUMBER(SEARCH("R104",G414)),0)+IFERROR(--ISNUMBER(SEARCH("R105",G414)),0)+IFERROR(--ISNUMBER(SEARCH("R106",G414)),0)+IFERROR(--ISNUMBER(SEARCH("R107",G414)),0)+IFERROR(--ISNUMBER(SEARCH("R108",G414)),0)+IFERROR(--ISNUMBER(SEARCH("R109",G414)),0)+IFERROR(--ISNUMBER(SEARCH("R110",G414)),0)+IFERROR(--ISNUMBER(SEARCH("R111",G414)),0)+IFERROR(--ISNUMBER(SEARCH("R112",G414)),0)+IFERROR(--ISNUMBER(SEARCH("R113",G414)),0)+IFERROR(--ISNUMBER(SEARCH("R114",G414)),0)+IFERROR(--ISNUMBER(SEARCH("R115",G414)),0)+IFERROR(--ISNUMBER(SEARCH("R116",G414)),0)+IFERROR(--ISNUMBER(SEARCH("R117",G414)),0)+IFERROR(--ISNUMBER(SEARCH("R118",G414)),0)+IFERROR(--ISNUMBER(SEARCH("R119",G414)),0)+IFERROR(--ISNUMBER(SEARCH("R120",G414)),0)+IFERROR(--ISNUMBER(SEARCH("R121",G414)),0)+IFERROR(--ISNUMBER(SEARCH("R122",G414)),0)+IFERROR(--ISNUMBER(SEARCH("R123",G414)),0)+IFERROR(--ISNUMBER(SEARCH("R124",G414)),0)+IFERROR(--ISNUMBER(SEARCH("R125",G414)),0)+IFERROR(--ISNUMBER(SEARCH("R126",G414)),0)+IFERROR(--ISNUMBER(SEARCH("R127",G414)),0)+IFERROR(--ISNUMBER(SEARCH("R128",G414)),0)+IFERROR(--ISNUMBER(SEARCH("R129",G414)),0)+IFERROR(--ISNUMBER(SEARCH("R130",G414)),0)+IFERROR(--ISNUMBER(SEARCH("R131",G414)),0)+IFERROR(--ISNUMBER(SEARCH("R132",G414)),0)+IFERROR(--ISNUMBER(SEARCH("R133",G414)),0)+IFERROR(--ISNUMBER(SEARCH("R134",G414)),0)+IFERROR(--ISNUMBER(SEARCH("R135",G414)),0)+IFERROR(--ISNUMBER(SEARCH("R136",G414)),0)+IFERROR(--ISNUMBER(SEARCH("R137",G414)),0)+IFERROR(--ISNUMBER(SEARCH("R138",G414)),0)+IFERROR(--ISNUMBER(SEARCH("R139",G414)),0)+IFERROR(--ISNUMBER(SEARCH("R140",G414)),0)+IFERROR(--ISNUMBER(SEARCH("R141",G414)),0))</f>
        <v/>
      </c>
      <c r="T414" s="58">
        <f>IF(A414="","",IFERROR(--ISNUMBER(SEARCH("R28",G414)),0)+IFERROR(--ISNUMBER(SEARCH("R29",G414)),0)+IFERROR(--ISNUMBER(SEARCH("R30",G414)),0)+IFERROR(--ISNUMBER(SEARCH("R32",G414)),0)+IFERROR(--ISNUMBER(SEARCH("R33",G414)),0)+IFERROR(--ISNUMBER(SEARCH("R35",G414)),0)+IFERROR(--ISNUMBER(SEARCH("R36",G414)),0)+IFERROR(--ISNUMBER(SEARCH("R38",G414)),0)+IFERROR(--ISNUMBER(SEARCH("R39",G414)),0)+IFERROR(--ISNUMBER(SEARCH("R43",G414)),0)+IFERROR(--ISNUMBER(SEARCH("R44",G414)),0)+IFERROR(--ISNUMBER(SEARCH("R45",G414)),0)+IFERROR(--ISNUMBER(SEARCH("R47",G414)),0)+IFERROR(--ISNUMBER(SEARCH("R48",G414)),0)+IFERROR(--ISNUMBER(SEARCH("R50",G414)),0)+IFERROR(--ISNUMBER(SEARCH("R51",G414)),0)+IFERROR(--ISNUMBER(SEARCH("R56",G414)),0)+IFERROR(--ISNUMBER(SEARCH("R58",G414)),0)+IFERROR(--ISNUMBER(SEARCH("R59",G414)),0)+IFERROR(--ISNUMBER(SEARCH("R60",G414)),0)+IFERROR(--ISNUMBER(SEARCH("R62",G414)),0)+IFERROR(--ISNUMBER(SEARCH("R63",G414)),0)+IFERROR(--ISNUMBER(SEARCH("R64",G414)),0)+IFERROR(--ISNUMBER(SEARCH("R66",G414)),0)+IFERROR(--ISNUMBER(SEARCH("R67",G414)),0)+IFERROR(--ISNUMBER(SEARCH("R72",G414)),0)+IFERROR(--ISNUMBER(SEARCH("R74",G414)),0)+IFERROR(--ISNUMBER(SEARCH("R75",G414)),0)+IFERROR(--ISNUMBER(SEARCH("R76",G414)),0)+IFERROR(--ISNUMBER(SEARCH("R77",G414)),0)+IFERROR(--ISNUMBER(SEARCH("R79",G414)),0)+IFERROR(--ISNUMBER(SEARCH("R80",G414)),0)+IFERROR(--ISNUMBER(SEARCH("R81",G414)),0)+IFERROR(--ISNUMBER(SEARCH("R83",G414)),0)+IFERROR(--ISNUMBER(SEARCH("R84",G414)),0)+IFERROR(--ISNUMBER(SEARCH("R89",G414)),0)+IFERROR(--ISNUMBER(SEARCH("R94",G414)),0)+IFERROR(--ISNUMBER(SEARCH("R95",G414)),0)+IFERROR(--ISNUMBER(SEARCH("R96",G414)),0)+IFERROR(--ISNUMBER(SEARCH("R98",G414)),0)+IFERROR(--ISNUMBER(SEARCH("R99",G414)),0)+IFERROR(--ISNUMBER(SEARCH("R100",G414)),0)+IFERROR(--ISNUMBER(SEARCH("R104",G414)),0)+IFERROR(--ISNUMBER(SEARCH("R105",G414)),0)+IFERROR(--ISNUMBER(SEARCH("R107",G414)),0)+IFERROR(--ISNUMBER(SEARCH("R108",G414)),0)+IFERROR(--ISNUMBER(SEARCH("R109",G414)),0)+IFERROR(--ISNUMBER(SEARCH("R110",G414)),0)+IFERROR(--ISNUMBER(SEARCH("R112",G414)),0)+IFERROR(--ISNUMBER(SEARCH("R113",G414)),0)+IFERROR(--ISNUMBER(SEARCH("R114",G414)),0)+IFERROR(--ISNUMBER(SEARCH("R118",G414)),0)+IFERROR(--ISNUMBER(SEARCH("R119",G414)),0)+IFERROR(--ISNUMBER(SEARCH("R120",G414)),0)+IFERROR(--ISNUMBER(SEARCH("R122",G414)),0)+IFERROR(--ISNUMBER(SEARCH("R123",G414)),0)+IFERROR(--ISNUMBER(SEARCH("R124",G414)),0)+IFERROR(--ISNUMBER(SEARCH("R128",G414)),0)+IFERROR(--ISNUMBER(SEARCH("R130",G414)),0)+IFERROR(--ISNUMBER(SEARCH("R131",G414)),0)+IFERROR(--ISNUMBER(SEARCH("R132",G414)),0)+IFERROR(--ISNUMBER(SEARCH("R135",G414)),0)+IFERROR(--ISNUMBER(SEARCH("R138",G414)),0)+IFERROR(--ISNUMBER(SEARCH("R141",G414)),0))</f>
        <v/>
      </c>
      <c r="U414" s="58">
        <f>IF(A414="","",IFERROR(--ISNUMBER(SEARCH("R28",G414))*28,0)+IFERROR(--ISNUMBER(SEARCH("R29",G414))*29,0)+IFERROR(--ISNUMBER(SEARCH("R30",G414))*30,0)+IFERROR(--ISNUMBER(SEARCH("R31",G414))*31,0)+IFERROR(--ISNUMBER(SEARCH("R32",G414))*32,0)+IFERROR(--ISNUMBER(SEARCH("R33",G414))*33,0)+IFERROR(--ISNUMBER(SEARCH("R34",G414))*34,0)+IFERROR(--ISNUMBER(SEARCH("R35",G414))*35,0)+IFERROR(--ISNUMBER(SEARCH("R36",G414))*36,0)+IFERROR(--ISNUMBER(SEARCH("R37",G414))*37,0)+IFERROR(--ISNUMBER(SEARCH("R38",G414))*38,0)+IFERROR(--ISNUMBER(SEARCH("R39",G414))*39,0)+IFERROR(--ISNUMBER(SEARCH("R40",G414))*40,0)+IFERROR(--ISNUMBER(SEARCH("R41",G414))*41,0)+IFERROR(--ISNUMBER(SEARCH("R42",G414))*42,0)+IFERROR(--ISNUMBER(SEARCH("R43",G414))*43,0)+IFERROR(--ISNUMBER(SEARCH("R44",G414))*44,0)+IFERROR(--ISNUMBER(SEARCH("R45",G414))*45,0)+IFERROR(--ISNUMBER(SEARCH("R46",G414))*46,0)+IFERROR(--ISNUMBER(SEARCH("R47",G414))*47,0)+IFERROR(--ISNUMBER(SEARCH("R48",G414))*48,0)+IFERROR(--ISNUMBER(SEARCH("R49",G414))*49,0)+IFERROR(--ISNUMBER(SEARCH("R50",G414))*50,0)+IFERROR(--ISNUMBER(SEARCH("R51",G414))*51,0)+IFERROR(--ISNUMBER(SEARCH("R52",G414))*52,0)+IFERROR(--ISNUMBER(SEARCH("R53",G414))*53,0)+IFERROR(--ISNUMBER(SEARCH("R54",G414))*54,0)+IFERROR(--ISNUMBER(SEARCH("R55",G414))*55,0)+IFERROR(--ISNUMBER(SEARCH("R56",G414))*56,0)+IFERROR(--ISNUMBER(SEARCH("R57",G414))*57,0)+IFERROR(--ISNUMBER(SEARCH("R58",G414))*58,0)+IFERROR(--ISNUMBER(SEARCH("R59",G414))*59,0)+IFERROR(--ISNUMBER(SEARCH("R60",G414))*60,0)+IFERROR(--ISNUMBER(SEARCH("R61",G414))*61,0)+IFERROR(--ISNUMBER(SEARCH("R62",G414))*62,0)+IFERROR(--ISNUMBER(SEARCH("R63",G414))*63,0)+IFERROR(--ISNUMBER(SEARCH("R64",G414))*64,0)+IFERROR(--ISNUMBER(SEARCH("R65",G414))*65,0)+IFERROR(--ISNUMBER(SEARCH("R66",G414))*66,0)+IFERROR(--ISNUMBER(SEARCH("R67",G414))*67,0)+IFERROR(--ISNUMBER(SEARCH("R68",G414))*68,0)+IFERROR(--ISNUMBER(SEARCH("R69",G414))*69,0)+IFERROR(--ISNUMBER(SEARCH("R70",G414))*70,0)+IFERROR(--ISNUMBER(SEARCH("R71",G414))*71,0)+IFERROR(--ISNUMBER(SEARCH("R72",G414))*72,0)+IFERROR(--ISNUMBER(SEARCH("R73",G414))*73,0)+IFERROR(--ISNUMBER(SEARCH("R74",G414))*74,0)+IFERROR(--ISNUMBER(SEARCH("R75",G414))*75,0)+IFERROR(--ISNUMBER(SEARCH("R76",G414))*76,0)+IFERROR(--ISNUMBER(SEARCH("R77",G414))*77,0)+IFERROR(--ISNUMBER(SEARCH("R78",G414))*78,0)+IFERROR(--ISNUMBER(SEARCH("R79",G414))*79,0)+IFERROR(--ISNUMBER(SEARCH("R80",G414))*80,0)+IFERROR(--ISNUMBER(SEARCH("R81",G414))*81,0)+IFERROR(--ISNUMBER(SEARCH("R82",G414))*82,0)+IFERROR(--ISNUMBER(SEARCH("R83",G414))*83,0)+IFERROR(--ISNUMBER(SEARCH("R84",G414))*84,0)+IFERROR(--ISNUMBER(SEARCH("R85",G414))*85,0)+IFERROR(--ISNUMBER(SEARCH("R86",G414))*86,0)+IFERROR(--ISNUMBER(SEARCH("R87",G414))*87,0)+IFERROR(--ISNUMBER(SEARCH("R88",G414))*88,0)+IFERROR(--ISNUMBER(SEARCH("R89",G414))*89,0)+IFERROR(--ISNUMBER(SEARCH("R90",G414))*90,0)+IFERROR(--ISNUMBER(SEARCH("R91",G414))*91,0)+IFERROR(--ISNUMBER(SEARCH("R92",G414))*92,0)+IFERROR(--ISNUMBER(SEARCH("R93",G414))*93,0)+IFERROR(--ISNUMBER(SEARCH("R94",G414))*94,0)+IFERROR(--ISNUMBER(SEARCH("R95",G414))*95,0)+IFERROR(--ISNUMBER(SEARCH("R96",G414))*96,0)+IFERROR(--ISNUMBER(SEARCH("R97",G414))*97,0)+IFERROR(--ISNUMBER(SEARCH("R98",G414))*98,0)+IFERROR(--ISNUMBER(SEARCH("R99",G414))*99,0)+IFERROR(--ISNUMBER(SEARCH("R100",G414))*100,0)+IFERROR(--ISNUMBER(SEARCH("R101",G414))*101,0)+IFERROR(--ISNUMBER(SEARCH("R102",G414))*102,0)+IFERROR(--ISNUMBER(SEARCH("R103",G414))*103,0)+IFERROR(--ISNUMBER(SEARCH("R104",G414))*104,0)+IFERROR(--ISNUMBER(SEARCH("R105",G414))*105,0)+IFERROR(--ISNUMBER(SEARCH("R106",G414))*106,0)+IFERROR(--ISNUMBER(SEARCH("R107",G414))*107,0)+IFERROR(--ISNUMBER(SEARCH("R108",G414))*108,0)+IFERROR(--ISNUMBER(SEARCH("R109",G414))*109,0)+IFERROR(--ISNUMBER(SEARCH("R110",G414))*110,0)+IFERROR(--ISNUMBER(SEARCH("R111",G414))*111,0)+IFERROR(--ISNUMBER(SEARCH("R112",G414))*112,0)+IFERROR(--ISNUMBER(SEARCH("R113",G414))*113,0)+IFERROR(--ISNUMBER(SEARCH("R114",G414))*114,0)+IFERROR(--ISNUMBER(SEARCH("R115",G414))*115,0)+IFERROR(--ISNUMBER(SEARCH("R116",G414))*116,0)+IFERROR(--ISNUMBER(SEARCH("R117",G414))*117,0)+IFERROR(--ISNUMBER(SEARCH("R118",G414))*118,0)+IFERROR(--ISNUMBER(SEARCH("R119",G414))*119,0)+IFERROR(--ISNUMBER(SEARCH("R120",G414))*120,0)+IFERROR(--ISNUMBER(SEARCH("R121",G414))*121,0)+IFERROR(--ISNUMBER(SEARCH("R122",G414))*122,0)+IFERROR(--ISNUMBER(SEARCH("R123",G414))*123,0)+IFERROR(--ISNUMBER(SEARCH("R124",G414))*124,0)+IFERROR(--ISNUMBER(SEARCH("R125",G414))*125,0)+IFERROR(--ISNUMBER(SEARCH("R126",G414))*126,0)+IFERROR(--ISNUMBER(SEARCH("R127",G414))*127,0)+IFERROR(--ISNUMBER(SEARCH("R128",G414))*128,0)+IFERROR(--ISNUMBER(SEARCH("R129",G414))*129,0)+IFERROR(--ISNUMBER(SEARCH("R130",G414))*130,0)+IFERROR(--ISNUMBER(SEARCH("R131",G414))*131,0)+IFERROR(--ISNUMBER(SEARCH("R132",G414))*132,0)+IFERROR(--ISNUMBER(SEARCH("R133",G414))*133,0)+IFERROR(--ISNUMBER(SEARCH("R134",G414))*134,0)+IFERROR(--ISNUMBER(SEARCH("R135",G414))*135,0)+IFERROR(--ISNUMBER(SEARCH("R136",G414))*136,0)+IFERROR(--ISNUMBER(SEARCH("R137",G414))*137,0)+IFERROR(--ISNUMBER(SEARCH("R138",G414))*138,0)+IFERROR(--ISNUMBER(SEARCH("R139",G414))*139,0)+IFERROR(--ISNUMBER(SEARCH("R140",G414))*140,0)+IFERROR(--ISNUMBER(SEARCH("R141",G414))*141,0))</f>
        <v/>
      </c>
      <c r="V414" s="59">
        <f>IF(A414="","",IF(K414&lt;&gt;"",K414,J414))</f>
        <v/>
      </c>
      <c r="W414" s="59">
        <f>IF(A414="","",IF(AND(V414=29,O414&lt;&gt;"",COUNTIFS($V$6:$V$505,29,$F$6:$F$505,F414,$C$6:$C$505,C414,$O$6:$O$505,"&lt;&gt;")&gt;1),IF(COUNTIFS($V$6:V414,29,$F$6:F414,F414,$C$6:C414,C414,$O$6:O414,"&lt;&gt;")=1,"Esta es la fila que se debe CONSERVAR (aparición 1 de "&amp;COUNTIFS($V$6:$V$505,29,$F$6:$F$505,F414,$C$6:$C$505,C414,$O$6:$O$505,"&lt;&gt;")&amp;" con el mismo tercero y valor, casilla 29). Si hay más filas iguales, bórreles el valor a ELLAS, no a esta.","DUPLICADO — ya existe otra fila con el mismo tercero y valor para casilla 29 (aparición "&amp;COUNTIFS($V$6:V414,29,$F$6:F414,F414,$C$6:C414,C414,$O$6:O414,"&lt;&gt;")&amp;" de "&amp;COUNTIFS($V$6:$V$505,29,$F$6:$F$505,F414,$C$6:$C$505,C414,$O$6:$O$505,"&lt;&gt;")&amp;"). Para resolverlo: seleccione la celda O"&amp;ROW()&amp;" (columna Valor a declarar de ESTA fila) y presione Supr."),""))</f>
        <v/>
      </c>
      <c r="X414" s="463">
        <f>IF(A414="","",F414)</f>
        <v/>
      </c>
      <c r="Y414" s="463">
        <f>IF(A414="","",SUMIF(Entrada_Manual!$I$88:$I$187,A414,Entrada_Manual!$F$88:$F$187))</f>
        <v/>
      </c>
      <c r="Z414" s="463">
        <f>IF(A414="","",X414-Y414)</f>
        <v/>
      </c>
      <c r="AA414">
        <f>IF(A414="","",SUMPRODUCT((Entrada_Manual!$I$88:$I$187=A414)*1))</f>
        <v/>
      </c>
      <c r="AB414">
        <f>IF(A414="","",IF(S414&lt;=1,"",IF(AA414=0,"PENDIENTE — SIN ASIGNAR",IF(Z414=0,"RESUELTO","PARCIAL — DIFERENCIA "&amp;TEXT(Z414,"#,##0")))))</f>
        <v/>
      </c>
    </row>
    <row r="415" ht="14.25" customHeight="1" s="235">
      <c r="A415" s="47">
        <f>IF(Exogena_RAW!E424&lt;&gt;"",ROW()-5,"")</f>
        <v/>
      </c>
      <c r="B415" s="48">
        <f>IF(A415="","",424)</f>
        <v/>
      </c>
      <c r="C415" s="48">
        <f>IF(A415="","",IFERROR(Exogena_RAW!A424,""))</f>
        <v/>
      </c>
      <c r="D415" s="48">
        <f>IF(A415="","",IFERROR(Exogena_RAW!B424,""))</f>
        <v/>
      </c>
      <c r="E415" s="48">
        <f>IF(A415="","",Exogena_RAW!E424)</f>
        <v/>
      </c>
      <c r="F415" s="461">
        <f>IF(A415="","",Exogena_RAW!F424)</f>
        <v/>
      </c>
      <c r="G415" s="48">
        <f>IF(A415="","",IFERROR(Exogena_RAW!G424,""))</f>
        <v/>
      </c>
      <c r="H415" s="48">
        <f>IF(A415="","",IFERROR(Exogena_RAW!H424,""))</f>
        <v/>
      </c>
      <c r="I415" s="48">
        <f>IF(A415="","",IFERROR(IF(S415&gt;1,"VARIAS CASILLAS",IF(S415=1,IF(T415=1,"PROPUESTA DE CASILLA","REVISIÓN: CASILLA NO DIRECTA"),IF(OR(ISNUMBER(SEARCH("TOPE",UPPER(E415))),ISNUMBER(SEARCH("TOPE",UPPER(G415)))),"SOLO CONTROL",IF(ISNUMBER(SEARCH("RETEN",UPPER(E415))),"RETENCIÓN","REVISAR")))),"REVISAR"))</f>
        <v/>
      </c>
      <c r="J415" s="48">
        <f>IF(A415="","",IF(ISNUMBER(SEARCH("ingreso laboral promedio de los últimos seis meses",E415)),"",IFERROR(IF(AND(S415=1,T415=1),U415,""),"")))</f>
        <v/>
      </c>
      <c r="K415" s="216" t="n"/>
      <c r="L415" s="48">
        <f>IF(A415="","",IFERROR(IF(K415&lt;&gt;"","Casilla elegida por usuario",IF(S415&gt;1,"Varias casillas — elegir en K",IF(J415&lt;&gt;"","Sugerencia directa",IF(S415=1,"No trasladar directo — revisar",IF(OR(ISNUMBER(SEARCH("TOPE",UPPER(E415))),ISNUMBER(SEARCH("TOPE",UPPER(G415)))),"Solo control","Revisar manualmente"))))),"Revisar manualmente"))</f>
        <v/>
      </c>
      <c r="M415" s="461">
        <f>IF(A415="","",IF(IF(K415&lt;&gt;"",K415,J415)="",0,IF(COUNTIFS(Reglas!$I$5:$I$118,IF(K415&lt;&gt;"",K415,J415),Reglas!$J$5:$J$118,"Sí")=1,F415,0)))</f>
        <v/>
      </c>
      <c r="N415" s="56" t="n"/>
      <c r="O415" s="462">
        <f>IF(A415="","",IF(M415=0,"",M415))</f>
        <v/>
      </c>
      <c r="P415" s="461">
        <f>IF(A415="","",IF(O415="",0,IF(ISNUMBER(O415),O415,0)))</f>
        <v/>
      </c>
      <c r="Q415" s="48">
        <f>IF(A415="","",IF(Exogena_RAW!$C$4="","BLOQUEADO: FALTA AÑO",IF(Exogena_RAW!$K$10&lt;&gt;Reglas!$B$5,"BLOQUEADO: AÑO",IF(IF(K415&lt;&gt;"",K415,J415)="",IF(S415&gt;1,"REQUIERE ASIGNACIÓN MANUAL (VARIAS CASILLAS)","INFORMATIVO (sin casilla — no se declara)"),IF(COUNTIFS(Reglas!$I$5:$I$118,IF(K415&lt;&gt;"",K415,J415),Reglas!$J$5:$J$118,"Sí")=0,"BLOQUEADO: CASILLA NO DIRECTA",IF(O415="","EXCLUIDO (valor borrado por el usuario)",IF(_xlfn.ISFORMULA(O415),IF(W415&lt;&gt;"","BORRADOR — VALOR SUGERIDO DIAN ⚠ VER ALERTA","BORRADOR — VALOR SUGERIDO DIAN"),IF(W415&lt;&gt;"","ACEPTADO ⚠ VER ALERTA","ACEPTADO"))))))))</f>
        <v/>
      </c>
      <c r="R415" s="218" t="n"/>
      <c r="S415" s="58">
        <f>IF(A415="","",IFERROR(--ISNUMBER(SEARCH("R28",G415)),0)+IFERROR(--ISNUMBER(SEARCH("R29",G415)),0)+IFERROR(--ISNUMBER(SEARCH("R30",G415)),0)+IFERROR(--ISNUMBER(SEARCH("R31",G415)),0)+IFERROR(--ISNUMBER(SEARCH("R32",G415)),0)+IFERROR(--ISNUMBER(SEARCH("R33",G415)),0)+IFERROR(--ISNUMBER(SEARCH("R34",G415)),0)+IFERROR(--ISNUMBER(SEARCH("R35",G415)),0)+IFERROR(--ISNUMBER(SEARCH("R36",G415)),0)+IFERROR(--ISNUMBER(SEARCH("R37",G415)),0)+IFERROR(--ISNUMBER(SEARCH("R38",G415)),0)+IFERROR(--ISNUMBER(SEARCH("R39",G415)),0)+IFERROR(--ISNUMBER(SEARCH("R40",G415)),0)+IFERROR(--ISNUMBER(SEARCH("R41",G415)),0)+IFERROR(--ISNUMBER(SEARCH("R42",G415)),0)+IFERROR(--ISNUMBER(SEARCH("R43",G415)),0)+IFERROR(--ISNUMBER(SEARCH("R44",G415)),0)+IFERROR(--ISNUMBER(SEARCH("R45",G415)),0)+IFERROR(--ISNUMBER(SEARCH("R46",G415)),0)+IFERROR(--ISNUMBER(SEARCH("R47",G415)),0)+IFERROR(--ISNUMBER(SEARCH("R48",G415)),0)+IFERROR(--ISNUMBER(SEARCH("R49",G415)),0)+IFERROR(--ISNUMBER(SEARCH("R50",G415)),0)+IFERROR(--ISNUMBER(SEARCH("R51",G415)),0)+IFERROR(--ISNUMBER(SEARCH("R52",G415)),0)+IFERROR(--ISNUMBER(SEARCH("R53",G415)),0)+IFERROR(--ISNUMBER(SEARCH("R54",G415)),0)+IFERROR(--ISNUMBER(SEARCH("R55",G415)),0)+IFERROR(--ISNUMBER(SEARCH("R56",G415)),0)+IFERROR(--ISNUMBER(SEARCH("R57",G415)),0)+IFERROR(--ISNUMBER(SEARCH("R58",G415)),0)+IFERROR(--ISNUMBER(SEARCH("R59",G415)),0)+IFERROR(--ISNUMBER(SEARCH("R60",G415)),0)+IFERROR(--ISNUMBER(SEARCH("R61",G415)),0)+IFERROR(--ISNUMBER(SEARCH("R62",G415)),0)+IFERROR(--ISNUMBER(SEARCH("R63",G415)),0)+IFERROR(--ISNUMBER(SEARCH("R64",G415)),0)+IFERROR(--ISNUMBER(SEARCH("R65",G415)),0)+IFERROR(--ISNUMBER(SEARCH("R66",G415)),0)+IFERROR(--ISNUMBER(SEARCH("R67",G415)),0)+IFERROR(--ISNUMBER(SEARCH("R68",G415)),0)+IFERROR(--ISNUMBER(SEARCH("R69",G415)),0)+IFERROR(--ISNUMBER(SEARCH("R70",G415)),0)+IFERROR(--ISNUMBER(SEARCH("R71",G415)),0)+IFERROR(--ISNUMBER(SEARCH("R72",G415)),0)+IFERROR(--ISNUMBER(SEARCH("R73",G415)),0)+IFERROR(--ISNUMBER(SEARCH("R74",G415)),0)+IFERROR(--ISNUMBER(SEARCH("R75",G415)),0)+IFERROR(--ISNUMBER(SEARCH("R76",G415)),0)+IFERROR(--ISNUMBER(SEARCH("R77",G415)),0)+IFERROR(--ISNUMBER(SEARCH("R78",G415)),0)+IFERROR(--ISNUMBER(SEARCH("R79",G415)),0)+IFERROR(--ISNUMBER(SEARCH("R80",G415)),0)+IFERROR(--ISNUMBER(SEARCH("R81",G415)),0)+IFERROR(--ISNUMBER(SEARCH("R82",G415)),0)+IFERROR(--ISNUMBER(SEARCH("R83",G415)),0)+IFERROR(--ISNUMBER(SEARCH("R84",G415)),0)+IFERROR(--ISNUMBER(SEARCH("R85",G415)),0)+IFERROR(--ISNUMBER(SEARCH("R86",G415)),0)+IFERROR(--ISNUMBER(SEARCH("R87",G415)),0)+IFERROR(--ISNUMBER(SEARCH("R88",G415)),0)+IFERROR(--ISNUMBER(SEARCH("R89",G415)),0)+IFERROR(--ISNUMBER(SEARCH("R90",G415)),0)+IFERROR(--ISNUMBER(SEARCH("R91",G415)),0)+IFERROR(--ISNUMBER(SEARCH("R92",G415)),0)+IFERROR(--ISNUMBER(SEARCH("R93",G415)),0)+IFERROR(--ISNUMBER(SEARCH("R94",G415)),0)+IFERROR(--ISNUMBER(SEARCH("R95",G415)),0)+IFERROR(--ISNUMBER(SEARCH("R96",G415)),0)+IFERROR(--ISNUMBER(SEARCH("R97",G415)),0)+IFERROR(--ISNUMBER(SEARCH("R98",G415)),0)+IFERROR(--ISNUMBER(SEARCH("R99",G415)),0)+IFERROR(--ISNUMBER(SEARCH("R100",G415)),0)+IFERROR(--ISNUMBER(SEARCH("R101",G415)),0)+IFERROR(--ISNUMBER(SEARCH("R102",G415)),0)+IFERROR(--ISNUMBER(SEARCH("R103",G415)),0)+IFERROR(--ISNUMBER(SEARCH("R104",G415)),0)+IFERROR(--ISNUMBER(SEARCH("R105",G415)),0)+IFERROR(--ISNUMBER(SEARCH("R106",G415)),0)+IFERROR(--ISNUMBER(SEARCH("R107",G415)),0)+IFERROR(--ISNUMBER(SEARCH("R108",G415)),0)+IFERROR(--ISNUMBER(SEARCH("R109",G415)),0)+IFERROR(--ISNUMBER(SEARCH("R110",G415)),0)+IFERROR(--ISNUMBER(SEARCH("R111",G415)),0)+IFERROR(--ISNUMBER(SEARCH("R112",G415)),0)+IFERROR(--ISNUMBER(SEARCH("R113",G415)),0)+IFERROR(--ISNUMBER(SEARCH("R114",G415)),0)+IFERROR(--ISNUMBER(SEARCH("R115",G415)),0)+IFERROR(--ISNUMBER(SEARCH("R116",G415)),0)+IFERROR(--ISNUMBER(SEARCH("R117",G415)),0)+IFERROR(--ISNUMBER(SEARCH("R118",G415)),0)+IFERROR(--ISNUMBER(SEARCH("R119",G415)),0)+IFERROR(--ISNUMBER(SEARCH("R120",G415)),0)+IFERROR(--ISNUMBER(SEARCH("R121",G415)),0)+IFERROR(--ISNUMBER(SEARCH("R122",G415)),0)+IFERROR(--ISNUMBER(SEARCH("R123",G415)),0)+IFERROR(--ISNUMBER(SEARCH("R124",G415)),0)+IFERROR(--ISNUMBER(SEARCH("R125",G415)),0)+IFERROR(--ISNUMBER(SEARCH("R126",G415)),0)+IFERROR(--ISNUMBER(SEARCH("R127",G415)),0)+IFERROR(--ISNUMBER(SEARCH("R128",G415)),0)+IFERROR(--ISNUMBER(SEARCH("R129",G415)),0)+IFERROR(--ISNUMBER(SEARCH("R130",G415)),0)+IFERROR(--ISNUMBER(SEARCH("R131",G415)),0)+IFERROR(--ISNUMBER(SEARCH("R132",G415)),0)+IFERROR(--ISNUMBER(SEARCH("R133",G415)),0)+IFERROR(--ISNUMBER(SEARCH("R134",G415)),0)+IFERROR(--ISNUMBER(SEARCH("R135",G415)),0)+IFERROR(--ISNUMBER(SEARCH("R136",G415)),0)+IFERROR(--ISNUMBER(SEARCH("R137",G415)),0)+IFERROR(--ISNUMBER(SEARCH("R138",G415)),0)+IFERROR(--ISNUMBER(SEARCH("R139",G415)),0)+IFERROR(--ISNUMBER(SEARCH("R140",G415)),0)+IFERROR(--ISNUMBER(SEARCH("R141",G415)),0))</f>
        <v/>
      </c>
      <c r="T415" s="58">
        <f>IF(A415="","",IFERROR(--ISNUMBER(SEARCH("R28",G415)),0)+IFERROR(--ISNUMBER(SEARCH("R29",G415)),0)+IFERROR(--ISNUMBER(SEARCH("R30",G415)),0)+IFERROR(--ISNUMBER(SEARCH("R32",G415)),0)+IFERROR(--ISNUMBER(SEARCH("R33",G415)),0)+IFERROR(--ISNUMBER(SEARCH("R35",G415)),0)+IFERROR(--ISNUMBER(SEARCH("R36",G415)),0)+IFERROR(--ISNUMBER(SEARCH("R38",G415)),0)+IFERROR(--ISNUMBER(SEARCH("R39",G415)),0)+IFERROR(--ISNUMBER(SEARCH("R43",G415)),0)+IFERROR(--ISNUMBER(SEARCH("R44",G415)),0)+IFERROR(--ISNUMBER(SEARCH("R45",G415)),0)+IFERROR(--ISNUMBER(SEARCH("R47",G415)),0)+IFERROR(--ISNUMBER(SEARCH("R48",G415)),0)+IFERROR(--ISNUMBER(SEARCH("R50",G415)),0)+IFERROR(--ISNUMBER(SEARCH("R51",G415)),0)+IFERROR(--ISNUMBER(SEARCH("R56",G415)),0)+IFERROR(--ISNUMBER(SEARCH("R58",G415)),0)+IFERROR(--ISNUMBER(SEARCH("R59",G415)),0)+IFERROR(--ISNUMBER(SEARCH("R60",G415)),0)+IFERROR(--ISNUMBER(SEARCH("R62",G415)),0)+IFERROR(--ISNUMBER(SEARCH("R63",G415)),0)+IFERROR(--ISNUMBER(SEARCH("R64",G415)),0)+IFERROR(--ISNUMBER(SEARCH("R66",G415)),0)+IFERROR(--ISNUMBER(SEARCH("R67",G415)),0)+IFERROR(--ISNUMBER(SEARCH("R72",G415)),0)+IFERROR(--ISNUMBER(SEARCH("R74",G415)),0)+IFERROR(--ISNUMBER(SEARCH("R75",G415)),0)+IFERROR(--ISNUMBER(SEARCH("R76",G415)),0)+IFERROR(--ISNUMBER(SEARCH("R77",G415)),0)+IFERROR(--ISNUMBER(SEARCH("R79",G415)),0)+IFERROR(--ISNUMBER(SEARCH("R80",G415)),0)+IFERROR(--ISNUMBER(SEARCH("R81",G415)),0)+IFERROR(--ISNUMBER(SEARCH("R83",G415)),0)+IFERROR(--ISNUMBER(SEARCH("R84",G415)),0)+IFERROR(--ISNUMBER(SEARCH("R89",G415)),0)+IFERROR(--ISNUMBER(SEARCH("R94",G415)),0)+IFERROR(--ISNUMBER(SEARCH("R95",G415)),0)+IFERROR(--ISNUMBER(SEARCH("R96",G415)),0)+IFERROR(--ISNUMBER(SEARCH("R98",G415)),0)+IFERROR(--ISNUMBER(SEARCH("R99",G415)),0)+IFERROR(--ISNUMBER(SEARCH("R100",G415)),0)+IFERROR(--ISNUMBER(SEARCH("R104",G415)),0)+IFERROR(--ISNUMBER(SEARCH("R105",G415)),0)+IFERROR(--ISNUMBER(SEARCH("R107",G415)),0)+IFERROR(--ISNUMBER(SEARCH("R108",G415)),0)+IFERROR(--ISNUMBER(SEARCH("R109",G415)),0)+IFERROR(--ISNUMBER(SEARCH("R110",G415)),0)+IFERROR(--ISNUMBER(SEARCH("R112",G415)),0)+IFERROR(--ISNUMBER(SEARCH("R113",G415)),0)+IFERROR(--ISNUMBER(SEARCH("R114",G415)),0)+IFERROR(--ISNUMBER(SEARCH("R118",G415)),0)+IFERROR(--ISNUMBER(SEARCH("R119",G415)),0)+IFERROR(--ISNUMBER(SEARCH("R120",G415)),0)+IFERROR(--ISNUMBER(SEARCH("R122",G415)),0)+IFERROR(--ISNUMBER(SEARCH("R123",G415)),0)+IFERROR(--ISNUMBER(SEARCH("R124",G415)),0)+IFERROR(--ISNUMBER(SEARCH("R128",G415)),0)+IFERROR(--ISNUMBER(SEARCH("R130",G415)),0)+IFERROR(--ISNUMBER(SEARCH("R131",G415)),0)+IFERROR(--ISNUMBER(SEARCH("R132",G415)),0)+IFERROR(--ISNUMBER(SEARCH("R135",G415)),0)+IFERROR(--ISNUMBER(SEARCH("R138",G415)),0)+IFERROR(--ISNUMBER(SEARCH("R141",G415)),0))</f>
        <v/>
      </c>
      <c r="U415" s="58">
        <f>IF(A415="","",IFERROR(--ISNUMBER(SEARCH("R28",G415))*28,0)+IFERROR(--ISNUMBER(SEARCH("R29",G415))*29,0)+IFERROR(--ISNUMBER(SEARCH("R30",G415))*30,0)+IFERROR(--ISNUMBER(SEARCH("R31",G415))*31,0)+IFERROR(--ISNUMBER(SEARCH("R32",G415))*32,0)+IFERROR(--ISNUMBER(SEARCH("R33",G415))*33,0)+IFERROR(--ISNUMBER(SEARCH("R34",G415))*34,0)+IFERROR(--ISNUMBER(SEARCH("R35",G415))*35,0)+IFERROR(--ISNUMBER(SEARCH("R36",G415))*36,0)+IFERROR(--ISNUMBER(SEARCH("R37",G415))*37,0)+IFERROR(--ISNUMBER(SEARCH("R38",G415))*38,0)+IFERROR(--ISNUMBER(SEARCH("R39",G415))*39,0)+IFERROR(--ISNUMBER(SEARCH("R40",G415))*40,0)+IFERROR(--ISNUMBER(SEARCH("R41",G415))*41,0)+IFERROR(--ISNUMBER(SEARCH("R42",G415))*42,0)+IFERROR(--ISNUMBER(SEARCH("R43",G415))*43,0)+IFERROR(--ISNUMBER(SEARCH("R44",G415))*44,0)+IFERROR(--ISNUMBER(SEARCH("R45",G415))*45,0)+IFERROR(--ISNUMBER(SEARCH("R46",G415))*46,0)+IFERROR(--ISNUMBER(SEARCH("R47",G415))*47,0)+IFERROR(--ISNUMBER(SEARCH("R48",G415))*48,0)+IFERROR(--ISNUMBER(SEARCH("R49",G415))*49,0)+IFERROR(--ISNUMBER(SEARCH("R50",G415))*50,0)+IFERROR(--ISNUMBER(SEARCH("R51",G415))*51,0)+IFERROR(--ISNUMBER(SEARCH("R52",G415))*52,0)+IFERROR(--ISNUMBER(SEARCH("R53",G415))*53,0)+IFERROR(--ISNUMBER(SEARCH("R54",G415))*54,0)+IFERROR(--ISNUMBER(SEARCH("R55",G415))*55,0)+IFERROR(--ISNUMBER(SEARCH("R56",G415))*56,0)+IFERROR(--ISNUMBER(SEARCH("R57",G415))*57,0)+IFERROR(--ISNUMBER(SEARCH("R58",G415))*58,0)+IFERROR(--ISNUMBER(SEARCH("R59",G415))*59,0)+IFERROR(--ISNUMBER(SEARCH("R60",G415))*60,0)+IFERROR(--ISNUMBER(SEARCH("R61",G415))*61,0)+IFERROR(--ISNUMBER(SEARCH("R62",G415))*62,0)+IFERROR(--ISNUMBER(SEARCH("R63",G415))*63,0)+IFERROR(--ISNUMBER(SEARCH("R64",G415))*64,0)+IFERROR(--ISNUMBER(SEARCH("R65",G415))*65,0)+IFERROR(--ISNUMBER(SEARCH("R66",G415))*66,0)+IFERROR(--ISNUMBER(SEARCH("R67",G415))*67,0)+IFERROR(--ISNUMBER(SEARCH("R68",G415))*68,0)+IFERROR(--ISNUMBER(SEARCH("R69",G415))*69,0)+IFERROR(--ISNUMBER(SEARCH("R70",G415))*70,0)+IFERROR(--ISNUMBER(SEARCH("R71",G415))*71,0)+IFERROR(--ISNUMBER(SEARCH("R72",G415))*72,0)+IFERROR(--ISNUMBER(SEARCH("R73",G415))*73,0)+IFERROR(--ISNUMBER(SEARCH("R74",G415))*74,0)+IFERROR(--ISNUMBER(SEARCH("R75",G415))*75,0)+IFERROR(--ISNUMBER(SEARCH("R76",G415))*76,0)+IFERROR(--ISNUMBER(SEARCH("R77",G415))*77,0)+IFERROR(--ISNUMBER(SEARCH("R78",G415))*78,0)+IFERROR(--ISNUMBER(SEARCH("R79",G415))*79,0)+IFERROR(--ISNUMBER(SEARCH("R80",G415))*80,0)+IFERROR(--ISNUMBER(SEARCH("R81",G415))*81,0)+IFERROR(--ISNUMBER(SEARCH("R82",G415))*82,0)+IFERROR(--ISNUMBER(SEARCH("R83",G415))*83,0)+IFERROR(--ISNUMBER(SEARCH("R84",G415))*84,0)+IFERROR(--ISNUMBER(SEARCH("R85",G415))*85,0)+IFERROR(--ISNUMBER(SEARCH("R86",G415))*86,0)+IFERROR(--ISNUMBER(SEARCH("R87",G415))*87,0)+IFERROR(--ISNUMBER(SEARCH("R88",G415))*88,0)+IFERROR(--ISNUMBER(SEARCH("R89",G415))*89,0)+IFERROR(--ISNUMBER(SEARCH("R90",G415))*90,0)+IFERROR(--ISNUMBER(SEARCH("R91",G415))*91,0)+IFERROR(--ISNUMBER(SEARCH("R92",G415))*92,0)+IFERROR(--ISNUMBER(SEARCH("R93",G415))*93,0)+IFERROR(--ISNUMBER(SEARCH("R94",G415))*94,0)+IFERROR(--ISNUMBER(SEARCH("R95",G415))*95,0)+IFERROR(--ISNUMBER(SEARCH("R96",G415))*96,0)+IFERROR(--ISNUMBER(SEARCH("R97",G415))*97,0)+IFERROR(--ISNUMBER(SEARCH("R98",G415))*98,0)+IFERROR(--ISNUMBER(SEARCH("R99",G415))*99,0)+IFERROR(--ISNUMBER(SEARCH("R100",G415))*100,0)+IFERROR(--ISNUMBER(SEARCH("R101",G415))*101,0)+IFERROR(--ISNUMBER(SEARCH("R102",G415))*102,0)+IFERROR(--ISNUMBER(SEARCH("R103",G415))*103,0)+IFERROR(--ISNUMBER(SEARCH("R104",G415))*104,0)+IFERROR(--ISNUMBER(SEARCH("R105",G415))*105,0)+IFERROR(--ISNUMBER(SEARCH("R106",G415))*106,0)+IFERROR(--ISNUMBER(SEARCH("R107",G415))*107,0)+IFERROR(--ISNUMBER(SEARCH("R108",G415))*108,0)+IFERROR(--ISNUMBER(SEARCH("R109",G415))*109,0)+IFERROR(--ISNUMBER(SEARCH("R110",G415))*110,0)+IFERROR(--ISNUMBER(SEARCH("R111",G415))*111,0)+IFERROR(--ISNUMBER(SEARCH("R112",G415))*112,0)+IFERROR(--ISNUMBER(SEARCH("R113",G415))*113,0)+IFERROR(--ISNUMBER(SEARCH("R114",G415))*114,0)+IFERROR(--ISNUMBER(SEARCH("R115",G415))*115,0)+IFERROR(--ISNUMBER(SEARCH("R116",G415))*116,0)+IFERROR(--ISNUMBER(SEARCH("R117",G415))*117,0)+IFERROR(--ISNUMBER(SEARCH("R118",G415))*118,0)+IFERROR(--ISNUMBER(SEARCH("R119",G415))*119,0)+IFERROR(--ISNUMBER(SEARCH("R120",G415))*120,0)+IFERROR(--ISNUMBER(SEARCH("R121",G415))*121,0)+IFERROR(--ISNUMBER(SEARCH("R122",G415))*122,0)+IFERROR(--ISNUMBER(SEARCH("R123",G415))*123,0)+IFERROR(--ISNUMBER(SEARCH("R124",G415))*124,0)+IFERROR(--ISNUMBER(SEARCH("R125",G415))*125,0)+IFERROR(--ISNUMBER(SEARCH("R126",G415))*126,0)+IFERROR(--ISNUMBER(SEARCH("R127",G415))*127,0)+IFERROR(--ISNUMBER(SEARCH("R128",G415))*128,0)+IFERROR(--ISNUMBER(SEARCH("R129",G415))*129,0)+IFERROR(--ISNUMBER(SEARCH("R130",G415))*130,0)+IFERROR(--ISNUMBER(SEARCH("R131",G415))*131,0)+IFERROR(--ISNUMBER(SEARCH("R132",G415))*132,0)+IFERROR(--ISNUMBER(SEARCH("R133",G415))*133,0)+IFERROR(--ISNUMBER(SEARCH("R134",G415))*134,0)+IFERROR(--ISNUMBER(SEARCH("R135",G415))*135,0)+IFERROR(--ISNUMBER(SEARCH("R136",G415))*136,0)+IFERROR(--ISNUMBER(SEARCH("R137",G415))*137,0)+IFERROR(--ISNUMBER(SEARCH("R138",G415))*138,0)+IFERROR(--ISNUMBER(SEARCH("R139",G415))*139,0)+IFERROR(--ISNUMBER(SEARCH("R140",G415))*140,0)+IFERROR(--ISNUMBER(SEARCH("R141",G415))*141,0))</f>
        <v/>
      </c>
      <c r="V415" s="59">
        <f>IF(A415="","",IF(K415&lt;&gt;"",K415,J415))</f>
        <v/>
      </c>
      <c r="W415" s="59">
        <f>IF(A415="","",IF(AND(V415=29,O415&lt;&gt;"",COUNTIFS($V$6:$V$505,29,$F$6:$F$505,F415,$C$6:$C$505,C415,$O$6:$O$505,"&lt;&gt;")&gt;1),IF(COUNTIFS($V$6:V415,29,$F$6:F415,F415,$C$6:C415,C415,$O$6:O415,"&lt;&gt;")=1,"Esta es la fila que se debe CONSERVAR (aparición 1 de "&amp;COUNTIFS($V$6:$V$505,29,$F$6:$F$505,F415,$C$6:$C$505,C415,$O$6:$O$505,"&lt;&gt;")&amp;" con el mismo tercero y valor, casilla 29). Si hay más filas iguales, bórreles el valor a ELLAS, no a esta.","DUPLICADO — ya existe otra fila con el mismo tercero y valor para casilla 29 (aparición "&amp;COUNTIFS($V$6:V415,29,$F$6:F415,F415,$C$6:C415,C415,$O$6:O415,"&lt;&gt;")&amp;" de "&amp;COUNTIFS($V$6:$V$505,29,$F$6:$F$505,F415,$C$6:$C$505,C415,$O$6:$O$505,"&lt;&gt;")&amp;"). Para resolverlo: seleccione la celda O"&amp;ROW()&amp;" (columna Valor a declarar de ESTA fila) y presione Supr."),""))</f>
        <v/>
      </c>
      <c r="X415" s="463">
        <f>IF(A415="","",F415)</f>
        <v/>
      </c>
      <c r="Y415" s="463">
        <f>IF(A415="","",SUMIF(Entrada_Manual!$I$88:$I$187,A415,Entrada_Manual!$F$88:$F$187))</f>
        <v/>
      </c>
      <c r="Z415" s="463">
        <f>IF(A415="","",X415-Y415)</f>
        <v/>
      </c>
      <c r="AA415">
        <f>IF(A415="","",SUMPRODUCT((Entrada_Manual!$I$88:$I$187=A415)*1))</f>
        <v/>
      </c>
      <c r="AB415">
        <f>IF(A415="","",IF(S415&lt;=1,"",IF(AA415=0,"PENDIENTE — SIN ASIGNAR",IF(Z415=0,"RESUELTO","PARCIAL — DIFERENCIA "&amp;TEXT(Z415,"#,##0")))))</f>
        <v/>
      </c>
    </row>
    <row r="416" ht="14.25" customHeight="1" s="235">
      <c r="A416" s="47">
        <f>IF(Exogena_RAW!E425&lt;&gt;"",ROW()-5,"")</f>
        <v/>
      </c>
      <c r="B416" s="48">
        <f>IF(A416="","",425)</f>
        <v/>
      </c>
      <c r="C416" s="48">
        <f>IF(A416="","",IFERROR(Exogena_RAW!A425,""))</f>
        <v/>
      </c>
      <c r="D416" s="48">
        <f>IF(A416="","",IFERROR(Exogena_RAW!B425,""))</f>
        <v/>
      </c>
      <c r="E416" s="48">
        <f>IF(A416="","",Exogena_RAW!E425)</f>
        <v/>
      </c>
      <c r="F416" s="461">
        <f>IF(A416="","",Exogena_RAW!F425)</f>
        <v/>
      </c>
      <c r="G416" s="48">
        <f>IF(A416="","",IFERROR(Exogena_RAW!G425,""))</f>
        <v/>
      </c>
      <c r="H416" s="48">
        <f>IF(A416="","",IFERROR(Exogena_RAW!H425,""))</f>
        <v/>
      </c>
      <c r="I416" s="48">
        <f>IF(A416="","",IFERROR(IF(S416&gt;1,"VARIAS CASILLAS",IF(S416=1,IF(T416=1,"PROPUESTA DE CASILLA","REVISIÓN: CASILLA NO DIRECTA"),IF(OR(ISNUMBER(SEARCH("TOPE",UPPER(E416))),ISNUMBER(SEARCH("TOPE",UPPER(G416)))),"SOLO CONTROL",IF(ISNUMBER(SEARCH("RETEN",UPPER(E416))),"RETENCIÓN","REVISAR")))),"REVISAR"))</f>
        <v/>
      </c>
      <c r="J416" s="48">
        <f>IF(A416="","",IF(ISNUMBER(SEARCH("ingreso laboral promedio de los últimos seis meses",E416)),"",IFERROR(IF(AND(S416=1,T416=1),U416,""),"")))</f>
        <v/>
      </c>
      <c r="K416" s="216" t="n"/>
      <c r="L416" s="48">
        <f>IF(A416="","",IFERROR(IF(K416&lt;&gt;"","Casilla elegida por usuario",IF(S416&gt;1,"Varias casillas — elegir en K",IF(J416&lt;&gt;"","Sugerencia directa",IF(S416=1,"No trasladar directo — revisar",IF(OR(ISNUMBER(SEARCH("TOPE",UPPER(E416))),ISNUMBER(SEARCH("TOPE",UPPER(G416)))),"Solo control","Revisar manualmente"))))),"Revisar manualmente"))</f>
        <v/>
      </c>
      <c r="M416" s="461">
        <f>IF(A416="","",IF(IF(K416&lt;&gt;"",K416,J416)="",0,IF(COUNTIFS(Reglas!$I$5:$I$118,IF(K416&lt;&gt;"",K416,J416),Reglas!$J$5:$J$118,"Sí")=1,F416,0)))</f>
        <v/>
      </c>
      <c r="N416" s="56" t="n"/>
      <c r="O416" s="462">
        <f>IF(A416="","",IF(M416=0,"",M416))</f>
        <v/>
      </c>
      <c r="P416" s="461">
        <f>IF(A416="","",IF(O416="",0,IF(ISNUMBER(O416),O416,0)))</f>
        <v/>
      </c>
      <c r="Q416" s="48">
        <f>IF(A416="","",IF(Exogena_RAW!$C$4="","BLOQUEADO: FALTA AÑO",IF(Exogena_RAW!$K$10&lt;&gt;Reglas!$B$5,"BLOQUEADO: AÑO",IF(IF(K416&lt;&gt;"",K416,J416)="",IF(S416&gt;1,"REQUIERE ASIGNACIÓN MANUAL (VARIAS CASILLAS)","INFORMATIVO (sin casilla — no se declara)"),IF(COUNTIFS(Reglas!$I$5:$I$118,IF(K416&lt;&gt;"",K416,J416),Reglas!$J$5:$J$118,"Sí")=0,"BLOQUEADO: CASILLA NO DIRECTA",IF(O416="","EXCLUIDO (valor borrado por el usuario)",IF(_xlfn.ISFORMULA(O416),IF(W416&lt;&gt;"","BORRADOR — VALOR SUGERIDO DIAN ⚠ VER ALERTA","BORRADOR — VALOR SUGERIDO DIAN"),IF(W416&lt;&gt;"","ACEPTADO ⚠ VER ALERTA","ACEPTADO"))))))))</f>
        <v/>
      </c>
      <c r="R416" s="218" t="n"/>
      <c r="S416" s="58">
        <f>IF(A416="","",IFERROR(--ISNUMBER(SEARCH("R28",G416)),0)+IFERROR(--ISNUMBER(SEARCH("R29",G416)),0)+IFERROR(--ISNUMBER(SEARCH("R30",G416)),0)+IFERROR(--ISNUMBER(SEARCH("R31",G416)),0)+IFERROR(--ISNUMBER(SEARCH("R32",G416)),0)+IFERROR(--ISNUMBER(SEARCH("R33",G416)),0)+IFERROR(--ISNUMBER(SEARCH("R34",G416)),0)+IFERROR(--ISNUMBER(SEARCH("R35",G416)),0)+IFERROR(--ISNUMBER(SEARCH("R36",G416)),0)+IFERROR(--ISNUMBER(SEARCH("R37",G416)),0)+IFERROR(--ISNUMBER(SEARCH("R38",G416)),0)+IFERROR(--ISNUMBER(SEARCH("R39",G416)),0)+IFERROR(--ISNUMBER(SEARCH("R40",G416)),0)+IFERROR(--ISNUMBER(SEARCH("R41",G416)),0)+IFERROR(--ISNUMBER(SEARCH("R42",G416)),0)+IFERROR(--ISNUMBER(SEARCH("R43",G416)),0)+IFERROR(--ISNUMBER(SEARCH("R44",G416)),0)+IFERROR(--ISNUMBER(SEARCH("R45",G416)),0)+IFERROR(--ISNUMBER(SEARCH("R46",G416)),0)+IFERROR(--ISNUMBER(SEARCH("R47",G416)),0)+IFERROR(--ISNUMBER(SEARCH("R48",G416)),0)+IFERROR(--ISNUMBER(SEARCH("R49",G416)),0)+IFERROR(--ISNUMBER(SEARCH("R50",G416)),0)+IFERROR(--ISNUMBER(SEARCH("R51",G416)),0)+IFERROR(--ISNUMBER(SEARCH("R52",G416)),0)+IFERROR(--ISNUMBER(SEARCH("R53",G416)),0)+IFERROR(--ISNUMBER(SEARCH("R54",G416)),0)+IFERROR(--ISNUMBER(SEARCH("R55",G416)),0)+IFERROR(--ISNUMBER(SEARCH("R56",G416)),0)+IFERROR(--ISNUMBER(SEARCH("R57",G416)),0)+IFERROR(--ISNUMBER(SEARCH("R58",G416)),0)+IFERROR(--ISNUMBER(SEARCH("R59",G416)),0)+IFERROR(--ISNUMBER(SEARCH("R60",G416)),0)+IFERROR(--ISNUMBER(SEARCH("R61",G416)),0)+IFERROR(--ISNUMBER(SEARCH("R62",G416)),0)+IFERROR(--ISNUMBER(SEARCH("R63",G416)),0)+IFERROR(--ISNUMBER(SEARCH("R64",G416)),0)+IFERROR(--ISNUMBER(SEARCH("R65",G416)),0)+IFERROR(--ISNUMBER(SEARCH("R66",G416)),0)+IFERROR(--ISNUMBER(SEARCH("R67",G416)),0)+IFERROR(--ISNUMBER(SEARCH("R68",G416)),0)+IFERROR(--ISNUMBER(SEARCH("R69",G416)),0)+IFERROR(--ISNUMBER(SEARCH("R70",G416)),0)+IFERROR(--ISNUMBER(SEARCH("R71",G416)),0)+IFERROR(--ISNUMBER(SEARCH("R72",G416)),0)+IFERROR(--ISNUMBER(SEARCH("R73",G416)),0)+IFERROR(--ISNUMBER(SEARCH("R74",G416)),0)+IFERROR(--ISNUMBER(SEARCH("R75",G416)),0)+IFERROR(--ISNUMBER(SEARCH("R76",G416)),0)+IFERROR(--ISNUMBER(SEARCH("R77",G416)),0)+IFERROR(--ISNUMBER(SEARCH("R78",G416)),0)+IFERROR(--ISNUMBER(SEARCH("R79",G416)),0)+IFERROR(--ISNUMBER(SEARCH("R80",G416)),0)+IFERROR(--ISNUMBER(SEARCH("R81",G416)),0)+IFERROR(--ISNUMBER(SEARCH("R82",G416)),0)+IFERROR(--ISNUMBER(SEARCH("R83",G416)),0)+IFERROR(--ISNUMBER(SEARCH("R84",G416)),0)+IFERROR(--ISNUMBER(SEARCH("R85",G416)),0)+IFERROR(--ISNUMBER(SEARCH("R86",G416)),0)+IFERROR(--ISNUMBER(SEARCH("R87",G416)),0)+IFERROR(--ISNUMBER(SEARCH("R88",G416)),0)+IFERROR(--ISNUMBER(SEARCH("R89",G416)),0)+IFERROR(--ISNUMBER(SEARCH("R90",G416)),0)+IFERROR(--ISNUMBER(SEARCH("R91",G416)),0)+IFERROR(--ISNUMBER(SEARCH("R92",G416)),0)+IFERROR(--ISNUMBER(SEARCH("R93",G416)),0)+IFERROR(--ISNUMBER(SEARCH("R94",G416)),0)+IFERROR(--ISNUMBER(SEARCH("R95",G416)),0)+IFERROR(--ISNUMBER(SEARCH("R96",G416)),0)+IFERROR(--ISNUMBER(SEARCH("R97",G416)),0)+IFERROR(--ISNUMBER(SEARCH("R98",G416)),0)+IFERROR(--ISNUMBER(SEARCH("R99",G416)),0)+IFERROR(--ISNUMBER(SEARCH("R100",G416)),0)+IFERROR(--ISNUMBER(SEARCH("R101",G416)),0)+IFERROR(--ISNUMBER(SEARCH("R102",G416)),0)+IFERROR(--ISNUMBER(SEARCH("R103",G416)),0)+IFERROR(--ISNUMBER(SEARCH("R104",G416)),0)+IFERROR(--ISNUMBER(SEARCH("R105",G416)),0)+IFERROR(--ISNUMBER(SEARCH("R106",G416)),0)+IFERROR(--ISNUMBER(SEARCH("R107",G416)),0)+IFERROR(--ISNUMBER(SEARCH("R108",G416)),0)+IFERROR(--ISNUMBER(SEARCH("R109",G416)),0)+IFERROR(--ISNUMBER(SEARCH("R110",G416)),0)+IFERROR(--ISNUMBER(SEARCH("R111",G416)),0)+IFERROR(--ISNUMBER(SEARCH("R112",G416)),0)+IFERROR(--ISNUMBER(SEARCH("R113",G416)),0)+IFERROR(--ISNUMBER(SEARCH("R114",G416)),0)+IFERROR(--ISNUMBER(SEARCH("R115",G416)),0)+IFERROR(--ISNUMBER(SEARCH("R116",G416)),0)+IFERROR(--ISNUMBER(SEARCH("R117",G416)),0)+IFERROR(--ISNUMBER(SEARCH("R118",G416)),0)+IFERROR(--ISNUMBER(SEARCH("R119",G416)),0)+IFERROR(--ISNUMBER(SEARCH("R120",G416)),0)+IFERROR(--ISNUMBER(SEARCH("R121",G416)),0)+IFERROR(--ISNUMBER(SEARCH("R122",G416)),0)+IFERROR(--ISNUMBER(SEARCH("R123",G416)),0)+IFERROR(--ISNUMBER(SEARCH("R124",G416)),0)+IFERROR(--ISNUMBER(SEARCH("R125",G416)),0)+IFERROR(--ISNUMBER(SEARCH("R126",G416)),0)+IFERROR(--ISNUMBER(SEARCH("R127",G416)),0)+IFERROR(--ISNUMBER(SEARCH("R128",G416)),0)+IFERROR(--ISNUMBER(SEARCH("R129",G416)),0)+IFERROR(--ISNUMBER(SEARCH("R130",G416)),0)+IFERROR(--ISNUMBER(SEARCH("R131",G416)),0)+IFERROR(--ISNUMBER(SEARCH("R132",G416)),0)+IFERROR(--ISNUMBER(SEARCH("R133",G416)),0)+IFERROR(--ISNUMBER(SEARCH("R134",G416)),0)+IFERROR(--ISNUMBER(SEARCH("R135",G416)),0)+IFERROR(--ISNUMBER(SEARCH("R136",G416)),0)+IFERROR(--ISNUMBER(SEARCH("R137",G416)),0)+IFERROR(--ISNUMBER(SEARCH("R138",G416)),0)+IFERROR(--ISNUMBER(SEARCH("R139",G416)),0)+IFERROR(--ISNUMBER(SEARCH("R140",G416)),0)+IFERROR(--ISNUMBER(SEARCH("R141",G416)),0))</f>
        <v/>
      </c>
      <c r="T416" s="58">
        <f>IF(A416="","",IFERROR(--ISNUMBER(SEARCH("R28",G416)),0)+IFERROR(--ISNUMBER(SEARCH("R29",G416)),0)+IFERROR(--ISNUMBER(SEARCH("R30",G416)),0)+IFERROR(--ISNUMBER(SEARCH("R32",G416)),0)+IFERROR(--ISNUMBER(SEARCH("R33",G416)),0)+IFERROR(--ISNUMBER(SEARCH("R35",G416)),0)+IFERROR(--ISNUMBER(SEARCH("R36",G416)),0)+IFERROR(--ISNUMBER(SEARCH("R38",G416)),0)+IFERROR(--ISNUMBER(SEARCH("R39",G416)),0)+IFERROR(--ISNUMBER(SEARCH("R43",G416)),0)+IFERROR(--ISNUMBER(SEARCH("R44",G416)),0)+IFERROR(--ISNUMBER(SEARCH("R45",G416)),0)+IFERROR(--ISNUMBER(SEARCH("R47",G416)),0)+IFERROR(--ISNUMBER(SEARCH("R48",G416)),0)+IFERROR(--ISNUMBER(SEARCH("R50",G416)),0)+IFERROR(--ISNUMBER(SEARCH("R51",G416)),0)+IFERROR(--ISNUMBER(SEARCH("R56",G416)),0)+IFERROR(--ISNUMBER(SEARCH("R58",G416)),0)+IFERROR(--ISNUMBER(SEARCH("R59",G416)),0)+IFERROR(--ISNUMBER(SEARCH("R60",G416)),0)+IFERROR(--ISNUMBER(SEARCH("R62",G416)),0)+IFERROR(--ISNUMBER(SEARCH("R63",G416)),0)+IFERROR(--ISNUMBER(SEARCH("R64",G416)),0)+IFERROR(--ISNUMBER(SEARCH("R66",G416)),0)+IFERROR(--ISNUMBER(SEARCH("R67",G416)),0)+IFERROR(--ISNUMBER(SEARCH("R72",G416)),0)+IFERROR(--ISNUMBER(SEARCH("R74",G416)),0)+IFERROR(--ISNUMBER(SEARCH("R75",G416)),0)+IFERROR(--ISNUMBER(SEARCH("R76",G416)),0)+IFERROR(--ISNUMBER(SEARCH("R77",G416)),0)+IFERROR(--ISNUMBER(SEARCH("R79",G416)),0)+IFERROR(--ISNUMBER(SEARCH("R80",G416)),0)+IFERROR(--ISNUMBER(SEARCH("R81",G416)),0)+IFERROR(--ISNUMBER(SEARCH("R83",G416)),0)+IFERROR(--ISNUMBER(SEARCH("R84",G416)),0)+IFERROR(--ISNUMBER(SEARCH("R89",G416)),0)+IFERROR(--ISNUMBER(SEARCH("R94",G416)),0)+IFERROR(--ISNUMBER(SEARCH("R95",G416)),0)+IFERROR(--ISNUMBER(SEARCH("R96",G416)),0)+IFERROR(--ISNUMBER(SEARCH("R98",G416)),0)+IFERROR(--ISNUMBER(SEARCH("R99",G416)),0)+IFERROR(--ISNUMBER(SEARCH("R100",G416)),0)+IFERROR(--ISNUMBER(SEARCH("R104",G416)),0)+IFERROR(--ISNUMBER(SEARCH("R105",G416)),0)+IFERROR(--ISNUMBER(SEARCH("R107",G416)),0)+IFERROR(--ISNUMBER(SEARCH("R108",G416)),0)+IFERROR(--ISNUMBER(SEARCH("R109",G416)),0)+IFERROR(--ISNUMBER(SEARCH("R110",G416)),0)+IFERROR(--ISNUMBER(SEARCH("R112",G416)),0)+IFERROR(--ISNUMBER(SEARCH("R113",G416)),0)+IFERROR(--ISNUMBER(SEARCH("R114",G416)),0)+IFERROR(--ISNUMBER(SEARCH("R118",G416)),0)+IFERROR(--ISNUMBER(SEARCH("R119",G416)),0)+IFERROR(--ISNUMBER(SEARCH("R120",G416)),0)+IFERROR(--ISNUMBER(SEARCH("R122",G416)),0)+IFERROR(--ISNUMBER(SEARCH("R123",G416)),0)+IFERROR(--ISNUMBER(SEARCH("R124",G416)),0)+IFERROR(--ISNUMBER(SEARCH("R128",G416)),0)+IFERROR(--ISNUMBER(SEARCH("R130",G416)),0)+IFERROR(--ISNUMBER(SEARCH("R131",G416)),0)+IFERROR(--ISNUMBER(SEARCH("R132",G416)),0)+IFERROR(--ISNUMBER(SEARCH("R135",G416)),0)+IFERROR(--ISNUMBER(SEARCH("R138",G416)),0)+IFERROR(--ISNUMBER(SEARCH("R141",G416)),0))</f>
        <v/>
      </c>
      <c r="U416" s="58">
        <f>IF(A416="","",IFERROR(--ISNUMBER(SEARCH("R28",G416))*28,0)+IFERROR(--ISNUMBER(SEARCH("R29",G416))*29,0)+IFERROR(--ISNUMBER(SEARCH("R30",G416))*30,0)+IFERROR(--ISNUMBER(SEARCH("R31",G416))*31,0)+IFERROR(--ISNUMBER(SEARCH("R32",G416))*32,0)+IFERROR(--ISNUMBER(SEARCH("R33",G416))*33,0)+IFERROR(--ISNUMBER(SEARCH("R34",G416))*34,0)+IFERROR(--ISNUMBER(SEARCH("R35",G416))*35,0)+IFERROR(--ISNUMBER(SEARCH("R36",G416))*36,0)+IFERROR(--ISNUMBER(SEARCH("R37",G416))*37,0)+IFERROR(--ISNUMBER(SEARCH("R38",G416))*38,0)+IFERROR(--ISNUMBER(SEARCH("R39",G416))*39,0)+IFERROR(--ISNUMBER(SEARCH("R40",G416))*40,0)+IFERROR(--ISNUMBER(SEARCH("R41",G416))*41,0)+IFERROR(--ISNUMBER(SEARCH("R42",G416))*42,0)+IFERROR(--ISNUMBER(SEARCH("R43",G416))*43,0)+IFERROR(--ISNUMBER(SEARCH("R44",G416))*44,0)+IFERROR(--ISNUMBER(SEARCH("R45",G416))*45,0)+IFERROR(--ISNUMBER(SEARCH("R46",G416))*46,0)+IFERROR(--ISNUMBER(SEARCH("R47",G416))*47,0)+IFERROR(--ISNUMBER(SEARCH("R48",G416))*48,0)+IFERROR(--ISNUMBER(SEARCH("R49",G416))*49,0)+IFERROR(--ISNUMBER(SEARCH("R50",G416))*50,0)+IFERROR(--ISNUMBER(SEARCH("R51",G416))*51,0)+IFERROR(--ISNUMBER(SEARCH("R52",G416))*52,0)+IFERROR(--ISNUMBER(SEARCH("R53",G416))*53,0)+IFERROR(--ISNUMBER(SEARCH("R54",G416))*54,0)+IFERROR(--ISNUMBER(SEARCH("R55",G416))*55,0)+IFERROR(--ISNUMBER(SEARCH("R56",G416))*56,0)+IFERROR(--ISNUMBER(SEARCH("R57",G416))*57,0)+IFERROR(--ISNUMBER(SEARCH("R58",G416))*58,0)+IFERROR(--ISNUMBER(SEARCH("R59",G416))*59,0)+IFERROR(--ISNUMBER(SEARCH("R60",G416))*60,0)+IFERROR(--ISNUMBER(SEARCH("R61",G416))*61,0)+IFERROR(--ISNUMBER(SEARCH("R62",G416))*62,0)+IFERROR(--ISNUMBER(SEARCH("R63",G416))*63,0)+IFERROR(--ISNUMBER(SEARCH("R64",G416))*64,0)+IFERROR(--ISNUMBER(SEARCH("R65",G416))*65,0)+IFERROR(--ISNUMBER(SEARCH("R66",G416))*66,0)+IFERROR(--ISNUMBER(SEARCH("R67",G416))*67,0)+IFERROR(--ISNUMBER(SEARCH("R68",G416))*68,0)+IFERROR(--ISNUMBER(SEARCH("R69",G416))*69,0)+IFERROR(--ISNUMBER(SEARCH("R70",G416))*70,0)+IFERROR(--ISNUMBER(SEARCH("R71",G416))*71,0)+IFERROR(--ISNUMBER(SEARCH("R72",G416))*72,0)+IFERROR(--ISNUMBER(SEARCH("R73",G416))*73,0)+IFERROR(--ISNUMBER(SEARCH("R74",G416))*74,0)+IFERROR(--ISNUMBER(SEARCH("R75",G416))*75,0)+IFERROR(--ISNUMBER(SEARCH("R76",G416))*76,0)+IFERROR(--ISNUMBER(SEARCH("R77",G416))*77,0)+IFERROR(--ISNUMBER(SEARCH("R78",G416))*78,0)+IFERROR(--ISNUMBER(SEARCH("R79",G416))*79,0)+IFERROR(--ISNUMBER(SEARCH("R80",G416))*80,0)+IFERROR(--ISNUMBER(SEARCH("R81",G416))*81,0)+IFERROR(--ISNUMBER(SEARCH("R82",G416))*82,0)+IFERROR(--ISNUMBER(SEARCH("R83",G416))*83,0)+IFERROR(--ISNUMBER(SEARCH("R84",G416))*84,0)+IFERROR(--ISNUMBER(SEARCH("R85",G416))*85,0)+IFERROR(--ISNUMBER(SEARCH("R86",G416))*86,0)+IFERROR(--ISNUMBER(SEARCH("R87",G416))*87,0)+IFERROR(--ISNUMBER(SEARCH("R88",G416))*88,0)+IFERROR(--ISNUMBER(SEARCH("R89",G416))*89,0)+IFERROR(--ISNUMBER(SEARCH("R90",G416))*90,0)+IFERROR(--ISNUMBER(SEARCH("R91",G416))*91,0)+IFERROR(--ISNUMBER(SEARCH("R92",G416))*92,0)+IFERROR(--ISNUMBER(SEARCH("R93",G416))*93,0)+IFERROR(--ISNUMBER(SEARCH("R94",G416))*94,0)+IFERROR(--ISNUMBER(SEARCH("R95",G416))*95,0)+IFERROR(--ISNUMBER(SEARCH("R96",G416))*96,0)+IFERROR(--ISNUMBER(SEARCH("R97",G416))*97,0)+IFERROR(--ISNUMBER(SEARCH("R98",G416))*98,0)+IFERROR(--ISNUMBER(SEARCH("R99",G416))*99,0)+IFERROR(--ISNUMBER(SEARCH("R100",G416))*100,0)+IFERROR(--ISNUMBER(SEARCH("R101",G416))*101,0)+IFERROR(--ISNUMBER(SEARCH("R102",G416))*102,0)+IFERROR(--ISNUMBER(SEARCH("R103",G416))*103,0)+IFERROR(--ISNUMBER(SEARCH("R104",G416))*104,0)+IFERROR(--ISNUMBER(SEARCH("R105",G416))*105,0)+IFERROR(--ISNUMBER(SEARCH("R106",G416))*106,0)+IFERROR(--ISNUMBER(SEARCH("R107",G416))*107,0)+IFERROR(--ISNUMBER(SEARCH("R108",G416))*108,0)+IFERROR(--ISNUMBER(SEARCH("R109",G416))*109,0)+IFERROR(--ISNUMBER(SEARCH("R110",G416))*110,0)+IFERROR(--ISNUMBER(SEARCH("R111",G416))*111,0)+IFERROR(--ISNUMBER(SEARCH("R112",G416))*112,0)+IFERROR(--ISNUMBER(SEARCH("R113",G416))*113,0)+IFERROR(--ISNUMBER(SEARCH("R114",G416))*114,0)+IFERROR(--ISNUMBER(SEARCH("R115",G416))*115,0)+IFERROR(--ISNUMBER(SEARCH("R116",G416))*116,0)+IFERROR(--ISNUMBER(SEARCH("R117",G416))*117,0)+IFERROR(--ISNUMBER(SEARCH("R118",G416))*118,0)+IFERROR(--ISNUMBER(SEARCH("R119",G416))*119,0)+IFERROR(--ISNUMBER(SEARCH("R120",G416))*120,0)+IFERROR(--ISNUMBER(SEARCH("R121",G416))*121,0)+IFERROR(--ISNUMBER(SEARCH("R122",G416))*122,0)+IFERROR(--ISNUMBER(SEARCH("R123",G416))*123,0)+IFERROR(--ISNUMBER(SEARCH("R124",G416))*124,0)+IFERROR(--ISNUMBER(SEARCH("R125",G416))*125,0)+IFERROR(--ISNUMBER(SEARCH("R126",G416))*126,0)+IFERROR(--ISNUMBER(SEARCH("R127",G416))*127,0)+IFERROR(--ISNUMBER(SEARCH("R128",G416))*128,0)+IFERROR(--ISNUMBER(SEARCH("R129",G416))*129,0)+IFERROR(--ISNUMBER(SEARCH("R130",G416))*130,0)+IFERROR(--ISNUMBER(SEARCH("R131",G416))*131,0)+IFERROR(--ISNUMBER(SEARCH("R132",G416))*132,0)+IFERROR(--ISNUMBER(SEARCH("R133",G416))*133,0)+IFERROR(--ISNUMBER(SEARCH("R134",G416))*134,0)+IFERROR(--ISNUMBER(SEARCH("R135",G416))*135,0)+IFERROR(--ISNUMBER(SEARCH("R136",G416))*136,0)+IFERROR(--ISNUMBER(SEARCH("R137",G416))*137,0)+IFERROR(--ISNUMBER(SEARCH("R138",G416))*138,0)+IFERROR(--ISNUMBER(SEARCH("R139",G416))*139,0)+IFERROR(--ISNUMBER(SEARCH("R140",G416))*140,0)+IFERROR(--ISNUMBER(SEARCH("R141",G416))*141,0))</f>
        <v/>
      </c>
      <c r="V416" s="59">
        <f>IF(A416="","",IF(K416&lt;&gt;"",K416,J416))</f>
        <v/>
      </c>
      <c r="W416" s="59">
        <f>IF(A416="","",IF(AND(V416=29,O416&lt;&gt;"",COUNTIFS($V$6:$V$505,29,$F$6:$F$505,F416,$C$6:$C$505,C416,$O$6:$O$505,"&lt;&gt;")&gt;1),IF(COUNTIFS($V$6:V416,29,$F$6:F416,F416,$C$6:C416,C416,$O$6:O416,"&lt;&gt;")=1,"Esta es la fila que se debe CONSERVAR (aparición 1 de "&amp;COUNTIFS($V$6:$V$505,29,$F$6:$F$505,F416,$C$6:$C$505,C416,$O$6:$O$505,"&lt;&gt;")&amp;" con el mismo tercero y valor, casilla 29). Si hay más filas iguales, bórreles el valor a ELLAS, no a esta.","DUPLICADO — ya existe otra fila con el mismo tercero y valor para casilla 29 (aparición "&amp;COUNTIFS($V$6:V416,29,$F$6:F416,F416,$C$6:C416,C416,$O$6:O416,"&lt;&gt;")&amp;" de "&amp;COUNTIFS($V$6:$V$505,29,$F$6:$F$505,F416,$C$6:$C$505,C416,$O$6:$O$505,"&lt;&gt;")&amp;"). Para resolverlo: seleccione la celda O"&amp;ROW()&amp;" (columna Valor a declarar de ESTA fila) y presione Supr."),""))</f>
        <v/>
      </c>
      <c r="X416" s="463">
        <f>IF(A416="","",F416)</f>
        <v/>
      </c>
      <c r="Y416" s="463">
        <f>IF(A416="","",SUMIF(Entrada_Manual!$I$88:$I$187,A416,Entrada_Manual!$F$88:$F$187))</f>
        <v/>
      </c>
      <c r="Z416" s="463">
        <f>IF(A416="","",X416-Y416)</f>
        <v/>
      </c>
      <c r="AA416">
        <f>IF(A416="","",SUMPRODUCT((Entrada_Manual!$I$88:$I$187=A416)*1))</f>
        <v/>
      </c>
      <c r="AB416">
        <f>IF(A416="","",IF(S416&lt;=1,"",IF(AA416=0,"PENDIENTE — SIN ASIGNAR",IF(Z416=0,"RESUELTO","PARCIAL — DIFERENCIA "&amp;TEXT(Z416,"#,##0")))))</f>
        <v/>
      </c>
    </row>
    <row r="417" ht="14.25" customHeight="1" s="235">
      <c r="A417" s="47">
        <f>IF(Exogena_RAW!E426&lt;&gt;"",ROW()-5,"")</f>
        <v/>
      </c>
      <c r="B417" s="48">
        <f>IF(A417="","",426)</f>
        <v/>
      </c>
      <c r="C417" s="48">
        <f>IF(A417="","",IFERROR(Exogena_RAW!A426,""))</f>
        <v/>
      </c>
      <c r="D417" s="48">
        <f>IF(A417="","",IFERROR(Exogena_RAW!B426,""))</f>
        <v/>
      </c>
      <c r="E417" s="48">
        <f>IF(A417="","",Exogena_RAW!E426)</f>
        <v/>
      </c>
      <c r="F417" s="461">
        <f>IF(A417="","",Exogena_RAW!F426)</f>
        <v/>
      </c>
      <c r="G417" s="48">
        <f>IF(A417="","",IFERROR(Exogena_RAW!G426,""))</f>
        <v/>
      </c>
      <c r="H417" s="48">
        <f>IF(A417="","",IFERROR(Exogena_RAW!H426,""))</f>
        <v/>
      </c>
      <c r="I417" s="48">
        <f>IF(A417="","",IFERROR(IF(S417&gt;1,"VARIAS CASILLAS",IF(S417=1,IF(T417=1,"PROPUESTA DE CASILLA","REVISIÓN: CASILLA NO DIRECTA"),IF(OR(ISNUMBER(SEARCH("TOPE",UPPER(E417))),ISNUMBER(SEARCH("TOPE",UPPER(G417)))),"SOLO CONTROL",IF(ISNUMBER(SEARCH("RETEN",UPPER(E417))),"RETENCIÓN","REVISAR")))),"REVISAR"))</f>
        <v/>
      </c>
      <c r="J417" s="48">
        <f>IF(A417="","",IF(ISNUMBER(SEARCH("ingreso laboral promedio de los últimos seis meses",E417)),"",IFERROR(IF(AND(S417=1,T417=1),U417,""),"")))</f>
        <v/>
      </c>
      <c r="K417" s="216" t="n"/>
      <c r="L417" s="48">
        <f>IF(A417="","",IFERROR(IF(K417&lt;&gt;"","Casilla elegida por usuario",IF(S417&gt;1,"Varias casillas — elegir en K",IF(J417&lt;&gt;"","Sugerencia directa",IF(S417=1,"No trasladar directo — revisar",IF(OR(ISNUMBER(SEARCH("TOPE",UPPER(E417))),ISNUMBER(SEARCH("TOPE",UPPER(G417)))),"Solo control","Revisar manualmente"))))),"Revisar manualmente"))</f>
        <v/>
      </c>
      <c r="M417" s="461">
        <f>IF(A417="","",IF(IF(K417&lt;&gt;"",K417,J417)="",0,IF(COUNTIFS(Reglas!$I$5:$I$118,IF(K417&lt;&gt;"",K417,J417),Reglas!$J$5:$J$118,"Sí")=1,F417,0)))</f>
        <v/>
      </c>
      <c r="N417" s="56" t="n"/>
      <c r="O417" s="462">
        <f>IF(A417="","",IF(M417=0,"",M417))</f>
        <v/>
      </c>
      <c r="P417" s="461">
        <f>IF(A417="","",IF(O417="",0,IF(ISNUMBER(O417),O417,0)))</f>
        <v/>
      </c>
      <c r="Q417" s="48">
        <f>IF(A417="","",IF(Exogena_RAW!$C$4="","BLOQUEADO: FALTA AÑO",IF(Exogena_RAW!$K$10&lt;&gt;Reglas!$B$5,"BLOQUEADO: AÑO",IF(IF(K417&lt;&gt;"",K417,J417)="",IF(S417&gt;1,"REQUIERE ASIGNACIÓN MANUAL (VARIAS CASILLAS)","INFORMATIVO (sin casilla — no se declara)"),IF(COUNTIFS(Reglas!$I$5:$I$118,IF(K417&lt;&gt;"",K417,J417),Reglas!$J$5:$J$118,"Sí")=0,"BLOQUEADO: CASILLA NO DIRECTA",IF(O417="","EXCLUIDO (valor borrado por el usuario)",IF(_xlfn.ISFORMULA(O417),IF(W417&lt;&gt;"","BORRADOR — VALOR SUGERIDO DIAN ⚠ VER ALERTA","BORRADOR — VALOR SUGERIDO DIAN"),IF(W417&lt;&gt;"","ACEPTADO ⚠ VER ALERTA","ACEPTADO"))))))))</f>
        <v/>
      </c>
      <c r="R417" s="218" t="n"/>
      <c r="S417" s="58">
        <f>IF(A417="","",IFERROR(--ISNUMBER(SEARCH("R28",G417)),0)+IFERROR(--ISNUMBER(SEARCH("R29",G417)),0)+IFERROR(--ISNUMBER(SEARCH("R30",G417)),0)+IFERROR(--ISNUMBER(SEARCH("R31",G417)),0)+IFERROR(--ISNUMBER(SEARCH("R32",G417)),0)+IFERROR(--ISNUMBER(SEARCH("R33",G417)),0)+IFERROR(--ISNUMBER(SEARCH("R34",G417)),0)+IFERROR(--ISNUMBER(SEARCH("R35",G417)),0)+IFERROR(--ISNUMBER(SEARCH("R36",G417)),0)+IFERROR(--ISNUMBER(SEARCH("R37",G417)),0)+IFERROR(--ISNUMBER(SEARCH("R38",G417)),0)+IFERROR(--ISNUMBER(SEARCH("R39",G417)),0)+IFERROR(--ISNUMBER(SEARCH("R40",G417)),0)+IFERROR(--ISNUMBER(SEARCH("R41",G417)),0)+IFERROR(--ISNUMBER(SEARCH("R42",G417)),0)+IFERROR(--ISNUMBER(SEARCH("R43",G417)),0)+IFERROR(--ISNUMBER(SEARCH("R44",G417)),0)+IFERROR(--ISNUMBER(SEARCH("R45",G417)),0)+IFERROR(--ISNUMBER(SEARCH("R46",G417)),0)+IFERROR(--ISNUMBER(SEARCH("R47",G417)),0)+IFERROR(--ISNUMBER(SEARCH("R48",G417)),0)+IFERROR(--ISNUMBER(SEARCH("R49",G417)),0)+IFERROR(--ISNUMBER(SEARCH("R50",G417)),0)+IFERROR(--ISNUMBER(SEARCH("R51",G417)),0)+IFERROR(--ISNUMBER(SEARCH("R52",G417)),0)+IFERROR(--ISNUMBER(SEARCH("R53",G417)),0)+IFERROR(--ISNUMBER(SEARCH("R54",G417)),0)+IFERROR(--ISNUMBER(SEARCH("R55",G417)),0)+IFERROR(--ISNUMBER(SEARCH("R56",G417)),0)+IFERROR(--ISNUMBER(SEARCH("R57",G417)),0)+IFERROR(--ISNUMBER(SEARCH("R58",G417)),0)+IFERROR(--ISNUMBER(SEARCH("R59",G417)),0)+IFERROR(--ISNUMBER(SEARCH("R60",G417)),0)+IFERROR(--ISNUMBER(SEARCH("R61",G417)),0)+IFERROR(--ISNUMBER(SEARCH("R62",G417)),0)+IFERROR(--ISNUMBER(SEARCH("R63",G417)),0)+IFERROR(--ISNUMBER(SEARCH("R64",G417)),0)+IFERROR(--ISNUMBER(SEARCH("R65",G417)),0)+IFERROR(--ISNUMBER(SEARCH("R66",G417)),0)+IFERROR(--ISNUMBER(SEARCH("R67",G417)),0)+IFERROR(--ISNUMBER(SEARCH("R68",G417)),0)+IFERROR(--ISNUMBER(SEARCH("R69",G417)),0)+IFERROR(--ISNUMBER(SEARCH("R70",G417)),0)+IFERROR(--ISNUMBER(SEARCH("R71",G417)),0)+IFERROR(--ISNUMBER(SEARCH("R72",G417)),0)+IFERROR(--ISNUMBER(SEARCH("R73",G417)),0)+IFERROR(--ISNUMBER(SEARCH("R74",G417)),0)+IFERROR(--ISNUMBER(SEARCH("R75",G417)),0)+IFERROR(--ISNUMBER(SEARCH("R76",G417)),0)+IFERROR(--ISNUMBER(SEARCH("R77",G417)),0)+IFERROR(--ISNUMBER(SEARCH("R78",G417)),0)+IFERROR(--ISNUMBER(SEARCH("R79",G417)),0)+IFERROR(--ISNUMBER(SEARCH("R80",G417)),0)+IFERROR(--ISNUMBER(SEARCH("R81",G417)),0)+IFERROR(--ISNUMBER(SEARCH("R82",G417)),0)+IFERROR(--ISNUMBER(SEARCH("R83",G417)),0)+IFERROR(--ISNUMBER(SEARCH("R84",G417)),0)+IFERROR(--ISNUMBER(SEARCH("R85",G417)),0)+IFERROR(--ISNUMBER(SEARCH("R86",G417)),0)+IFERROR(--ISNUMBER(SEARCH("R87",G417)),0)+IFERROR(--ISNUMBER(SEARCH("R88",G417)),0)+IFERROR(--ISNUMBER(SEARCH("R89",G417)),0)+IFERROR(--ISNUMBER(SEARCH("R90",G417)),0)+IFERROR(--ISNUMBER(SEARCH("R91",G417)),0)+IFERROR(--ISNUMBER(SEARCH("R92",G417)),0)+IFERROR(--ISNUMBER(SEARCH("R93",G417)),0)+IFERROR(--ISNUMBER(SEARCH("R94",G417)),0)+IFERROR(--ISNUMBER(SEARCH("R95",G417)),0)+IFERROR(--ISNUMBER(SEARCH("R96",G417)),0)+IFERROR(--ISNUMBER(SEARCH("R97",G417)),0)+IFERROR(--ISNUMBER(SEARCH("R98",G417)),0)+IFERROR(--ISNUMBER(SEARCH("R99",G417)),0)+IFERROR(--ISNUMBER(SEARCH("R100",G417)),0)+IFERROR(--ISNUMBER(SEARCH("R101",G417)),0)+IFERROR(--ISNUMBER(SEARCH("R102",G417)),0)+IFERROR(--ISNUMBER(SEARCH("R103",G417)),0)+IFERROR(--ISNUMBER(SEARCH("R104",G417)),0)+IFERROR(--ISNUMBER(SEARCH("R105",G417)),0)+IFERROR(--ISNUMBER(SEARCH("R106",G417)),0)+IFERROR(--ISNUMBER(SEARCH("R107",G417)),0)+IFERROR(--ISNUMBER(SEARCH("R108",G417)),0)+IFERROR(--ISNUMBER(SEARCH("R109",G417)),0)+IFERROR(--ISNUMBER(SEARCH("R110",G417)),0)+IFERROR(--ISNUMBER(SEARCH("R111",G417)),0)+IFERROR(--ISNUMBER(SEARCH("R112",G417)),0)+IFERROR(--ISNUMBER(SEARCH("R113",G417)),0)+IFERROR(--ISNUMBER(SEARCH("R114",G417)),0)+IFERROR(--ISNUMBER(SEARCH("R115",G417)),0)+IFERROR(--ISNUMBER(SEARCH("R116",G417)),0)+IFERROR(--ISNUMBER(SEARCH("R117",G417)),0)+IFERROR(--ISNUMBER(SEARCH("R118",G417)),0)+IFERROR(--ISNUMBER(SEARCH("R119",G417)),0)+IFERROR(--ISNUMBER(SEARCH("R120",G417)),0)+IFERROR(--ISNUMBER(SEARCH("R121",G417)),0)+IFERROR(--ISNUMBER(SEARCH("R122",G417)),0)+IFERROR(--ISNUMBER(SEARCH("R123",G417)),0)+IFERROR(--ISNUMBER(SEARCH("R124",G417)),0)+IFERROR(--ISNUMBER(SEARCH("R125",G417)),0)+IFERROR(--ISNUMBER(SEARCH("R126",G417)),0)+IFERROR(--ISNUMBER(SEARCH("R127",G417)),0)+IFERROR(--ISNUMBER(SEARCH("R128",G417)),0)+IFERROR(--ISNUMBER(SEARCH("R129",G417)),0)+IFERROR(--ISNUMBER(SEARCH("R130",G417)),0)+IFERROR(--ISNUMBER(SEARCH("R131",G417)),0)+IFERROR(--ISNUMBER(SEARCH("R132",G417)),0)+IFERROR(--ISNUMBER(SEARCH("R133",G417)),0)+IFERROR(--ISNUMBER(SEARCH("R134",G417)),0)+IFERROR(--ISNUMBER(SEARCH("R135",G417)),0)+IFERROR(--ISNUMBER(SEARCH("R136",G417)),0)+IFERROR(--ISNUMBER(SEARCH("R137",G417)),0)+IFERROR(--ISNUMBER(SEARCH("R138",G417)),0)+IFERROR(--ISNUMBER(SEARCH("R139",G417)),0)+IFERROR(--ISNUMBER(SEARCH("R140",G417)),0)+IFERROR(--ISNUMBER(SEARCH("R141",G417)),0))</f>
        <v/>
      </c>
      <c r="T417" s="58">
        <f>IF(A417="","",IFERROR(--ISNUMBER(SEARCH("R28",G417)),0)+IFERROR(--ISNUMBER(SEARCH("R29",G417)),0)+IFERROR(--ISNUMBER(SEARCH("R30",G417)),0)+IFERROR(--ISNUMBER(SEARCH("R32",G417)),0)+IFERROR(--ISNUMBER(SEARCH("R33",G417)),0)+IFERROR(--ISNUMBER(SEARCH("R35",G417)),0)+IFERROR(--ISNUMBER(SEARCH("R36",G417)),0)+IFERROR(--ISNUMBER(SEARCH("R38",G417)),0)+IFERROR(--ISNUMBER(SEARCH("R39",G417)),0)+IFERROR(--ISNUMBER(SEARCH("R43",G417)),0)+IFERROR(--ISNUMBER(SEARCH("R44",G417)),0)+IFERROR(--ISNUMBER(SEARCH("R45",G417)),0)+IFERROR(--ISNUMBER(SEARCH("R47",G417)),0)+IFERROR(--ISNUMBER(SEARCH("R48",G417)),0)+IFERROR(--ISNUMBER(SEARCH("R50",G417)),0)+IFERROR(--ISNUMBER(SEARCH("R51",G417)),0)+IFERROR(--ISNUMBER(SEARCH("R56",G417)),0)+IFERROR(--ISNUMBER(SEARCH("R58",G417)),0)+IFERROR(--ISNUMBER(SEARCH("R59",G417)),0)+IFERROR(--ISNUMBER(SEARCH("R60",G417)),0)+IFERROR(--ISNUMBER(SEARCH("R62",G417)),0)+IFERROR(--ISNUMBER(SEARCH("R63",G417)),0)+IFERROR(--ISNUMBER(SEARCH("R64",G417)),0)+IFERROR(--ISNUMBER(SEARCH("R66",G417)),0)+IFERROR(--ISNUMBER(SEARCH("R67",G417)),0)+IFERROR(--ISNUMBER(SEARCH("R72",G417)),0)+IFERROR(--ISNUMBER(SEARCH("R74",G417)),0)+IFERROR(--ISNUMBER(SEARCH("R75",G417)),0)+IFERROR(--ISNUMBER(SEARCH("R76",G417)),0)+IFERROR(--ISNUMBER(SEARCH("R77",G417)),0)+IFERROR(--ISNUMBER(SEARCH("R79",G417)),0)+IFERROR(--ISNUMBER(SEARCH("R80",G417)),0)+IFERROR(--ISNUMBER(SEARCH("R81",G417)),0)+IFERROR(--ISNUMBER(SEARCH("R83",G417)),0)+IFERROR(--ISNUMBER(SEARCH("R84",G417)),0)+IFERROR(--ISNUMBER(SEARCH("R89",G417)),0)+IFERROR(--ISNUMBER(SEARCH("R94",G417)),0)+IFERROR(--ISNUMBER(SEARCH("R95",G417)),0)+IFERROR(--ISNUMBER(SEARCH("R96",G417)),0)+IFERROR(--ISNUMBER(SEARCH("R98",G417)),0)+IFERROR(--ISNUMBER(SEARCH("R99",G417)),0)+IFERROR(--ISNUMBER(SEARCH("R100",G417)),0)+IFERROR(--ISNUMBER(SEARCH("R104",G417)),0)+IFERROR(--ISNUMBER(SEARCH("R105",G417)),0)+IFERROR(--ISNUMBER(SEARCH("R107",G417)),0)+IFERROR(--ISNUMBER(SEARCH("R108",G417)),0)+IFERROR(--ISNUMBER(SEARCH("R109",G417)),0)+IFERROR(--ISNUMBER(SEARCH("R110",G417)),0)+IFERROR(--ISNUMBER(SEARCH("R112",G417)),0)+IFERROR(--ISNUMBER(SEARCH("R113",G417)),0)+IFERROR(--ISNUMBER(SEARCH("R114",G417)),0)+IFERROR(--ISNUMBER(SEARCH("R118",G417)),0)+IFERROR(--ISNUMBER(SEARCH("R119",G417)),0)+IFERROR(--ISNUMBER(SEARCH("R120",G417)),0)+IFERROR(--ISNUMBER(SEARCH("R122",G417)),0)+IFERROR(--ISNUMBER(SEARCH("R123",G417)),0)+IFERROR(--ISNUMBER(SEARCH("R124",G417)),0)+IFERROR(--ISNUMBER(SEARCH("R128",G417)),0)+IFERROR(--ISNUMBER(SEARCH("R130",G417)),0)+IFERROR(--ISNUMBER(SEARCH("R131",G417)),0)+IFERROR(--ISNUMBER(SEARCH("R132",G417)),0)+IFERROR(--ISNUMBER(SEARCH("R135",G417)),0)+IFERROR(--ISNUMBER(SEARCH("R138",G417)),0)+IFERROR(--ISNUMBER(SEARCH("R141",G417)),0))</f>
        <v/>
      </c>
      <c r="U417" s="58">
        <f>IF(A417="","",IFERROR(--ISNUMBER(SEARCH("R28",G417))*28,0)+IFERROR(--ISNUMBER(SEARCH("R29",G417))*29,0)+IFERROR(--ISNUMBER(SEARCH("R30",G417))*30,0)+IFERROR(--ISNUMBER(SEARCH("R31",G417))*31,0)+IFERROR(--ISNUMBER(SEARCH("R32",G417))*32,0)+IFERROR(--ISNUMBER(SEARCH("R33",G417))*33,0)+IFERROR(--ISNUMBER(SEARCH("R34",G417))*34,0)+IFERROR(--ISNUMBER(SEARCH("R35",G417))*35,0)+IFERROR(--ISNUMBER(SEARCH("R36",G417))*36,0)+IFERROR(--ISNUMBER(SEARCH("R37",G417))*37,0)+IFERROR(--ISNUMBER(SEARCH("R38",G417))*38,0)+IFERROR(--ISNUMBER(SEARCH("R39",G417))*39,0)+IFERROR(--ISNUMBER(SEARCH("R40",G417))*40,0)+IFERROR(--ISNUMBER(SEARCH("R41",G417))*41,0)+IFERROR(--ISNUMBER(SEARCH("R42",G417))*42,0)+IFERROR(--ISNUMBER(SEARCH("R43",G417))*43,0)+IFERROR(--ISNUMBER(SEARCH("R44",G417))*44,0)+IFERROR(--ISNUMBER(SEARCH("R45",G417))*45,0)+IFERROR(--ISNUMBER(SEARCH("R46",G417))*46,0)+IFERROR(--ISNUMBER(SEARCH("R47",G417))*47,0)+IFERROR(--ISNUMBER(SEARCH("R48",G417))*48,0)+IFERROR(--ISNUMBER(SEARCH("R49",G417))*49,0)+IFERROR(--ISNUMBER(SEARCH("R50",G417))*50,0)+IFERROR(--ISNUMBER(SEARCH("R51",G417))*51,0)+IFERROR(--ISNUMBER(SEARCH("R52",G417))*52,0)+IFERROR(--ISNUMBER(SEARCH("R53",G417))*53,0)+IFERROR(--ISNUMBER(SEARCH("R54",G417))*54,0)+IFERROR(--ISNUMBER(SEARCH("R55",G417))*55,0)+IFERROR(--ISNUMBER(SEARCH("R56",G417))*56,0)+IFERROR(--ISNUMBER(SEARCH("R57",G417))*57,0)+IFERROR(--ISNUMBER(SEARCH("R58",G417))*58,0)+IFERROR(--ISNUMBER(SEARCH("R59",G417))*59,0)+IFERROR(--ISNUMBER(SEARCH("R60",G417))*60,0)+IFERROR(--ISNUMBER(SEARCH("R61",G417))*61,0)+IFERROR(--ISNUMBER(SEARCH("R62",G417))*62,0)+IFERROR(--ISNUMBER(SEARCH("R63",G417))*63,0)+IFERROR(--ISNUMBER(SEARCH("R64",G417))*64,0)+IFERROR(--ISNUMBER(SEARCH("R65",G417))*65,0)+IFERROR(--ISNUMBER(SEARCH("R66",G417))*66,0)+IFERROR(--ISNUMBER(SEARCH("R67",G417))*67,0)+IFERROR(--ISNUMBER(SEARCH("R68",G417))*68,0)+IFERROR(--ISNUMBER(SEARCH("R69",G417))*69,0)+IFERROR(--ISNUMBER(SEARCH("R70",G417))*70,0)+IFERROR(--ISNUMBER(SEARCH("R71",G417))*71,0)+IFERROR(--ISNUMBER(SEARCH("R72",G417))*72,0)+IFERROR(--ISNUMBER(SEARCH("R73",G417))*73,0)+IFERROR(--ISNUMBER(SEARCH("R74",G417))*74,0)+IFERROR(--ISNUMBER(SEARCH("R75",G417))*75,0)+IFERROR(--ISNUMBER(SEARCH("R76",G417))*76,0)+IFERROR(--ISNUMBER(SEARCH("R77",G417))*77,0)+IFERROR(--ISNUMBER(SEARCH("R78",G417))*78,0)+IFERROR(--ISNUMBER(SEARCH("R79",G417))*79,0)+IFERROR(--ISNUMBER(SEARCH("R80",G417))*80,0)+IFERROR(--ISNUMBER(SEARCH("R81",G417))*81,0)+IFERROR(--ISNUMBER(SEARCH("R82",G417))*82,0)+IFERROR(--ISNUMBER(SEARCH("R83",G417))*83,0)+IFERROR(--ISNUMBER(SEARCH("R84",G417))*84,0)+IFERROR(--ISNUMBER(SEARCH("R85",G417))*85,0)+IFERROR(--ISNUMBER(SEARCH("R86",G417))*86,0)+IFERROR(--ISNUMBER(SEARCH("R87",G417))*87,0)+IFERROR(--ISNUMBER(SEARCH("R88",G417))*88,0)+IFERROR(--ISNUMBER(SEARCH("R89",G417))*89,0)+IFERROR(--ISNUMBER(SEARCH("R90",G417))*90,0)+IFERROR(--ISNUMBER(SEARCH("R91",G417))*91,0)+IFERROR(--ISNUMBER(SEARCH("R92",G417))*92,0)+IFERROR(--ISNUMBER(SEARCH("R93",G417))*93,0)+IFERROR(--ISNUMBER(SEARCH("R94",G417))*94,0)+IFERROR(--ISNUMBER(SEARCH("R95",G417))*95,0)+IFERROR(--ISNUMBER(SEARCH("R96",G417))*96,0)+IFERROR(--ISNUMBER(SEARCH("R97",G417))*97,0)+IFERROR(--ISNUMBER(SEARCH("R98",G417))*98,0)+IFERROR(--ISNUMBER(SEARCH("R99",G417))*99,0)+IFERROR(--ISNUMBER(SEARCH("R100",G417))*100,0)+IFERROR(--ISNUMBER(SEARCH("R101",G417))*101,0)+IFERROR(--ISNUMBER(SEARCH("R102",G417))*102,0)+IFERROR(--ISNUMBER(SEARCH("R103",G417))*103,0)+IFERROR(--ISNUMBER(SEARCH("R104",G417))*104,0)+IFERROR(--ISNUMBER(SEARCH("R105",G417))*105,0)+IFERROR(--ISNUMBER(SEARCH("R106",G417))*106,0)+IFERROR(--ISNUMBER(SEARCH("R107",G417))*107,0)+IFERROR(--ISNUMBER(SEARCH("R108",G417))*108,0)+IFERROR(--ISNUMBER(SEARCH("R109",G417))*109,0)+IFERROR(--ISNUMBER(SEARCH("R110",G417))*110,0)+IFERROR(--ISNUMBER(SEARCH("R111",G417))*111,0)+IFERROR(--ISNUMBER(SEARCH("R112",G417))*112,0)+IFERROR(--ISNUMBER(SEARCH("R113",G417))*113,0)+IFERROR(--ISNUMBER(SEARCH("R114",G417))*114,0)+IFERROR(--ISNUMBER(SEARCH("R115",G417))*115,0)+IFERROR(--ISNUMBER(SEARCH("R116",G417))*116,0)+IFERROR(--ISNUMBER(SEARCH("R117",G417))*117,0)+IFERROR(--ISNUMBER(SEARCH("R118",G417))*118,0)+IFERROR(--ISNUMBER(SEARCH("R119",G417))*119,0)+IFERROR(--ISNUMBER(SEARCH("R120",G417))*120,0)+IFERROR(--ISNUMBER(SEARCH("R121",G417))*121,0)+IFERROR(--ISNUMBER(SEARCH("R122",G417))*122,0)+IFERROR(--ISNUMBER(SEARCH("R123",G417))*123,0)+IFERROR(--ISNUMBER(SEARCH("R124",G417))*124,0)+IFERROR(--ISNUMBER(SEARCH("R125",G417))*125,0)+IFERROR(--ISNUMBER(SEARCH("R126",G417))*126,0)+IFERROR(--ISNUMBER(SEARCH("R127",G417))*127,0)+IFERROR(--ISNUMBER(SEARCH("R128",G417))*128,0)+IFERROR(--ISNUMBER(SEARCH("R129",G417))*129,0)+IFERROR(--ISNUMBER(SEARCH("R130",G417))*130,0)+IFERROR(--ISNUMBER(SEARCH("R131",G417))*131,0)+IFERROR(--ISNUMBER(SEARCH("R132",G417))*132,0)+IFERROR(--ISNUMBER(SEARCH("R133",G417))*133,0)+IFERROR(--ISNUMBER(SEARCH("R134",G417))*134,0)+IFERROR(--ISNUMBER(SEARCH("R135",G417))*135,0)+IFERROR(--ISNUMBER(SEARCH("R136",G417))*136,0)+IFERROR(--ISNUMBER(SEARCH("R137",G417))*137,0)+IFERROR(--ISNUMBER(SEARCH("R138",G417))*138,0)+IFERROR(--ISNUMBER(SEARCH("R139",G417))*139,0)+IFERROR(--ISNUMBER(SEARCH("R140",G417))*140,0)+IFERROR(--ISNUMBER(SEARCH("R141",G417))*141,0))</f>
        <v/>
      </c>
      <c r="V417" s="59">
        <f>IF(A417="","",IF(K417&lt;&gt;"",K417,J417))</f>
        <v/>
      </c>
      <c r="W417" s="59">
        <f>IF(A417="","",IF(AND(V417=29,O417&lt;&gt;"",COUNTIFS($V$6:$V$505,29,$F$6:$F$505,F417,$C$6:$C$505,C417,$O$6:$O$505,"&lt;&gt;")&gt;1),IF(COUNTIFS($V$6:V417,29,$F$6:F417,F417,$C$6:C417,C417,$O$6:O417,"&lt;&gt;")=1,"Esta es la fila que se debe CONSERVAR (aparición 1 de "&amp;COUNTIFS($V$6:$V$505,29,$F$6:$F$505,F417,$C$6:$C$505,C417,$O$6:$O$505,"&lt;&gt;")&amp;" con el mismo tercero y valor, casilla 29). Si hay más filas iguales, bórreles el valor a ELLAS, no a esta.","DUPLICADO — ya existe otra fila con el mismo tercero y valor para casilla 29 (aparición "&amp;COUNTIFS($V$6:V417,29,$F$6:F417,F417,$C$6:C417,C417,$O$6:O417,"&lt;&gt;")&amp;" de "&amp;COUNTIFS($V$6:$V$505,29,$F$6:$F$505,F417,$C$6:$C$505,C417,$O$6:$O$505,"&lt;&gt;")&amp;"). Para resolverlo: seleccione la celda O"&amp;ROW()&amp;" (columna Valor a declarar de ESTA fila) y presione Supr."),""))</f>
        <v/>
      </c>
      <c r="X417" s="463">
        <f>IF(A417="","",F417)</f>
        <v/>
      </c>
      <c r="Y417" s="463">
        <f>IF(A417="","",SUMIF(Entrada_Manual!$I$88:$I$187,A417,Entrada_Manual!$F$88:$F$187))</f>
        <v/>
      </c>
      <c r="Z417" s="463">
        <f>IF(A417="","",X417-Y417)</f>
        <v/>
      </c>
      <c r="AA417">
        <f>IF(A417="","",SUMPRODUCT((Entrada_Manual!$I$88:$I$187=A417)*1))</f>
        <v/>
      </c>
      <c r="AB417">
        <f>IF(A417="","",IF(S417&lt;=1,"",IF(AA417=0,"PENDIENTE — SIN ASIGNAR",IF(Z417=0,"RESUELTO","PARCIAL — DIFERENCIA "&amp;TEXT(Z417,"#,##0")))))</f>
        <v/>
      </c>
    </row>
    <row r="418" ht="14.25" customHeight="1" s="235">
      <c r="A418" s="47">
        <f>IF(Exogena_RAW!E427&lt;&gt;"",ROW()-5,"")</f>
        <v/>
      </c>
      <c r="B418" s="48">
        <f>IF(A418="","",427)</f>
        <v/>
      </c>
      <c r="C418" s="48">
        <f>IF(A418="","",IFERROR(Exogena_RAW!A427,""))</f>
        <v/>
      </c>
      <c r="D418" s="48">
        <f>IF(A418="","",IFERROR(Exogena_RAW!B427,""))</f>
        <v/>
      </c>
      <c r="E418" s="48">
        <f>IF(A418="","",Exogena_RAW!E427)</f>
        <v/>
      </c>
      <c r="F418" s="461">
        <f>IF(A418="","",Exogena_RAW!F427)</f>
        <v/>
      </c>
      <c r="G418" s="48">
        <f>IF(A418="","",IFERROR(Exogena_RAW!G427,""))</f>
        <v/>
      </c>
      <c r="H418" s="48">
        <f>IF(A418="","",IFERROR(Exogena_RAW!H427,""))</f>
        <v/>
      </c>
      <c r="I418" s="48">
        <f>IF(A418="","",IFERROR(IF(S418&gt;1,"VARIAS CASILLAS",IF(S418=1,IF(T418=1,"PROPUESTA DE CASILLA","REVISIÓN: CASILLA NO DIRECTA"),IF(OR(ISNUMBER(SEARCH("TOPE",UPPER(E418))),ISNUMBER(SEARCH("TOPE",UPPER(G418)))),"SOLO CONTROL",IF(ISNUMBER(SEARCH("RETEN",UPPER(E418))),"RETENCIÓN","REVISAR")))),"REVISAR"))</f>
        <v/>
      </c>
      <c r="J418" s="48">
        <f>IF(A418="","",IF(ISNUMBER(SEARCH("ingreso laboral promedio de los últimos seis meses",E418)),"",IFERROR(IF(AND(S418=1,T418=1),U418,""),"")))</f>
        <v/>
      </c>
      <c r="K418" s="216" t="n"/>
      <c r="L418" s="48">
        <f>IF(A418="","",IFERROR(IF(K418&lt;&gt;"","Casilla elegida por usuario",IF(S418&gt;1,"Varias casillas — elegir en K",IF(J418&lt;&gt;"","Sugerencia directa",IF(S418=1,"No trasladar directo — revisar",IF(OR(ISNUMBER(SEARCH("TOPE",UPPER(E418))),ISNUMBER(SEARCH("TOPE",UPPER(G418)))),"Solo control","Revisar manualmente"))))),"Revisar manualmente"))</f>
        <v/>
      </c>
      <c r="M418" s="461">
        <f>IF(A418="","",IF(IF(K418&lt;&gt;"",K418,J418)="",0,IF(COUNTIFS(Reglas!$I$5:$I$118,IF(K418&lt;&gt;"",K418,J418),Reglas!$J$5:$J$118,"Sí")=1,F418,0)))</f>
        <v/>
      </c>
      <c r="N418" s="56" t="n"/>
      <c r="O418" s="462">
        <f>IF(A418="","",IF(M418=0,"",M418))</f>
        <v/>
      </c>
      <c r="P418" s="461">
        <f>IF(A418="","",IF(O418="",0,IF(ISNUMBER(O418),O418,0)))</f>
        <v/>
      </c>
      <c r="Q418" s="48">
        <f>IF(A418="","",IF(Exogena_RAW!$C$4="","BLOQUEADO: FALTA AÑO",IF(Exogena_RAW!$K$10&lt;&gt;Reglas!$B$5,"BLOQUEADO: AÑO",IF(IF(K418&lt;&gt;"",K418,J418)="",IF(S418&gt;1,"REQUIERE ASIGNACIÓN MANUAL (VARIAS CASILLAS)","INFORMATIVO (sin casilla — no se declara)"),IF(COUNTIFS(Reglas!$I$5:$I$118,IF(K418&lt;&gt;"",K418,J418),Reglas!$J$5:$J$118,"Sí")=0,"BLOQUEADO: CASILLA NO DIRECTA",IF(O418="","EXCLUIDO (valor borrado por el usuario)",IF(_xlfn.ISFORMULA(O418),IF(W418&lt;&gt;"","BORRADOR — VALOR SUGERIDO DIAN ⚠ VER ALERTA","BORRADOR — VALOR SUGERIDO DIAN"),IF(W418&lt;&gt;"","ACEPTADO ⚠ VER ALERTA","ACEPTADO"))))))))</f>
        <v/>
      </c>
      <c r="R418" s="218" t="n"/>
      <c r="S418" s="58">
        <f>IF(A418="","",IFERROR(--ISNUMBER(SEARCH("R28",G418)),0)+IFERROR(--ISNUMBER(SEARCH("R29",G418)),0)+IFERROR(--ISNUMBER(SEARCH("R30",G418)),0)+IFERROR(--ISNUMBER(SEARCH("R31",G418)),0)+IFERROR(--ISNUMBER(SEARCH("R32",G418)),0)+IFERROR(--ISNUMBER(SEARCH("R33",G418)),0)+IFERROR(--ISNUMBER(SEARCH("R34",G418)),0)+IFERROR(--ISNUMBER(SEARCH("R35",G418)),0)+IFERROR(--ISNUMBER(SEARCH("R36",G418)),0)+IFERROR(--ISNUMBER(SEARCH("R37",G418)),0)+IFERROR(--ISNUMBER(SEARCH("R38",G418)),0)+IFERROR(--ISNUMBER(SEARCH("R39",G418)),0)+IFERROR(--ISNUMBER(SEARCH("R40",G418)),0)+IFERROR(--ISNUMBER(SEARCH("R41",G418)),0)+IFERROR(--ISNUMBER(SEARCH("R42",G418)),0)+IFERROR(--ISNUMBER(SEARCH("R43",G418)),0)+IFERROR(--ISNUMBER(SEARCH("R44",G418)),0)+IFERROR(--ISNUMBER(SEARCH("R45",G418)),0)+IFERROR(--ISNUMBER(SEARCH("R46",G418)),0)+IFERROR(--ISNUMBER(SEARCH("R47",G418)),0)+IFERROR(--ISNUMBER(SEARCH("R48",G418)),0)+IFERROR(--ISNUMBER(SEARCH("R49",G418)),0)+IFERROR(--ISNUMBER(SEARCH("R50",G418)),0)+IFERROR(--ISNUMBER(SEARCH("R51",G418)),0)+IFERROR(--ISNUMBER(SEARCH("R52",G418)),0)+IFERROR(--ISNUMBER(SEARCH("R53",G418)),0)+IFERROR(--ISNUMBER(SEARCH("R54",G418)),0)+IFERROR(--ISNUMBER(SEARCH("R55",G418)),0)+IFERROR(--ISNUMBER(SEARCH("R56",G418)),0)+IFERROR(--ISNUMBER(SEARCH("R57",G418)),0)+IFERROR(--ISNUMBER(SEARCH("R58",G418)),0)+IFERROR(--ISNUMBER(SEARCH("R59",G418)),0)+IFERROR(--ISNUMBER(SEARCH("R60",G418)),0)+IFERROR(--ISNUMBER(SEARCH("R61",G418)),0)+IFERROR(--ISNUMBER(SEARCH("R62",G418)),0)+IFERROR(--ISNUMBER(SEARCH("R63",G418)),0)+IFERROR(--ISNUMBER(SEARCH("R64",G418)),0)+IFERROR(--ISNUMBER(SEARCH("R65",G418)),0)+IFERROR(--ISNUMBER(SEARCH("R66",G418)),0)+IFERROR(--ISNUMBER(SEARCH("R67",G418)),0)+IFERROR(--ISNUMBER(SEARCH("R68",G418)),0)+IFERROR(--ISNUMBER(SEARCH("R69",G418)),0)+IFERROR(--ISNUMBER(SEARCH("R70",G418)),0)+IFERROR(--ISNUMBER(SEARCH("R71",G418)),0)+IFERROR(--ISNUMBER(SEARCH("R72",G418)),0)+IFERROR(--ISNUMBER(SEARCH("R73",G418)),0)+IFERROR(--ISNUMBER(SEARCH("R74",G418)),0)+IFERROR(--ISNUMBER(SEARCH("R75",G418)),0)+IFERROR(--ISNUMBER(SEARCH("R76",G418)),0)+IFERROR(--ISNUMBER(SEARCH("R77",G418)),0)+IFERROR(--ISNUMBER(SEARCH("R78",G418)),0)+IFERROR(--ISNUMBER(SEARCH("R79",G418)),0)+IFERROR(--ISNUMBER(SEARCH("R80",G418)),0)+IFERROR(--ISNUMBER(SEARCH("R81",G418)),0)+IFERROR(--ISNUMBER(SEARCH("R82",G418)),0)+IFERROR(--ISNUMBER(SEARCH("R83",G418)),0)+IFERROR(--ISNUMBER(SEARCH("R84",G418)),0)+IFERROR(--ISNUMBER(SEARCH("R85",G418)),0)+IFERROR(--ISNUMBER(SEARCH("R86",G418)),0)+IFERROR(--ISNUMBER(SEARCH("R87",G418)),0)+IFERROR(--ISNUMBER(SEARCH("R88",G418)),0)+IFERROR(--ISNUMBER(SEARCH("R89",G418)),0)+IFERROR(--ISNUMBER(SEARCH("R90",G418)),0)+IFERROR(--ISNUMBER(SEARCH("R91",G418)),0)+IFERROR(--ISNUMBER(SEARCH("R92",G418)),0)+IFERROR(--ISNUMBER(SEARCH("R93",G418)),0)+IFERROR(--ISNUMBER(SEARCH("R94",G418)),0)+IFERROR(--ISNUMBER(SEARCH("R95",G418)),0)+IFERROR(--ISNUMBER(SEARCH("R96",G418)),0)+IFERROR(--ISNUMBER(SEARCH("R97",G418)),0)+IFERROR(--ISNUMBER(SEARCH("R98",G418)),0)+IFERROR(--ISNUMBER(SEARCH("R99",G418)),0)+IFERROR(--ISNUMBER(SEARCH("R100",G418)),0)+IFERROR(--ISNUMBER(SEARCH("R101",G418)),0)+IFERROR(--ISNUMBER(SEARCH("R102",G418)),0)+IFERROR(--ISNUMBER(SEARCH("R103",G418)),0)+IFERROR(--ISNUMBER(SEARCH("R104",G418)),0)+IFERROR(--ISNUMBER(SEARCH("R105",G418)),0)+IFERROR(--ISNUMBER(SEARCH("R106",G418)),0)+IFERROR(--ISNUMBER(SEARCH("R107",G418)),0)+IFERROR(--ISNUMBER(SEARCH("R108",G418)),0)+IFERROR(--ISNUMBER(SEARCH("R109",G418)),0)+IFERROR(--ISNUMBER(SEARCH("R110",G418)),0)+IFERROR(--ISNUMBER(SEARCH("R111",G418)),0)+IFERROR(--ISNUMBER(SEARCH("R112",G418)),0)+IFERROR(--ISNUMBER(SEARCH("R113",G418)),0)+IFERROR(--ISNUMBER(SEARCH("R114",G418)),0)+IFERROR(--ISNUMBER(SEARCH("R115",G418)),0)+IFERROR(--ISNUMBER(SEARCH("R116",G418)),0)+IFERROR(--ISNUMBER(SEARCH("R117",G418)),0)+IFERROR(--ISNUMBER(SEARCH("R118",G418)),0)+IFERROR(--ISNUMBER(SEARCH("R119",G418)),0)+IFERROR(--ISNUMBER(SEARCH("R120",G418)),0)+IFERROR(--ISNUMBER(SEARCH("R121",G418)),0)+IFERROR(--ISNUMBER(SEARCH("R122",G418)),0)+IFERROR(--ISNUMBER(SEARCH("R123",G418)),0)+IFERROR(--ISNUMBER(SEARCH("R124",G418)),0)+IFERROR(--ISNUMBER(SEARCH("R125",G418)),0)+IFERROR(--ISNUMBER(SEARCH("R126",G418)),0)+IFERROR(--ISNUMBER(SEARCH("R127",G418)),0)+IFERROR(--ISNUMBER(SEARCH("R128",G418)),0)+IFERROR(--ISNUMBER(SEARCH("R129",G418)),0)+IFERROR(--ISNUMBER(SEARCH("R130",G418)),0)+IFERROR(--ISNUMBER(SEARCH("R131",G418)),0)+IFERROR(--ISNUMBER(SEARCH("R132",G418)),0)+IFERROR(--ISNUMBER(SEARCH("R133",G418)),0)+IFERROR(--ISNUMBER(SEARCH("R134",G418)),0)+IFERROR(--ISNUMBER(SEARCH("R135",G418)),0)+IFERROR(--ISNUMBER(SEARCH("R136",G418)),0)+IFERROR(--ISNUMBER(SEARCH("R137",G418)),0)+IFERROR(--ISNUMBER(SEARCH("R138",G418)),0)+IFERROR(--ISNUMBER(SEARCH("R139",G418)),0)+IFERROR(--ISNUMBER(SEARCH("R140",G418)),0)+IFERROR(--ISNUMBER(SEARCH("R141",G418)),0))</f>
        <v/>
      </c>
      <c r="T418" s="58">
        <f>IF(A418="","",IFERROR(--ISNUMBER(SEARCH("R28",G418)),0)+IFERROR(--ISNUMBER(SEARCH("R29",G418)),0)+IFERROR(--ISNUMBER(SEARCH("R30",G418)),0)+IFERROR(--ISNUMBER(SEARCH("R32",G418)),0)+IFERROR(--ISNUMBER(SEARCH("R33",G418)),0)+IFERROR(--ISNUMBER(SEARCH("R35",G418)),0)+IFERROR(--ISNUMBER(SEARCH("R36",G418)),0)+IFERROR(--ISNUMBER(SEARCH("R38",G418)),0)+IFERROR(--ISNUMBER(SEARCH("R39",G418)),0)+IFERROR(--ISNUMBER(SEARCH("R43",G418)),0)+IFERROR(--ISNUMBER(SEARCH("R44",G418)),0)+IFERROR(--ISNUMBER(SEARCH("R45",G418)),0)+IFERROR(--ISNUMBER(SEARCH("R47",G418)),0)+IFERROR(--ISNUMBER(SEARCH("R48",G418)),0)+IFERROR(--ISNUMBER(SEARCH("R50",G418)),0)+IFERROR(--ISNUMBER(SEARCH("R51",G418)),0)+IFERROR(--ISNUMBER(SEARCH("R56",G418)),0)+IFERROR(--ISNUMBER(SEARCH("R58",G418)),0)+IFERROR(--ISNUMBER(SEARCH("R59",G418)),0)+IFERROR(--ISNUMBER(SEARCH("R60",G418)),0)+IFERROR(--ISNUMBER(SEARCH("R62",G418)),0)+IFERROR(--ISNUMBER(SEARCH("R63",G418)),0)+IFERROR(--ISNUMBER(SEARCH("R64",G418)),0)+IFERROR(--ISNUMBER(SEARCH("R66",G418)),0)+IFERROR(--ISNUMBER(SEARCH("R67",G418)),0)+IFERROR(--ISNUMBER(SEARCH("R72",G418)),0)+IFERROR(--ISNUMBER(SEARCH("R74",G418)),0)+IFERROR(--ISNUMBER(SEARCH("R75",G418)),0)+IFERROR(--ISNUMBER(SEARCH("R76",G418)),0)+IFERROR(--ISNUMBER(SEARCH("R77",G418)),0)+IFERROR(--ISNUMBER(SEARCH("R79",G418)),0)+IFERROR(--ISNUMBER(SEARCH("R80",G418)),0)+IFERROR(--ISNUMBER(SEARCH("R81",G418)),0)+IFERROR(--ISNUMBER(SEARCH("R83",G418)),0)+IFERROR(--ISNUMBER(SEARCH("R84",G418)),0)+IFERROR(--ISNUMBER(SEARCH("R89",G418)),0)+IFERROR(--ISNUMBER(SEARCH("R94",G418)),0)+IFERROR(--ISNUMBER(SEARCH("R95",G418)),0)+IFERROR(--ISNUMBER(SEARCH("R96",G418)),0)+IFERROR(--ISNUMBER(SEARCH("R98",G418)),0)+IFERROR(--ISNUMBER(SEARCH("R99",G418)),0)+IFERROR(--ISNUMBER(SEARCH("R100",G418)),0)+IFERROR(--ISNUMBER(SEARCH("R104",G418)),0)+IFERROR(--ISNUMBER(SEARCH("R105",G418)),0)+IFERROR(--ISNUMBER(SEARCH("R107",G418)),0)+IFERROR(--ISNUMBER(SEARCH("R108",G418)),0)+IFERROR(--ISNUMBER(SEARCH("R109",G418)),0)+IFERROR(--ISNUMBER(SEARCH("R110",G418)),0)+IFERROR(--ISNUMBER(SEARCH("R112",G418)),0)+IFERROR(--ISNUMBER(SEARCH("R113",G418)),0)+IFERROR(--ISNUMBER(SEARCH("R114",G418)),0)+IFERROR(--ISNUMBER(SEARCH("R118",G418)),0)+IFERROR(--ISNUMBER(SEARCH("R119",G418)),0)+IFERROR(--ISNUMBER(SEARCH("R120",G418)),0)+IFERROR(--ISNUMBER(SEARCH("R122",G418)),0)+IFERROR(--ISNUMBER(SEARCH("R123",G418)),0)+IFERROR(--ISNUMBER(SEARCH("R124",G418)),0)+IFERROR(--ISNUMBER(SEARCH("R128",G418)),0)+IFERROR(--ISNUMBER(SEARCH("R130",G418)),0)+IFERROR(--ISNUMBER(SEARCH("R131",G418)),0)+IFERROR(--ISNUMBER(SEARCH("R132",G418)),0)+IFERROR(--ISNUMBER(SEARCH("R135",G418)),0)+IFERROR(--ISNUMBER(SEARCH("R138",G418)),0)+IFERROR(--ISNUMBER(SEARCH("R141",G418)),0))</f>
        <v/>
      </c>
      <c r="U418" s="58">
        <f>IF(A418="","",IFERROR(--ISNUMBER(SEARCH("R28",G418))*28,0)+IFERROR(--ISNUMBER(SEARCH("R29",G418))*29,0)+IFERROR(--ISNUMBER(SEARCH("R30",G418))*30,0)+IFERROR(--ISNUMBER(SEARCH("R31",G418))*31,0)+IFERROR(--ISNUMBER(SEARCH("R32",G418))*32,0)+IFERROR(--ISNUMBER(SEARCH("R33",G418))*33,0)+IFERROR(--ISNUMBER(SEARCH("R34",G418))*34,0)+IFERROR(--ISNUMBER(SEARCH("R35",G418))*35,0)+IFERROR(--ISNUMBER(SEARCH("R36",G418))*36,0)+IFERROR(--ISNUMBER(SEARCH("R37",G418))*37,0)+IFERROR(--ISNUMBER(SEARCH("R38",G418))*38,0)+IFERROR(--ISNUMBER(SEARCH("R39",G418))*39,0)+IFERROR(--ISNUMBER(SEARCH("R40",G418))*40,0)+IFERROR(--ISNUMBER(SEARCH("R41",G418))*41,0)+IFERROR(--ISNUMBER(SEARCH("R42",G418))*42,0)+IFERROR(--ISNUMBER(SEARCH("R43",G418))*43,0)+IFERROR(--ISNUMBER(SEARCH("R44",G418))*44,0)+IFERROR(--ISNUMBER(SEARCH("R45",G418))*45,0)+IFERROR(--ISNUMBER(SEARCH("R46",G418))*46,0)+IFERROR(--ISNUMBER(SEARCH("R47",G418))*47,0)+IFERROR(--ISNUMBER(SEARCH("R48",G418))*48,0)+IFERROR(--ISNUMBER(SEARCH("R49",G418))*49,0)+IFERROR(--ISNUMBER(SEARCH("R50",G418))*50,0)+IFERROR(--ISNUMBER(SEARCH("R51",G418))*51,0)+IFERROR(--ISNUMBER(SEARCH("R52",G418))*52,0)+IFERROR(--ISNUMBER(SEARCH("R53",G418))*53,0)+IFERROR(--ISNUMBER(SEARCH("R54",G418))*54,0)+IFERROR(--ISNUMBER(SEARCH("R55",G418))*55,0)+IFERROR(--ISNUMBER(SEARCH("R56",G418))*56,0)+IFERROR(--ISNUMBER(SEARCH("R57",G418))*57,0)+IFERROR(--ISNUMBER(SEARCH("R58",G418))*58,0)+IFERROR(--ISNUMBER(SEARCH("R59",G418))*59,0)+IFERROR(--ISNUMBER(SEARCH("R60",G418))*60,0)+IFERROR(--ISNUMBER(SEARCH("R61",G418))*61,0)+IFERROR(--ISNUMBER(SEARCH("R62",G418))*62,0)+IFERROR(--ISNUMBER(SEARCH("R63",G418))*63,0)+IFERROR(--ISNUMBER(SEARCH("R64",G418))*64,0)+IFERROR(--ISNUMBER(SEARCH("R65",G418))*65,0)+IFERROR(--ISNUMBER(SEARCH("R66",G418))*66,0)+IFERROR(--ISNUMBER(SEARCH("R67",G418))*67,0)+IFERROR(--ISNUMBER(SEARCH("R68",G418))*68,0)+IFERROR(--ISNUMBER(SEARCH("R69",G418))*69,0)+IFERROR(--ISNUMBER(SEARCH("R70",G418))*70,0)+IFERROR(--ISNUMBER(SEARCH("R71",G418))*71,0)+IFERROR(--ISNUMBER(SEARCH("R72",G418))*72,0)+IFERROR(--ISNUMBER(SEARCH("R73",G418))*73,0)+IFERROR(--ISNUMBER(SEARCH("R74",G418))*74,0)+IFERROR(--ISNUMBER(SEARCH("R75",G418))*75,0)+IFERROR(--ISNUMBER(SEARCH("R76",G418))*76,0)+IFERROR(--ISNUMBER(SEARCH("R77",G418))*77,0)+IFERROR(--ISNUMBER(SEARCH("R78",G418))*78,0)+IFERROR(--ISNUMBER(SEARCH("R79",G418))*79,0)+IFERROR(--ISNUMBER(SEARCH("R80",G418))*80,0)+IFERROR(--ISNUMBER(SEARCH("R81",G418))*81,0)+IFERROR(--ISNUMBER(SEARCH("R82",G418))*82,0)+IFERROR(--ISNUMBER(SEARCH("R83",G418))*83,0)+IFERROR(--ISNUMBER(SEARCH("R84",G418))*84,0)+IFERROR(--ISNUMBER(SEARCH("R85",G418))*85,0)+IFERROR(--ISNUMBER(SEARCH("R86",G418))*86,0)+IFERROR(--ISNUMBER(SEARCH("R87",G418))*87,0)+IFERROR(--ISNUMBER(SEARCH("R88",G418))*88,0)+IFERROR(--ISNUMBER(SEARCH("R89",G418))*89,0)+IFERROR(--ISNUMBER(SEARCH("R90",G418))*90,0)+IFERROR(--ISNUMBER(SEARCH("R91",G418))*91,0)+IFERROR(--ISNUMBER(SEARCH("R92",G418))*92,0)+IFERROR(--ISNUMBER(SEARCH("R93",G418))*93,0)+IFERROR(--ISNUMBER(SEARCH("R94",G418))*94,0)+IFERROR(--ISNUMBER(SEARCH("R95",G418))*95,0)+IFERROR(--ISNUMBER(SEARCH("R96",G418))*96,0)+IFERROR(--ISNUMBER(SEARCH("R97",G418))*97,0)+IFERROR(--ISNUMBER(SEARCH("R98",G418))*98,0)+IFERROR(--ISNUMBER(SEARCH("R99",G418))*99,0)+IFERROR(--ISNUMBER(SEARCH("R100",G418))*100,0)+IFERROR(--ISNUMBER(SEARCH("R101",G418))*101,0)+IFERROR(--ISNUMBER(SEARCH("R102",G418))*102,0)+IFERROR(--ISNUMBER(SEARCH("R103",G418))*103,0)+IFERROR(--ISNUMBER(SEARCH("R104",G418))*104,0)+IFERROR(--ISNUMBER(SEARCH("R105",G418))*105,0)+IFERROR(--ISNUMBER(SEARCH("R106",G418))*106,0)+IFERROR(--ISNUMBER(SEARCH("R107",G418))*107,0)+IFERROR(--ISNUMBER(SEARCH("R108",G418))*108,0)+IFERROR(--ISNUMBER(SEARCH("R109",G418))*109,0)+IFERROR(--ISNUMBER(SEARCH("R110",G418))*110,0)+IFERROR(--ISNUMBER(SEARCH("R111",G418))*111,0)+IFERROR(--ISNUMBER(SEARCH("R112",G418))*112,0)+IFERROR(--ISNUMBER(SEARCH("R113",G418))*113,0)+IFERROR(--ISNUMBER(SEARCH("R114",G418))*114,0)+IFERROR(--ISNUMBER(SEARCH("R115",G418))*115,0)+IFERROR(--ISNUMBER(SEARCH("R116",G418))*116,0)+IFERROR(--ISNUMBER(SEARCH("R117",G418))*117,0)+IFERROR(--ISNUMBER(SEARCH("R118",G418))*118,0)+IFERROR(--ISNUMBER(SEARCH("R119",G418))*119,0)+IFERROR(--ISNUMBER(SEARCH("R120",G418))*120,0)+IFERROR(--ISNUMBER(SEARCH("R121",G418))*121,0)+IFERROR(--ISNUMBER(SEARCH("R122",G418))*122,0)+IFERROR(--ISNUMBER(SEARCH("R123",G418))*123,0)+IFERROR(--ISNUMBER(SEARCH("R124",G418))*124,0)+IFERROR(--ISNUMBER(SEARCH("R125",G418))*125,0)+IFERROR(--ISNUMBER(SEARCH("R126",G418))*126,0)+IFERROR(--ISNUMBER(SEARCH("R127",G418))*127,0)+IFERROR(--ISNUMBER(SEARCH("R128",G418))*128,0)+IFERROR(--ISNUMBER(SEARCH("R129",G418))*129,0)+IFERROR(--ISNUMBER(SEARCH("R130",G418))*130,0)+IFERROR(--ISNUMBER(SEARCH("R131",G418))*131,0)+IFERROR(--ISNUMBER(SEARCH("R132",G418))*132,0)+IFERROR(--ISNUMBER(SEARCH("R133",G418))*133,0)+IFERROR(--ISNUMBER(SEARCH("R134",G418))*134,0)+IFERROR(--ISNUMBER(SEARCH("R135",G418))*135,0)+IFERROR(--ISNUMBER(SEARCH("R136",G418))*136,0)+IFERROR(--ISNUMBER(SEARCH("R137",G418))*137,0)+IFERROR(--ISNUMBER(SEARCH("R138",G418))*138,0)+IFERROR(--ISNUMBER(SEARCH("R139",G418))*139,0)+IFERROR(--ISNUMBER(SEARCH("R140",G418))*140,0)+IFERROR(--ISNUMBER(SEARCH("R141",G418))*141,0))</f>
        <v/>
      </c>
      <c r="V418" s="59">
        <f>IF(A418="","",IF(K418&lt;&gt;"",K418,J418))</f>
        <v/>
      </c>
      <c r="W418" s="59">
        <f>IF(A418="","",IF(AND(V418=29,O418&lt;&gt;"",COUNTIFS($V$6:$V$505,29,$F$6:$F$505,F418,$C$6:$C$505,C418,$O$6:$O$505,"&lt;&gt;")&gt;1),IF(COUNTIFS($V$6:V418,29,$F$6:F418,F418,$C$6:C418,C418,$O$6:O418,"&lt;&gt;")=1,"Esta es la fila que se debe CONSERVAR (aparición 1 de "&amp;COUNTIFS($V$6:$V$505,29,$F$6:$F$505,F418,$C$6:$C$505,C418,$O$6:$O$505,"&lt;&gt;")&amp;" con el mismo tercero y valor, casilla 29). Si hay más filas iguales, bórreles el valor a ELLAS, no a esta.","DUPLICADO — ya existe otra fila con el mismo tercero y valor para casilla 29 (aparición "&amp;COUNTIFS($V$6:V418,29,$F$6:F418,F418,$C$6:C418,C418,$O$6:O418,"&lt;&gt;")&amp;" de "&amp;COUNTIFS($V$6:$V$505,29,$F$6:$F$505,F418,$C$6:$C$505,C418,$O$6:$O$505,"&lt;&gt;")&amp;"). Para resolverlo: seleccione la celda O"&amp;ROW()&amp;" (columna Valor a declarar de ESTA fila) y presione Supr."),""))</f>
        <v/>
      </c>
      <c r="X418" s="463">
        <f>IF(A418="","",F418)</f>
        <v/>
      </c>
      <c r="Y418" s="463">
        <f>IF(A418="","",SUMIF(Entrada_Manual!$I$88:$I$187,A418,Entrada_Manual!$F$88:$F$187))</f>
        <v/>
      </c>
      <c r="Z418" s="463">
        <f>IF(A418="","",X418-Y418)</f>
        <v/>
      </c>
      <c r="AA418">
        <f>IF(A418="","",SUMPRODUCT((Entrada_Manual!$I$88:$I$187=A418)*1))</f>
        <v/>
      </c>
      <c r="AB418">
        <f>IF(A418="","",IF(S418&lt;=1,"",IF(AA418=0,"PENDIENTE — SIN ASIGNAR",IF(Z418=0,"RESUELTO","PARCIAL — DIFERENCIA "&amp;TEXT(Z418,"#,##0")))))</f>
        <v/>
      </c>
    </row>
    <row r="419" ht="14.25" customHeight="1" s="235">
      <c r="A419" s="47">
        <f>IF(Exogena_RAW!E428&lt;&gt;"",ROW()-5,"")</f>
        <v/>
      </c>
      <c r="B419" s="48">
        <f>IF(A419="","",428)</f>
        <v/>
      </c>
      <c r="C419" s="48">
        <f>IF(A419="","",IFERROR(Exogena_RAW!A428,""))</f>
        <v/>
      </c>
      <c r="D419" s="48">
        <f>IF(A419="","",IFERROR(Exogena_RAW!B428,""))</f>
        <v/>
      </c>
      <c r="E419" s="48">
        <f>IF(A419="","",Exogena_RAW!E428)</f>
        <v/>
      </c>
      <c r="F419" s="461">
        <f>IF(A419="","",Exogena_RAW!F428)</f>
        <v/>
      </c>
      <c r="G419" s="48">
        <f>IF(A419="","",IFERROR(Exogena_RAW!G428,""))</f>
        <v/>
      </c>
      <c r="H419" s="48">
        <f>IF(A419="","",IFERROR(Exogena_RAW!H428,""))</f>
        <v/>
      </c>
      <c r="I419" s="48">
        <f>IF(A419="","",IFERROR(IF(S419&gt;1,"VARIAS CASILLAS",IF(S419=1,IF(T419=1,"PROPUESTA DE CASILLA","REVISIÓN: CASILLA NO DIRECTA"),IF(OR(ISNUMBER(SEARCH("TOPE",UPPER(E419))),ISNUMBER(SEARCH("TOPE",UPPER(G419)))),"SOLO CONTROL",IF(ISNUMBER(SEARCH("RETEN",UPPER(E419))),"RETENCIÓN","REVISAR")))),"REVISAR"))</f>
        <v/>
      </c>
      <c r="J419" s="48">
        <f>IF(A419="","",IF(ISNUMBER(SEARCH("ingreso laboral promedio de los últimos seis meses",E419)),"",IFERROR(IF(AND(S419=1,T419=1),U419,""),"")))</f>
        <v/>
      </c>
      <c r="K419" s="216" t="n"/>
      <c r="L419" s="48">
        <f>IF(A419="","",IFERROR(IF(K419&lt;&gt;"","Casilla elegida por usuario",IF(S419&gt;1,"Varias casillas — elegir en K",IF(J419&lt;&gt;"","Sugerencia directa",IF(S419=1,"No trasladar directo — revisar",IF(OR(ISNUMBER(SEARCH("TOPE",UPPER(E419))),ISNUMBER(SEARCH("TOPE",UPPER(G419)))),"Solo control","Revisar manualmente"))))),"Revisar manualmente"))</f>
        <v/>
      </c>
      <c r="M419" s="461">
        <f>IF(A419="","",IF(IF(K419&lt;&gt;"",K419,J419)="",0,IF(COUNTIFS(Reglas!$I$5:$I$118,IF(K419&lt;&gt;"",K419,J419),Reglas!$J$5:$J$118,"Sí")=1,F419,0)))</f>
        <v/>
      </c>
      <c r="N419" s="56" t="n"/>
      <c r="O419" s="462">
        <f>IF(A419="","",IF(M419=0,"",M419))</f>
        <v/>
      </c>
      <c r="P419" s="461">
        <f>IF(A419="","",IF(O419="",0,IF(ISNUMBER(O419),O419,0)))</f>
        <v/>
      </c>
      <c r="Q419" s="48">
        <f>IF(A419="","",IF(Exogena_RAW!$C$4="","BLOQUEADO: FALTA AÑO",IF(Exogena_RAW!$K$10&lt;&gt;Reglas!$B$5,"BLOQUEADO: AÑO",IF(IF(K419&lt;&gt;"",K419,J419)="",IF(S419&gt;1,"REQUIERE ASIGNACIÓN MANUAL (VARIAS CASILLAS)","INFORMATIVO (sin casilla — no se declara)"),IF(COUNTIFS(Reglas!$I$5:$I$118,IF(K419&lt;&gt;"",K419,J419),Reglas!$J$5:$J$118,"Sí")=0,"BLOQUEADO: CASILLA NO DIRECTA",IF(O419="","EXCLUIDO (valor borrado por el usuario)",IF(_xlfn.ISFORMULA(O419),IF(W419&lt;&gt;"","BORRADOR — VALOR SUGERIDO DIAN ⚠ VER ALERTA","BORRADOR — VALOR SUGERIDO DIAN"),IF(W419&lt;&gt;"","ACEPTADO ⚠ VER ALERTA","ACEPTADO"))))))))</f>
        <v/>
      </c>
      <c r="R419" s="218" t="n"/>
      <c r="S419" s="58">
        <f>IF(A419="","",IFERROR(--ISNUMBER(SEARCH("R28",G419)),0)+IFERROR(--ISNUMBER(SEARCH("R29",G419)),0)+IFERROR(--ISNUMBER(SEARCH("R30",G419)),0)+IFERROR(--ISNUMBER(SEARCH("R31",G419)),0)+IFERROR(--ISNUMBER(SEARCH("R32",G419)),0)+IFERROR(--ISNUMBER(SEARCH("R33",G419)),0)+IFERROR(--ISNUMBER(SEARCH("R34",G419)),0)+IFERROR(--ISNUMBER(SEARCH("R35",G419)),0)+IFERROR(--ISNUMBER(SEARCH("R36",G419)),0)+IFERROR(--ISNUMBER(SEARCH("R37",G419)),0)+IFERROR(--ISNUMBER(SEARCH("R38",G419)),0)+IFERROR(--ISNUMBER(SEARCH("R39",G419)),0)+IFERROR(--ISNUMBER(SEARCH("R40",G419)),0)+IFERROR(--ISNUMBER(SEARCH("R41",G419)),0)+IFERROR(--ISNUMBER(SEARCH("R42",G419)),0)+IFERROR(--ISNUMBER(SEARCH("R43",G419)),0)+IFERROR(--ISNUMBER(SEARCH("R44",G419)),0)+IFERROR(--ISNUMBER(SEARCH("R45",G419)),0)+IFERROR(--ISNUMBER(SEARCH("R46",G419)),0)+IFERROR(--ISNUMBER(SEARCH("R47",G419)),0)+IFERROR(--ISNUMBER(SEARCH("R48",G419)),0)+IFERROR(--ISNUMBER(SEARCH("R49",G419)),0)+IFERROR(--ISNUMBER(SEARCH("R50",G419)),0)+IFERROR(--ISNUMBER(SEARCH("R51",G419)),0)+IFERROR(--ISNUMBER(SEARCH("R52",G419)),0)+IFERROR(--ISNUMBER(SEARCH("R53",G419)),0)+IFERROR(--ISNUMBER(SEARCH("R54",G419)),0)+IFERROR(--ISNUMBER(SEARCH("R55",G419)),0)+IFERROR(--ISNUMBER(SEARCH("R56",G419)),0)+IFERROR(--ISNUMBER(SEARCH("R57",G419)),0)+IFERROR(--ISNUMBER(SEARCH("R58",G419)),0)+IFERROR(--ISNUMBER(SEARCH("R59",G419)),0)+IFERROR(--ISNUMBER(SEARCH("R60",G419)),0)+IFERROR(--ISNUMBER(SEARCH("R61",G419)),0)+IFERROR(--ISNUMBER(SEARCH("R62",G419)),0)+IFERROR(--ISNUMBER(SEARCH("R63",G419)),0)+IFERROR(--ISNUMBER(SEARCH("R64",G419)),0)+IFERROR(--ISNUMBER(SEARCH("R65",G419)),0)+IFERROR(--ISNUMBER(SEARCH("R66",G419)),0)+IFERROR(--ISNUMBER(SEARCH("R67",G419)),0)+IFERROR(--ISNUMBER(SEARCH("R68",G419)),0)+IFERROR(--ISNUMBER(SEARCH("R69",G419)),0)+IFERROR(--ISNUMBER(SEARCH("R70",G419)),0)+IFERROR(--ISNUMBER(SEARCH("R71",G419)),0)+IFERROR(--ISNUMBER(SEARCH("R72",G419)),0)+IFERROR(--ISNUMBER(SEARCH("R73",G419)),0)+IFERROR(--ISNUMBER(SEARCH("R74",G419)),0)+IFERROR(--ISNUMBER(SEARCH("R75",G419)),0)+IFERROR(--ISNUMBER(SEARCH("R76",G419)),0)+IFERROR(--ISNUMBER(SEARCH("R77",G419)),0)+IFERROR(--ISNUMBER(SEARCH("R78",G419)),0)+IFERROR(--ISNUMBER(SEARCH("R79",G419)),0)+IFERROR(--ISNUMBER(SEARCH("R80",G419)),0)+IFERROR(--ISNUMBER(SEARCH("R81",G419)),0)+IFERROR(--ISNUMBER(SEARCH("R82",G419)),0)+IFERROR(--ISNUMBER(SEARCH("R83",G419)),0)+IFERROR(--ISNUMBER(SEARCH("R84",G419)),0)+IFERROR(--ISNUMBER(SEARCH("R85",G419)),0)+IFERROR(--ISNUMBER(SEARCH("R86",G419)),0)+IFERROR(--ISNUMBER(SEARCH("R87",G419)),0)+IFERROR(--ISNUMBER(SEARCH("R88",G419)),0)+IFERROR(--ISNUMBER(SEARCH("R89",G419)),0)+IFERROR(--ISNUMBER(SEARCH("R90",G419)),0)+IFERROR(--ISNUMBER(SEARCH("R91",G419)),0)+IFERROR(--ISNUMBER(SEARCH("R92",G419)),0)+IFERROR(--ISNUMBER(SEARCH("R93",G419)),0)+IFERROR(--ISNUMBER(SEARCH("R94",G419)),0)+IFERROR(--ISNUMBER(SEARCH("R95",G419)),0)+IFERROR(--ISNUMBER(SEARCH("R96",G419)),0)+IFERROR(--ISNUMBER(SEARCH("R97",G419)),0)+IFERROR(--ISNUMBER(SEARCH("R98",G419)),0)+IFERROR(--ISNUMBER(SEARCH("R99",G419)),0)+IFERROR(--ISNUMBER(SEARCH("R100",G419)),0)+IFERROR(--ISNUMBER(SEARCH("R101",G419)),0)+IFERROR(--ISNUMBER(SEARCH("R102",G419)),0)+IFERROR(--ISNUMBER(SEARCH("R103",G419)),0)+IFERROR(--ISNUMBER(SEARCH("R104",G419)),0)+IFERROR(--ISNUMBER(SEARCH("R105",G419)),0)+IFERROR(--ISNUMBER(SEARCH("R106",G419)),0)+IFERROR(--ISNUMBER(SEARCH("R107",G419)),0)+IFERROR(--ISNUMBER(SEARCH("R108",G419)),0)+IFERROR(--ISNUMBER(SEARCH("R109",G419)),0)+IFERROR(--ISNUMBER(SEARCH("R110",G419)),0)+IFERROR(--ISNUMBER(SEARCH("R111",G419)),0)+IFERROR(--ISNUMBER(SEARCH("R112",G419)),0)+IFERROR(--ISNUMBER(SEARCH("R113",G419)),0)+IFERROR(--ISNUMBER(SEARCH("R114",G419)),0)+IFERROR(--ISNUMBER(SEARCH("R115",G419)),0)+IFERROR(--ISNUMBER(SEARCH("R116",G419)),0)+IFERROR(--ISNUMBER(SEARCH("R117",G419)),0)+IFERROR(--ISNUMBER(SEARCH("R118",G419)),0)+IFERROR(--ISNUMBER(SEARCH("R119",G419)),0)+IFERROR(--ISNUMBER(SEARCH("R120",G419)),0)+IFERROR(--ISNUMBER(SEARCH("R121",G419)),0)+IFERROR(--ISNUMBER(SEARCH("R122",G419)),0)+IFERROR(--ISNUMBER(SEARCH("R123",G419)),0)+IFERROR(--ISNUMBER(SEARCH("R124",G419)),0)+IFERROR(--ISNUMBER(SEARCH("R125",G419)),0)+IFERROR(--ISNUMBER(SEARCH("R126",G419)),0)+IFERROR(--ISNUMBER(SEARCH("R127",G419)),0)+IFERROR(--ISNUMBER(SEARCH("R128",G419)),0)+IFERROR(--ISNUMBER(SEARCH("R129",G419)),0)+IFERROR(--ISNUMBER(SEARCH("R130",G419)),0)+IFERROR(--ISNUMBER(SEARCH("R131",G419)),0)+IFERROR(--ISNUMBER(SEARCH("R132",G419)),0)+IFERROR(--ISNUMBER(SEARCH("R133",G419)),0)+IFERROR(--ISNUMBER(SEARCH("R134",G419)),0)+IFERROR(--ISNUMBER(SEARCH("R135",G419)),0)+IFERROR(--ISNUMBER(SEARCH("R136",G419)),0)+IFERROR(--ISNUMBER(SEARCH("R137",G419)),0)+IFERROR(--ISNUMBER(SEARCH("R138",G419)),0)+IFERROR(--ISNUMBER(SEARCH("R139",G419)),0)+IFERROR(--ISNUMBER(SEARCH("R140",G419)),0)+IFERROR(--ISNUMBER(SEARCH("R141",G419)),0))</f>
        <v/>
      </c>
      <c r="T419" s="58">
        <f>IF(A419="","",IFERROR(--ISNUMBER(SEARCH("R28",G419)),0)+IFERROR(--ISNUMBER(SEARCH("R29",G419)),0)+IFERROR(--ISNUMBER(SEARCH("R30",G419)),0)+IFERROR(--ISNUMBER(SEARCH("R32",G419)),0)+IFERROR(--ISNUMBER(SEARCH("R33",G419)),0)+IFERROR(--ISNUMBER(SEARCH("R35",G419)),0)+IFERROR(--ISNUMBER(SEARCH("R36",G419)),0)+IFERROR(--ISNUMBER(SEARCH("R38",G419)),0)+IFERROR(--ISNUMBER(SEARCH("R39",G419)),0)+IFERROR(--ISNUMBER(SEARCH("R43",G419)),0)+IFERROR(--ISNUMBER(SEARCH("R44",G419)),0)+IFERROR(--ISNUMBER(SEARCH("R45",G419)),0)+IFERROR(--ISNUMBER(SEARCH("R47",G419)),0)+IFERROR(--ISNUMBER(SEARCH("R48",G419)),0)+IFERROR(--ISNUMBER(SEARCH("R50",G419)),0)+IFERROR(--ISNUMBER(SEARCH("R51",G419)),0)+IFERROR(--ISNUMBER(SEARCH("R56",G419)),0)+IFERROR(--ISNUMBER(SEARCH("R58",G419)),0)+IFERROR(--ISNUMBER(SEARCH("R59",G419)),0)+IFERROR(--ISNUMBER(SEARCH("R60",G419)),0)+IFERROR(--ISNUMBER(SEARCH("R62",G419)),0)+IFERROR(--ISNUMBER(SEARCH("R63",G419)),0)+IFERROR(--ISNUMBER(SEARCH("R64",G419)),0)+IFERROR(--ISNUMBER(SEARCH("R66",G419)),0)+IFERROR(--ISNUMBER(SEARCH("R67",G419)),0)+IFERROR(--ISNUMBER(SEARCH("R72",G419)),0)+IFERROR(--ISNUMBER(SEARCH("R74",G419)),0)+IFERROR(--ISNUMBER(SEARCH("R75",G419)),0)+IFERROR(--ISNUMBER(SEARCH("R76",G419)),0)+IFERROR(--ISNUMBER(SEARCH("R77",G419)),0)+IFERROR(--ISNUMBER(SEARCH("R79",G419)),0)+IFERROR(--ISNUMBER(SEARCH("R80",G419)),0)+IFERROR(--ISNUMBER(SEARCH("R81",G419)),0)+IFERROR(--ISNUMBER(SEARCH("R83",G419)),0)+IFERROR(--ISNUMBER(SEARCH("R84",G419)),0)+IFERROR(--ISNUMBER(SEARCH("R89",G419)),0)+IFERROR(--ISNUMBER(SEARCH("R94",G419)),0)+IFERROR(--ISNUMBER(SEARCH("R95",G419)),0)+IFERROR(--ISNUMBER(SEARCH("R96",G419)),0)+IFERROR(--ISNUMBER(SEARCH("R98",G419)),0)+IFERROR(--ISNUMBER(SEARCH("R99",G419)),0)+IFERROR(--ISNUMBER(SEARCH("R100",G419)),0)+IFERROR(--ISNUMBER(SEARCH("R104",G419)),0)+IFERROR(--ISNUMBER(SEARCH("R105",G419)),0)+IFERROR(--ISNUMBER(SEARCH("R107",G419)),0)+IFERROR(--ISNUMBER(SEARCH("R108",G419)),0)+IFERROR(--ISNUMBER(SEARCH("R109",G419)),0)+IFERROR(--ISNUMBER(SEARCH("R110",G419)),0)+IFERROR(--ISNUMBER(SEARCH("R112",G419)),0)+IFERROR(--ISNUMBER(SEARCH("R113",G419)),0)+IFERROR(--ISNUMBER(SEARCH("R114",G419)),0)+IFERROR(--ISNUMBER(SEARCH("R118",G419)),0)+IFERROR(--ISNUMBER(SEARCH("R119",G419)),0)+IFERROR(--ISNUMBER(SEARCH("R120",G419)),0)+IFERROR(--ISNUMBER(SEARCH("R122",G419)),0)+IFERROR(--ISNUMBER(SEARCH("R123",G419)),0)+IFERROR(--ISNUMBER(SEARCH("R124",G419)),0)+IFERROR(--ISNUMBER(SEARCH("R128",G419)),0)+IFERROR(--ISNUMBER(SEARCH("R130",G419)),0)+IFERROR(--ISNUMBER(SEARCH("R131",G419)),0)+IFERROR(--ISNUMBER(SEARCH("R132",G419)),0)+IFERROR(--ISNUMBER(SEARCH("R135",G419)),0)+IFERROR(--ISNUMBER(SEARCH("R138",G419)),0)+IFERROR(--ISNUMBER(SEARCH("R141",G419)),0))</f>
        <v/>
      </c>
      <c r="U419" s="58">
        <f>IF(A419="","",IFERROR(--ISNUMBER(SEARCH("R28",G419))*28,0)+IFERROR(--ISNUMBER(SEARCH("R29",G419))*29,0)+IFERROR(--ISNUMBER(SEARCH("R30",G419))*30,0)+IFERROR(--ISNUMBER(SEARCH("R31",G419))*31,0)+IFERROR(--ISNUMBER(SEARCH("R32",G419))*32,0)+IFERROR(--ISNUMBER(SEARCH("R33",G419))*33,0)+IFERROR(--ISNUMBER(SEARCH("R34",G419))*34,0)+IFERROR(--ISNUMBER(SEARCH("R35",G419))*35,0)+IFERROR(--ISNUMBER(SEARCH("R36",G419))*36,0)+IFERROR(--ISNUMBER(SEARCH("R37",G419))*37,0)+IFERROR(--ISNUMBER(SEARCH("R38",G419))*38,0)+IFERROR(--ISNUMBER(SEARCH("R39",G419))*39,0)+IFERROR(--ISNUMBER(SEARCH("R40",G419))*40,0)+IFERROR(--ISNUMBER(SEARCH("R41",G419))*41,0)+IFERROR(--ISNUMBER(SEARCH("R42",G419))*42,0)+IFERROR(--ISNUMBER(SEARCH("R43",G419))*43,0)+IFERROR(--ISNUMBER(SEARCH("R44",G419))*44,0)+IFERROR(--ISNUMBER(SEARCH("R45",G419))*45,0)+IFERROR(--ISNUMBER(SEARCH("R46",G419))*46,0)+IFERROR(--ISNUMBER(SEARCH("R47",G419))*47,0)+IFERROR(--ISNUMBER(SEARCH("R48",G419))*48,0)+IFERROR(--ISNUMBER(SEARCH("R49",G419))*49,0)+IFERROR(--ISNUMBER(SEARCH("R50",G419))*50,0)+IFERROR(--ISNUMBER(SEARCH("R51",G419))*51,0)+IFERROR(--ISNUMBER(SEARCH("R52",G419))*52,0)+IFERROR(--ISNUMBER(SEARCH("R53",G419))*53,0)+IFERROR(--ISNUMBER(SEARCH("R54",G419))*54,0)+IFERROR(--ISNUMBER(SEARCH("R55",G419))*55,0)+IFERROR(--ISNUMBER(SEARCH("R56",G419))*56,0)+IFERROR(--ISNUMBER(SEARCH("R57",G419))*57,0)+IFERROR(--ISNUMBER(SEARCH("R58",G419))*58,0)+IFERROR(--ISNUMBER(SEARCH("R59",G419))*59,0)+IFERROR(--ISNUMBER(SEARCH("R60",G419))*60,0)+IFERROR(--ISNUMBER(SEARCH("R61",G419))*61,0)+IFERROR(--ISNUMBER(SEARCH("R62",G419))*62,0)+IFERROR(--ISNUMBER(SEARCH("R63",G419))*63,0)+IFERROR(--ISNUMBER(SEARCH("R64",G419))*64,0)+IFERROR(--ISNUMBER(SEARCH("R65",G419))*65,0)+IFERROR(--ISNUMBER(SEARCH("R66",G419))*66,0)+IFERROR(--ISNUMBER(SEARCH("R67",G419))*67,0)+IFERROR(--ISNUMBER(SEARCH("R68",G419))*68,0)+IFERROR(--ISNUMBER(SEARCH("R69",G419))*69,0)+IFERROR(--ISNUMBER(SEARCH("R70",G419))*70,0)+IFERROR(--ISNUMBER(SEARCH("R71",G419))*71,0)+IFERROR(--ISNUMBER(SEARCH("R72",G419))*72,0)+IFERROR(--ISNUMBER(SEARCH("R73",G419))*73,0)+IFERROR(--ISNUMBER(SEARCH("R74",G419))*74,0)+IFERROR(--ISNUMBER(SEARCH("R75",G419))*75,0)+IFERROR(--ISNUMBER(SEARCH("R76",G419))*76,0)+IFERROR(--ISNUMBER(SEARCH("R77",G419))*77,0)+IFERROR(--ISNUMBER(SEARCH("R78",G419))*78,0)+IFERROR(--ISNUMBER(SEARCH("R79",G419))*79,0)+IFERROR(--ISNUMBER(SEARCH("R80",G419))*80,0)+IFERROR(--ISNUMBER(SEARCH("R81",G419))*81,0)+IFERROR(--ISNUMBER(SEARCH("R82",G419))*82,0)+IFERROR(--ISNUMBER(SEARCH("R83",G419))*83,0)+IFERROR(--ISNUMBER(SEARCH("R84",G419))*84,0)+IFERROR(--ISNUMBER(SEARCH("R85",G419))*85,0)+IFERROR(--ISNUMBER(SEARCH("R86",G419))*86,0)+IFERROR(--ISNUMBER(SEARCH("R87",G419))*87,0)+IFERROR(--ISNUMBER(SEARCH("R88",G419))*88,0)+IFERROR(--ISNUMBER(SEARCH("R89",G419))*89,0)+IFERROR(--ISNUMBER(SEARCH("R90",G419))*90,0)+IFERROR(--ISNUMBER(SEARCH("R91",G419))*91,0)+IFERROR(--ISNUMBER(SEARCH("R92",G419))*92,0)+IFERROR(--ISNUMBER(SEARCH("R93",G419))*93,0)+IFERROR(--ISNUMBER(SEARCH("R94",G419))*94,0)+IFERROR(--ISNUMBER(SEARCH("R95",G419))*95,0)+IFERROR(--ISNUMBER(SEARCH("R96",G419))*96,0)+IFERROR(--ISNUMBER(SEARCH("R97",G419))*97,0)+IFERROR(--ISNUMBER(SEARCH("R98",G419))*98,0)+IFERROR(--ISNUMBER(SEARCH("R99",G419))*99,0)+IFERROR(--ISNUMBER(SEARCH("R100",G419))*100,0)+IFERROR(--ISNUMBER(SEARCH("R101",G419))*101,0)+IFERROR(--ISNUMBER(SEARCH("R102",G419))*102,0)+IFERROR(--ISNUMBER(SEARCH("R103",G419))*103,0)+IFERROR(--ISNUMBER(SEARCH("R104",G419))*104,0)+IFERROR(--ISNUMBER(SEARCH("R105",G419))*105,0)+IFERROR(--ISNUMBER(SEARCH("R106",G419))*106,0)+IFERROR(--ISNUMBER(SEARCH("R107",G419))*107,0)+IFERROR(--ISNUMBER(SEARCH("R108",G419))*108,0)+IFERROR(--ISNUMBER(SEARCH("R109",G419))*109,0)+IFERROR(--ISNUMBER(SEARCH("R110",G419))*110,0)+IFERROR(--ISNUMBER(SEARCH("R111",G419))*111,0)+IFERROR(--ISNUMBER(SEARCH("R112",G419))*112,0)+IFERROR(--ISNUMBER(SEARCH("R113",G419))*113,0)+IFERROR(--ISNUMBER(SEARCH("R114",G419))*114,0)+IFERROR(--ISNUMBER(SEARCH("R115",G419))*115,0)+IFERROR(--ISNUMBER(SEARCH("R116",G419))*116,0)+IFERROR(--ISNUMBER(SEARCH("R117",G419))*117,0)+IFERROR(--ISNUMBER(SEARCH("R118",G419))*118,0)+IFERROR(--ISNUMBER(SEARCH("R119",G419))*119,0)+IFERROR(--ISNUMBER(SEARCH("R120",G419))*120,0)+IFERROR(--ISNUMBER(SEARCH("R121",G419))*121,0)+IFERROR(--ISNUMBER(SEARCH("R122",G419))*122,0)+IFERROR(--ISNUMBER(SEARCH("R123",G419))*123,0)+IFERROR(--ISNUMBER(SEARCH("R124",G419))*124,0)+IFERROR(--ISNUMBER(SEARCH("R125",G419))*125,0)+IFERROR(--ISNUMBER(SEARCH("R126",G419))*126,0)+IFERROR(--ISNUMBER(SEARCH("R127",G419))*127,0)+IFERROR(--ISNUMBER(SEARCH("R128",G419))*128,0)+IFERROR(--ISNUMBER(SEARCH("R129",G419))*129,0)+IFERROR(--ISNUMBER(SEARCH("R130",G419))*130,0)+IFERROR(--ISNUMBER(SEARCH("R131",G419))*131,0)+IFERROR(--ISNUMBER(SEARCH("R132",G419))*132,0)+IFERROR(--ISNUMBER(SEARCH("R133",G419))*133,0)+IFERROR(--ISNUMBER(SEARCH("R134",G419))*134,0)+IFERROR(--ISNUMBER(SEARCH("R135",G419))*135,0)+IFERROR(--ISNUMBER(SEARCH("R136",G419))*136,0)+IFERROR(--ISNUMBER(SEARCH("R137",G419))*137,0)+IFERROR(--ISNUMBER(SEARCH("R138",G419))*138,0)+IFERROR(--ISNUMBER(SEARCH("R139",G419))*139,0)+IFERROR(--ISNUMBER(SEARCH("R140",G419))*140,0)+IFERROR(--ISNUMBER(SEARCH("R141",G419))*141,0))</f>
        <v/>
      </c>
      <c r="V419" s="59">
        <f>IF(A419="","",IF(K419&lt;&gt;"",K419,J419))</f>
        <v/>
      </c>
      <c r="W419" s="59">
        <f>IF(A419="","",IF(AND(V419=29,O419&lt;&gt;"",COUNTIFS($V$6:$V$505,29,$F$6:$F$505,F419,$C$6:$C$505,C419,$O$6:$O$505,"&lt;&gt;")&gt;1),IF(COUNTIFS($V$6:V419,29,$F$6:F419,F419,$C$6:C419,C419,$O$6:O419,"&lt;&gt;")=1,"Esta es la fila que se debe CONSERVAR (aparición 1 de "&amp;COUNTIFS($V$6:$V$505,29,$F$6:$F$505,F419,$C$6:$C$505,C419,$O$6:$O$505,"&lt;&gt;")&amp;" con el mismo tercero y valor, casilla 29). Si hay más filas iguales, bórreles el valor a ELLAS, no a esta.","DUPLICADO — ya existe otra fila con el mismo tercero y valor para casilla 29 (aparición "&amp;COUNTIFS($V$6:V419,29,$F$6:F419,F419,$C$6:C419,C419,$O$6:O419,"&lt;&gt;")&amp;" de "&amp;COUNTIFS($V$6:$V$505,29,$F$6:$F$505,F419,$C$6:$C$505,C419,$O$6:$O$505,"&lt;&gt;")&amp;"). Para resolverlo: seleccione la celda O"&amp;ROW()&amp;" (columna Valor a declarar de ESTA fila) y presione Supr."),""))</f>
        <v/>
      </c>
      <c r="X419" s="463">
        <f>IF(A419="","",F419)</f>
        <v/>
      </c>
      <c r="Y419" s="463">
        <f>IF(A419="","",SUMIF(Entrada_Manual!$I$88:$I$187,A419,Entrada_Manual!$F$88:$F$187))</f>
        <v/>
      </c>
      <c r="Z419" s="463">
        <f>IF(A419="","",X419-Y419)</f>
        <v/>
      </c>
      <c r="AA419">
        <f>IF(A419="","",SUMPRODUCT((Entrada_Manual!$I$88:$I$187=A419)*1))</f>
        <v/>
      </c>
      <c r="AB419">
        <f>IF(A419="","",IF(S419&lt;=1,"",IF(AA419=0,"PENDIENTE — SIN ASIGNAR",IF(Z419=0,"RESUELTO","PARCIAL — DIFERENCIA "&amp;TEXT(Z419,"#,##0")))))</f>
        <v/>
      </c>
    </row>
    <row r="420" ht="14.25" customHeight="1" s="235">
      <c r="A420" s="47">
        <f>IF(Exogena_RAW!E429&lt;&gt;"",ROW()-5,"")</f>
        <v/>
      </c>
      <c r="B420" s="48">
        <f>IF(A420="","",429)</f>
        <v/>
      </c>
      <c r="C420" s="48">
        <f>IF(A420="","",IFERROR(Exogena_RAW!A429,""))</f>
        <v/>
      </c>
      <c r="D420" s="48">
        <f>IF(A420="","",IFERROR(Exogena_RAW!B429,""))</f>
        <v/>
      </c>
      <c r="E420" s="48">
        <f>IF(A420="","",Exogena_RAW!E429)</f>
        <v/>
      </c>
      <c r="F420" s="461">
        <f>IF(A420="","",Exogena_RAW!F429)</f>
        <v/>
      </c>
      <c r="G420" s="48">
        <f>IF(A420="","",IFERROR(Exogena_RAW!G429,""))</f>
        <v/>
      </c>
      <c r="H420" s="48">
        <f>IF(A420="","",IFERROR(Exogena_RAW!H429,""))</f>
        <v/>
      </c>
      <c r="I420" s="48">
        <f>IF(A420="","",IFERROR(IF(S420&gt;1,"VARIAS CASILLAS",IF(S420=1,IF(T420=1,"PROPUESTA DE CASILLA","REVISIÓN: CASILLA NO DIRECTA"),IF(OR(ISNUMBER(SEARCH("TOPE",UPPER(E420))),ISNUMBER(SEARCH("TOPE",UPPER(G420)))),"SOLO CONTROL",IF(ISNUMBER(SEARCH("RETEN",UPPER(E420))),"RETENCIÓN","REVISAR")))),"REVISAR"))</f>
        <v/>
      </c>
      <c r="J420" s="48">
        <f>IF(A420="","",IF(ISNUMBER(SEARCH("ingreso laboral promedio de los últimos seis meses",E420)),"",IFERROR(IF(AND(S420=1,T420=1),U420,""),"")))</f>
        <v/>
      </c>
      <c r="K420" s="216" t="n"/>
      <c r="L420" s="48">
        <f>IF(A420="","",IFERROR(IF(K420&lt;&gt;"","Casilla elegida por usuario",IF(S420&gt;1,"Varias casillas — elegir en K",IF(J420&lt;&gt;"","Sugerencia directa",IF(S420=1,"No trasladar directo — revisar",IF(OR(ISNUMBER(SEARCH("TOPE",UPPER(E420))),ISNUMBER(SEARCH("TOPE",UPPER(G420)))),"Solo control","Revisar manualmente"))))),"Revisar manualmente"))</f>
        <v/>
      </c>
      <c r="M420" s="461">
        <f>IF(A420="","",IF(IF(K420&lt;&gt;"",K420,J420)="",0,IF(COUNTIFS(Reglas!$I$5:$I$118,IF(K420&lt;&gt;"",K420,J420),Reglas!$J$5:$J$118,"Sí")=1,F420,0)))</f>
        <v/>
      </c>
      <c r="N420" s="56" t="n"/>
      <c r="O420" s="462">
        <f>IF(A420="","",IF(M420=0,"",M420))</f>
        <v/>
      </c>
      <c r="P420" s="461">
        <f>IF(A420="","",IF(O420="",0,IF(ISNUMBER(O420),O420,0)))</f>
        <v/>
      </c>
      <c r="Q420" s="48">
        <f>IF(A420="","",IF(Exogena_RAW!$C$4="","BLOQUEADO: FALTA AÑO",IF(Exogena_RAW!$K$10&lt;&gt;Reglas!$B$5,"BLOQUEADO: AÑO",IF(IF(K420&lt;&gt;"",K420,J420)="",IF(S420&gt;1,"REQUIERE ASIGNACIÓN MANUAL (VARIAS CASILLAS)","INFORMATIVO (sin casilla — no se declara)"),IF(COUNTIFS(Reglas!$I$5:$I$118,IF(K420&lt;&gt;"",K420,J420),Reglas!$J$5:$J$118,"Sí")=0,"BLOQUEADO: CASILLA NO DIRECTA",IF(O420="","EXCLUIDO (valor borrado por el usuario)",IF(_xlfn.ISFORMULA(O420),IF(W420&lt;&gt;"","BORRADOR — VALOR SUGERIDO DIAN ⚠ VER ALERTA","BORRADOR — VALOR SUGERIDO DIAN"),IF(W420&lt;&gt;"","ACEPTADO ⚠ VER ALERTA","ACEPTADO"))))))))</f>
        <v/>
      </c>
      <c r="R420" s="218" t="n"/>
      <c r="S420" s="58">
        <f>IF(A420="","",IFERROR(--ISNUMBER(SEARCH("R28",G420)),0)+IFERROR(--ISNUMBER(SEARCH("R29",G420)),0)+IFERROR(--ISNUMBER(SEARCH("R30",G420)),0)+IFERROR(--ISNUMBER(SEARCH("R31",G420)),0)+IFERROR(--ISNUMBER(SEARCH("R32",G420)),0)+IFERROR(--ISNUMBER(SEARCH("R33",G420)),0)+IFERROR(--ISNUMBER(SEARCH("R34",G420)),0)+IFERROR(--ISNUMBER(SEARCH("R35",G420)),0)+IFERROR(--ISNUMBER(SEARCH("R36",G420)),0)+IFERROR(--ISNUMBER(SEARCH("R37",G420)),0)+IFERROR(--ISNUMBER(SEARCH("R38",G420)),0)+IFERROR(--ISNUMBER(SEARCH("R39",G420)),0)+IFERROR(--ISNUMBER(SEARCH("R40",G420)),0)+IFERROR(--ISNUMBER(SEARCH("R41",G420)),0)+IFERROR(--ISNUMBER(SEARCH("R42",G420)),0)+IFERROR(--ISNUMBER(SEARCH("R43",G420)),0)+IFERROR(--ISNUMBER(SEARCH("R44",G420)),0)+IFERROR(--ISNUMBER(SEARCH("R45",G420)),0)+IFERROR(--ISNUMBER(SEARCH("R46",G420)),0)+IFERROR(--ISNUMBER(SEARCH("R47",G420)),0)+IFERROR(--ISNUMBER(SEARCH("R48",G420)),0)+IFERROR(--ISNUMBER(SEARCH("R49",G420)),0)+IFERROR(--ISNUMBER(SEARCH("R50",G420)),0)+IFERROR(--ISNUMBER(SEARCH("R51",G420)),0)+IFERROR(--ISNUMBER(SEARCH("R52",G420)),0)+IFERROR(--ISNUMBER(SEARCH("R53",G420)),0)+IFERROR(--ISNUMBER(SEARCH("R54",G420)),0)+IFERROR(--ISNUMBER(SEARCH("R55",G420)),0)+IFERROR(--ISNUMBER(SEARCH("R56",G420)),0)+IFERROR(--ISNUMBER(SEARCH("R57",G420)),0)+IFERROR(--ISNUMBER(SEARCH("R58",G420)),0)+IFERROR(--ISNUMBER(SEARCH("R59",G420)),0)+IFERROR(--ISNUMBER(SEARCH("R60",G420)),0)+IFERROR(--ISNUMBER(SEARCH("R61",G420)),0)+IFERROR(--ISNUMBER(SEARCH("R62",G420)),0)+IFERROR(--ISNUMBER(SEARCH("R63",G420)),0)+IFERROR(--ISNUMBER(SEARCH("R64",G420)),0)+IFERROR(--ISNUMBER(SEARCH("R65",G420)),0)+IFERROR(--ISNUMBER(SEARCH("R66",G420)),0)+IFERROR(--ISNUMBER(SEARCH("R67",G420)),0)+IFERROR(--ISNUMBER(SEARCH("R68",G420)),0)+IFERROR(--ISNUMBER(SEARCH("R69",G420)),0)+IFERROR(--ISNUMBER(SEARCH("R70",G420)),0)+IFERROR(--ISNUMBER(SEARCH("R71",G420)),0)+IFERROR(--ISNUMBER(SEARCH("R72",G420)),0)+IFERROR(--ISNUMBER(SEARCH("R73",G420)),0)+IFERROR(--ISNUMBER(SEARCH("R74",G420)),0)+IFERROR(--ISNUMBER(SEARCH("R75",G420)),0)+IFERROR(--ISNUMBER(SEARCH("R76",G420)),0)+IFERROR(--ISNUMBER(SEARCH("R77",G420)),0)+IFERROR(--ISNUMBER(SEARCH("R78",G420)),0)+IFERROR(--ISNUMBER(SEARCH("R79",G420)),0)+IFERROR(--ISNUMBER(SEARCH("R80",G420)),0)+IFERROR(--ISNUMBER(SEARCH("R81",G420)),0)+IFERROR(--ISNUMBER(SEARCH("R82",G420)),0)+IFERROR(--ISNUMBER(SEARCH("R83",G420)),0)+IFERROR(--ISNUMBER(SEARCH("R84",G420)),0)+IFERROR(--ISNUMBER(SEARCH("R85",G420)),0)+IFERROR(--ISNUMBER(SEARCH("R86",G420)),0)+IFERROR(--ISNUMBER(SEARCH("R87",G420)),0)+IFERROR(--ISNUMBER(SEARCH("R88",G420)),0)+IFERROR(--ISNUMBER(SEARCH("R89",G420)),0)+IFERROR(--ISNUMBER(SEARCH("R90",G420)),0)+IFERROR(--ISNUMBER(SEARCH("R91",G420)),0)+IFERROR(--ISNUMBER(SEARCH("R92",G420)),0)+IFERROR(--ISNUMBER(SEARCH("R93",G420)),0)+IFERROR(--ISNUMBER(SEARCH("R94",G420)),0)+IFERROR(--ISNUMBER(SEARCH("R95",G420)),0)+IFERROR(--ISNUMBER(SEARCH("R96",G420)),0)+IFERROR(--ISNUMBER(SEARCH("R97",G420)),0)+IFERROR(--ISNUMBER(SEARCH("R98",G420)),0)+IFERROR(--ISNUMBER(SEARCH("R99",G420)),0)+IFERROR(--ISNUMBER(SEARCH("R100",G420)),0)+IFERROR(--ISNUMBER(SEARCH("R101",G420)),0)+IFERROR(--ISNUMBER(SEARCH("R102",G420)),0)+IFERROR(--ISNUMBER(SEARCH("R103",G420)),0)+IFERROR(--ISNUMBER(SEARCH("R104",G420)),0)+IFERROR(--ISNUMBER(SEARCH("R105",G420)),0)+IFERROR(--ISNUMBER(SEARCH("R106",G420)),0)+IFERROR(--ISNUMBER(SEARCH("R107",G420)),0)+IFERROR(--ISNUMBER(SEARCH("R108",G420)),0)+IFERROR(--ISNUMBER(SEARCH("R109",G420)),0)+IFERROR(--ISNUMBER(SEARCH("R110",G420)),0)+IFERROR(--ISNUMBER(SEARCH("R111",G420)),0)+IFERROR(--ISNUMBER(SEARCH("R112",G420)),0)+IFERROR(--ISNUMBER(SEARCH("R113",G420)),0)+IFERROR(--ISNUMBER(SEARCH("R114",G420)),0)+IFERROR(--ISNUMBER(SEARCH("R115",G420)),0)+IFERROR(--ISNUMBER(SEARCH("R116",G420)),0)+IFERROR(--ISNUMBER(SEARCH("R117",G420)),0)+IFERROR(--ISNUMBER(SEARCH("R118",G420)),0)+IFERROR(--ISNUMBER(SEARCH("R119",G420)),0)+IFERROR(--ISNUMBER(SEARCH("R120",G420)),0)+IFERROR(--ISNUMBER(SEARCH("R121",G420)),0)+IFERROR(--ISNUMBER(SEARCH("R122",G420)),0)+IFERROR(--ISNUMBER(SEARCH("R123",G420)),0)+IFERROR(--ISNUMBER(SEARCH("R124",G420)),0)+IFERROR(--ISNUMBER(SEARCH("R125",G420)),0)+IFERROR(--ISNUMBER(SEARCH("R126",G420)),0)+IFERROR(--ISNUMBER(SEARCH("R127",G420)),0)+IFERROR(--ISNUMBER(SEARCH("R128",G420)),0)+IFERROR(--ISNUMBER(SEARCH("R129",G420)),0)+IFERROR(--ISNUMBER(SEARCH("R130",G420)),0)+IFERROR(--ISNUMBER(SEARCH("R131",G420)),0)+IFERROR(--ISNUMBER(SEARCH("R132",G420)),0)+IFERROR(--ISNUMBER(SEARCH("R133",G420)),0)+IFERROR(--ISNUMBER(SEARCH("R134",G420)),0)+IFERROR(--ISNUMBER(SEARCH("R135",G420)),0)+IFERROR(--ISNUMBER(SEARCH("R136",G420)),0)+IFERROR(--ISNUMBER(SEARCH("R137",G420)),0)+IFERROR(--ISNUMBER(SEARCH("R138",G420)),0)+IFERROR(--ISNUMBER(SEARCH("R139",G420)),0)+IFERROR(--ISNUMBER(SEARCH("R140",G420)),0)+IFERROR(--ISNUMBER(SEARCH("R141",G420)),0))</f>
        <v/>
      </c>
      <c r="T420" s="58">
        <f>IF(A420="","",IFERROR(--ISNUMBER(SEARCH("R28",G420)),0)+IFERROR(--ISNUMBER(SEARCH("R29",G420)),0)+IFERROR(--ISNUMBER(SEARCH("R30",G420)),0)+IFERROR(--ISNUMBER(SEARCH("R32",G420)),0)+IFERROR(--ISNUMBER(SEARCH("R33",G420)),0)+IFERROR(--ISNUMBER(SEARCH("R35",G420)),0)+IFERROR(--ISNUMBER(SEARCH("R36",G420)),0)+IFERROR(--ISNUMBER(SEARCH("R38",G420)),0)+IFERROR(--ISNUMBER(SEARCH("R39",G420)),0)+IFERROR(--ISNUMBER(SEARCH("R43",G420)),0)+IFERROR(--ISNUMBER(SEARCH("R44",G420)),0)+IFERROR(--ISNUMBER(SEARCH("R45",G420)),0)+IFERROR(--ISNUMBER(SEARCH("R47",G420)),0)+IFERROR(--ISNUMBER(SEARCH("R48",G420)),0)+IFERROR(--ISNUMBER(SEARCH("R50",G420)),0)+IFERROR(--ISNUMBER(SEARCH("R51",G420)),0)+IFERROR(--ISNUMBER(SEARCH("R56",G420)),0)+IFERROR(--ISNUMBER(SEARCH("R58",G420)),0)+IFERROR(--ISNUMBER(SEARCH("R59",G420)),0)+IFERROR(--ISNUMBER(SEARCH("R60",G420)),0)+IFERROR(--ISNUMBER(SEARCH("R62",G420)),0)+IFERROR(--ISNUMBER(SEARCH("R63",G420)),0)+IFERROR(--ISNUMBER(SEARCH("R64",G420)),0)+IFERROR(--ISNUMBER(SEARCH("R66",G420)),0)+IFERROR(--ISNUMBER(SEARCH("R67",G420)),0)+IFERROR(--ISNUMBER(SEARCH("R72",G420)),0)+IFERROR(--ISNUMBER(SEARCH("R74",G420)),0)+IFERROR(--ISNUMBER(SEARCH("R75",G420)),0)+IFERROR(--ISNUMBER(SEARCH("R76",G420)),0)+IFERROR(--ISNUMBER(SEARCH("R77",G420)),0)+IFERROR(--ISNUMBER(SEARCH("R79",G420)),0)+IFERROR(--ISNUMBER(SEARCH("R80",G420)),0)+IFERROR(--ISNUMBER(SEARCH("R81",G420)),0)+IFERROR(--ISNUMBER(SEARCH("R83",G420)),0)+IFERROR(--ISNUMBER(SEARCH("R84",G420)),0)+IFERROR(--ISNUMBER(SEARCH("R89",G420)),0)+IFERROR(--ISNUMBER(SEARCH("R94",G420)),0)+IFERROR(--ISNUMBER(SEARCH("R95",G420)),0)+IFERROR(--ISNUMBER(SEARCH("R96",G420)),0)+IFERROR(--ISNUMBER(SEARCH("R98",G420)),0)+IFERROR(--ISNUMBER(SEARCH("R99",G420)),0)+IFERROR(--ISNUMBER(SEARCH("R100",G420)),0)+IFERROR(--ISNUMBER(SEARCH("R104",G420)),0)+IFERROR(--ISNUMBER(SEARCH("R105",G420)),0)+IFERROR(--ISNUMBER(SEARCH("R107",G420)),0)+IFERROR(--ISNUMBER(SEARCH("R108",G420)),0)+IFERROR(--ISNUMBER(SEARCH("R109",G420)),0)+IFERROR(--ISNUMBER(SEARCH("R110",G420)),0)+IFERROR(--ISNUMBER(SEARCH("R112",G420)),0)+IFERROR(--ISNUMBER(SEARCH("R113",G420)),0)+IFERROR(--ISNUMBER(SEARCH("R114",G420)),0)+IFERROR(--ISNUMBER(SEARCH("R118",G420)),0)+IFERROR(--ISNUMBER(SEARCH("R119",G420)),0)+IFERROR(--ISNUMBER(SEARCH("R120",G420)),0)+IFERROR(--ISNUMBER(SEARCH("R122",G420)),0)+IFERROR(--ISNUMBER(SEARCH("R123",G420)),0)+IFERROR(--ISNUMBER(SEARCH("R124",G420)),0)+IFERROR(--ISNUMBER(SEARCH("R128",G420)),0)+IFERROR(--ISNUMBER(SEARCH("R130",G420)),0)+IFERROR(--ISNUMBER(SEARCH("R131",G420)),0)+IFERROR(--ISNUMBER(SEARCH("R132",G420)),0)+IFERROR(--ISNUMBER(SEARCH("R135",G420)),0)+IFERROR(--ISNUMBER(SEARCH("R138",G420)),0)+IFERROR(--ISNUMBER(SEARCH("R141",G420)),0))</f>
        <v/>
      </c>
      <c r="U420" s="58">
        <f>IF(A420="","",IFERROR(--ISNUMBER(SEARCH("R28",G420))*28,0)+IFERROR(--ISNUMBER(SEARCH("R29",G420))*29,0)+IFERROR(--ISNUMBER(SEARCH("R30",G420))*30,0)+IFERROR(--ISNUMBER(SEARCH("R31",G420))*31,0)+IFERROR(--ISNUMBER(SEARCH("R32",G420))*32,0)+IFERROR(--ISNUMBER(SEARCH("R33",G420))*33,0)+IFERROR(--ISNUMBER(SEARCH("R34",G420))*34,0)+IFERROR(--ISNUMBER(SEARCH("R35",G420))*35,0)+IFERROR(--ISNUMBER(SEARCH("R36",G420))*36,0)+IFERROR(--ISNUMBER(SEARCH("R37",G420))*37,0)+IFERROR(--ISNUMBER(SEARCH("R38",G420))*38,0)+IFERROR(--ISNUMBER(SEARCH("R39",G420))*39,0)+IFERROR(--ISNUMBER(SEARCH("R40",G420))*40,0)+IFERROR(--ISNUMBER(SEARCH("R41",G420))*41,0)+IFERROR(--ISNUMBER(SEARCH("R42",G420))*42,0)+IFERROR(--ISNUMBER(SEARCH("R43",G420))*43,0)+IFERROR(--ISNUMBER(SEARCH("R44",G420))*44,0)+IFERROR(--ISNUMBER(SEARCH("R45",G420))*45,0)+IFERROR(--ISNUMBER(SEARCH("R46",G420))*46,0)+IFERROR(--ISNUMBER(SEARCH("R47",G420))*47,0)+IFERROR(--ISNUMBER(SEARCH("R48",G420))*48,0)+IFERROR(--ISNUMBER(SEARCH("R49",G420))*49,0)+IFERROR(--ISNUMBER(SEARCH("R50",G420))*50,0)+IFERROR(--ISNUMBER(SEARCH("R51",G420))*51,0)+IFERROR(--ISNUMBER(SEARCH("R52",G420))*52,0)+IFERROR(--ISNUMBER(SEARCH("R53",G420))*53,0)+IFERROR(--ISNUMBER(SEARCH("R54",G420))*54,0)+IFERROR(--ISNUMBER(SEARCH("R55",G420))*55,0)+IFERROR(--ISNUMBER(SEARCH("R56",G420))*56,0)+IFERROR(--ISNUMBER(SEARCH("R57",G420))*57,0)+IFERROR(--ISNUMBER(SEARCH("R58",G420))*58,0)+IFERROR(--ISNUMBER(SEARCH("R59",G420))*59,0)+IFERROR(--ISNUMBER(SEARCH("R60",G420))*60,0)+IFERROR(--ISNUMBER(SEARCH("R61",G420))*61,0)+IFERROR(--ISNUMBER(SEARCH("R62",G420))*62,0)+IFERROR(--ISNUMBER(SEARCH("R63",G420))*63,0)+IFERROR(--ISNUMBER(SEARCH("R64",G420))*64,0)+IFERROR(--ISNUMBER(SEARCH("R65",G420))*65,0)+IFERROR(--ISNUMBER(SEARCH("R66",G420))*66,0)+IFERROR(--ISNUMBER(SEARCH("R67",G420))*67,0)+IFERROR(--ISNUMBER(SEARCH("R68",G420))*68,0)+IFERROR(--ISNUMBER(SEARCH("R69",G420))*69,0)+IFERROR(--ISNUMBER(SEARCH("R70",G420))*70,0)+IFERROR(--ISNUMBER(SEARCH("R71",G420))*71,0)+IFERROR(--ISNUMBER(SEARCH("R72",G420))*72,0)+IFERROR(--ISNUMBER(SEARCH("R73",G420))*73,0)+IFERROR(--ISNUMBER(SEARCH("R74",G420))*74,0)+IFERROR(--ISNUMBER(SEARCH("R75",G420))*75,0)+IFERROR(--ISNUMBER(SEARCH("R76",G420))*76,0)+IFERROR(--ISNUMBER(SEARCH("R77",G420))*77,0)+IFERROR(--ISNUMBER(SEARCH("R78",G420))*78,0)+IFERROR(--ISNUMBER(SEARCH("R79",G420))*79,0)+IFERROR(--ISNUMBER(SEARCH("R80",G420))*80,0)+IFERROR(--ISNUMBER(SEARCH("R81",G420))*81,0)+IFERROR(--ISNUMBER(SEARCH("R82",G420))*82,0)+IFERROR(--ISNUMBER(SEARCH("R83",G420))*83,0)+IFERROR(--ISNUMBER(SEARCH("R84",G420))*84,0)+IFERROR(--ISNUMBER(SEARCH("R85",G420))*85,0)+IFERROR(--ISNUMBER(SEARCH("R86",G420))*86,0)+IFERROR(--ISNUMBER(SEARCH("R87",G420))*87,0)+IFERROR(--ISNUMBER(SEARCH("R88",G420))*88,0)+IFERROR(--ISNUMBER(SEARCH("R89",G420))*89,0)+IFERROR(--ISNUMBER(SEARCH("R90",G420))*90,0)+IFERROR(--ISNUMBER(SEARCH("R91",G420))*91,0)+IFERROR(--ISNUMBER(SEARCH("R92",G420))*92,0)+IFERROR(--ISNUMBER(SEARCH("R93",G420))*93,0)+IFERROR(--ISNUMBER(SEARCH("R94",G420))*94,0)+IFERROR(--ISNUMBER(SEARCH("R95",G420))*95,0)+IFERROR(--ISNUMBER(SEARCH("R96",G420))*96,0)+IFERROR(--ISNUMBER(SEARCH("R97",G420))*97,0)+IFERROR(--ISNUMBER(SEARCH("R98",G420))*98,0)+IFERROR(--ISNUMBER(SEARCH("R99",G420))*99,0)+IFERROR(--ISNUMBER(SEARCH("R100",G420))*100,0)+IFERROR(--ISNUMBER(SEARCH("R101",G420))*101,0)+IFERROR(--ISNUMBER(SEARCH("R102",G420))*102,0)+IFERROR(--ISNUMBER(SEARCH("R103",G420))*103,0)+IFERROR(--ISNUMBER(SEARCH("R104",G420))*104,0)+IFERROR(--ISNUMBER(SEARCH("R105",G420))*105,0)+IFERROR(--ISNUMBER(SEARCH("R106",G420))*106,0)+IFERROR(--ISNUMBER(SEARCH("R107",G420))*107,0)+IFERROR(--ISNUMBER(SEARCH("R108",G420))*108,0)+IFERROR(--ISNUMBER(SEARCH("R109",G420))*109,0)+IFERROR(--ISNUMBER(SEARCH("R110",G420))*110,0)+IFERROR(--ISNUMBER(SEARCH("R111",G420))*111,0)+IFERROR(--ISNUMBER(SEARCH("R112",G420))*112,0)+IFERROR(--ISNUMBER(SEARCH("R113",G420))*113,0)+IFERROR(--ISNUMBER(SEARCH("R114",G420))*114,0)+IFERROR(--ISNUMBER(SEARCH("R115",G420))*115,0)+IFERROR(--ISNUMBER(SEARCH("R116",G420))*116,0)+IFERROR(--ISNUMBER(SEARCH("R117",G420))*117,0)+IFERROR(--ISNUMBER(SEARCH("R118",G420))*118,0)+IFERROR(--ISNUMBER(SEARCH("R119",G420))*119,0)+IFERROR(--ISNUMBER(SEARCH("R120",G420))*120,0)+IFERROR(--ISNUMBER(SEARCH("R121",G420))*121,0)+IFERROR(--ISNUMBER(SEARCH("R122",G420))*122,0)+IFERROR(--ISNUMBER(SEARCH("R123",G420))*123,0)+IFERROR(--ISNUMBER(SEARCH("R124",G420))*124,0)+IFERROR(--ISNUMBER(SEARCH("R125",G420))*125,0)+IFERROR(--ISNUMBER(SEARCH("R126",G420))*126,0)+IFERROR(--ISNUMBER(SEARCH("R127",G420))*127,0)+IFERROR(--ISNUMBER(SEARCH("R128",G420))*128,0)+IFERROR(--ISNUMBER(SEARCH("R129",G420))*129,0)+IFERROR(--ISNUMBER(SEARCH("R130",G420))*130,0)+IFERROR(--ISNUMBER(SEARCH("R131",G420))*131,0)+IFERROR(--ISNUMBER(SEARCH("R132",G420))*132,0)+IFERROR(--ISNUMBER(SEARCH("R133",G420))*133,0)+IFERROR(--ISNUMBER(SEARCH("R134",G420))*134,0)+IFERROR(--ISNUMBER(SEARCH("R135",G420))*135,0)+IFERROR(--ISNUMBER(SEARCH("R136",G420))*136,0)+IFERROR(--ISNUMBER(SEARCH("R137",G420))*137,0)+IFERROR(--ISNUMBER(SEARCH("R138",G420))*138,0)+IFERROR(--ISNUMBER(SEARCH("R139",G420))*139,0)+IFERROR(--ISNUMBER(SEARCH("R140",G420))*140,0)+IFERROR(--ISNUMBER(SEARCH("R141",G420))*141,0))</f>
        <v/>
      </c>
      <c r="V420" s="59">
        <f>IF(A420="","",IF(K420&lt;&gt;"",K420,J420))</f>
        <v/>
      </c>
      <c r="W420" s="59">
        <f>IF(A420="","",IF(AND(V420=29,O420&lt;&gt;"",COUNTIFS($V$6:$V$505,29,$F$6:$F$505,F420,$C$6:$C$505,C420,$O$6:$O$505,"&lt;&gt;")&gt;1),IF(COUNTIFS($V$6:V420,29,$F$6:F420,F420,$C$6:C420,C420,$O$6:O420,"&lt;&gt;")=1,"Esta es la fila que se debe CONSERVAR (aparición 1 de "&amp;COUNTIFS($V$6:$V$505,29,$F$6:$F$505,F420,$C$6:$C$505,C420,$O$6:$O$505,"&lt;&gt;")&amp;" con el mismo tercero y valor, casilla 29). Si hay más filas iguales, bórreles el valor a ELLAS, no a esta.","DUPLICADO — ya existe otra fila con el mismo tercero y valor para casilla 29 (aparición "&amp;COUNTIFS($V$6:V420,29,$F$6:F420,F420,$C$6:C420,C420,$O$6:O420,"&lt;&gt;")&amp;" de "&amp;COUNTIFS($V$6:$V$505,29,$F$6:$F$505,F420,$C$6:$C$505,C420,$O$6:$O$505,"&lt;&gt;")&amp;"). Para resolverlo: seleccione la celda O"&amp;ROW()&amp;" (columna Valor a declarar de ESTA fila) y presione Supr."),""))</f>
        <v/>
      </c>
      <c r="X420" s="463">
        <f>IF(A420="","",F420)</f>
        <v/>
      </c>
      <c r="Y420" s="463">
        <f>IF(A420="","",SUMIF(Entrada_Manual!$I$88:$I$187,A420,Entrada_Manual!$F$88:$F$187))</f>
        <v/>
      </c>
      <c r="Z420" s="463">
        <f>IF(A420="","",X420-Y420)</f>
        <v/>
      </c>
      <c r="AA420">
        <f>IF(A420="","",SUMPRODUCT((Entrada_Manual!$I$88:$I$187=A420)*1))</f>
        <v/>
      </c>
      <c r="AB420">
        <f>IF(A420="","",IF(S420&lt;=1,"",IF(AA420=0,"PENDIENTE — SIN ASIGNAR",IF(Z420=0,"RESUELTO","PARCIAL — DIFERENCIA "&amp;TEXT(Z420,"#,##0")))))</f>
        <v/>
      </c>
    </row>
    <row r="421" ht="14.25" customHeight="1" s="235">
      <c r="A421" s="47">
        <f>IF(Exogena_RAW!E430&lt;&gt;"",ROW()-5,"")</f>
        <v/>
      </c>
      <c r="B421" s="48">
        <f>IF(A421="","",430)</f>
        <v/>
      </c>
      <c r="C421" s="48">
        <f>IF(A421="","",IFERROR(Exogena_RAW!A430,""))</f>
        <v/>
      </c>
      <c r="D421" s="48">
        <f>IF(A421="","",IFERROR(Exogena_RAW!B430,""))</f>
        <v/>
      </c>
      <c r="E421" s="48">
        <f>IF(A421="","",Exogena_RAW!E430)</f>
        <v/>
      </c>
      <c r="F421" s="461">
        <f>IF(A421="","",Exogena_RAW!F430)</f>
        <v/>
      </c>
      <c r="G421" s="48">
        <f>IF(A421="","",IFERROR(Exogena_RAW!G430,""))</f>
        <v/>
      </c>
      <c r="H421" s="48">
        <f>IF(A421="","",IFERROR(Exogena_RAW!H430,""))</f>
        <v/>
      </c>
      <c r="I421" s="48">
        <f>IF(A421="","",IFERROR(IF(S421&gt;1,"VARIAS CASILLAS",IF(S421=1,IF(T421=1,"PROPUESTA DE CASILLA","REVISIÓN: CASILLA NO DIRECTA"),IF(OR(ISNUMBER(SEARCH("TOPE",UPPER(E421))),ISNUMBER(SEARCH("TOPE",UPPER(G421)))),"SOLO CONTROL",IF(ISNUMBER(SEARCH("RETEN",UPPER(E421))),"RETENCIÓN","REVISAR")))),"REVISAR"))</f>
        <v/>
      </c>
      <c r="J421" s="48">
        <f>IF(A421="","",IF(ISNUMBER(SEARCH("ingreso laboral promedio de los últimos seis meses",E421)),"",IFERROR(IF(AND(S421=1,T421=1),U421,""),"")))</f>
        <v/>
      </c>
      <c r="K421" s="216" t="n"/>
      <c r="L421" s="48">
        <f>IF(A421="","",IFERROR(IF(K421&lt;&gt;"","Casilla elegida por usuario",IF(S421&gt;1,"Varias casillas — elegir en K",IF(J421&lt;&gt;"","Sugerencia directa",IF(S421=1,"No trasladar directo — revisar",IF(OR(ISNUMBER(SEARCH("TOPE",UPPER(E421))),ISNUMBER(SEARCH("TOPE",UPPER(G421)))),"Solo control","Revisar manualmente"))))),"Revisar manualmente"))</f>
        <v/>
      </c>
      <c r="M421" s="461">
        <f>IF(A421="","",IF(IF(K421&lt;&gt;"",K421,J421)="",0,IF(COUNTIFS(Reglas!$I$5:$I$118,IF(K421&lt;&gt;"",K421,J421),Reglas!$J$5:$J$118,"Sí")=1,F421,0)))</f>
        <v/>
      </c>
      <c r="N421" s="56" t="n"/>
      <c r="O421" s="462">
        <f>IF(A421="","",IF(M421=0,"",M421))</f>
        <v/>
      </c>
      <c r="P421" s="461">
        <f>IF(A421="","",IF(O421="",0,IF(ISNUMBER(O421),O421,0)))</f>
        <v/>
      </c>
      <c r="Q421" s="48">
        <f>IF(A421="","",IF(Exogena_RAW!$C$4="","BLOQUEADO: FALTA AÑO",IF(Exogena_RAW!$K$10&lt;&gt;Reglas!$B$5,"BLOQUEADO: AÑO",IF(IF(K421&lt;&gt;"",K421,J421)="",IF(S421&gt;1,"REQUIERE ASIGNACIÓN MANUAL (VARIAS CASILLAS)","INFORMATIVO (sin casilla — no se declara)"),IF(COUNTIFS(Reglas!$I$5:$I$118,IF(K421&lt;&gt;"",K421,J421),Reglas!$J$5:$J$118,"Sí")=0,"BLOQUEADO: CASILLA NO DIRECTA",IF(O421="","EXCLUIDO (valor borrado por el usuario)",IF(_xlfn.ISFORMULA(O421),IF(W421&lt;&gt;"","BORRADOR — VALOR SUGERIDO DIAN ⚠ VER ALERTA","BORRADOR — VALOR SUGERIDO DIAN"),IF(W421&lt;&gt;"","ACEPTADO ⚠ VER ALERTA","ACEPTADO"))))))))</f>
        <v/>
      </c>
      <c r="R421" s="218" t="n"/>
      <c r="S421" s="58">
        <f>IF(A421="","",IFERROR(--ISNUMBER(SEARCH("R28",G421)),0)+IFERROR(--ISNUMBER(SEARCH("R29",G421)),0)+IFERROR(--ISNUMBER(SEARCH("R30",G421)),0)+IFERROR(--ISNUMBER(SEARCH("R31",G421)),0)+IFERROR(--ISNUMBER(SEARCH("R32",G421)),0)+IFERROR(--ISNUMBER(SEARCH("R33",G421)),0)+IFERROR(--ISNUMBER(SEARCH("R34",G421)),0)+IFERROR(--ISNUMBER(SEARCH("R35",G421)),0)+IFERROR(--ISNUMBER(SEARCH("R36",G421)),0)+IFERROR(--ISNUMBER(SEARCH("R37",G421)),0)+IFERROR(--ISNUMBER(SEARCH("R38",G421)),0)+IFERROR(--ISNUMBER(SEARCH("R39",G421)),0)+IFERROR(--ISNUMBER(SEARCH("R40",G421)),0)+IFERROR(--ISNUMBER(SEARCH("R41",G421)),0)+IFERROR(--ISNUMBER(SEARCH("R42",G421)),0)+IFERROR(--ISNUMBER(SEARCH("R43",G421)),0)+IFERROR(--ISNUMBER(SEARCH("R44",G421)),0)+IFERROR(--ISNUMBER(SEARCH("R45",G421)),0)+IFERROR(--ISNUMBER(SEARCH("R46",G421)),0)+IFERROR(--ISNUMBER(SEARCH("R47",G421)),0)+IFERROR(--ISNUMBER(SEARCH("R48",G421)),0)+IFERROR(--ISNUMBER(SEARCH("R49",G421)),0)+IFERROR(--ISNUMBER(SEARCH("R50",G421)),0)+IFERROR(--ISNUMBER(SEARCH("R51",G421)),0)+IFERROR(--ISNUMBER(SEARCH("R52",G421)),0)+IFERROR(--ISNUMBER(SEARCH("R53",G421)),0)+IFERROR(--ISNUMBER(SEARCH("R54",G421)),0)+IFERROR(--ISNUMBER(SEARCH("R55",G421)),0)+IFERROR(--ISNUMBER(SEARCH("R56",G421)),0)+IFERROR(--ISNUMBER(SEARCH("R57",G421)),0)+IFERROR(--ISNUMBER(SEARCH("R58",G421)),0)+IFERROR(--ISNUMBER(SEARCH("R59",G421)),0)+IFERROR(--ISNUMBER(SEARCH("R60",G421)),0)+IFERROR(--ISNUMBER(SEARCH("R61",G421)),0)+IFERROR(--ISNUMBER(SEARCH("R62",G421)),0)+IFERROR(--ISNUMBER(SEARCH("R63",G421)),0)+IFERROR(--ISNUMBER(SEARCH("R64",G421)),0)+IFERROR(--ISNUMBER(SEARCH("R65",G421)),0)+IFERROR(--ISNUMBER(SEARCH("R66",G421)),0)+IFERROR(--ISNUMBER(SEARCH("R67",G421)),0)+IFERROR(--ISNUMBER(SEARCH("R68",G421)),0)+IFERROR(--ISNUMBER(SEARCH("R69",G421)),0)+IFERROR(--ISNUMBER(SEARCH("R70",G421)),0)+IFERROR(--ISNUMBER(SEARCH("R71",G421)),0)+IFERROR(--ISNUMBER(SEARCH("R72",G421)),0)+IFERROR(--ISNUMBER(SEARCH("R73",G421)),0)+IFERROR(--ISNUMBER(SEARCH("R74",G421)),0)+IFERROR(--ISNUMBER(SEARCH("R75",G421)),0)+IFERROR(--ISNUMBER(SEARCH("R76",G421)),0)+IFERROR(--ISNUMBER(SEARCH("R77",G421)),0)+IFERROR(--ISNUMBER(SEARCH("R78",G421)),0)+IFERROR(--ISNUMBER(SEARCH("R79",G421)),0)+IFERROR(--ISNUMBER(SEARCH("R80",G421)),0)+IFERROR(--ISNUMBER(SEARCH("R81",G421)),0)+IFERROR(--ISNUMBER(SEARCH("R82",G421)),0)+IFERROR(--ISNUMBER(SEARCH("R83",G421)),0)+IFERROR(--ISNUMBER(SEARCH("R84",G421)),0)+IFERROR(--ISNUMBER(SEARCH("R85",G421)),0)+IFERROR(--ISNUMBER(SEARCH("R86",G421)),0)+IFERROR(--ISNUMBER(SEARCH("R87",G421)),0)+IFERROR(--ISNUMBER(SEARCH("R88",G421)),0)+IFERROR(--ISNUMBER(SEARCH("R89",G421)),0)+IFERROR(--ISNUMBER(SEARCH("R90",G421)),0)+IFERROR(--ISNUMBER(SEARCH("R91",G421)),0)+IFERROR(--ISNUMBER(SEARCH("R92",G421)),0)+IFERROR(--ISNUMBER(SEARCH("R93",G421)),0)+IFERROR(--ISNUMBER(SEARCH("R94",G421)),0)+IFERROR(--ISNUMBER(SEARCH("R95",G421)),0)+IFERROR(--ISNUMBER(SEARCH("R96",G421)),0)+IFERROR(--ISNUMBER(SEARCH("R97",G421)),0)+IFERROR(--ISNUMBER(SEARCH("R98",G421)),0)+IFERROR(--ISNUMBER(SEARCH("R99",G421)),0)+IFERROR(--ISNUMBER(SEARCH("R100",G421)),0)+IFERROR(--ISNUMBER(SEARCH("R101",G421)),0)+IFERROR(--ISNUMBER(SEARCH("R102",G421)),0)+IFERROR(--ISNUMBER(SEARCH("R103",G421)),0)+IFERROR(--ISNUMBER(SEARCH("R104",G421)),0)+IFERROR(--ISNUMBER(SEARCH("R105",G421)),0)+IFERROR(--ISNUMBER(SEARCH("R106",G421)),0)+IFERROR(--ISNUMBER(SEARCH("R107",G421)),0)+IFERROR(--ISNUMBER(SEARCH("R108",G421)),0)+IFERROR(--ISNUMBER(SEARCH("R109",G421)),0)+IFERROR(--ISNUMBER(SEARCH("R110",G421)),0)+IFERROR(--ISNUMBER(SEARCH("R111",G421)),0)+IFERROR(--ISNUMBER(SEARCH("R112",G421)),0)+IFERROR(--ISNUMBER(SEARCH("R113",G421)),0)+IFERROR(--ISNUMBER(SEARCH("R114",G421)),0)+IFERROR(--ISNUMBER(SEARCH("R115",G421)),0)+IFERROR(--ISNUMBER(SEARCH("R116",G421)),0)+IFERROR(--ISNUMBER(SEARCH("R117",G421)),0)+IFERROR(--ISNUMBER(SEARCH("R118",G421)),0)+IFERROR(--ISNUMBER(SEARCH("R119",G421)),0)+IFERROR(--ISNUMBER(SEARCH("R120",G421)),0)+IFERROR(--ISNUMBER(SEARCH("R121",G421)),0)+IFERROR(--ISNUMBER(SEARCH("R122",G421)),0)+IFERROR(--ISNUMBER(SEARCH("R123",G421)),0)+IFERROR(--ISNUMBER(SEARCH("R124",G421)),0)+IFERROR(--ISNUMBER(SEARCH("R125",G421)),0)+IFERROR(--ISNUMBER(SEARCH("R126",G421)),0)+IFERROR(--ISNUMBER(SEARCH("R127",G421)),0)+IFERROR(--ISNUMBER(SEARCH("R128",G421)),0)+IFERROR(--ISNUMBER(SEARCH("R129",G421)),0)+IFERROR(--ISNUMBER(SEARCH("R130",G421)),0)+IFERROR(--ISNUMBER(SEARCH("R131",G421)),0)+IFERROR(--ISNUMBER(SEARCH("R132",G421)),0)+IFERROR(--ISNUMBER(SEARCH("R133",G421)),0)+IFERROR(--ISNUMBER(SEARCH("R134",G421)),0)+IFERROR(--ISNUMBER(SEARCH("R135",G421)),0)+IFERROR(--ISNUMBER(SEARCH("R136",G421)),0)+IFERROR(--ISNUMBER(SEARCH("R137",G421)),0)+IFERROR(--ISNUMBER(SEARCH("R138",G421)),0)+IFERROR(--ISNUMBER(SEARCH("R139",G421)),0)+IFERROR(--ISNUMBER(SEARCH("R140",G421)),0)+IFERROR(--ISNUMBER(SEARCH("R141",G421)),0))</f>
        <v/>
      </c>
      <c r="T421" s="58">
        <f>IF(A421="","",IFERROR(--ISNUMBER(SEARCH("R28",G421)),0)+IFERROR(--ISNUMBER(SEARCH("R29",G421)),0)+IFERROR(--ISNUMBER(SEARCH("R30",G421)),0)+IFERROR(--ISNUMBER(SEARCH("R32",G421)),0)+IFERROR(--ISNUMBER(SEARCH("R33",G421)),0)+IFERROR(--ISNUMBER(SEARCH("R35",G421)),0)+IFERROR(--ISNUMBER(SEARCH("R36",G421)),0)+IFERROR(--ISNUMBER(SEARCH("R38",G421)),0)+IFERROR(--ISNUMBER(SEARCH("R39",G421)),0)+IFERROR(--ISNUMBER(SEARCH("R43",G421)),0)+IFERROR(--ISNUMBER(SEARCH("R44",G421)),0)+IFERROR(--ISNUMBER(SEARCH("R45",G421)),0)+IFERROR(--ISNUMBER(SEARCH("R47",G421)),0)+IFERROR(--ISNUMBER(SEARCH("R48",G421)),0)+IFERROR(--ISNUMBER(SEARCH("R50",G421)),0)+IFERROR(--ISNUMBER(SEARCH("R51",G421)),0)+IFERROR(--ISNUMBER(SEARCH("R56",G421)),0)+IFERROR(--ISNUMBER(SEARCH("R58",G421)),0)+IFERROR(--ISNUMBER(SEARCH("R59",G421)),0)+IFERROR(--ISNUMBER(SEARCH("R60",G421)),0)+IFERROR(--ISNUMBER(SEARCH("R62",G421)),0)+IFERROR(--ISNUMBER(SEARCH("R63",G421)),0)+IFERROR(--ISNUMBER(SEARCH("R64",G421)),0)+IFERROR(--ISNUMBER(SEARCH("R66",G421)),0)+IFERROR(--ISNUMBER(SEARCH("R67",G421)),0)+IFERROR(--ISNUMBER(SEARCH("R72",G421)),0)+IFERROR(--ISNUMBER(SEARCH("R74",G421)),0)+IFERROR(--ISNUMBER(SEARCH("R75",G421)),0)+IFERROR(--ISNUMBER(SEARCH("R76",G421)),0)+IFERROR(--ISNUMBER(SEARCH("R77",G421)),0)+IFERROR(--ISNUMBER(SEARCH("R79",G421)),0)+IFERROR(--ISNUMBER(SEARCH("R80",G421)),0)+IFERROR(--ISNUMBER(SEARCH("R81",G421)),0)+IFERROR(--ISNUMBER(SEARCH("R83",G421)),0)+IFERROR(--ISNUMBER(SEARCH("R84",G421)),0)+IFERROR(--ISNUMBER(SEARCH("R89",G421)),0)+IFERROR(--ISNUMBER(SEARCH("R94",G421)),0)+IFERROR(--ISNUMBER(SEARCH("R95",G421)),0)+IFERROR(--ISNUMBER(SEARCH("R96",G421)),0)+IFERROR(--ISNUMBER(SEARCH("R98",G421)),0)+IFERROR(--ISNUMBER(SEARCH("R99",G421)),0)+IFERROR(--ISNUMBER(SEARCH("R100",G421)),0)+IFERROR(--ISNUMBER(SEARCH("R104",G421)),0)+IFERROR(--ISNUMBER(SEARCH("R105",G421)),0)+IFERROR(--ISNUMBER(SEARCH("R107",G421)),0)+IFERROR(--ISNUMBER(SEARCH("R108",G421)),0)+IFERROR(--ISNUMBER(SEARCH("R109",G421)),0)+IFERROR(--ISNUMBER(SEARCH("R110",G421)),0)+IFERROR(--ISNUMBER(SEARCH("R112",G421)),0)+IFERROR(--ISNUMBER(SEARCH("R113",G421)),0)+IFERROR(--ISNUMBER(SEARCH("R114",G421)),0)+IFERROR(--ISNUMBER(SEARCH("R118",G421)),0)+IFERROR(--ISNUMBER(SEARCH("R119",G421)),0)+IFERROR(--ISNUMBER(SEARCH("R120",G421)),0)+IFERROR(--ISNUMBER(SEARCH("R122",G421)),0)+IFERROR(--ISNUMBER(SEARCH("R123",G421)),0)+IFERROR(--ISNUMBER(SEARCH("R124",G421)),0)+IFERROR(--ISNUMBER(SEARCH("R128",G421)),0)+IFERROR(--ISNUMBER(SEARCH("R130",G421)),0)+IFERROR(--ISNUMBER(SEARCH("R131",G421)),0)+IFERROR(--ISNUMBER(SEARCH("R132",G421)),0)+IFERROR(--ISNUMBER(SEARCH("R135",G421)),0)+IFERROR(--ISNUMBER(SEARCH("R138",G421)),0)+IFERROR(--ISNUMBER(SEARCH("R141",G421)),0))</f>
        <v/>
      </c>
      <c r="U421" s="58">
        <f>IF(A421="","",IFERROR(--ISNUMBER(SEARCH("R28",G421))*28,0)+IFERROR(--ISNUMBER(SEARCH("R29",G421))*29,0)+IFERROR(--ISNUMBER(SEARCH("R30",G421))*30,0)+IFERROR(--ISNUMBER(SEARCH("R31",G421))*31,0)+IFERROR(--ISNUMBER(SEARCH("R32",G421))*32,0)+IFERROR(--ISNUMBER(SEARCH("R33",G421))*33,0)+IFERROR(--ISNUMBER(SEARCH("R34",G421))*34,0)+IFERROR(--ISNUMBER(SEARCH("R35",G421))*35,0)+IFERROR(--ISNUMBER(SEARCH("R36",G421))*36,0)+IFERROR(--ISNUMBER(SEARCH("R37",G421))*37,0)+IFERROR(--ISNUMBER(SEARCH("R38",G421))*38,0)+IFERROR(--ISNUMBER(SEARCH("R39",G421))*39,0)+IFERROR(--ISNUMBER(SEARCH("R40",G421))*40,0)+IFERROR(--ISNUMBER(SEARCH("R41",G421))*41,0)+IFERROR(--ISNUMBER(SEARCH("R42",G421))*42,0)+IFERROR(--ISNUMBER(SEARCH("R43",G421))*43,0)+IFERROR(--ISNUMBER(SEARCH("R44",G421))*44,0)+IFERROR(--ISNUMBER(SEARCH("R45",G421))*45,0)+IFERROR(--ISNUMBER(SEARCH("R46",G421))*46,0)+IFERROR(--ISNUMBER(SEARCH("R47",G421))*47,0)+IFERROR(--ISNUMBER(SEARCH("R48",G421))*48,0)+IFERROR(--ISNUMBER(SEARCH("R49",G421))*49,0)+IFERROR(--ISNUMBER(SEARCH("R50",G421))*50,0)+IFERROR(--ISNUMBER(SEARCH("R51",G421))*51,0)+IFERROR(--ISNUMBER(SEARCH("R52",G421))*52,0)+IFERROR(--ISNUMBER(SEARCH("R53",G421))*53,0)+IFERROR(--ISNUMBER(SEARCH("R54",G421))*54,0)+IFERROR(--ISNUMBER(SEARCH("R55",G421))*55,0)+IFERROR(--ISNUMBER(SEARCH("R56",G421))*56,0)+IFERROR(--ISNUMBER(SEARCH("R57",G421))*57,0)+IFERROR(--ISNUMBER(SEARCH("R58",G421))*58,0)+IFERROR(--ISNUMBER(SEARCH("R59",G421))*59,0)+IFERROR(--ISNUMBER(SEARCH("R60",G421))*60,0)+IFERROR(--ISNUMBER(SEARCH("R61",G421))*61,0)+IFERROR(--ISNUMBER(SEARCH("R62",G421))*62,0)+IFERROR(--ISNUMBER(SEARCH("R63",G421))*63,0)+IFERROR(--ISNUMBER(SEARCH("R64",G421))*64,0)+IFERROR(--ISNUMBER(SEARCH("R65",G421))*65,0)+IFERROR(--ISNUMBER(SEARCH("R66",G421))*66,0)+IFERROR(--ISNUMBER(SEARCH("R67",G421))*67,0)+IFERROR(--ISNUMBER(SEARCH("R68",G421))*68,0)+IFERROR(--ISNUMBER(SEARCH("R69",G421))*69,0)+IFERROR(--ISNUMBER(SEARCH("R70",G421))*70,0)+IFERROR(--ISNUMBER(SEARCH("R71",G421))*71,0)+IFERROR(--ISNUMBER(SEARCH("R72",G421))*72,0)+IFERROR(--ISNUMBER(SEARCH("R73",G421))*73,0)+IFERROR(--ISNUMBER(SEARCH("R74",G421))*74,0)+IFERROR(--ISNUMBER(SEARCH("R75",G421))*75,0)+IFERROR(--ISNUMBER(SEARCH("R76",G421))*76,0)+IFERROR(--ISNUMBER(SEARCH("R77",G421))*77,0)+IFERROR(--ISNUMBER(SEARCH("R78",G421))*78,0)+IFERROR(--ISNUMBER(SEARCH("R79",G421))*79,0)+IFERROR(--ISNUMBER(SEARCH("R80",G421))*80,0)+IFERROR(--ISNUMBER(SEARCH("R81",G421))*81,0)+IFERROR(--ISNUMBER(SEARCH("R82",G421))*82,0)+IFERROR(--ISNUMBER(SEARCH("R83",G421))*83,0)+IFERROR(--ISNUMBER(SEARCH("R84",G421))*84,0)+IFERROR(--ISNUMBER(SEARCH("R85",G421))*85,0)+IFERROR(--ISNUMBER(SEARCH("R86",G421))*86,0)+IFERROR(--ISNUMBER(SEARCH("R87",G421))*87,0)+IFERROR(--ISNUMBER(SEARCH("R88",G421))*88,0)+IFERROR(--ISNUMBER(SEARCH("R89",G421))*89,0)+IFERROR(--ISNUMBER(SEARCH("R90",G421))*90,0)+IFERROR(--ISNUMBER(SEARCH("R91",G421))*91,0)+IFERROR(--ISNUMBER(SEARCH("R92",G421))*92,0)+IFERROR(--ISNUMBER(SEARCH("R93",G421))*93,0)+IFERROR(--ISNUMBER(SEARCH("R94",G421))*94,0)+IFERROR(--ISNUMBER(SEARCH("R95",G421))*95,0)+IFERROR(--ISNUMBER(SEARCH("R96",G421))*96,0)+IFERROR(--ISNUMBER(SEARCH("R97",G421))*97,0)+IFERROR(--ISNUMBER(SEARCH("R98",G421))*98,0)+IFERROR(--ISNUMBER(SEARCH("R99",G421))*99,0)+IFERROR(--ISNUMBER(SEARCH("R100",G421))*100,0)+IFERROR(--ISNUMBER(SEARCH("R101",G421))*101,0)+IFERROR(--ISNUMBER(SEARCH("R102",G421))*102,0)+IFERROR(--ISNUMBER(SEARCH("R103",G421))*103,0)+IFERROR(--ISNUMBER(SEARCH("R104",G421))*104,0)+IFERROR(--ISNUMBER(SEARCH("R105",G421))*105,0)+IFERROR(--ISNUMBER(SEARCH("R106",G421))*106,0)+IFERROR(--ISNUMBER(SEARCH("R107",G421))*107,0)+IFERROR(--ISNUMBER(SEARCH("R108",G421))*108,0)+IFERROR(--ISNUMBER(SEARCH("R109",G421))*109,0)+IFERROR(--ISNUMBER(SEARCH("R110",G421))*110,0)+IFERROR(--ISNUMBER(SEARCH("R111",G421))*111,0)+IFERROR(--ISNUMBER(SEARCH("R112",G421))*112,0)+IFERROR(--ISNUMBER(SEARCH("R113",G421))*113,0)+IFERROR(--ISNUMBER(SEARCH("R114",G421))*114,0)+IFERROR(--ISNUMBER(SEARCH("R115",G421))*115,0)+IFERROR(--ISNUMBER(SEARCH("R116",G421))*116,0)+IFERROR(--ISNUMBER(SEARCH("R117",G421))*117,0)+IFERROR(--ISNUMBER(SEARCH("R118",G421))*118,0)+IFERROR(--ISNUMBER(SEARCH("R119",G421))*119,0)+IFERROR(--ISNUMBER(SEARCH("R120",G421))*120,0)+IFERROR(--ISNUMBER(SEARCH("R121",G421))*121,0)+IFERROR(--ISNUMBER(SEARCH("R122",G421))*122,0)+IFERROR(--ISNUMBER(SEARCH("R123",G421))*123,0)+IFERROR(--ISNUMBER(SEARCH("R124",G421))*124,0)+IFERROR(--ISNUMBER(SEARCH("R125",G421))*125,0)+IFERROR(--ISNUMBER(SEARCH("R126",G421))*126,0)+IFERROR(--ISNUMBER(SEARCH("R127",G421))*127,0)+IFERROR(--ISNUMBER(SEARCH("R128",G421))*128,0)+IFERROR(--ISNUMBER(SEARCH("R129",G421))*129,0)+IFERROR(--ISNUMBER(SEARCH("R130",G421))*130,0)+IFERROR(--ISNUMBER(SEARCH("R131",G421))*131,0)+IFERROR(--ISNUMBER(SEARCH("R132",G421))*132,0)+IFERROR(--ISNUMBER(SEARCH("R133",G421))*133,0)+IFERROR(--ISNUMBER(SEARCH("R134",G421))*134,0)+IFERROR(--ISNUMBER(SEARCH("R135",G421))*135,0)+IFERROR(--ISNUMBER(SEARCH("R136",G421))*136,0)+IFERROR(--ISNUMBER(SEARCH("R137",G421))*137,0)+IFERROR(--ISNUMBER(SEARCH("R138",G421))*138,0)+IFERROR(--ISNUMBER(SEARCH("R139",G421))*139,0)+IFERROR(--ISNUMBER(SEARCH("R140",G421))*140,0)+IFERROR(--ISNUMBER(SEARCH("R141",G421))*141,0))</f>
        <v/>
      </c>
      <c r="V421" s="59">
        <f>IF(A421="","",IF(K421&lt;&gt;"",K421,J421))</f>
        <v/>
      </c>
      <c r="W421" s="59">
        <f>IF(A421="","",IF(AND(V421=29,O421&lt;&gt;"",COUNTIFS($V$6:$V$505,29,$F$6:$F$505,F421,$C$6:$C$505,C421,$O$6:$O$505,"&lt;&gt;")&gt;1),IF(COUNTIFS($V$6:V421,29,$F$6:F421,F421,$C$6:C421,C421,$O$6:O421,"&lt;&gt;")=1,"Esta es la fila que se debe CONSERVAR (aparición 1 de "&amp;COUNTIFS($V$6:$V$505,29,$F$6:$F$505,F421,$C$6:$C$505,C421,$O$6:$O$505,"&lt;&gt;")&amp;" con el mismo tercero y valor, casilla 29). Si hay más filas iguales, bórreles el valor a ELLAS, no a esta.","DUPLICADO — ya existe otra fila con el mismo tercero y valor para casilla 29 (aparición "&amp;COUNTIFS($V$6:V421,29,$F$6:F421,F421,$C$6:C421,C421,$O$6:O421,"&lt;&gt;")&amp;" de "&amp;COUNTIFS($V$6:$V$505,29,$F$6:$F$505,F421,$C$6:$C$505,C421,$O$6:$O$505,"&lt;&gt;")&amp;"). Para resolverlo: seleccione la celda O"&amp;ROW()&amp;" (columna Valor a declarar de ESTA fila) y presione Supr."),""))</f>
        <v/>
      </c>
      <c r="X421" s="463">
        <f>IF(A421="","",F421)</f>
        <v/>
      </c>
      <c r="Y421" s="463">
        <f>IF(A421="","",SUMIF(Entrada_Manual!$I$88:$I$187,A421,Entrada_Manual!$F$88:$F$187))</f>
        <v/>
      </c>
      <c r="Z421" s="463">
        <f>IF(A421="","",X421-Y421)</f>
        <v/>
      </c>
      <c r="AA421">
        <f>IF(A421="","",SUMPRODUCT((Entrada_Manual!$I$88:$I$187=A421)*1))</f>
        <v/>
      </c>
      <c r="AB421">
        <f>IF(A421="","",IF(S421&lt;=1,"",IF(AA421=0,"PENDIENTE — SIN ASIGNAR",IF(Z421=0,"RESUELTO","PARCIAL — DIFERENCIA "&amp;TEXT(Z421,"#,##0")))))</f>
        <v/>
      </c>
    </row>
    <row r="422" ht="14.25" customHeight="1" s="235">
      <c r="A422" s="47">
        <f>IF(Exogena_RAW!E431&lt;&gt;"",ROW()-5,"")</f>
        <v/>
      </c>
      <c r="B422" s="48">
        <f>IF(A422="","",431)</f>
        <v/>
      </c>
      <c r="C422" s="48">
        <f>IF(A422="","",IFERROR(Exogena_RAW!A431,""))</f>
        <v/>
      </c>
      <c r="D422" s="48">
        <f>IF(A422="","",IFERROR(Exogena_RAW!B431,""))</f>
        <v/>
      </c>
      <c r="E422" s="48">
        <f>IF(A422="","",Exogena_RAW!E431)</f>
        <v/>
      </c>
      <c r="F422" s="461">
        <f>IF(A422="","",Exogena_RAW!F431)</f>
        <v/>
      </c>
      <c r="G422" s="48">
        <f>IF(A422="","",IFERROR(Exogena_RAW!G431,""))</f>
        <v/>
      </c>
      <c r="H422" s="48">
        <f>IF(A422="","",IFERROR(Exogena_RAW!H431,""))</f>
        <v/>
      </c>
      <c r="I422" s="48">
        <f>IF(A422="","",IFERROR(IF(S422&gt;1,"VARIAS CASILLAS",IF(S422=1,IF(T422=1,"PROPUESTA DE CASILLA","REVISIÓN: CASILLA NO DIRECTA"),IF(OR(ISNUMBER(SEARCH("TOPE",UPPER(E422))),ISNUMBER(SEARCH("TOPE",UPPER(G422)))),"SOLO CONTROL",IF(ISNUMBER(SEARCH("RETEN",UPPER(E422))),"RETENCIÓN","REVISAR")))),"REVISAR"))</f>
        <v/>
      </c>
      <c r="J422" s="48">
        <f>IF(A422="","",IF(ISNUMBER(SEARCH("ingreso laboral promedio de los últimos seis meses",E422)),"",IFERROR(IF(AND(S422=1,T422=1),U422,""),"")))</f>
        <v/>
      </c>
      <c r="K422" s="216" t="n"/>
      <c r="L422" s="48">
        <f>IF(A422="","",IFERROR(IF(K422&lt;&gt;"","Casilla elegida por usuario",IF(S422&gt;1,"Varias casillas — elegir en K",IF(J422&lt;&gt;"","Sugerencia directa",IF(S422=1,"No trasladar directo — revisar",IF(OR(ISNUMBER(SEARCH("TOPE",UPPER(E422))),ISNUMBER(SEARCH("TOPE",UPPER(G422)))),"Solo control","Revisar manualmente"))))),"Revisar manualmente"))</f>
        <v/>
      </c>
      <c r="M422" s="461">
        <f>IF(A422="","",IF(IF(K422&lt;&gt;"",K422,J422)="",0,IF(COUNTIFS(Reglas!$I$5:$I$118,IF(K422&lt;&gt;"",K422,J422),Reglas!$J$5:$J$118,"Sí")=1,F422,0)))</f>
        <v/>
      </c>
      <c r="N422" s="56" t="n"/>
      <c r="O422" s="462">
        <f>IF(A422="","",IF(M422=0,"",M422))</f>
        <v/>
      </c>
      <c r="P422" s="461">
        <f>IF(A422="","",IF(O422="",0,IF(ISNUMBER(O422),O422,0)))</f>
        <v/>
      </c>
      <c r="Q422" s="48">
        <f>IF(A422="","",IF(Exogena_RAW!$C$4="","BLOQUEADO: FALTA AÑO",IF(Exogena_RAW!$K$10&lt;&gt;Reglas!$B$5,"BLOQUEADO: AÑO",IF(IF(K422&lt;&gt;"",K422,J422)="",IF(S422&gt;1,"REQUIERE ASIGNACIÓN MANUAL (VARIAS CASILLAS)","INFORMATIVO (sin casilla — no se declara)"),IF(COUNTIFS(Reglas!$I$5:$I$118,IF(K422&lt;&gt;"",K422,J422),Reglas!$J$5:$J$118,"Sí")=0,"BLOQUEADO: CASILLA NO DIRECTA",IF(O422="","EXCLUIDO (valor borrado por el usuario)",IF(_xlfn.ISFORMULA(O422),IF(W422&lt;&gt;"","BORRADOR — VALOR SUGERIDO DIAN ⚠ VER ALERTA","BORRADOR — VALOR SUGERIDO DIAN"),IF(W422&lt;&gt;"","ACEPTADO ⚠ VER ALERTA","ACEPTADO"))))))))</f>
        <v/>
      </c>
      <c r="R422" s="218" t="n"/>
      <c r="S422" s="58">
        <f>IF(A422="","",IFERROR(--ISNUMBER(SEARCH("R28",G422)),0)+IFERROR(--ISNUMBER(SEARCH("R29",G422)),0)+IFERROR(--ISNUMBER(SEARCH("R30",G422)),0)+IFERROR(--ISNUMBER(SEARCH("R31",G422)),0)+IFERROR(--ISNUMBER(SEARCH("R32",G422)),0)+IFERROR(--ISNUMBER(SEARCH("R33",G422)),0)+IFERROR(--ISNUMBER(SEARCH("R34",G422)),0)+IFERROR(--ISNUMBER(SEARCH("R35",G422)),0)+IFERROR(--ISNUMBER(SEARCH("R36",G422)),0)+IFERROR(--ISNUMBER(SEARCH("R37",G422)),0)+IFERROR(--ISNUMBER(SEARCH("R38",G422)),0)+IFERROR(--ISNUMBER(SEARCH("R39",G422)),0)+IFERROR(--ISNUMBER(SEARCH("R40",G422)),0)+IFERROR(--ISNUMBER(SEARCH("R41",G422)),0)+IFERROR(--ISNUMBER(SEARCH("R42",G422)),0)+IFERROR(--ISNUMBER(SEARCH("R43",G422)),0)+IFERROR(--ISNUMBER(SEARCH("R44",G422)),0)+IFERROR(--ISNUMBER(SEARCH("R45",G422)),0)+IFERROR(--ISNUMBER(SEARCH("R46",G422)),0)+IFERROR(--ISNUMBER(SEARCH("R47",G422)),0)+IFERROR(--ISNUMBER(SEARCH("R48",G422)),0)+IFERROR(--ISNUMBER(SEARCH("R49",G422)),0)+IFERROR(--ISNUMBER(SEARCH("R50",G422)),0)+IFERROR(--ISNUMBER(SEARCH("R51",G422)),0)+IFERROR(--ISNUMBER(SEARCH("R52",G422)),0)+IFERROR(--ISNUMBER(SEARCH("R53",G422)),0)+IFERROR(--ISNUMBER(SEARCH("R54",G422)),0)+IFERROR(--ISNUMBER(SEARCH("R55",G422)),0)+IFERROR(--ISNUMBER(SEARCH("R56",G422)),0)+IFERROR(--ISNUMBER(SEARCH("R57",G422)),0)+IFERROR(--ISNUMBER(SEARCH("R58",G422)),0)+IFERROR(--ISNUMBER(SEARCH("R59",G422)),0)+IFERROR(--ISNUMBER(SEARCH("R60",G422)),0)+IFERROR(--ISNUMBER(SEARCH("R61",G422)),0)+IFERROR(--ISNUMBER(SEARCH("R62",G422)),0)+IFERROR(--ISNUMBER(SEARCH("R63",G422)),0)+IFERROR(--ISNUMBER(SEARCH("R64",G422)),0)+IFERROR(--ISNUMBER(SEARCH("R65",G422)),0)+IFERROR(--ISNUMBER(SEARCH("R66",G422)),0)+IFERROR(--ISNUMBER(SEARCH("R67",G422)),0)+IFERROR(--ISNUMBER(SEARCH("R68",G422)),0)+IFERROR(--ISNUMBER(SEARCH("R69",G422)),0)+IFERROR(--ISNUMBER(SEARCH("R70",G422)),0)+IFERROR(--ISNUMBER(SEARCH("R71",G422)),0)+IFERROR(--ISNUMBER(SEARCH("R72",G422)),0)+IFERROR(--ISNUMBER(SEARCH("R73",G422)),0)+IFERROR(--ISNUMBER(SEARCH("R74",G422)),0)+IFERROR(--ISNUMBER(SEARCH("R75",G422)),0)+IFERROR(--ISNUMBER(SEARCH("R76",G422)),0)+IFERROR(--ISNUMBER(SEARCH("R77",G422)),0)+IFERROR(--ISNUMBER(SEARCH("R78",G422)),0)+IFERROR(--ISNUMBER(SEARCH("R79",G422)),0)+IFERROR(--ISNUMBER(SEARCH("R80",G422)),0)+IFERROR(--ISNUMBER(SEARCH("R81",G422)),0)+IFERROR(--ISNUMBER(SEARCH("R82",G422)),0)+IFERROR(--ISNUMBER(SEARCH("R83",G422)),0)+IFERROR(--ISNUMBER(SEARCH("R84",G422)),0)+IFERROR(--ISNUMBER(SEARCH("R85",G422)),0)+IFERROR(--ISNUMBER(SEARCH("R86",G422)),0)+IFERROR(--ISNUMBER(SEARCH("R87",G422)),0)+IFERROR(--ISNUMBER(SEARCH("R88",G422)),0)+IFERROR(--ISNUMBER(SEARCH("R89",G422)),0)+IFERROR(--ISNUMBER(SEARCH("R90",G422)),0)+IFERROR(--ISNUMBER(SEARCH("R91",G422)),0)+IFERROR(--ISNUMBER(SEARCH("R92",G422)),0)+IFERROR(--ISNUMBER(SEARCH("R93",G422)),0)+IFERROR(--ISNUMBER(SEARCH("R94",G422)),0)+IFERROR(--ISNUMBER(SEARCH("R95",G422)),0)+IFERROR(--ISNUMBER(SEARCH("R96",G422)),0)+IFERROR(--ISNUMBER(SEARCH("R97",G422)),0)+IFERROR(--ISNUMBER(SEARCH("R98",G422)),0)+IFERROR(--ISNUMBER(SEARCH("R99",G422)),0)+IFERROR(--ISNUMBER(SEARCH("R100",G422)),0)+IFERROR(--ISNUMBER(SEARCH("R101",G422)),0)+IFERROR(--ISNUMBER(SEARCH("R102",G422)),0)+IFERROR(--ISNUMBER(SEARCH("R103",G422)),0)+IFERROR(--ISNUMBER(SEARCH("R104",G422)),0)+IFERROR(--ISNUMBER(SEARCH("R105",G422)),0)+IFERROR(--ISNUMBER(SEARCH("R106",G422)),0)+IFERROR(--ISNUMBER(SEARCH("R107",G422)),0)+IFERROR(--ISNUMBER(SEARCH("R108",G422)),0)+IFERROR(--ISNUMBER(SEARCH("R109",G422)),0)+IFERROR(--ISNUMBER(SEARCH("R110",G422)),0)+IFERROR(--ISNUMBER(SEARCH("R111",G422)),0)+IFERROR(--ISNUMBER(SEARCH("R112",G422)),0)+IFERROR(--ISNUMBER(SEARCH("R113",G422)),0)+IFERROR(--ISNUMBER(SEARCH("R114",G422)),0)+IFERROR(--ISNUMBER(SEARCH("R115",G422)),0)+IFERROR(--ISNUMBER(SEARCH("R116",G422)),0)+IFERROR(--ISNUMBER(SEARCH("R117",G422)),0)+IFERROR(--ISNUMBER(SEARCH("R118",G422)),0)+IFERROR(--ISNUMBER(SEARCH("R119",G422)),0)+IFERROR(--ISNUMBER(SEARCH("R120",G422)),0)+IFERROR(--ISNUMBER(SEARCH("R121",G422)),0)+IFERROR(--ISNUMBER(SEARCH("R122",G422)),0)+IFERROR(--ISNUMBER(SEARCH("R123",G422)),0)+IFERROR(--ISNUMBER(SEARCH("R124",G422)),0)+IFERROR(--ISNUMBER(SEARCH("R125",G422)),0)+IFERROR(--ISNUMBER(SEARCH("R126",G422)),0)+IFERROR(--ISNUMBER(SEARCH("R127",G422)),0)+IFERROR(--ISNUMBER(SEARCH("R128",G422)),0)+IFERROR(--ISNUMBER(SEARCH("R129",G422)),0)+IFERROR(--ISNUMBER(SEARCH("R130",G422)),0)+IFERROR(--ISNUMBER(SEARCH("R131",G422)),0)+IFERROR(--ISNUMBER(SEARCH("R132",G422)),0)+IFERROR(--ISNUMBER(SEARCH("R133",G422)),0)+IFERROR(--ISNUMBER(SEARCH("R134",G422)),0)+IFERROR(--ISNUMBER(SEARCH("R135",G422)),0)+IFERROR(--ISNUMBER(SEARCH("R136",G422)),0)+IFERROR(--ISNUMBER(SEARCH("R137",G422)),0)+IFERROR(--ISNUMBER(SEARCH("R138",G422)),0)+IFERROR(--ISNUMBER(SEARCH("R139",G422)),0)+IFERROR(--ISNUMBER(SEARCH("R140",G422)),0)+IFERROR(--ISNUMBER(SEARCH("R141",G422)),0))</f>
        <v/>
      </c>
      <c r="T422" s="58">
        <f>IF(A422="","",IFERROR(--ISNUMBER(SEARCH("R28",G422)),0)+IFERROR(--ISNUMBER(SEARCH("R29",G422)),0)+IFERROR(--ISNUMBER(SEARCH("R30",G422)),0)+IFERROR(--ISNUMBER(SEARCH("R32",G422)),0)+IFERROR(--ISNUMBER(SEARCH("R33",G422)),0)+IFERROR(--ISNUMBER(SEARCH("R35",G422)),0)+IFERROR(--ISNUMBER(SEARCH("R36",G422)),0)+IFERROR(--ISNUMBER(SEARCH("R38",G422)),0)+IFERROR(--ISNUMBER(SEARCH("R39",G422)),0)+IFERROR(--ISNUMBER(SEARCH("R43",G422)),0)+IFERROR(--ISNUMBER(SEARCH("R44",G422)),0)+IFERROR(--ISNUMBER(SEARCH("R45",G422)),0)+IFERROR(--ISNUMBER(SEARCH("R47",G422)),0)+IFERROR(--ISNUMBER(SEARCH("R48",G422)),0)+IFERROR(--ISNUMBER(SEARCH("R50",G422)),0)+IFERROR(--ISNUMBER(SEARCH("R51",G422)),0)+IFERROR(--ISNUMBER(SEARCH("R56",G422)),0)+IFERROR(--ISNUMBER(SEARCH("R58",G422)),0)+IFERROR(--ISNUMBER(SEARCH("R59",G422)),0)+IFERROR(--ISNUMBER(SEARCH("R60",G422)),0)+IFERROR(--ISNUMBER(SEARCH("R62",G422)),0)+IFERROR(--ISNUMBER(SEARCH("R63",G422)),0)+IFERROR(--ISNUMBER(SEARCH("R64",G422)),0)+IFERROR(--ISNUMBER(SEARCH("R66",G422)),0)+IFERROR(--ISNUMBER(SEARCH("R67",G422)),0)+IFERROR(--ISNUMBER(SEARCH("R72",G422)),0)+IFERROR(--ISNUMBER(SEARCH("R74",G422)),0)+IFERROR(--ISNUMBER(SEARCH("R75",G422)),0)+IFERROR(--ISNUMBER(SEARCH("R76",G422)),0)+IFERROR(--ISNUMBER(SEARCH("R77",G422)),0)+IFERROR(--ISNUMBER(SEARCH("R79",G422)),0)+IFERROR(--ISNUMBER(SEARCH("R80",G422)),0)+IFERROR(--ISNUMBER(SEARCH("R81",G422)),0)+IFERROR(--ISNUMBER(SEARCH("R83",G422)),0)+IFERROR(--ISNUMBER(SEARCH("R84",G422)),0)+IFERROR(--ISNUMBER(SEARCH("R89",G422)),0)+IFERROR(--ISNUMBER(SEARCH("R94",G422)),0)+IFERROR(--ISNUMBER(SEARCH("R95",G422)),0)+IFERROR(--ISNUMBER(SEARCH("R96",G422)),0)+IFERROR(--ISNUMBER(SEARCH("R98",G422)),0)+IFERROR(--ISNUMBER(SEARCH("R99",G422)),0)+IFERROR(--ISNUMBER(SEARCH("R100",G422)),0)+IFERROR(--ISNUMBER(SEARCH("R104",G422)),0)+IFERROR(--ISNUMBER(SEARCH("R105",G422)),0)+IFERROR(--ISNUMBER(SEARCH("R107",G422)),0)+IFERROR(--ISNUMBER(SEARCH("R108",G422)),0)+IFERROR(--ISNUMBER(SEARCH("R109",G422)),0)+IFERROR(--ISNUMBER(SEARCH("R110",G422)),0)+IFERROR(--ISNUMBER(SEARCH("R112",G422)),0)+IFERROR(--ISNUMBER(SEARCH("R113",G422)),0)+IFERROR(--ISNUMBER(SEARCH("R114",G422)),0)+IFERROR(--ISNUMBER(SEARCH("R118",G422)),0)+IFERROR(--ISNUMBER(SEARCH("R119",G422)),0)+IFERROR(--ISNUMBER(SEARCH("R120",G422)),0)+IFERROR(--ISNUMBER(SEARCH("R122",G422)),0)+IFERROR(--ISNUMBER(SEARCH("R123",G422)),0)+IFERROR(--ISNUMBER(SEARCH("R124",G422)),0)+IFERROR(--ISNUMBER(SEARCH("R128",G422)),0)+IFERROR(--ISNUMBER(SEARCH("R130",G422)),0)+IFERROR(--ISNUMBER(SEARCH("R131",G422)),0)+IFERROR(--ISNUMBER(SEARCH("R132",G422)),0)+IFERROR(--ISNUMBER(SEARCH("R135",G422)),0)+IFERROR(--ISNUMBER(SEARCH("R138",G422)),0)+IFERROR(--ISNUMBER(SEARCH("R141",G422)),0))</f>
        <v/>
      </c>
      <c r="U422" s="58">
        <f>IF(A422="","",IFERROR(--ISNUMBER(SEARCH("R28",G422))*28,0)+IFERROR(--ISNUMBER(SEARCH("R29",G422))*29,0)+IFERROR(--ISNUMBER(SEARCH("R30",G422))*30,0)+IFERROR(--ISNUMBER(SEARCH("R31",G422))*31,0)+IFERROR(--ISNUMBER(SEARCH("R32",G422))*32,0)+IFERROR(--ISNUMBER(SEARCH("R33",G422))*33,0)+IFERROR(--ISNUMBER(SEARCH("R34",G422))*34,0)+IFERROR(--ISNUMBER(SEARCH("R35",G422))*35,0)+IFERROR(--ISNUMBER(SEARCH("R36",G422))*36,0)+IFERROR(--ISNUMBER(SEARCH("R37",G422))*37,0)+IFERROR(--ISNUMBER(SEARCH("R38",G422))*38,0)+IFERROR(--ISNUMBER(SEARCH("R39",G422))*39,0)+IFERROR(--ISNUMBER(SEARCH("R40",G422))*40,0)+IFERROR(--ISNUMBER(SEARCH("R41",G422))*41,0)+IFERROR(--ISNUMBER(SEARCH("R42",G422))*42,0)+IFERROR(--ISNUMBER(SEARCH("R43",G422))*43,0)+IFERROR(--ISNUMBER(SEARCH("R44",G422))*44,0)+IFERROR(--ISNUMBER(SEARCH("R45",G422))*45,0)+IFERROR(--ISNUMBER(SEARCH("R46",G422))*46,0)+IFERROR(--ISNUMBER(SEARCH("R47",G422))*47,0)+IFERROR(--ISNUMBER(SEARCH("R48",G422))*48,0)+IFERROR(--ISNUMBER(SEARCH("R49",G422))*49,0)+IFERROR(--ISNUMBER(SEARCH("R50",G422))*50,0)+IFERROR(--ISNUMBER(SEARCH("R51",G422))*51,0)+IFERROR(--ISNUMBER(SEARCH("R52",G422))*52,0)+IFERROR(--ISNUMBER(SEARCH("R53",G422))*53,0)+IFERROR(--ISNUMBER(SEARCH("R54",G422))*54,0)+IFERROR(--ISNUMBER(SEARCH("R55",G422))*55,0)+IFERROR(--ISNUMBER(SEARCH("R56",G422))*56,0)+IFERROR(--ISNUMBER(SEARCH("R57",G422))*57,0)+IFERROR(--ISNUMBER(SEARCH("R58",G422))*58,0)+IFERROR(--ISNUMBER(SEARCH("R59",G422))*59,0)+IFERROR(--ISNUMBER(SEARCH("R60",G422))*60,0)+IFERROR(--ISNUMBER(SEARCH("R61",G422))*61,0)+IFERROR(--ISNUMBER(SEARCH("R62",G422))*62,0)+IFERROR(--ISNUMBER(SEARCH("R63",G422))*63,0)+IFERROR(--ISNUMBER(SEARCH("R64",G422))*64,0)+IFERROR(--ISNUMBER(SEARCH("R65",G422))*65,0)+IFERROR(--ISNUMBER(SEARCH("R66",G422))*66,0)+IFERROR(--ISNUMBER(SEARCH("R67",G422))*67,0)+IFERROR(--ISNUMBER(SEARCH("R68",G422))*68,0)+IFERROR(--ISNUMBER(SEARCH("R69",G422))*69,0)+IFERROR(--ISNUMBER(SEARCH("R70",G422))*70,0)+IFERROR(--ISNUMBER(SEARCH("R71",G422))*71,0)+IFERROR(--ISNUMBER(SEARCH("R72",G422))*72,0)+IFERROR(--ISNUMBER(SEARCH("R73",G422))*73,0)+IFERROR(--ISNUMBER(SEARCH("R74",G422))*74,0)+IFERROR(--ISNUMBER(SEARCH("R75",G422))*75,0)+IFERROR(--ISNUMBER(SEARCH("R76",G422))*76,0)+IFERROR(--ISNUMBER(SEARCH("R77",G422))*77,0)+IFERROR(--ISNUMBER(SEARCH("R78",G422))*78,0)+IFERROR(--ISNUMBER(SEARCH("R79",G422))*79,0)+IFERROR(--ISNUMBER(SEARCH("R80",G422))*80,0)+IFERROR(--ISNUMBER(SEARCH("R81",G422))*81,0)+IFERROR(--ISNUMBER(SEARCH("R82",G422))*82,0)+IFERROR(--ISNUMBER(SEARCH("R83",G422))*83,0)+IFERROR(--ISNUMBER(SEARCH("R84",G422))*84,0)+IFERROR(--ISNUMBER(SEARCH("R85",G422))*85,0)+IFERROR(--ISNUMBER(SEARCH("R86",G422))*86,0)+IFERROR(--ISNUMBER(SEARCH("R87",G422))*87,0)+IFERROR(--ISNUMBER(SEARCH("R88",G422))*88,0)+IFERROR(--ISNUMBER(SEARCH("R89",G422))*89,0)+IFERROR(--ISNUMBER(SEARCH("R90",G422))*90,0)+IFERROR(--ISNUMBER(SEARCH("R91",G422))*91,0)+IFERROR(--ISNUMBER(SEARCH("R92",G422))*92,0)+IFERROR(--ISNUMBER(SEARCH("R93",G422))*93,0)+IFERROR(--ISNUMBER(SEARCH("R94",G422))*94,0)+IFERROR(--ISNUMBER(SEARCH("R95",G422))*95,0)+IFERROR(--ISNUMBER(SEARCH("R96",G422))*96,0)+IFERROR(--ISNUMBER(SEARCH("R97",G422))*97,0)+IFERROR(--ISNUMBER(SEARCH("R98",G422))*98,0)+IFERROR(--ISNUMBER(SEARCH("R99",G422))*99,0)+IFERROR(--ISNUMBER(SEARCH("R100",G422))*100,0)+IFERROR(--ISNUMBER(SEARCH("R101",G422))*101,0)+IFERROR(--ISNUMBER(SEARCH("R102",G422))*102,0)+IFERROR(--ISNUMBER(SEARCH("R103",G422))*103,0)+IFERROR(--ISNUMBER(SEARCH("R104",G422))*104,0)+IFERROR(--ISNUMBER(SEARCH("R105",G422))*105,0)+IFERROR(--ISNUMBER(SEARCH("R106",G422))*106,0)+IFERROR(--ISNUMBER(SEARCH("R107",G422))*107,0)+IFERROR(--ISNUMBER(SEARCH("R108",G422))*108,0)+IFERROR(--ISNUMBER(SEARCH("R109",G422))*109,0)+IFERROR(--ISNUMBER(SEARCH("R110",G422))*110,0)+IFERROR(--ISNUMBER(SEARCH("R111",G422))*111,0)+IFERROR(--ISNUMBER(SEARCH("R112",G422))*112,0)+IFERROR(--ISNUMBER(SEARCH("R113",G422))*113,0)+IFERROR(--ISNUMBER(SEARCH("R114",G422))*114,0)+IFERROR(--ISNUMBER(SEARCH("R115",G422))*115,0)+IFERROR(--ISNUMBER(SEARCH("R116",G422))*116,0)+IFERROR(--ISNUMBER(SEARCH("R117",G422))*117,0)+IFERROR(--ISNUMBER(SEARCH("R118",G422))*118,0)+IFERROR(--ISNUMBER(SEARCH("R119",G422))*119,0)+IFERROR(--ISNUMBER(SEARCH("R120",G422))*120,0)+IFERROR(--ISNUMBER(SEARCH("R121",G422))*121,0)+IFERROR(--ISNUMBER(SEARCH("R122",G422))*122,0)+IFERROR(--ISNUMBER(SEARCH("R123",G422))*123,0)+IFERROR(--ISNUMBER(SEARCH("R124",G422))*124,0)+IFERROR(--ISNUMBER(SEARCH("R125",G422))*125,0)+IFERROR(--ISNUMBER(SEARCH("R126",G422))*126,0)+IFERROR(--ISNUMBER(SEARCH("R127",G422))*127,0)+IFERROR(--ISNUMBER(SEARCH("R128",G422))*128,0)+IFERROR(--ISNUMBER(SEARCH("R129",G422))*129,0)+IFERROR(--ISNUMBER(SEARCH("R130",G422))*130,0)+IFERROR(--ISNUMBER(SEARCH("R131",G422))*131,0)+IFERROR(--ISNUMBER(SEARCH("R132",G422))*132,0)+IFERROR(--ISNUMBER(SEARCH("R133",G422))*133,0)+IFERROR(--ISNUMBER(SEARCH("R134",G422))*134,0)+IFERROR(--ISNUMBER(SEARCH("R135",G422))*135,0)+IFERROR(--ISNUMBER(SEARCH("R136",G422))*136,0)+IFERROR(--ISNUMBER(SEARCH("R137",G422))*137,0)+IFERROR(--ISNUMBER(SEARCH("R138",G422))*138,0)+IFERROR(--ISNUMBER(SEARCH("R139",G422))*139,0)+IFERROR(--ISNUMBER(SEARCH("R140",G422))*140,0)+IFERROR(--ISNUMBER(SEARCH("R141",G422))*141,0))</f>
        <v/>
      </c>
      <c r="V422" s="59">
        <f>IF(A422="","",IF(K422&lt;&gt;"",K422,J422))</f>
        <v/>
      </c>
      <c r="W422" s="59">
        <f>IF(A422="","",IF(AND(V422=29,O422&lt;&gt;"",COUNTIFS($V$6:$V$505,29,$F$6:$F$505,F422,$C$6:$C$505,C422,$O$6:$O$505,"&lt;&gt;")&gt;1),IF(COUNTIFS($V$6:V422,29,$F$6:F422,F422,$C$6:C422,C422,$O$6:O422,"&lt;&gt;")=1,"Esta es la fila que se debe CONSERVAR (aparición 1 de "&amp;COUNTIFS($V$6:$V$505,29,$F$6:$F$505,F422,$C$6:$C$505,C422,$O$6:$O$505,"&lt;&gt;")&amp;" con el mismo tercero y valor, casilla 29). Si hay más filas iguales, bórreles el valor a ELLAS, no a esta.","DUPLICADO — ya existe otra fila con el mismo tercero y valor para casilla 29 (aparición "&amp;COUNTIFS($V$6:V422,29,$F$6:F422,F422,$C$6:C422,C422,$O$6:O422,"&lt;&gt;")&amp;" de "&amp;COUNTIFS($V$6:$V$505,29,$F$6:$F$505,F422,$C$6:$C$505,C422,$O$6:$O$505,"&lt;&gt;")&amp;"). Para resolverlo: seleccione la celda O"&amp;ROW()&amp;" (columna Valor a declarar de ESTA fila) y presione Supr."),""))</f>
        <v/>
      </c>
      <c r="X422" s="463">
        <f>IF(A422="","",F422)</f>
        <v/>
      </c>
      <c r="Y422" s="463">
        <f>IF(A422="","",SUMIF(Entrada_Manual!$I$88:$I$187,A422,Entrada_Manual!$F$88:$F$187))</f>
        <v/>
      </c>
      <c r="Z422" s="463">
        <f>IF(A422="","",X422-Y422)</f>
        <v/>
      </c>
      <c r="AA422">
        <f>IF(A422="","",SUMPRODUCT((Entrada_Manual!$I$88:$I$187=A422)*1))</f>
        <v/>
      </c>
      <c r="AB422">
        <f>IF(A422="","",IF(S422&lt;=1,"",IF(AA422=0,"PENDIENTE — SIN ASIGNAR",IF(Z422=0,"RESUELTO","PARCIAL — DIFERENCIA "&amp;TEXT(Z422,"#,##0")))))</f>
        <v/>
      </c>
    </row>
    <row r="423" ht="14.25" customHeight="1" s="235">
      <c r="A423" s="47">
        <f>IF(Exogena_RAW!E432&lt;&gt;"",ROW()-5,"")</f>
        <v/>
      </c>
      <c r="B423" s="48">
        <f>IF(A423="","",432)</f>
        <v/>
      </c>
      <c r="C423" s="48">
        <f>IF(A423="","",IFERROR(Exogena_RAW!A432,""))</f>
        <v/>
      </c>
      <c r="D423" s="48">
        <f>IF(A423="","",IFERROR(Exogena_RAW!B432,""))</f>
        <v/>
      </c>
      <c r="E423" s="48">
        <f>IF(A423="","",Exogena_RAW!E432)</f>
        <v/>
      </c>
      <c r="F423" s="461">
        <f>IF(A423="","",Exogena_RAW!F432)</f>
        <v/>
      </c>
      <c r="G423" s="48">
        <f>IF(A423="","",IFERROR(Exogena_RAW!G432,""))</f>
        <v/>
      </c>
      <c r="H423" s="48">
        <f>IF(A423="","",IFERROR(Exogena_RAW!H432,""))</f>
        <v/>
      </c>
      <c r="I423" s="48">
        <f>IF(A423="","",IFERROR(IF(S423&gt;1,"VARIAS CASILLAS",IF(S423=1,IF(T423=1,"PROPUESTA DE CASILLA","REVISIÓN: CASILLA NO DIRECTA"),IF(OR(ISNUMBER(SEARCH("TOPE",UPPER(E423))),ISNUMBER(SEARCH("TOPE",UPPER(G423)))),"SOLO CONTROL",IF(ISNUMBER(SEARCH("RETEN",UPPER(E423))),"RETENCIÓN","REVISAR")))),"REVISAR"))</f>
        <v/>
      </c>
      <c r="J423" s="48">
        <f>IF(A423="","",IF(ISNUMBER(SEARCH("ingreso laboral promedio de los últimos seis meses",E423)),"",IFERROR(IF(AND(S423=1,T423=1),U423,""),"")))</f>
        <v/>
      </c>
      <c r="K423" s="216" t="n"/>
      <c r="L423" s="48">
        <f>IF(A423="","",IFERROR(IF(K423&lt;&gt;"","Casilla elegida por usuario",IF(S423&gt;1,"Varias casillas — elegir en K",IF(J423&lt;&gt;"","Sugerencia directa",IF(S423=1,"No trasladar directo — revisar",IF(OR(ISNUMBER(SEARCH("TOPE",UPPER(E423))),ISNUMBER(SEARCH("TOPE",UPPER(G423)))),"Solo control","Revisar manualmente"))))),"Revisar manualmente"))</f>
        <v/>
      </c>
      <c r="M423" s="461">
        <f>IF(A423="","",IF(IF(K423&lt;&gt;"",K423,J423)="",0,IF(COUNTIFS(Reglas!$I$5:$I$118,IF(K423&lt;&gt;"",K423,J423),Reglas!$J$5:$J$118,"Sí")=1,F423,0)))</f>
        <v/>
      </c>
      <c r="N423" s="56" t="n"/>
      <c r="O423" s="462">
        <f>IF(A423="","",IF(M423=0,"",M423))</f>
        <v/>
      </c>
      <c r="P423" s="461">
        <f>IF(A423="","",IF(O423="",0,IF(ISNUMBER(O423),O423,0)))</f>
        <v/>
      </c>
      <c r="Q423" s="48">
        <f>IF(A423="","",IF(Exogena_RAW!$C$4="","BLOQUEADO: FALTA AÑO",IF(Exogena_RAW!$K$10&lt;&gt;Reglas!$B$5,"BLOQUEADO: AÑO",IF(IF(K423&lt;&gt;"",K423,J423)="",IF(S423&gt;1,"REQUIERE ASIGNACIÓN MANUAL (VARIAS CASILLAS)","INFORMATIVO (sin casilla — no se declara)"),IF(COUNTIFS(Reglas!$I$5:$I$118,IF(K423&lt;&gt;"",K423,J423),Reglas!$J$5:$J$118,"Sí")=0,"BLOQUEADO: CASILLA NO DIRECTA",IF(O423="","EXCLUIDO (valor borrado por el usuario)",IF(_xlfn.ISFORMULA(O423),IF(W423&lt;&gt;"","BORRADOR — VALOR SUGERIDO DIAN ⚠ VER ALERTA","BORRADOR — VALOR SUGERIDO DIAN"),IF(W423&lt;&gt;"","ACEPTADO ⚠ VER ALERTA","ACEPTADO"))))))))</f>
        <v/>
      </c>
      <c r="R423" s="218" t="n"/>
      <c r="S423" s="58">
        <f>IF(A423="","",IFERROR(--ISNUMBER(SEARCH("R28",G423)),0)+IFERROR(--ISNUMBER(SEARCH("R29",G423)),0)+IFERROR(--ISNUMBER(SEARCH("R30",G423)),0)+IFERROR(--ISNUMBER(SEARCH("R31",G423)),0)+IFERROR(--ISNUMBER(SEARCH("R32",G423)),0)+IFERROR(--ISNUMBER(SEARCH("R33",G423)),0)+IFERROR(--ISNUMBER(SEARCH("R34",G423)),0)+IFERROR(--ISNUMBER(SEARCH("R35",G423)),0)+IFERROR(--ISNUMBER(SEARCH("R36",G423)),0)+IFERROR(--ISNUMBER(SEARCH("R37",G423)),0)+IFERROR(--ISNUMBER(SEARCH("R38",G423)),0)+IFERROR(--ISNUMBER(SEARCH("R39",G423)),0)+IFERROR(--ISNUMBER(SEARCH("R40",G423)),0)+IFERROR(--ISNUMBER(SEARCH("R41",G423)),0)+IFERROR(--ISNUMBER(SEARCH("R42",G423)),0)+IFERROR(--ISNUMBER(SEARCH("R43",G423)),0)+IFERROR(--ISNUMBER(SEARCH("R44",G423)),0)+IFERROR(--ISNUMBER(SEARCH("R45",G423)),0)+IFERROR(--ISNUMBER(SEARCH("R46",G423)),0)+IFERROR(--ISNUMBER(SEARCH("R47",G423)),0)+IFERROR(--ISNUMBER(SEARCH("R48",G423)),0)+IFERROR(--ISNUMBER(SEARCH("R49",G423)),0)+IFERROR(--ISNUMBER(SEARCH("R50",G423)),0)+IFERROR(--ISNUMBER(SEARCH("R51",G423)),0)+IFERROR(--ISNUMBER(SEARCH("R52",G423)),0)+IFERROR(--ISNUMBER(SEARCH("R53",G423)),0)+IFERROR(--ISNUMBER(SEARCH("R54",G423)),0)+IFERROR(--ISNUMBER(SEARCH("R55",G423)),0)+IFERROR(--ISNUMBER(SEARCH("R56",G423)),0)+IFERROR(--ISNUMBER(SEARCH("R57",G423)),0)+IFERROR(--ISNUMBER(SEARCH("R58",G423)),0)+IFERROR(--ISNUMBER(SEARCH("R59",G423)),0)+IFERROR(--ISNUMBER(SEARCH("R60",G423)),0)+IFERROR(--ISNUMBER(SEARCH("R61",G423)),0)+IFERROR(--ISNUMBER(SEARCH("R62",G423)),0)+IFERROR(--ISNUMBER(SEARCH("R63",G423)),0)+IFERROR(--ISNUMBER(SEARCH("R64",G423)),0)+IFERROR(--ISNUMBER(SEARCH("R65",G423)),0)+IFERROR(--ISNUMBER(SEARCH("R66",G423)),0)+IFERROR(--ISNUMBER(SEARCH("R67",G423)),0)+IFERROR(--ISNUMBER(SEARCH("R68",G423)),0)+IFERROR(--ISNUMBER(SEARCH("R69",G423)),0)+IFERROR(--ISNUMBER(SEARCH("R70",G423)),0)+IFERROR(--ISNUMBER(SEARCH("R71",G423)),0)+IFERROR(--ISNUMBER(SEARCH("R72",G423)),0)+IFERROR(--ISNUMBER(SEARCH("R73",G423)),0)+IFERROR(--ISNUMBER(SEARCH("R74",G423)),0)+IFERROR(--ISNUMBER(SEARCH("R75",G423)),0)+IFERROR(--ISNUMBER(SEARCH("R76",G423)),0)+IFERROR(--ISNUMBER(SEARCH("R77",G423)),0)+IFERROR(--ISNUMBER(SEARCH("R78",G423)),0)+IFERROR(--ISNUMBER(SEARCH("R79",G423)),0)+IFERROR(--ISNUMBER(SEARCH("R80",G423)),0)+IFERROR(--ISNUMBER(SEARCH("R81",G423)),0)+IFERROR(--ISNUMBER(SEARCH("R82",G423)),0)+IFERROR(--ISNUMBER(SEARCH("R83",G423)),0)+IFERROR(--ISNUMBER(SEARCH("R84",G423)),0)+IFERROR(--ISNUMBER(SEARCH("R85",G423)),0)+IFERROR(--ISNUMBER(SEARCH("R86",G423)),0)+IFERROR(--ISNUMBER(SEARCH("R87",G423)),0)+IFERROR(--ISNUMBER(SEARCH("R88",G423)),0)+IFERROR(--ISNUMBER(SEARCH("R89",G423)),0)+IFERROR(--ISNUMBER(SEARCH("R90",G423)),0)+IFERROR(--ISNUMBER(SEARCH("R91",G423)),0)+IFERROR(--ISNUMBER(SEARCH("R92",G423)),0)+IFERROR(--ISNUMBER(SEARCH("R93",G423)),0)+IFERROR(--ISNUMBER(SEARCH("R94",G423)),0)+IFERROR(--ISNUMBER(SEARCH("R95",G423)),0)+IFERROR(--ISNUMBER(SEARCH("R96",G423)),0)+IFERROR(--ISNUMBER(SEARCH("R97",G423)),0)+IFERROR(--ISNUMBER(SEARCH("R98",G423)),0)+IFERROR(--ISNUMBER(SEARCH("R99",G423)),0)+IFERROR(--ISNUMBER(SEARCH("R100",G423)),0)+IFERROR(--ISNUMBER(SEARCH("R101",G423)),0)+IFERROR(--ISNUMBER(SEARCH("R102",G423)),0)+IFERROR(--ISNUMBER(SEARCH("R103",G423)),0)+IFERROR(--ISNUMBER(SEARCH("R104",G423)),0)+IFERROR(--ISNUMBER(SEARCH("R105",G423)),0)+IFERROR(--ISNUMBER(SEARCH("R106",G423)),0)+IFERROR(--ISNUMBER(SEARCH("R107",G423)),0)+IFERROR(--ISNUMBER(SEARCH("R108",G423)),0)+IFERROR(--ISNUMBER(SEARCH("R109",G423)),0)+IFERROR(--ISNUMBER(SEARCH("R110",G423)),0)+IFERROR(--ISNUMBER(SEARCH("R111",G423)),0)+IFERROR(--ISNUMBER(SEARCH("R112",G423)),0)+IFERROR(--ISNUMBER(SEARCH("R113",G423)),0)+IFERROR(--ISNUMBER(SEARCH("R114",G423)),0)+IFERROR(--ISNUMBER(SEARCH("R115",G423)),0)+IFERROR(--ISNUMBER(SEARCH("R116",G423)),0)+IFERROR(--ISNUMBER(SEARCH("R117",G423)),0)+IFERROR(--ISNUMBER(SEARCH("R118",G423)),0)+IFERROR(--ISNUMBER(SEARCH("R119",G423)),0)+IFERROR(--ISNUMBER(SEARCH("R120",G423)),0)+IFERROR(--ISNUMBER(SEARCH("R121",G423)),0)+IFERROR(--ISNUMBER(SEARCH("R122",G423)),0)+IFERROR(--ISNUMBER(SEARCH("R123",G423)),0)+IFERROR(--ISNUMBER(SEARCH("R124",G423)),0)+IFERROR(--ISNUMBER(SEARCH("R125",G423)),0)+IFERROR(--ISNUMBER(SEARCH("R126",G423)),0)+IFERROR(--ISNUMBER(SEARCH("R127",G423)),0)+IFERROR(--ISNUMBER(SEARCH("R128",G423)),0)+IFERROR(--ISNUMBER(SEARCH("R129",G423)),0)+IFERROR(--ISNUMBER(SEARCH("R130",G423)),0)+IFERROR(--ISNUMBER(SEARCH("R131",G423)),0)+IFERROR(--ISNUMBER(SEARCH("R132",G423)),0)+IFERROR(--ISNUMBER(SEARCH("R133",G423)),0)+IFERROR(--ISNUMBER(SEARCH("R134",G423)),0)+IFERROR(--ISNUMBER(SEARCH("R135",G423)),0)+IFERROR(--ISNUMBER(SEARCH("R136",G423)),0)+IFERROR(--ISNUMBER(SEARCH("R137",G423)),0)+IFERROR(--ISNUMBER(SEARCH("R138",G423)),0)+IFERROR(--ISNUMBER(SEARCH("R139",G423)),0)+IFERROR(--ISNUMBER(SEARCH("R140",G423)),0)+IFERROR(--ISNUMBER(SEARCH("R141",G423)),0))</f>
        <v/>
      </c>
      <c r="T423" s="58">
        <f>IF(A423="","",IFERROR(--ISNUMBER(SEARCH("R28",G423)),0)+IFERROR(--ISNUMBER(SEARCH("R29",G423)),0)+IFERROR(--ISNUMBER(SEARCH("R30",G423)),0)+IFERROR(--ISNUMBER(SEARCH("R32",G423)),0)+IFERROR(--ISNUMBER(SEARCH("R33",G423)),0)+IFERROR(--ISNUMBER(SEARCH("R35",G423)),0)+IFERROR(--ISNUMBER(SEARCH("R36",G423)),0)+IFERROR(--ISNUMBER(SEARCH("R38",G423)),0)+IFERROR(--ISNUMBER(SEARCH("R39",G423)),0)+IFERROR(--ISNUMBER(SEARCH("R43",G423)),0)+IFERROR(--ISNUMBER(SEARCH("R44",G423)),0)+IFERROR(--ISNUMBER(SEARCH("R45",G423)),0)+IFERROR(--ISNUMBER(SEARCH("R47",G423)),0)+IFERROR(--ISNUMBER(SEARCH("R48",G423)),0)+IFERROR(--ISNUMBER(SEARCH("R50",G423)),0)+IFERROR(--ISNUMBER(SEARCH("R51",G423)),0)+IFERROR(--ISNUMBER(SEARCH("R56",G423)),0)+IFERROR(--ISNUMBER(SEARCH("R58",G423)),0)+IFERROR(--ISNUMBER(SEARCH("R59",G423)),0)+IFERROR(--ISNUMBER(SEARCH("R60",G423)),0)+IFERROR(--ISNUMBER(SEARCH("R62",G423)),0)+IFERROR(--ISNUMBER(SEARCH("R63",G423)),0)+IFERROR(--ISNUMBER(SEARCH("R64",G423)),0)+IFERROR(--ISNUMBER(SEARCH("R66",G423)),0)+IFERROR(--ISNUMBER(SEARCH("R67",G423)),0)+IFERROR(--ISNUMBER(SEARCH("R72",G423)),0)+IFERROR(--ISNUMBER(SEARCH("R74",G423)),0)+IFERROR(--ISNUMBER(SEARCH("R75",G423)),0)+IFERROR(--ISNUMBER(SEARCH("R76",G423)),0)+IFERROR(--ISNUMBER(SEARCH("R77",G423)),0)+IFERROR(--ISNUMBER(SEARCH("R79",G423)),0)+IFERROR(--ISNUMBER(SEARCH("R80",G423)),0)+IFERROR(--ISNUMBER(SEARCH("R81",G423)),0)+IFERROR(--ISNUMBER(SEARCH("R83",G423)),0)+IFERROR(--ISNUMBER(SEARCH("R84",G423)),0)+IFERROR(--ISNUMBER(SEARCH("R89",G423)),0)+IFERROR(--ISNUMBER(SEARCH("R94",G423)),0)+IFERROR(--ISNUMBER(SEARCH("R95",G423)),0)+IFERROR(--ISNUMBER(SEARCH("R96",G423)),0)+IFERROR(--ISNUMBER(SEARCH("R98",G423)),0)+IFERROR(--ISNUMBER(SEARCH("R99",G423)),0)+IFERROR(--ISNUMBER(SEARCH("R100",G423)),0)+IFERROR(--ISNUMBER(SEARCH("R104",G423)),0)+IFERROR(--ISNUMBER(SEARCH("R105",G423)),0)+IFERROR(--ISNUMBER(SEARCH("R107",G423)),0)+IFERROR(--ISNUMBER(SEARCH("R108",G423)),0)+IFERROR(--ISNUMBER(SEARCH("R109",G423)),0)+IFERROR(--ISNUMBER(SEARCH("R110",G423)),0)+IFERROR(--ISNUMBER(SEARCH("R112",G423)),0)+IFERROR(--ISNUMBER(SEARCH("R113",G423)),0)+IFERROR(--ISNUMBER(SEARCH("R114",G423)),0)+IFERROR(--ISNUMBER(SEARCH("R118",G423)),0)+IFERROR(--ISNUMBER(SEARCH("R119",G423)),0)+IFERROR(--ISNUMBER(SEARCH("R120",G423)),0)+IFERROR(--ISNUMBER(SEARCH("R122",G423)),0)+IFERROR(--ISNUMBER(SEARCH("R123",G423)),0)+IFERROR(--ISNUMBER(SEARCH("R124",G423)),0)+IFERROR(--ISNUMBER(SEARCH("R128",G423)),0)+IFERROR(--ISNUMBER(SEARCH("R130",G423)),0)+IFERROR(--ISNUMBER(SEARCH("R131",G423)),0)+IFERROR(--ISNUMBER(SEARCH("R132",G423)),0)+IFERROR(--ISNUMBER(SEARCH("R135",G423)),0)+IFERROR(--ISNUMBER(SEARCH("R138",G423)),0)+IFERROR(--ISNUMBER(SEARCH("R141",G423)),0))</f>
        <v/>
      </c>
      <c r="U423" s="58">
        <f>IF(A423="","",IFERROR(--ISNUMBER(SEARCH("R28",G423))*28,0)+IFERROR(--ISNUMBER(SEARCH("R29",G423))*29,0)+IFERROR(--ISNUMBER(SEARCH("R30",G423))*30,0)+IFERROR(--ISNUMBER(SEARCH("R31",G423))*31,0)+IFERROR(--ISNUMBER(SEARCH("R32",G423))*32,0)+IFERROR(--ISNUMBER(SEARCH("R33",G423))*33,0)+IFERROR(--ISNUMBER(SEARCH("R34",G423))*34,0)+IFERROR(--ISNUMBER(SEARCH("R35",G423))*35,0)+IFERROR(--ISNUMBER(SEARCH("R36",G423))*36,0)+IFERROR(--ISNUMBER(SEARCH("R37",G423))*37,0)+IFERROR(--ISNUMBER(SEARCH("R38",G423))*38,0)+IFERROR(--ISNUMBER(SEARCH("R39",G423))*39,0)+IFERROR(--ISNUMBER(SEARCH("R40",G423))*40,0)+IFERROR(--ISNUMBER(SEARCH("R41",G423))*41,0)+IFERROR(--ISNUMBER(SEARCH("R42",G423))*42,0)+IFERROR(--ISNUMBER(SEARCH("R43",G423))*43,0)+IFERROR(--ISNUMBER(SEARCH("R44",G423))*44,0)+IFERROR(--ISNUMBER(SEARCH("R45",G423))*45,0)+IFERROR(--ISNUMBER(SEARCH("R46",G423))*46,0)+IFERROR(--ISNUMBER(SEARCH("R47",G423))*47,0)+IFERROR(--ISNUMBER(SEARCH("R48",G423))*48,0)+IFERROR(--ISNUMBER(SEARCH("R49",G423))*49,0)+IFERROR(--ISNUMBER(SEARCH("R50",G423))*50,0)+IFERROR(--ISNUMBER(SEARCH("R51",G423))*51,0)+IFERROR(--ISNUMBER(SEARCH("R52",G423))*52,0)+IFERROR(--ISNUMBER(SEARCH("R53",G423))*53,0)+IFERROR(--ISNUMBER(SEARCH("R54",G423))*54,0)+IFERROR(--ISNUMBER(SEARCH("R55",G423))*55,0)+IFERROR(--ISNUMBER(SEARCH("R56",G423))*56,0)+IFERROR(--ISNUMBER(SEARCH("R57",G423))*57,0)+IFERROR(--ISNUMBER(SEARCH("R58",G423))*58,0)+IFERROR(--ISNUMBER(SEARCH("R59",G423))*59,0)+IFERROR(--ISNUMBER(SEARCH("R60",G423))*60,0)+IFERROR(--ISNUMBER(SEARCH("R61",G423))*61,0)+IFERROR(--ISNUMBER(SEARCH("R62",G423))*62,0)+IFERROR(--ISNUMBER(SEARCH("R63",G423))*63,0)+IFERROR(--ISNUMBER(SEARCH("R64",G423))*64,0)+IFERROR(--ISNUMBER(SEARCH("R65",G423))*65,0)+IFERROR(--ISNUMBER(SEARCH("R66",G423))*66,0)+IFERROR(--ISNUMBER(SEARCH("R67",G423))*67,0)+IFERROR(--ISNUMBER(SEARCH("R68",G423))*68,0)+IFERROR(--ISNUMBER(SEARCH("R69",G423))*69,0)+IFERROR(--ISNUMBER(SEARCH("R70",G423))*70,0)+IFERROR(--ISNUMBER(SEARCH("R71",G423))*71,0)+IFERROR(--ISNUMBER(SEARCH("R72",G423))*72,0)+IFERROR(--ISNUMBER(SEARCH("R73",G423))*73,0)+IFERROR(--ISNUMBER(SEARCH("R74",G423))*74,0)+IFERROR(--ISNUMBER(SEARCH("R75",G423))*75,0)+IFERROR(--ISNUMBER(SEARCH("R76",G423))*76,0)+IFERROR(--ISNUMBER(SEARCH("R77",G423))*77,0)+IFERROR(--ISNUMBER(SEARCH("R78",G423))*78,0)+IFERROR(--ISNUMBER(SEARCH("R79",G423))*79,0)+IFERROR(--ISNUMBER(SEARCH("R80",G423))*80,0)+IFERROR(--ISNUMBER(SEARCH("R81",G423))*81,0)+IFERROR(--ISNUMBER(SEARCH("R82",G423))*82,0)+IFERROR(--ISNUMBER(SEARCH("R83",G423))*83,0)+IFERROR(--ISNUMBER(SEARCH("R84",G423))*84,0)+IFERROR(--ISNUMBER(SEARCH("R85",G423))*85,0)+IFERROR(--ISNUMBER(SEARCH("R86",G423))*86,0)+IFERROR(--ISNUMBER(SEARCH("R87",G423))*87,0)+IFERROR(--ISNUMBER(SEARCH("R88",G423))*88,0)+IFERROR(--ISNUMBER(SEARCH("R89",G423))*89,0)+IFERROR(--ISNUMBER(SEARCH("R90",G423))*90,0)+IFERROR(--ISNUMBER(SEARCH("R91",G423))*91,0)+IFERROR(--ISNUMBER(SEARCH("R92",G423))*92,0)+IFERROR(--ISNUMBER(SEARCH("R93",G423))*93,0)+IFERROR(--ISNUMBER(SEARCH("R94",G423))*94,0)+IFERROR(--ISNUMBER(SEARCH("R95",G423))*95,0)+IFERROR(--ISNUMBER(SEARCH("R96",G423))*96,0)+IFERROR(--ISNUMBER(SEARCH("R97",G423))*97,0)+IFERROR(--ISNUMBER(SEARCH("R98",G423))*98,0)+IFERROR(--ISNUMBER(SEARCH("R99",G423))*99,0)+IFERROR(--ISNUMBER(SEARCH("R100",G423))*100,0)+IFERROR(--ISNUMBER(SEARCH("R101",G423))*101,0)+IFERROR(--ISNUMBER(SEARCH("R102",G423))*102,0)+IFERROR(--ISNUMBER(SEARCH("R103",G423))*103,0)+IFERROR(--ISNUMBER(SEARCH("R104",G423))*104,0)+IFERROR(--ISNUMBER(SEARCH("R105",G423))*105,0)+IFERROR(--ISNUMBER(SEARCH("R106",G423))*106,0)+IFERROR(--ISNUMBER(SEARCH("R107",G423))*107,0)+IFERROR(--ISNUMBER(SEARCH("R108",G423))*108,0)+IFERROR(--ISNUMBER(SEARCH("R109",G423))*109,0)+IFERROR(--ISNUMBER(SEARCH("R110",G423))*110,0)+IFERROR(--ISNUMBER(SEARCH("R111",G423))*111,0)+IFERROR(--ISNUMBER(SEARCH("R112",G423))*112,0)+IFERROR(--ISNUMBER(SEARCH("R113",G423))*113,0)+IFERROR(--ISNUMBER(SEARCH("R114",G423))*114,0)+IFERROR(--ISNUMBER(SEARCH("R115",G423))*115,0)+IFERROR(--ISNUMBER(SEARCH("R116",G423))*116,0)+IFERROR(--ISNUMBER(SEARCH("R117",G423))*117,0)+IFERROR(--ISNUMBER(SEARCH("R118",G423))*118,0)+IFERROR(--ISNUMBER(SEARCH("R119",G423))*119,0)+IFERROR(--ISNUMBER(SEARCH("R120",G423))*120,0)+IFERROR(--ISNUMBER(SEARCH("R121",G423))*121,0)+IFERROR(--ISNUMBER(SEARCH("R122",G423))*122,0)+IFERROR(--ISNUMBER(SEARCH("R123",G423))*123,0)+IFERROR(--ISNUMBER(SEARCH("R124",G423))*124,0)+IFERROR(--ISNUMBER(SEARCH("R125",G423))*125,0)+IFERROR(--ISNUMBER(SEARCH("R126",G423))*126,0)+IFERROR(--ISNUMBER(SEARCH("R127",G423))*127,0)+IFERROR(--ISNUMBER(SEARCH("R128",G423))*128,0)+IFERROR(--ISNUMBER(SEARCH("R129",G423))*129,0)+IFERROR(--ISNUMBER(SEARCH("R130",G423))*130,0)+IFERROR(--ISNUMBER(SEARCH("R131",G423))*131,0)+IFERROR(--ISNUMBER(SEARCH("R132",G423))*132,0)+IFERROR(--ISNUMBER(SEARCH("R133",G423))*133,0)+IFERROR(--ISNUMBER(SEARCH("R134",G423))*134,0)+IFERROR(--ISNUMBER(SEARCH("R135",G423))*135,0)+IFERROR(--ISNUMBER(SEARCH("R136",G423))*136,0)+IFERROR(--ISNUMBER(SEARCH("R137",G423))*137,0)+IFERROR(--ISNUMBER(SEARCH("R138",G423))*138,0)+IFERROR(--ISNUMBER(SEARCH("R139",G423))*139,0)+IFERROR(--ISNUMBER(SEARCH("R140",G423))*140,0)+IFERROR(--ISNUMBER(SEARCH("R141",G423))*141,0))</f>
        <v/>
      </c>
      <c r="V423" s="59">
        <f>IF(A423="","",IF(K423&lt;&gt;"",K423,J423))</f>
        <v/>
      </c>
      <c r="W423" s="59">
        <f>IF(A423="","",IF(AND(V423=29,O423&lt;&gt;"",COUNTIFS($V$6:$V$505,29,$F$6:$F$505,F423,$C$6:$C$505,C423,$O$6:$O$505,"&lt;&gt;")&gt;1),IF(COUNTIFS($V$6:V423,29,$F$6:F423,F423,$C$6:C423,C423,$O$6:O423,"&lt;&gt;")=1,"Esta es la fila que se debe CONSERVAR (aparición 1 de "&amp;COUNTIFS($V$6:$V$505,29,$F$6:$F$505,F423,$C$6:$C$505,C423,$O$6:$O$505,"&lt;&gt;")&amp;" con el mismo tercero y valor, casilla 29). Si hay más filas iguales, bórreles el valor a ELLAS, no a esta.","DUPLICADO — ya existe otra fila con el mismo tercero y valor para casilla 29 (aparición "&amp;COUNTIFS($V$6:V423,29,$F$6:F423,F423,$C$6:C423,C423,$O$6:O423,"&lt;&gt;")&amp;" de "&amp;COUNTIFS($V$6:$V$505,29,$F$6:$F$505,F423,$C$6:$C$505,C423,$O$6:$O$505,"&lt;&gt;")&amp;"). Para resolverlo: seleccione la celda O"&amp;ROW()&amp;" (columna Valor a declarar de ESTA fila) y presione Supr."),""))</f>
        <v/>
      </c>
      <c r="X423" s="463">
        <f>IF(A423="","",F423)</f>
        <v/>
      </c>
      <c r="Y423" s="463">
        <f>IF(A423="","",SUMIF(Entrada_Manual!$I$88:$I$187,A423,Entrada_Manual!$F$88:$F$187))</f>
        <v/>
      </c>
      <c r="Z423" s="463">
        <f>IF(A423="","",X423-Y423)</f>
        <v/>
      </c>
      <c r="AA423">
        <f>IF(A423="","",SUMPRODUCT((Entrada_Manual!$I$88:$I$187=A423)*1))</f>
        <v/>
      </c>
      <c r="AB423">
        <f>IF(A423="","",IF(S423&lt;=1,"",IF(AA423=0,"PENDIENTE — SIN ASIGNAR",IF(Z423=0,"RESUELTO","PARCIAL — DIFERENCIA "&amp;TEXT(Z423,"#,##0")))))</f>
        <v/>
      </c>
    </row>
    <row r="424" ht="14.25" customHeight="1" s="235">
      <c r="A424" s="47">
        <f>IF(Exogena_RAW!E433&lt;&gt;"",ROW()-5,"")</f>
        <v/>
      </c>
      <c r="B424" s="48">
        <f>IF(A424="","",433)</f>
        <v/>
      </c>
      <c r="C424" s="48">
        <f>IF(A424="","",IFERROR(Exogena_RAW!A433,""))</f>
        <v/>
      </c>
      <c r="D424" s="48">
        <f>IF(A424="","",IFERROR(Exogena_RAW!B433,""))</f>
        <v/>
      </c>
      <c r="E424" s="48">
        <f>IF(A424="","",Exogena_RAW!E433)</f>
        <v/>
      </c>
      <c r="F424" s="461">
        <f>IF(A424="","",Exogena_RAW!F433)</f>
        <v/>
      </c>
      <c r="G424" s="48">
        <f>IF(A424="","",IFERROR(Exogena_RAW!G433,""))</f>
        <v/>
      </c>
      <c r="H424" s="48">
        <f>IF(A424="","",IFERROR(Exogena_RAW!H433,""))</f>
        <v/>
      </c>
      <c r="I424" s="48">
        <f>IF(A424="","",IFERROR(IF(S424&gt;1,"VARIAS CASILLAS",IF(S424=1,IF(T424=1,"PROPUESTA DE CASILLA","REVISIÓN: CASILLA NO DIRECTA"),IF(OR(ISNUMBER(SEARCH("TOPE",UPPER(E424))),ISNUMBER(SEARCH("TOPE",UPPER(G424)))),"SOLO CONTROL",IF(ISNUMBER(SEARCH("RETEN",UPPER(E424))),"RETENCIÓN","REVISAR")))),"REVISAR"))</f>
        <v/>
      </c>
      <c r="J424" s="48">
        <f>IF(A424="","",IF(ISNUMBER(SEARCH("ingreso laboral promedio de los últimos seis meses",E424)),"",IFERROR(IF(AND(S424=1,T424=1),U424,""),"")))</f>
        <v/>
      </c>
      <c r="K424" s="216" t="n"/>
      <c r="L424" s="48">
        <f>IF(A424="","",IFERROR(IF(K424&lt;&gt;"","Casilla elegida por usuario",IF(S424&gt;1,"Varias casillas — elegir en K",IF(J424&lt;&gt;"","Sugerencia directa",IF(S424=1,"No trasladar directo — revisar",IF(OR(ISNUMBER(SEARCH("TOPE",UPPER(E424))),ISNUMBER(SEARCH("TOPE",UPPER(G424)))),"Solo control","Revisar manualmente"))))),"Revisar manualmente"))</f>
        <v/>
      </c>
      <c r="M424" s="461">
        <f>IF(A424="","",IF(IF(K424&lt;&gt;"",K424,J424)="",0,IF(COUNTIFS(Reglas!$I$5:$I$118,IF(K424&lt;&gt;"",K424,J424),Reglas!$J$5:$J$118,"Sí")=1,F424,0)))</f>
        <v/>
      </c>
      <c r="N424" s="56" t="n"/>
      <c r="O424" s="462">
        <f>IF(A424="","",IF(M424=0,"",M424))</f>
        <v/>
      </c>
      <c r="P424" s="461">
        <f>IF(A424="","",IF(O424="",0,IF(ISNUMBER(O424),O424,0)))</f>
        <v/>
      </c>
      <c r="Q424" s="48">
        <f>IF(A424="","",IF(Exogena_RAW!$C$4="","BLOQUEADO: FALTA AÑO",IF(Exogena_RAW!$K$10&lt;&gt;Reglas!$B$5,"BLOQUEADO: AÑO",IF(IF(K424&lt;&gt;"",K424,J424)="",IF(S424&gt;1,"REQUIERE ASIGNACIÓN MANUAL (VARIAS CASILLAS)","INFORMATIVO (sin casilla — no se declara)"),IF(COUNTIFS(Reglas!$I$5:$I$118,IF(K424&lt;&gt;"",K424,J424),Reglas!$J$5:$J$118,"Sí")=0,"BLOQUEADO: CASILLA NO DIRECTA",IF(O424="","EXCLUIDO (valor borrado por el usuario)",IF(_xlfn.ISFORMULA(O424),IF(W424&lt;&gt;"","BORRADOR — VALOR SUGERIDO DIAN ⚠ VER ALERTA","BORRADOR — VALOR SUGERIDO DIAN"),IF(W424&lt;&gt;"","ACEPTADO ⚠ VER ALERTA","ACEPTADO"))))))))</f>
        <v/>
      </c>
      <c r="R424" s="218" t="n"/>
      <c r="S424" s="58">
        <f>IF(A424="","",IFERROR(--ISNUMBER(SEARCH("R28",G424)),0)+IFERROR(--ISNUMBER(SEARCH("R29",G424)),0)+IFERROR(--ISNUMBER(SEARCH("R30",G424)),0)+IFERROR(--ISNUMBER(SEARCH("R31",G424)),0)+IFERROR(--ISNUMBER(SEARCH("R32",G424)),0)+IFERROR(--ISNUMBER(SEARCH("R33",G424)),0)+IFERROR(--ISNUMBER(SEARCH("R34",G424)),0)+IFERROR(--ISNUMBER(SEARCH("R35",G424)),0)+IFERROR(--ISNUMBER(SEARCH("R36",G424)),0)+IFERROR(--ISNUMBER(SEARCH("R37",G424)),0)+IFERROR(--ISNUMBER(SEARCH("R38",G424)),0)+IFERROR(--ISNUMBER(SEARCH("R39",G424)),0)+IFERROR(--ISNUMBER(SEARCH("R40",G424)),0)+IFERROR(--ISNUMBER(SEARCH("R41",G424)),0)+IFERROR(--ISNUMBER(SEARCH("R42",G424)),0)+IFERROR(--ISNUMBER(SEARCH("R43",G424)),0)+IFERROR(--ISNUMBER(SEARCH("R44",G424)),0)+IFERROR(--ISNUMBER(SEARCH("R45",G424)),0)+IFERROR(--ISNUMBER(SEARCH("R46",G424)),0)+IFERROR(--ISNUMBER(SEARCH("R47",G424)),0)+IFERROR(--ISNUMBER(SEARCH("R48",G424)),0)+IFERROR(--ISNUMBER(SEARCH("R49",G424)),0)+IFERROR(--ISNUMBER(SEARCH("R50",G424)),0)+IFERROR(--ISNUMBER(SEARCH("R51",G424)),0)+IFERROR(--ISNUMBER(SEARCH("R52",G424)),0)+IFERROR(--ISNUMBER(SEARCH("R53",G424)),0)+IFERROR(--ISNUMBER(SEARCH("R54",G424)),0)+IFERROR(--ISNUMBER(SEARCH("R55",G424)),0)+IFERROR(--ISNUMBER(SEARCH("R56",G424)),0)+IFERROR(--ISNUMBER(SEARCH("R57",G424)),0)+IFERROR(--ISNUMBER(SEARCH("R58",G424)),0)+IFERROR(--ISNUMBER(SEARCH("R59",G424)),0)+IFERROR(--ISNUMBER(SEARCH("R60",G424)),0)+IFERROR(--ISNUMBER(SEARCH("R61",G424)),0)+IFERROR(--ISNUMBER(SEARCH("R62",G424)),0)+IFERROR(--ISNUMBER(SEARCH("R63",G424)),0)+IFERROR(--ISNUMBER(SEARCH("R64",G424)),0)+IFERROR(--ISNUMBER(SEARCH("R65",G424)),0)+IFERROR(--ISNUMBER(SEARCH("R66",G424)),0)+IFERROR(--ISNUMBER(SEARCH("R67",G424)),0)+IFERROR(--ISNUMBER(SEARCH("R68",G424)),0)+IFERROR(--ISNUMBER(SEARCH("R69",G424)),0)+IFERROR(--ISNUMBER(SEARCH("R70",G424)),0)+IFERROR(--ISNUMBER(SEARCH("R71",G424)),0)+IFERROR(--ISNUMBER(SEARCH("R72",G424)),0)+IFERROR(--ISNUMBER(SEARCH("R73",G424)),0)+IFERROR(--ISNUMBER(SEARCH("R74",G424)),0)+IFERROR(--ISNUMBER(SEARCH("R75",G424)),0)+IFERROR(--ISNUMBER(SEARCH("R76",G424)),0)+IFERROR(--ISNUMBER(SEARCH("R77",G424)),0)+IFERROR(--ISNUMBER(SEARCH("R78",G424)),0)+IFERROR(--ISNUMBER(SEARCH("R79",G424)),0)+IFERROR(--ISNUMBER(SEARCH("R80",G424)),0)+IFERROR(--ISNUMBER(SEARCH("R81",G424)),0)+IFERROR(--ISNUMBER(SEARCH("R82",G424)),0)+IFERROR(--ISNUMBER(SEARCH("R83",G424)),0)+IFERROR(--ISNUMBER(SEARCH("R84",G424)),0)+IFERROR(--ISNUMBER(SEARCH("R85",G424)),0)+IFERROR(--ISNUMBER(SEARCH("R86",G424)),0)+IFERROR(--ISNUMBER(SEARCH("R87",G424)),0)+IFERROR(--ISNUMBER(SEARCH("R88",G424)),0)+IFERROR(--ISNUMBER(SEARCH("R89",G424)),0)+IFERROR(--ISNUMBER(SEARCH("R90",G424)),0)+IFERROR(--ISNUMBER(SEARCH("R91",G424)),0)+IFERROR(--ISNUMBER(SEARCH("R92",G424)),0)+IFERROR(--ISNUMBER(SEARCH("R93",G424)),0)+IFERROR(--ISNUMBER(SEARCH("R94",G424)),0)+IFERROR(--ISNUMBER(SEARCH("R95",G424)),0)+IFERROR(--ISNUMBER(SEARCH("R96",G424)),0)+IFERROR(--ISNUMBER(SEARCH("R97",G424)),0)+IFERROR(--ISNUMBER(SEARCH("R98",G424)),0)+IFERROR(--ISNUMBER(SEARCH("R99",G424)),0)+IFERROR(--ISNUMBER(SEARCH("R100",G424)),0)+IFERROR(--ISNUMBER(SEARCH("R101",G424)),0)+IFERROR(--ISNUMBER(SEARCH("R102",G424)),0)+IFERROR(--ISNUMBER(SEARCH("R103",G424)),0)+IFERROR(--ISNUMBER(SEARCH("R104",G424)),0)+IFERROR(--ISNUMBER(SEARCH("R105",G424)),0)+IFERROR(--ISNUMBER(SEARCH("R106",G424)),0)+IFERROR(--ISNUMBER(SEARCH("R107",G424)),0)+IFERROR(--ISNUMBER(SEARCH("R108",G424)),0)+IFERROR(--ISNUMBER(SEARCH("R109",G424)),0)+IFERROR(--ISNUMBER(SEARCH("R110",G424)),0)+IFERROR(--ISNUMBER(SEARCH("R111",G424)),0)+IFERROR(--ISNUMBER(SEARCH("R112",G424)),0)+IFERROR(--ISNUMBER(SEARCH("R113",G424)),0)+IFERROR(--ISNUMBER(SEARCH("R114",G424)),0)+IFERROR(--ISNUMBER(SEARCH("R115",G424)),0)+IFERROR(--ISNUMBER(SEARCH("R116",G424)),0)+IFERROR(--ISNUMBER(SEARCH("R117",G424)),0)+IFERROR(--ISNUMBER(SEARCH("R118",G424)),0)+IFERROR(--ISNUMBER(SEARCH("R119",G424)),0)+IFERROR(--ISNUMBER(SEARCH("R120",G424)),0)+IFERROR(--ISNUMBER(SEARCH("R121",G424)),0)+IFERROR(--ISNUMBER(SEARCH("R122",G424)),0)+IFERROR(--ISNUMBER(SEARCH("R123",G424)),0)+IFERROR(--ISNUMBER(SEARCH("R124",G424)),0)+IFERROR(--ISNUMBER(SEARCH("R125",G424)),0)+IFERROR(--ISNUMBER(SEARCH("R126",G424)),0)+IFERROR(--ISNUMBER(SEARCH("R127",G424)),0)+IFERROR(--ISNUMBER(SEARCH("R128",G424)),0)+IFERROR(--ISNUMBER(SEARCH("R129",G424)),0)+IFERROR(--ISNUMBER(SEARCH("R130",G424)),0)+IFERROR(--ISNUMBER(SEARCH("R131",G424)),0)+IFERROR(--ISNUMBER(SEARCH("R132",G424)),0)+IFERROR(--ISNUMBER(SEARCH("R133",G424)),0)+IFERROR(--ISNUMBER(SEARCH("R134",G424)),0)+IFERROR(--ISNUMBER(SEARCH("R135",G424)),0)+IFERROR(--ISNUMBER(SEARCH("R136",G424)),0)+IFERROR(--ISNUMBER(SEARCH("R137",G424)),0)+IFERROR(--ISNUMBER(SEARCH("R138",G424)),0)+IFERROR(--ISNUMBER(SEARCH("R139",G424)),0)+IFERROR(--ISNUMBER(SEARCH("R140",G424)),0)+IFERROR(--ISNUMBER(SEARCH("R141",G424)),0))</f>
        <v/>
      </c>
      <c r="T424" s="58">
        <f>IF(A424="","",IFERROR(--ISNUMBER(SEARCH("R28",G424)),0)+IFERROR(--ISNUMBER(SEARCH("R29",G424)),0)+IFERROR(--ISNUMBER(SEARCH("R30",G424)),0)+IFERROR(--ISNUMBER(SEARCH("R32",G424)),0)+IFERROR(--ISNUMBER(SEARCH("R33",G424)),0)+IFERROR(--ISNUMBER(SEARCH("R35",G424)),0)+IFERROR(--ISNUMBER(SEARCH("R36",G424)),0)+IFERROR(--ISNUMBER(SEARCH("R38",G424)),0)+IFERROR(--ISNUMBER(SEARCH("R39",G424)),0)+IFERROR(--ISNUMBER(SEARCH("R43",G424)),0)+IFERROR(--ISNUMBER(SEARCH("R44",G424)),0)+IFERROR(--ISNUMBER(SEARCH("R45",G424)),0)+IFERROR(--ISNUMBER(SEARCH("R47",G424)),0)+IFERROR(--ISNUMBER(SEARCH("R48",G424)),0)+IFERROR(--ISNUMBER(SEARCH("R50",G424)),0)+IFERROR(--ISNUMBER(SEARCH("R51",G424)),0)+IFERROR(--ISNUMBER(SEARCH("R56",G424)),0)+IFERROR(--ISNUMBER(SEARCH("R58",G424)),0)+IFERROR(--ISNUMBER(SEARCH("R59",G424)),0)+IFERROR(--ISNUMBER(SEARCH("R60",G424)),0)+IFERROR(--ISNUMBER(SEARCH("R62",G424)),0)+IFERROR(--ISNUMBER(SEARCH("R63",G424)),0)+IFERROR(--ISNUMBER(SEARCH("R64",G424)),0)+IFERROR(--ISNUMBER(SEARCH("R66",G424)),0)+IFERROR(--ISNUMBER(SEARCH("R67",G424)),0)+IFERROR(--ISNUMBER(SEARCH("R72",G424)),0)+IFERROR(--ISNUMBER(SEARCH("R74",G424)),0)+IFERROR(--ISNUMBER(SEARCH("R75",G424)),0)+IFERROR(--ISNUMBER(SEARCH("R76",G424)),0)+IFERROR(--ISNUMBER(SEARCH("R77",G424)),0)+IFERROR(--ISNUMBER(SEARCH("R79",G424)),0)+IFERROR(--ISNUMBER(SEARCH("R80",G424)),0)+IFERROR(--ISNUMBER(SEARCH("R81",G424)),0)+IFERROR(--ISNUMBER(SEARCH("R83",G424)),0)+IFERROR(--ISNUMBER(SEARCH("R84",G424)),0)+IFERROR(--ISNUMBER(SEARCH("R89",G424)),0)+IFERROR(--ISNUMBER(SEARCH("R94",G424)),0)+IFERROR(--ISNUMBER(SEARCH("R95",G424)),0)+IFERROR(--ISNUMBER(SEARCH("R96",G424)),0)+IFERROR(--ISNUMBER(SEARCH("R98",G424)),0)+IFERROR(--ISNUMBER(SEARCH("R99",G424)),0)+IFERROR(--ISNUMBER(SEARCH("R100",G424)),0)+IFERROR(--ISNUMBER(SEARCH("R104",G424)),0)+IFERROR(--ISNUMBER(SEARCH("R105",G424)),0)+IFERROR(--ISNUMBER(SEARCH("R107",G424)),0)+IFERROR(--ISNUMBER(SEARCH("R108",G424)),0)+IFERROR(--ISNUMBER(SEARCH("R109",G424)),0)+IFERROR(--ISNUMBER(SEARCH("R110",G424)),0)+IFERROR(--ISNUMBER(SEARCH("R112",G424)),0)+IFERROR(--ISNUMBER(SEARCH("R113",G424)),0)+IFERROR(--ISNUMBER(SEARCH("R114",G424)),0)+IFERROR(--ISNUMBER(SEARCH("R118",G424)),0)+IFERROR(--ISNUMBER(SEARCH("R119",G424)),0)+IFERROR(--ISNUMBER(SEARCH("R120",G424)),0)+IFERROR(--ISNUMBER(SEARCH("R122",G424)),0)+IFERROR(--ISNUMBER(SEARCH("R123",G424)),0)+IFERROR(--ISNUMBER(SEARCH("R124",G424)),0)+IFERROR(--ISNUMBER(SEARCH("R128",G424)),0)+IFERROR(--ISNUMBER(SEARCH("R130",G424)),0)+IFERROR(--ISNUMBER(SEARCH("R131",G424)),0)+IFERROR(--ISNUMBER(SEARCH("R132",G424)),0)+IFERROR(--ISNUMBER(SEARCH("R135",G424)),0)+IFERROR(--ISNUMBER(SEARCH("R138",G424)),0)+IFERROR(--ISNUMBER(SEARCH("R141",G424)),0))</f>
        <v/>
      </c>
      <c r="U424" s="58">
        <f>IF(A424="","",IFERROR(--ISNUMBER(SEARCH("R28",G424))*28,0)+IFERROR(--ISNUMBER(SEARCH("R29",G424))*29,0)+IFERROR(--ISNUMBER(SEARCH("R30",G424))*30,0)+IFERROR(--ISNUMBER(SEARCH("R31",G424))*31,0)+IFERROR(--ISNUMBER(SEARCH("R32",G424))*32,0)+IFERROR(--ISNUMBER(SEARCH("R33",G424))*33,0)+IFERROR(--ISNUMBER(SEARCH("R34",G424))*34,0)+IFERROR(--ISNUMBER(SEARCH("R35",G424))*35,0)+IFERROR(--ISNUMBER(SEARCH("R36",G424))*36,0)+IFERROR(--ISNUMBER(SEARCH("R37",G424))*37,0)+IFERROR(--ISNUMBER(SEARCH("R38",G424))*38,0)+IFERROR(--ISNUMBER(SEARCH("R39",G424))*39,0)+IFERROR(--ISNUMBER(SEARCH("R40",G424))*40,0)+IFERROR(--ISNUMBER(SEARCH("R41",G424))*41,0)+IFERROR(--ISNUMBER(SEARCH("R42",G424))*42,0)+IFERROR(--ISNUMBER(SEARCH("R43",G424))*43,0)+IFERROR(--ISNUMBER(SEARCH("R44",G424))*44,0)+IFERROR(--ISNUMBER(SEARCH("R45",G424))*45,0)+IFERROR(--ISNUMBER(SEARCH("R46",G424))*46,0)+IFERROR(--ISNUMBER(SEARCH("R47",G424))*47,0)+IFERROR(--ISNUMBER(SEARCH("R48",G424))*48,0)+IFERROR(--ISNUMBER(SEARCH("R49",G424))*49,0)+IFERROR(--ISNUMBER(SEARCH("R50",G424))*50,0)+IFERROR(--ISNUMBER(SEARCH("R51",G424))*51,0)+IFERROR(--ISNUMBER(SEARCH("R52",G424))*52,0)+IFERROR(--ISNUMBER(SEARCH("R53",G424))*53,0)+IFERROR(--ISNUMBER(SEARCH("R54",G424))*54,0)+IFERROR(--ISNUMBER(SEARCH("R55",G424))*55,0)+IFERROR(--ISNUMBER(SEARCH("R56",G424))*56,0)+IFERROR(--ISNUMBER(SEARCH("R57",G424))*57,0)+IFERROR(--ISNUMBER(SEARCH("R58",G424))*58,0)+IFERROR(--ISNUMBER(SEARCH("R59",G424))*59,0)+IFERROR(--ISNUMBER(SEARCH("R60",G424))*60,0)+IFERROR(--ISNUMBER(SEARCH("R61",G424))*61,0)+IFERROR(--ISNUMBER(SEARCH("R62",G424))*62,0)+IFERROR(--ISNUMBER(SEARCH("R63",G424))*63,0)+IFERROR(--ISNUMBER(SEARCH("R64",G424))*64,0)+IFERROR(--ISNUMBER(SEARCH("R65",G424))*65,0)+IFERROR(--ISNUMBER(SEARCH("R66",G424))*66,0)+IFERROR(--ISNUMBER(SEARCH("R67",G424))*67,0)+IFERROR(--ISNUMBER(SEARCH("R68",G424))*68,0)+IFERROR(--ISNUMBER(SEARCH("R69",G424))*69,0)+IFERROR(--ISNUMBER(SEARCH("R70",G424))*70,0)+IFERROR(--ISNUMBER(SEARCH("R71",G424))*71,0)+IFERROR(--ISNUMBER(SEARCH("R72",G424))*72,0)+IFERROR(--ISNUMBER(SEARCH("R73",G424))*73,0)+IFERROR(--ISNUMBER(SEARCH("R74",G424))*74,0)+IFERROR(--ISNUMBER(SEARCH("R75",G424))*75,0)+IFERROR(--ISNUMBER(SEARCH("R76",G424))*76,0)+IFERROR(--ISNUMBER(SEARCH("R77",G424))*77,0)+IFERROR(--ISNUMBER(SEARCH("R78",G424))*78,0)+IFERROR(--ISNUMBER(SEARCH("R79",G424))*79,0)+IFERROR(--ISNUMBER(SEARCH("R80",G424))*80,0)+IFERROR(--ISNUMBER(SEARCH("R81",G424))*81,0)+IFERROR(--ISNUMBER(SEARCH("R82",G424))*82,0)+IFERROR(--ISNUMBER(SEARCH("R83",G424))*83,0)+IFERROR(--ISNUMBER(SEARCH("R84",G424))*84,0)+IFERROR(--ISNUMBER(SEARCH("R85",G424))*85,0)+IFERROR(--ISNUMBER(SEARCH("R86",G424))*86,0)+IFERROR(--ISNUMBER(SEARCH("R87",G424))*87,0)+IFERROR(--ISNUMBER(SEARCH("R88",G424))*88,0)+IFERROR(--ISNUMBER(SEARCH("R89",G424))*89,0)+IFERROR(--ISNUMBER(SEARCH("R90",G424))*90,0)+IFERROR(--ISNUMBER(SEARCH("R91",G424))*91,0)+IFERROR(--ISNUMBER(SEARCH("R92",G424))*92,0)+IFERROR(--ISNUMBER(SEARCH("R93",G424))*93,0)+IFERROR(--ISNUMBER(SEARCH("R94",G424))*94,0)+IFERROR(--ISNUMBER(SEARCH("R95",G424))*95,0)+IFERROR(--ISNUMBER(SEARCH("R96",G424))*96,0)+IFERROR(--ISNUMBER(SEARCH("R97",G424))*97,0)+IFERROR(--ISNUMBER(SEARCH("R98",G424))*98,0)+IFERROR(--ISNUMBER(SEARCH("R99",G424))*99,0)+IFERROR(--ISNUMBER(SEARCH("R100",G424))*100,0)+IFERROR(--ISNUMBER(SEARCH("R101",G424))*101,0)+IFERROR(--ISNUMBER(SEARCH("R102",G424))*102,0)+IFERROR(--ISNUMBER(SEARCH("R103",G424))*103,0)+IFERROR(--ISNUMBER(SEARCH("R104",G424))*104,0)+IFERROR(--ISNUMBER(SEARCH("R105",G424))*105,0)+IFERROR(--ISNUMBER(SEARCH("R106",G424))*106,0)+IFERROR(--ISNUMBER(SEARCH("R107",G424))*107,0)+IFERROR(--ISNUMBER(SEARCH("R108",G424))*108,0)+IFERROR(--ISNUMBER(SEARCH("R109",G424))*109,0)+IFERROR(--ISNUMBER(SEARCH("R110",G424))*110,0)+IFERROR(--ISNUMBER(SEARCH("R111",G424))*111,0)+IFERROR(--ISNUMBER(SEARCH("R112",G424))*112,0)+IFERROR(--ISNUMBER(SEARCH("R113",G424))*113,0)+IFERROR(--ISNUMBER(SEARCH("R114",G424))*114,0)+IFERROR(--ISNUMBER(SEARCH("R115",G424))*115,0)+IFERROR(--ISNUMBER(SEARCH("R116",G424))*116,0)+IFERROR(--ISNUMBER(SEARCH("R117",G424))*117,0)+IFERROR(--ISNUMBER(SEARCH("R118",G424))*118,0)+IFERROR(--ISNUMBER(SEARCH("R119",G424))*119,0)+IFERROR(--ISNUMBER(SEARCH("R120",G424))*120,0)+IFERROR(--ISNUMBER(SEARCH("R121",G424))*121,0)+IFERROR(--ISNUMBER(SEARCH("R122",G424))*122,0)+IFERROR(--ISNUMBER(SEARCH("R123",G424))*123,0)+IFERROR(--ISNUMBER(SEARCH("R124",G424))*124,0)+IFERROR(--ISNUMBER(SEARCH("R125",G424))*125,0)+IFERROR(--ISNUMBER(SEARCH("R126",G424))*126,0)+IFERROR(--ISNUMBER(SEARCH("R127",G424))*127,0)+IFERROR(--ISNUMBER(SEARCH("R128",G424))*128,0)+IFERROR(--ISNUMBER(SEARCH("R129",G424))*129,0)+IFERROR(--ISNUMBER(SEARCH("R130",G424))*130,0)+IFERROR(--ISNUMBER(SEARCH("R131",G424))*131,0)+IFERROR(--ISNUMBER(SEARCH("R132",G424))*132,0)+IFERROR(--ISNUMBER(SEARCH("R133",G424))*133,0)+IFERROR(--ISNUMBER(SEARCH("R134",G424))*134,0)+IFERROR(--ISNUMBER(SEARCH("R135",G424))*135,0)+IFERROR(--ISNUMBER(SEARCH("R136",G424))*136,0)+IFERROR(--ISNUMBER(SEARCH("R137",G424))*137,0)+IFERROR(--ISNUMBER(SEARCH("R138",G424))*138,0)+IFERROR(--ISNUMBER(SEARCH("R139",G424))*139,0)+IFERROR(--ISNUMBER(SEARCH("R140",G424))*140,0)+IFERROR(--ISNUMBER(SEARCH("R141",G424))*141,0))</f>
        <v/>
      </c>
      <c r="V424" s="59">
        <f>IF(A424="","",IF(K424&lt;&gt;"",K424,J424))</f>
        <v/>
      </c>
      <c r="W424" s="59">
        <f>IF(A424="","",IF(AND(V424=29,O424&lt;&gt;"",COUNTIFS($V$6:$V$505,29,$F$6:$F$505,F424,$C$6:$C$505,C424,$O$6:$O$505,"&lt;&gt;")&gt;1),IF(COUNTIFS($V$6:V424,29,$F$6:F424,F424,$C$6:C424,C424,$O$6:O424,"&lt;&gt;")=1,"Esta es la fila que se debe CONSERVAR (aparición 1 de "&amp;COUNTIFS($V$6:$V$505,29,$F$6:$F$505,F424,$C$6:$C$505,C424,$O$6:$O$505,"&lt;&gt;")&amp;" con el mismo tercero y valor, casilla 29). Si hay más filas iguales, bórreles el valor a ELLAS, no a esta.","DUPLICADO — ya existe otra fila con el mismo tercero y valor para casilla 29 (aparición "&amp;COUNTIFS($V$6:V424,29,$F$6:F424,F424,$C$6:C424,C424,$O$6:O424,"&lt;&gt;")&amp;" de "&amp;COUNTIFS($V$6:$V$505,29,$F$6:$F$505,F424,$C$6:$C$505,C424,$O$6:$O$505,"&lt;&gt;")&amp;"). Para resolverlo: seleccione la celda O"&amp;ROW()&amp;" (columna Valor a declarar de ESTA fila) y presione Supr."),""))</f>
        <v/>
      </c>
      <c r="X424" s="463">
        <f>IF(A424="","",F424)</f>
        <v/>
      </c>
      <c r="Y424" s="463">
        <f>IF(A424="","",SUMIF(Entrada_Manual!$I$88:$I$187,A424,Entrada_Manual!$F$88:$F$187))</f>
        <v/>
      </c>
      <c r="Z424" s="463">
        <f>IF(A424="","",X424-Y424)</f>
        <v/>
      </c>
      <c r="AA424">
        <f>IF(A424="","",SUMPRODUCT((Entrada_Manual!$I$88:$I$187=A424)*1))</f>
        <v/>
      </c>
      <c r="AB424">
        <f>IF(A424="","",IF(S424&lt;=1,"",IF(AA424=0,"PENDIENTE — SIN ASIGNAR",IF(Z424=0,"RESUELTO","PARCIAL — DIFERENCIA "&amp;TEXT(Z424,"#,##0")))))</f>
        <v/>
      </c>
    </row>
    <row r="425" ht="14.25" customHeight="1" s="235">
      <c r="A425" s="47">
        <f>IF(Exogena_RAW!E434&lt;&gt;"",ROW()-5,"")</f>
        <v/>
      </c>
      <c r="B425" s="48">
        <f>IF(A425="","",434)</f>
        <v/>
      </c>
      <c r="C425" s="48">
        <f>IF(A425="","",IFERROR(Exogena_RAW!A434,""))</f>
        <v/>
      </c>
      <c r="D425" s="48">
        <f>IF(A425="","",IFERROR(Exogena_RAW!B434,""))</f>
        <v/>
      </c>
      <c r="E425" s="48">
        <f>IF(A425="","",Exogena_RAW!E434)</f>
        <v/>
      </c>
      <c r="F425" s="461">
        <f>IF(A425="","",Exogena_RAW!F434)</f>
        <v/>
      </c>
      <c r="G425" s="48">
        <f>IF(A425="","",IFERROR(Exogena_RAW!G434,""))</f>
        <v/>
      </c>
      <c r="H425" s="48">
        <f>IF(A425="","",IFERROR(Exogena_RAW!H434,""))</f>
        <v/>
      </c>
      <c r="I425" s="48">
        <f>IF(A425="","",IFERROR(IF(S425&gt;1,"VARIAS CASILLAS",IF(S425=1,IF(T425=1,"PROPUESTA DE CASILLA","REVISIÓN: CASILLA NO DIRECTA"),IF(OR(ISNUMBER(SEARCH("TOPE",UPPER(E425))),ISNUMBER(SEARCH("TOPE",UPPER(G425)))),"SOLO CONTROL",IF(ISNUMBER(SEARCH("RETEN",UPPER(E425))),"RETENCIÓN","REVISAR")))),"REVISAR"))</f>
        <v/>
      </c>
      <c r="J425" s="48">
        <f>IF(A425="","",IF(ISNUMBER(SEARCH("ingreso laboral promedio de los últimos seis meses",E425)),"",IFERROR(IF(AND(S425=1,T425=1),U425,""),"")))</f>
        <v/>
      </c>
      <c r="K425" s="216" t="n"/>
      <c r="L425" s="48">
        <f>IF(A425="","",IFERROR(IF(K425&lt;&gt;"","Casilla elegida por usuario",IF(S425&gt;1,"Varias casillas — elegir en K",IF(J425&lt;&gt;"","Sugerencia directa",IF(S425=1,"No trasladar directo — revisar",IF(OR(ISNUMBER(SEARCH("TOPE",UPPER(E425))),ISNUMBER(SEARCH("TOPE",UPPER(G425)))),"Solo control","Revisar manualmente"))))),"Revisar manualmente"))</f>
        <v/>
      </c>
      <c r="M425" s="461">
        <f>IF(A425="","",IF(IF(K425&lt;&gt;"",K425,J425)="",0,IF(COUNTIFS(Reglas!$I$5:$I$118,IF(K425&lt;&gt;"",K425,J425),Reglas!$J$5:$J$118,"Sí")=1,F425,0)))</f>
        <v/>
      </c>
      <c r="N425" s="56" t="n"/>
      <c r="O425" s="462">
        <f>IF(A425="","",IF(M425=0,"",M425))</f>
        <v/>
      </c>
      <c r="P425" s="461">
        <f>IF(A425="","",IF(O425="",0,IF(ISNUMBER(O425),O425,0)))</f>
        <v/>
      </c>
      <c r="Q425" s="48">
        <f>IF(A425="","",IF(Exogena_RAW!$C$4="","BLOQUEADO: FALTA AÑO",IF(Exogena_RAW!$K$10&lt;&gt;Reglas!$B$5,"BLOQUEADO: AÑO",IF(IF(K425&lt;&gt;"",K425,J425)="",IF(S425&gt;1,"REQUIERE ASIGNACIÓN MANUAL (VARIAS CASILLAS)","INFORMATIVO (sin casilla — no se declara)"),IF(COUNTIFS(Reglas!$I$5:$I$118,IF(K425&lt;&gt;"",K425,J425),Reglas!$J$5:$J$118,"Sí")=0,"BLOQUEADO: CASILLA NO DIRECTA",IF(O425="","EXCLUIDO (valor borrado por el usuario)",IF(_xlfn.ISFORMULA(O425),IF(W425&lt;&gt;"","BORRADOR — VALOR SUGERIDO DIAN ⚠ VER ALERTA","BORRADOR — VALOR SUGERIDO DIAN"),IF(W425&lt;&gt;"","ACEPTADO ⚠ VER ALERTA","ACEPTADO"))))))))</f>
        <v/>
      </c>
      <c r="R425" s="218" t="n"/>
      <c r="S425" s="58">
        <f>IF(A425="","",IFERROR(--ISNUMBER(SEARCH("R28",G425)),0)+IFERROR(--ISNUMBER(SEARCH("R29",G425)),0)+IFERROR(--ISNUMBER(SEARCH("R30",G425)),0)+IFERROR(--ISNUMBER(SEARCH("R31",G425)),0)+IFERROR(--ISNUMBER(SEARCH("R32",G425)),0)+IFERROR(--ISNUMBER(SEARCH("R33",G425)),0)+IFERROR(--ISNUMBER(SEARCH("R34",G425)),0)+IFERROR(--ISNUMBER(SEARCH("R35",G425)),0)+IFERROR(--ISNUMBER(SEARCH("R36",G425)),0)+IFERROR(--ISNUMBER(SEARCH("R37",G425)),0)+IFERROR(--ISNUMBER(SEARCH("R38",G425)),0)+IFERROR(--ISNUMBER(SEARCH("R39",G425)),0)+IFERROR(--ISNUMBER(SEARCH("R40",G425)),0)+IFERROR(--ISNUMBER(SEARCH("R41",G425)),0)+IFERROR(--ISNUMBER(SEARCH("R42",G425)),0)+IFERROR(--ISNUMBER(SEARCH("R43",G425)),0)+IFERROR(--ISNUMBER(SEARCH("R44",G425)),0)+IFERROR(--ISNUMBER(SEARCH("R45",G425)),0)+IFERROR(--ISNUMBER(SEARCH("R46",G425)),0)+IFERROR(--ISNUMBER(SEARCH("R47",G425)),0)+IFERROR(--ISNUMBER(SEARCH("R48",G425)),0)+IFERROR(--ISNUMBER(SEARCH("R49",G425)),0)+IFERROR(--ISNUMBER(SEARCH("R50",G425)),0)+IFERROR(--ISNUMBER(SEARCH("R51",G425)),0)+IFERROR(--ISNUMBER(SEARCH("R52",G425)),0)+IFERROR(--ISNUMBER(SEARCH("R53",G425)),0)+IFERROR(--ISNUMBER(SEARCH("R54",G425)),0)+IFERROR(--ISNUMBER(SEARCH("R55",G425)),0)+IFERROR(--ISNUMBER(SEARCH("R56",G425)),0)+IFERROR(--ISNUMBER(SEARCH("R57",G425)),0)+IFERROR(--ISNUMBER(SEARCH("R58",G425)),0)+IFERROR(--ISNUMBER(SEARCH("R59",G425)),0)+IFERROR(--ISNUMBER(SEARCH("R60",G425)),0)+IFERROR(--ISNUMBER(SEARCH("R61",G425)),0)+IFERROR(--ISNUMBER(SEARCH("R62",G425)),0)+IFERROR(--ISNUMBER(SEARCH("R63",G425)),0)+IFERROR(--ISNUMBER(SEARCH("R64",G425)),0)+IFERROR(--ISNUMBER(SEARCH("R65",G425)),0)+IFERROR(--ISNUMBER(SEARCH("R66",G425)),0)+IFERROR(--ISNUMBER(SEARCH("R67",G425)),0)+IFERROR(--ISNUMBER(SEARCH("R68",G425)),0)+IFERROR(--ISNUMBER(SEARCH("R69",G425)),0)+IFERROR(--ISNUMBER(SEARCH("R70",G425)),0)+IFERROR(--ISNUMBER(SEARCH("R71",G425)),0)+IFERROR(--ISNUMBER(SEARCH("R72",G425)),0)+IFERROR(--ISNUMBER(SEARCH("R73",G425)),0)+IFERROR(--ISNUMBER(SEARCH("R74",G425)),0)+IFERROR(--ISNUMBER(SEARCH("R75",G425)),0)+IFERROR(--ISNUMBER(SEARCH("R76",G425)),0)+IFERROR(--ISNUMBER(SEARCH("R77",G425)),0)+IFERROR(--ISNUMBER(SEARCH("R78",G425)),0)+IFERROR(--ISNUMBER(SEARCH("R79",G425)),0)+IFERROR(--ISNUMBER(SEARCH("R80",G425)),0)+IFERROR(--ISNUMBER(SEARCH("R81",G425)),0)+IFERROR(--ISNUMBER(SEARCH("R82",G425)),0)+IFERROR(--ISNUMBER(SEARCH("R83",G425)),0)+IFERROR(--ISNUMBER(SEARCH("R84",G425)),0)+IFERROR(--ISNUMBER(SEARCH("R85",G425)),0)+IFERROR(--ISNUMBER(SEARCH("R86",G425)),0)+IFERROR(--ISNUMBER(SEARCH("R87",G425)),0)+IFERROR(--ISNUMBER(SEARCH("R88",G425)),0)+IFERROR(--ISNUMBER(SEARCH("R89",G425)),0)+IFERROR(--ISNUMBER(SEARCH("R90",G425)),0)+IFERROR(--ISNUMBER(SEARCH("R91",G425)),0)+IFERROR(--ISNUMBER(SEARCH("R92",G425)),0)+IFERROR(--ISNUMBER(SEARCH("R93",G425)),0)+IFERROR(--ISNUMBER(SEARCH("R94",G425)),0)+IFERROR(--ISNUMBER(SEARCH("R95",G425)),0)+IFERROR(--ISNUMBER(SEARCH("R96",G425)),0)+IFERROR(--ISNUMBER(SEARCH("R97",G425)),0)+IFERROR(--ISNUMBER(SEARCH("R98",G425)),0)+IFERROR(--ISNUMBER(SEARCH("R99",G425)),0)+IFERROR(--ISNUMBER(SEARCH("R100",G425)),0)+IFERROR(--ISNUMBER(SEARCH("R101",G425)),0)+IFERROR(--ISNUMBER(SEARCH("R102",G425)),0)+IFERROR(--ISNUMBER(SEARCH("R103",G425)),0)+IFERROR(--ISNUMBER(SEARCH("R104",G425)),0)+IFERROR(--ISNUMBER(SEARCH("R105",G425)),0)+IFERROR(--ISNUMBER(SEARCH("R106",G425)),0)+IFERROR(--ISNUMBER(SEARCH("R107",G425)),0)+IFERROR(--ISNUMBER(SEARCH("R108",G425)),0)+IFERROR(--ISNUMBER(SEARCH("R109",G425)),0)+IFERROR(--ISNUMBER(SEARCH("R110",G425)),0)+IFERROR(--ISNUMBER(SEARCH("R111",G425)),0)+IFERROR(--ISNUMBER(SEARCH("R112",G425)),0)+IFERROR(--ISNUMBER(SEARCH("R113",G425)),0)+IFERROR(--ISNUMBER(SEARCH("R114",G425)),0)+IFERROR(--ISNUMBER(SEARCH("R115",G425)),0)+IFERROR(--ISNUMBER(SEARCH("R116",G425)),0)+IFERROR(--ISNUMBER(SEARCH("R117",G425)),0)+IFERROR(--ISNUMBER(SEARCH("R118",G425)),0)+IFERROR(--ISNUMBER(SEARCH("R119",G425)),0)+IFERROR(--ISNUMBER(SEARCH("R120",G425)),0)+IFERROR(--ISNUMBER(SEARCH("R121",G425)),0)+IFERROR(--ISNUMBER(SEARCH("R122",G425)),0)+IFERROR(--ISNUMBER(SEARCH("R123",G425)),0)+IFERROR(--ISNUMBER(SEARCH("R124",G425)),0)+IFERROR(--ISNUMBER(SEARCH("R125",G425)),0)+IFERROR(--ISNUMBER(SEARCH("R126",G425)),0)+IFERROR(--ISNUMBER(SEARCH("R127",G425)),0)+IFERROR(--ISNUMBER(SEARCH("R128",G425)),0)+IFERROR(--ISNUMBER(SEARCH("R129",G425)),0)+IFERROR(--ISNUMBER(SEARCH("R130",G425)),0)+IFERROR(--ISNUMBER(SEARCH("R131",G425)),0)+IFERROR(--ISNUMBER(SEARCH("R132",G425)),0)+IFERROR(--ISNUMBER(SEARCH("R133",G425)),0)+IFERROR(--ISNUMBER(SEARCH("R134",G425)),0)+IFERROR(--ISNUMBER(SEARCH("R135",G425)),0)+IFERROR(--ISNUMBER(SEARCH("R136",G425)),0)+IFERROR(--ISNUMBER(SEARCH("R137",G425)),0)+IFERROR(--ISNUMBER(SEARCH("R138",G425)),0)+IFERROR(--ISNUMBER(SEARCH("R139",G425)),0)+IFERROR(--ISNUMBER(SEARCH("R140",G425)),0)+IFERROR(--ISNUMBER(SEARCH("R141",G425)),0))</f>
        <v/>
      </c>
      <c r="T425" s="58">
        <f>IF(A425="","",IFERROR(--ISNUMBER(SEARCH("R28",G425)),0)+IFERROR(--ISNUMBER(SEARCH("R29",G425)),0)+IFERROR(--ISNUMBER(SEARCH("R30",G425)),0)+IFERROR(--ISNUMBER(SEARCH("R32",G425)),0)+IFERROR(--ISNUMBER(SEARCH("R33",G425)),0)+IFERROR(--ISNUMBER(SEARCH("R35",G425)),0)+IFERROR(--ISNUMBER(SEARCH("R36",G425)),0)+IFERROR(--ISNUMBER(SEARCH("R38",G425)),0)+IFERROR(--ISNUMBER(SEARCH("R39",G425)),0)+IFERROR(--ISNUMBER(SEARCH("R43",G425)),0)+IFERROR(--ISNUMBER(SEARCH("R44",G425)),0)+IFERROR(--ISNUMBER(SEARCH("R45",G425)),0)+IFERROR(--ISNUMBER(SEARCH("R47",G425)),0)+IFERROR(--ISNUMBER(SEARCH("R48",G425)),0)+IFERROR(--ISNUMBER(SEARCH("R50",G425)),0)+IFERROR(--ISNUMBER(SEARCH("R51",G425)),0)+IFERROR(--ISNUMBER(SEARCH("R56",G425)),0)+IFERROR(--ISNUMBER(SEARCH("R58",G425)),0)+IFERROR(--ISNUMBER(SEARCH("R59",G425)),0)+IFERROR(--ISNUMBER(SEARCH("R60",G425)),0)+IFERROR(--ISNUMBER(SEARCH("R62",G425)),0)+IFERROR(--ISNUMBER(SEARCH("R63",G425)),0)+IFERROR(--ISNUMBER(SEARCH("R64",G425)),0)+IFERROR(--ISNUMBER(SEARCH("R66",G425)),0)+IFERROR(--ISNUMBER(SEARCH("R67",G425)),0)+IFERROR(--ISNUMBER(SEARCH("R72",G425)),0)+IFERROR(--ISNUMBER(SEARCH("R74",G425)),0)+IFERROR(--ISNUMBER(SEARCH("R75",G425)),0)+IFERROR(--ISNUMBER(SEARCH("R76",G425)),0)+IFERROR(--ISNUMBER(SEARCH("R77",G425)),0)+IFERROR(--ISNUMBER(SEARCH("R79",G425)),0)+IFERROR(--ISNUMBER(SEARCH("R80",G425)),0)+IFERROR(--ISNUMBER(SEARCH("R81",G425)),0)+IFERROR(--ISNUMBER(SEARCH("R83",G425)),0)+IFERROR(--ISNUMBER(SEARCH("R84",G425)),0)+IFERROR(--ISNUMBER(SEARCH("R89",G425)),0)+IFERROR(--ISNUMBER(SEARCH("R94",G425)),0)+IFERROR(--ISNUMBER(SEARCH("R95",G425)),0)+IFERROR(--ISNUMBER(SEARCH("R96",G425)),0)+IFERROR(--ISNUMBER(SEARCH("R98",G425)),0)+IFERROR(--ISNUMBER(SEARCH("R99",G425)),0)+IFERROR(--ISNUMBER(SEARCH("R100",G425)),0)+IFERROR(--ISNUMBER(SEARCH("R104",G425)),0)+IFERROR(--ISNUMBER(SEARCH("R105",G425)),0)+IFERROR(--ISNUMBER(SEARCH("R107",G425)),0)+IFERROR(--ISNUMBER(SEARCH("R108",G425)),0)+IFERROR(--ISNUMBER(SEARCH("R109",G425)),0)+IFERROR(--ISNUMBER(SEARCH("R110",G425)),0)+IFERROR(--ISNUMBER(SEARCH("R112",G425)),0)+IFERROR(--ISNUMBER(SEARCH("R113",G425)),0)+IFERROR(--ISNUMBER(SEARCH("R114",G425)),0)+IFERROR(--ISNUMBER(SEARCH("R118",G425)),0)+IFERROR(--ISNUMBER(SEARCH("R119",G425)),0)+IFERROR(--ISNUMBER(SEARCH("R120",G425)),0)+IFERROR(--ISNUMBER(SEARCH("R122",G425)),0)+IFERROR(--ISNUMBER(SEARCH("R123",G425)),0)+IFERROR(--ISNUMBER(SEARCH("R124",G425)),0)+IFERROR(--ISNUMBER(SEARCH("R128",G425)),0)+IFERROR(--ISNUMBER(SEARCH("R130",G425)),0)+IFERROR(--ISNUMBER(SEARCH("R131",G425)),0)+IFERROR(--ISNUMBER(SEARCH("R132",G425)),0)+IFERROR(--ISNUMBER(SEARCH("R135",G425)),0)+IFERROR(--ISNUMBER(SEARCH("R138",G425)),0)+IFERROR(--ISNUMBER(SEARCH("R141",G425)),0))</f>
        <v/>
      </c>
      <c r="U425" s="58">
        <f>IF(A425="","",IFERROR(--ISNUMBER(SEARCH("R28",G425))*28,0)+IFERROR(--ISNUMBER(SEARCH("R29",G425))*29,0)+IFERROR(--ISNUMBER(SEARCH("R30",G425))*30,0)+IFERROR(--ISNUMBER(SEARCH("R31",G425))*31,0)+IFERROR(--ISNUMBER(SEARCH("R32",G425))*32,0)+IFERROR(--ISNUMBER(SEARCH("R33",G425))*33,0)+IFERROR(--ISNUMBER(SEARCH("R34",G425))*34,0)+IFERROR(--ISNUMBER(SEARCH("R35",G425))*35,0)+IFERROR(--ISNUMBER(SEARCH("R36",G425))*36,0)+IFERROR(--ISNUMBER(SEARCH("R37",G425))*37,0)+IFERROR(--ISNUMBER(SEARCH("R38",G425))*38,0)+IFERROR(--ISNUMBER(SEARCH("R39",G425))*39,0)+IFERROR(--ISNUMBER(SEARCH("R40",G425))*40,0)+IFERROR(--ISNUMBER(SEARCH("R41",G425))*41,0)+IFERROR(--ISNUMBER(SEARCH("R42",G425))*42,0)+IFERROR(--ISNUMBER(SEARCH("R43",G425))*43,0)+IFERROR(--ISNUMBER(SEARCH("R44",G425))*44,0)+IFERROR(--ISNUMBER(SEARCH("R45",G425))*45,0)+IFERROR(--ISNUMBER(SEARCH("R46",G425))*46,0)+IFERROR(--ISNUMBER(SEARCH("R47",G425))*47,0)+IFERROR(--ISNUMBER(SEARCH("R48",G425))*48,0)+IFERROR(--ISNUMBER(SEARCH("R49",G425))*49,0)+IFERROR(--ISNUMBER(SEARCH("R50",G425))*50,0)+IFERROR(--ISNUMBER(SEARCH("R51",G425))*51,0)+IFERROR(--ISNUMBER(SEARCH("R52",G425))*52,0)+IFERROR(--ISNUMBER(SEARCH("R53",G425))*53,0)+IFERROR(--ISNUMBER(SEARCH("R54",G425))*54,0)+IFERROR(--ISNUMBER(SEARCH("R55",G425))*55,0)+IFERROR(--ISNUMBER(SEARCH("R56",G425))*56,0)+IFERROR(--ISNUMBER(SEARCH("R57",G425))*57,0)+IFERROR(--ISNUMBER(SEARCH("R58",G425))*58,0)+IFERROR(--ISNUMBER(SEARCH("R59",G425))*59,0)+IFERROR(--ISNUMBER(SEARCH("R60",G425))*60,0)+IFERROR(--ISNUMBER(SEARCH("R61",G425))*61,0)+IFERROR(--ISNUMBER(SEARCH("R62",G425))*62,0)+IFERROR(--ISNUMBER(SEARCH("R63",G425))*63,0)+IFERROR(--ISNUMBER(SEARCH("R64",G425))*64,0)+IFERROR(--ISNUMBER(SEARCH("R65",G425))*65,0)+IFERROR(--ISNUMBER(SEARCH("R66",G425))*66,0)+IFERROR(--ISNUMBER(SEARCH("R67",G425))*67,0)+IFERROR(--ISNUMBER(SEARCH("R68",G425))*68,0)+IFERROR(--ISNUMBER(SEARCH("R69",G425))*69,0)+IFERROR(--ISNUMBER(SEARCH("R70",G425))*70,0)+IFERROR(--ISNUMBER(SEARCH("R71",G425))*71,0)+IFERROR(--ISNUMBER(SEARCH("R72",G425))*72,0)+IFERROR(--ISNUMBER(SEARCH("R73",G425))*73,0)+IFERROR(--ISNUMBER(SEARCH("R74",G425))*74,0)+IFERROR(--ISNUMBER(SEARCH("R75",G425))*75,0)+IFERROR(--ISNUMBER(SEARCH("R76",G425))*76,0)+IFERROR(--ISNUMBER(SEARCH("R77",G425))*77,0)+IFERROR(--ISNUMBER(SEARCH("R78",G425))*78,0)+IFERROR(--ISNUMBER(SEARCH("R79",G425))*79,0)+IFERROR(--ISNUMBER(SEARCH("R80",G425))*80,0)+IFERROR(--ISNUMBER(SEARCH("R81",G425))*81,0)+IFERROR(--ISNUMBER(SEARCH("R82",G425))*82,0)+IFERROR(--ISNUMBER(SEARCH("R83",G425))*83,0)+IFERROR(--ISNUMBER(SEARCH("R84",G425))*84,0)+IFERROR(--ISNUMBER(SEARCH("R85",G425))*85,0)+IFERROR(--ISNUMBER(SEARCH("R86",G425))*86,0)+IFERROR(--ISNUMBER(SEARCH("R87",G425))*87,0)+IFERROR(--ISNUMBER(SEARCH("R88",G425))*88,0)+IFERROR(--ISNUMBER(SEARCH("R89",G425))*89,0)+IFERROR(--ISNUMBER(SEARCH("R90",G425))*90,0)+IFERROR(--ISNUMBER(SEARCH("R91",G425))*91,0)+IFERROR(--ISNUMBER(SEARCH("R92",G425))*92,0)+IFERROR(--ISNUMBER(SEARCH("R93",G425))*93,0)+IFERROR(--ISNUMBER(SEARCH("R94",G425))*94,0)+IFERROR(--ISNUMBER(SEARCH("R95",G425))*95,0)+IFERROR(--ISNUMBER(SEARCH("R96",G425))*96,0)+IFERROR(--ISNUMBER(SEARCH("R97",G425))*97,0)+IFERROR(--ISNUMBER(SEARCH("R98",G425))*98,0)+IFERROR(--ISNUMBER(SEARCH("R99",G425))*99,0)+IFERROR(--ISNUMBER(SEARCH("R100",G425))*100,0)+IFERROR(--ISNUMBER(SEARCH("R101",G425))*101,0)+IFERROR(--ISNUMBER(SEARCH("R102",G425))*102,0)+IFERROR(--ISNUMBER(SEARCH("R103",G425))*103,0)+IFERROR(--ISNUMBER(SEARCH("R104",G425))*104,0)+IFERROR(--ISNUMBER(SEARCH("R105",G425))*105,0)+IFERROR(--ISNUMBER(SEARCH("R106",G425))*106,0)+IFERROR(--ISNUMBER(SEARCH("R107",G425))*107,0)+IFERROR(--ISNUMBER(SEARCH("R108",G425))*108,0)+IFERROR(--ISNUMBER(SEARCH("R109",G425))*109,0)+IFERROR(--ISNUMBER(SEARCH("R110",G425))*110,0)+IFERROR(--ISNUMBER(SEARCH("R111",G425))*111,0)+IFERROR(--ISNUMBER(SEARCH("R112",G425))*112,0)+IFERROR(--ISNUMBER(SEARCH("R113",G425))*113,0)+IFERROR(--ISNUMBER(SEARCH("R114",G425))*114,0)+IFERROR(--ISNUMBER(SEARCH("R115",G425))*115,0)+IFERROR(--ISNUMBER(SEARCH("R116",G425))*116,0)+IFERROR(--ISNUMBER(SEARCH("R117",G425))*117,0)+IFERROR(--ISNUMBER(SEARCH("R118",G425))*118,0)+IFERROR(--ISNUMBER(SEARCH("R119",G425))*119,0)+IFERROR(--ISNUMBER(SEARCH("R120",G425))*120,0)+IFERROR(--ISNUMBER(SEARCH("R121",G425))*121,0)+IFERROR(--ISNUMBER(SEARCH("R122",G425))*122,0)+IFERROR(--ISNUMBER(SEARCH("R123",G425))*123,0)+IFERROR(--ISNUMBER(SEARCH("R124",G425))*124,0)+IFERROR(--ISNUMBER(SEARCH("R125",G425))*125,0)+IFERROR(--ISNUMBER(SEARCH("R126",G425))*126,0)+IFERROR(--ISNUMBER(SEARCH("R127",G425))*127,0)+IFERROR(--ISNUMBER(SEARCH("R128",G425))*128,0)+IFERROR(--ISNUMBER(SEARCH("R129",G425))*129,0)+IFERROR(--ISNUMBER(SEARCH("R130",G425))*130,0)+IFERROR(--ISNUMBER(SEARCH("R131",G425))*131,0)+IFERROR(--ISNUMBER(SEARCH("R132",G425))*132,0)+IFERROR(--ISNUMBER(SEARCH("R133",G425))*133,0)+IFERROR(--ISNUMBER(SEARCH("R134",G425))*134,0)+IFERROR(--ISNUMBER(SEARCH("R135",G425))*135,0)+IFERROR(--ISNUMBER(SEARCH("R136",G425))*136,0)+IFERROR(--ISNUMBER(SEARCH("R137",G425))*137,0)+IFERROR(--ISNUMBER(SEARCH("R138",G425))*138,0)+IFERROR(--ISNUMBER(SEARCH("R139",G425))*139,0)+IFERROR(--ISNUMBER(SEARCH("R140",G425))*140,0)+IFERROR(--ISNUMBER(SEARCH("R141",G425))*141,0))</f>
        <v/>
      </c>
      <c r="V425" s="59">
        <f>IF(A425="","",IF(K425&lt;&gt;"",K425,J425))</f>
        <v/>
      </c>
      <c r="W425" s="59">
        <f>IF(A425="","",IF(AND(V425=29,O425&lt;&gt;"",COUNTIFS($V$6:$V$505,29,$F$6:$F$505,F425,$C$6:$C$505,C425,$O$6:$O$505,"&lt;&gt;")&gt;1),IF(COUNTIFS($V$6:V425,29,$F$6:F425,F425,$C$6:C425,C425,$O$6:O425,"&lt;&gt;")=1,"Esta es la fila que se debe CONSERVAR (aparición 1 de "&amp;COUNTIFS($V$6:$V$505,29,$F$6:$F$505,F425,$C$6:$C$505,C425,$O$6:$O$505,"&lt;&gt;")&amp;" con el mismo tercero y valor, casilla 29). Si hay más filas iguales, bórreles el valor a ELLAS, no a esta.","DUPLICADO — ya existe otra fila con el mismo tercero y valor para casilla 29 (aparición "&amp;COUNTIFS($V$6:V425,29,$F$6:F425,F425,$C$6:C425,C425,$O$6:O425,"&lt;&gt;")&amp;" de "&amp;COUNTIFS($V$6:$V$505,29,$F$6:$F$505,F425,$C$6:$C$505,C425,$O$6:$O$505,"&lt;&gt;")&amp;"). Para resolverlo: seleccione la celda O"&amp;ROW()&amp;" (columna Valor a declarar de ESTA fila) y presione Supr."),""))</f>
        <v/>
      </c>
      <c r="X425" s="463">
        <f>IF(A425="","",F425)</f>
        <v/>
      </c>
      <c r="Y425" s="463">
        <f>IF(A425="","",SUMIF(Entrada_Manual!$I$88:$I$187,A425,Entrada_Manual!$F$88:$F$187))</f>
        <v/>
      </c>
      <c r="Z425" s="463">
        <f>IF(A425="","",X425-Y425)</f>
        <v/>
      </c>
      <c r="AA425">
        <f>IF(A425="","",SUMPRODUCT((Entrada_Manual!$I$88:$I$187=A425)*1))</f>
        <v/>
      </c>
      <c r="AB425">
        <f>IF(A425="","",IF(S425&lt;=1,"",IF(AA425=0,"PENDIENTE — SIN ASIGNAR",IF(Z425=0,"RESUELTO","PARCIAL — DIFERENCIA "&amp;TEXT(Z425,"#,##0")))))</f>
        <v/>
      </c>
    </row>
    <row r="426" ht="14.25" customHeight="1" s="235">
      <c r="A426" s="47">
        <f>IF(Exogena_RAW!E435&lt;&gt;"",ROW()-5,"")</f>
        <v/>
      </c>
      <c r="B426" s="48">
        <f>IF(A426="","",435)</f>
        <v/>
      </c>
      <c r="C426" s="48">
        <f>IF(A426="","",IFERROR(Exogena_RAW!A435,""))</f>
        <v/>
      </c>
      <c r="D426" s="48">
        <f>IF(A426="","",IFERROR(Exogena_RAW!B435,""))</f>
        <v/>
      </c>
      <c r="E426" s="48">
        <f>IF(A426="","",Exogena_RAW!E435)</f>
        <v/>
      </c>
      <c r="F426" s="461">
        <f>IF(A426="","",Exogena_RAW!F435)</f>
        <v/>
      </c>
      <c r="G426" s="48">
        <f>IF(A426="","",IFERROR(Exogena_RAW!G435,""))</f>
        <v/>
      </c>
      <c r="H426" s="48">
        <f>IF(A426="","",IFERROR(Exogena_RAW!H435,""))</f>
        <v/>
      </c>
      <c r="I426" s="48">
        <f>IF(A426="","",IFERROR(IF(S426&gt;1,"VARIAS CASILLAS",IF(S426=1,IF(T426=1,"PROPUESTA DE CASILLA","REVISIÓN: CASILLA NO DIRECTA"),IF(OR(ISNUMBER(SEARCH("TOPE",UPPER(E426))),ISNUMBER(SEARCH("TOPE",UPPER(G426)))),"SOLO CONTROL",IF(ISNUMBER(SEARCH("RETEN",UPPER(E426))),"RETENCIÓN","REVISAR")))),"REVISAR"))</f>
        <v/>
      </c>
      <c r="J426" s="48">
        <f>IF(A426="","",IF(ISNUMBER(SEARCH("ingreso laboral promedio de los últimos seis meses",E426)),"",IFERROR(IF(AND(S426=1,T426=1),U426,""),"")))</f>
        <v/>
      </c>
      <c r="K426" s="216" t="n"/>
      <c r="L426" s="48">
        <f>IF(A426="","",IFERROR(IF(K426&lt;&gt;"","Casilla elegida por usuario",IF(S426&gt;1,"Varias casillas — elegir en K",IF(J426&lt;&gt;"","Sugerencia directa",IF(S426=1,"No trasladar directo — revisar",IF(OR(ISNUMBER(SEARCH("TOPE",UPPER(E426))),ISNUMBER(SEARCH("TOPE",UPPER(G426)))),"Solo control","Revisar manualmente"))))),"Revisar manualmente"))</f>
        <v/>
      </c>
      <c r="M426" s="461">
        <f>IF(A426="","",IF(IF(K426&lt;&gt;"",K426,J426)="",0,IF(COUNTIFS(Reglas!$I$5:$I$118,IF(K426&lt;&gt;"",K426,J426),Reglas!$J$5:$J$118,"Sí")=1,F426,0)))</f>
        <v/>
      </c>
      <c r="N426" s="56" t="n"/>
      <c r="O426" s="462">
        <f>IF(A426="","",IF(M426=0,"",M426))</f>
        <v/>
      </c>
      <c r="P426" s="461">
        <f>IF(A426="","",IF(O426="",0,IF(ISNUMBER(O426),O426,0)))</f>
        <v/>
      </c>
      <c r="Q426" s="48">
        <f>IF(A426="","",IF(Exogena_RAW!$C$4="","BLOQUEADO: FALTA AÑO",IF(Exogena_RAW!$K$10&lt;&gt;Reglas!$B$5,"BLOQUEADO: AÑO",IF(IF(K426&lt;&gt;"",K426,J426)="",IF(S426&gt;1,"REQUIERE ASIGNACIÓN MANUAL (VARIAS CASILLAS)","INFORMATIVO (sin casilla — no se declara)"),IF(COUNTIFS(Reglas!$I$5:$I$118,IF(K426&lt;&gt;"",K426,J426),Reglas!$J$5:$J$118,"Sí")=0,"BLOQUEADO: CASILLA NO DIRECTA",IF(O426="","EXCLUIDO (valor borrado por el usuario)",IF(_xlfn.ISFORMULA(O426),IF(W426&lt;&gt;"","BORRADOR — VALOR SUGERIDO DIAN ⚠ VER ALERTA","BORRADOR — VALOR SUGERIDO DIAN"),IF(W426&lt;&gt;"","ACEPTADO ⚠ VER ALERTA","ACEPTADO"))))))))</f>
        <v/>
      </c>
      <c r="R426" s="218" t="n"/>
      <c r="S426" s="58">
        <f>IF(A426="","",IFERROR(--ISNUMBER(SEARCH("R28",G426)),0)+IFERROR(--ISNUMBER(SEARCH("R29",G426)),0)+IFERROR(--ISNUMBER(SEARCH("R30",G426)),0)+IFERROR(--ISNUMBER(SEARCH("R31",G426)),0)+IFERROR(--ISNUMBER(SEARCH("R32",G426)),0)+IFERROR(--ISNUMBER(SEARCH("R33",G426)),0)+IFERROR(--ISNUMBER(SEARCH("R34",G426)),0)+IFERROR(--ISNUMBER(SEARCH("R35",G426)),0)+IFERROR(--ISNUMBER(SEARCH("R36",G426)),0)+IFERROR(--ISNUMBER(SEARCH("R37",G426)),0)+IFERROR(--ISNUMBER(SEARCH("R38",G426)),0)+IFERROR(--ISNUMBER(SEARCH("R39",G426)),0)+IFERROR(--ISNUMBER(SEARCH("R40",G426)),0)+IFERROR(--ISNUMBER(SEARCH("R41",G426)),0)+IFERROR(--ISNUMBER(SEARCH("R42",G426)),0)+IFERROR(--ISNUMBER(SEARCH("R43",G426)),0)+IFERROR(--ISNUMBER(SEARCH("R44",G426)),0)+IFERROR(--ISNUMBER(SEARCH("R45",G426)),0)+IFERROR(--ISNUMBER(SEARCH("R46",G426)),0)+IFERROR(--ISNUMBER(SEARCH("R47",G426)),0)+IFERROR(--ISNUMBER(SEARCH("R48",G426)),0)+IFERROR(--ISNUMBER(SEARCH("R49",G426)),0)+IFERROR(--ISNUMBER(SEARCH("R50",G426)),0)+IFERROR(--ISNUMBER(SEARCH("R51",G426)),0)+IFERROR(--ISNUMBER(SEARCH("R52",G426)),0)+IFERROR(--ISNUMBER(SEARCH("R53",G426)),0)+IFERROR(--ISNUMBER(SEARCH("R54",G426)),0)+IFERROR(--ISNUMBER(SEARCH("R55",G426)),0)+IFERROR(--ISNUMBER(SEARCH("R56",G426)),0)+IFERROR(--ISNUMBER(SEARCH("R57",G426)),0)+IFERROR(--ISNUMBER(SEARCH("R58",G426)),0)+IFERROR(--ISNUMBER(SEARCH("R59",G426)),0)+IFERROR(--ISNUMBER(SEARCH("R60",G426)),0)+IFERROR(--ISNUMBER(SEARCH("R61",G426)),0)+IFERROR(--ISNUMBER(SEARCH("R62",G426)),0)+IFERROR(--ISNUMBER(SEARCH("R63",G426)),0)+IFERROR(--ISNUMBER(SEARCH("R64",G426)),0)+IFERROR(--ISNUMBER(SEARCH("R65",G426)),0)+IFERROR(--ISNUMBER(SEARCH("R66",G426)),0)+IFERROR(--ISNUMBER(SEARCH("R67",G426)),0)+IFERROR(--ISNUMBER(SEARCH("R68",G426)),0)+IFERROR(--ISNUMBER(SEARCH("R69",G426)),0)+IFERROR(--ISNUMBER(SEARCH("R70",G426)),0)+IFERROR(--ISNUMBER(SEARCH("R71",G426)),0)+IFERROR(--ISNUMBER(SEARCH("R72",G426)),0)+IFERROR(--ISNUMBER(SEARCH("R73",G426)),0)+IFERROR(--ISNUMBER(SEARCH("R74",G426)),0)+IFERROR(--ISNUMBER(SEARCH("R75",G426)),0)+IFERROR(--ISNUMBER(SEARCH("R76",G426)),0)+IFERROR(--ISNUMBER(SEARCH("R77",G426)),0)+IFERROR(--ISNUMBER(SEARCH("R78",G426)),0)+IFERROR(--ISNUMBER(SEARCH("R79",G426)),0)+IFERROR(--ISNUMBER(SEARCH("R80",G426)),0)+IFERROR(--ISNUMBER(SEARCH("R81",G426)),0)+IFERROR(--ISNUMBER(SEARCH("R82",G426)),0)+IFERROR(--ISNUMBER(SEARCH("R83",G426)),0)+IFERROR(--ISNUMBER(SEARCH("R84",G426)),0)+IFERROR(--ISNUMBER(SEARCH("R85",G426)),0)+IFERROR(--ISNUMBER(SEARCH("R86",G426)),0)+IFERROR(--ISNUMBER(SEARCH("R87",G426)),0)+IFERROR(--ISNUMBER(SEARCH("R88",G426)),0)+IFERROR(--ISNUMBER(SEARCH("R89",G426)),0)+IFERROR(--ISNUMBER(SEARCH("R90",G426)),0)+IFERROR(--ISNUMBER(SEARCH("R91",G426)),0)+IFERROR(--ISNUMBER(SEARCH("R92",G426)),0)+IFERROR(--ISNUMBER(SEARCH("R93",G426)),0)+IFERROR(--ISNUMBER(SEARCH("R94",G426)),0)+IFERROR(--ISNUMBER(SEARCH("R95",G426)),0)+IFERROR(--ISNUMBER(SEARCH("R96",G426)),0)+IFERROR(--ISNUMBER(SEARCH("R97",G426)),0)+IFERROR(--ISNUMBER(SEARCH("R98",G426)),0)+IFERROR(--ISNUMBER(SEARCH("R99",G426)),0)+IFERROR(--ISNUMBER(SEARCH("R100",G426)),0)+IFERROR(--ISNUMBER(SEARCH("R101",G426)),0)+IFERROR(--ISNUMBER(SEARCH("R102",G426)),0)+IFERROR(--ISNUMBER(SEARCH("R103",G426)),0)+IFERROR(--ISNUMBER(SEARCH("R104",G426)),0)+IFERROR(--ISNUMBER(SEARCH("R105",G426)),0)+IFERROR(--ISNUMBER(SEARCH("R106",G426)),0)+IFERROR(--ISNUMBER(SEARCH("R107",G426)),0)+IFERROR(--ISNUMBER(SEARCH("R108",G426)),0)+IFERROR(--ISNUMBER(SEARCH("R109",G426)),0)+IFERROR(--ISNUMBER(SEARCH("R110",G426)),0)+IFERROR(--ISNUMBER(SEARCH("R111",G426)),0)+IFERROR(--ISNUMBER(SEARCH("R112",G426)),0)+IFERROR(--ISNUMBER(SEARCH("R113",G426)),0)+IFERROR(--ISNUMBER(SEARCH("R114",G426)),0)+IFERROR(--ISNUMBER(SEARCH("R115",G426)),0)+IFERROR(--ISNUMBER(SEARCH("R116",G426)),0)+IFERROR(--ISNUMBER(SEARCH("R117",G426)),0)+IFERROR(--ISNUMBER(SEARCH("R118",G426)),0)+IFERROR(--ISNUMBER(SEARCH("R119",G426)),0)+IFERROR(--ISNUMBER(SEARCH("R120",G426)),0)+IFERROR(--ISNUMBER(SEARCH("R121",G426)),0)+IFERROR(--ISNUMBER(SEARCH("R122",G426)),0)+IFERROR(--ISNUMBER(SEARCH("R123",G426)),0)+IFERROR(--ISNUMBER(SEARCH("R124",G426)),0)+IFERROR(--ISNUMBER(SEARCH("R125",G426)),0)+IFERROR(--ISNUMBER(SEARCH("R126",G426)),0)+IFERROR(--ISNUMBER(SEARCH("R127",G426)),0)+IFERROR(--ISNUMBER(SEARCH("R128",G426)),0)+IFERROR(--ISNUMBER(SEARCH("R129",G426)),0)+IFERROR(--ISNUMBER(SEARCH("R130",G426)),0)+IFERROR(--ISNUMBER(SEARCH("R131",G426)),0)+IFERROR(--ISNUMBER(SEARCH("R132",G426)),0)+IFERROR(--ISNUMBER(SEARCH("R133",G426)),0)+IFERROR(--ISNUMBER(SEARCH("R134",G426)),0)+IFERROR(--ISNUMBER(SEARCH("R135",G426)),0)+IFERROR(--ISNUMBER(SEARCH("R136",G426)),0)+IFERROR(--ISNUMBER(SEARCH("R137",G426)),0)+IFERROR(--ISNUMBER(SEARCH("R138",G426)),0)+IFERROR(--ISNUMBER(SEARCH("R139",G426)),0)+IFERROR(--ISNUMBER(SEARCH("R140",G426)),0)+IFERROR(--ISNUMBER(SEARCH("R141",G426)),0))</f>
        <v/>
      </c>
      <c r="T426" s="58">
        <f>IF(A426="","",IFERROR(--ISNUMBER(SEARCH("R28",G426)),0)+IFERROR(--ISNUMBER(SEARCH("R29",G426)),0)+IFERROR(--ISNUMBER(SEARCH("R30",G426)),0)+IFERROR(--ISNUMBER(SEARCH("R32",G426)),0)+IFERROR(--ISNUMBER(SEARCH("R33",G426)),0)+IFERROR(--ISNUMBER(SEARCH("R35",G426)),0)+IFERROR(--ISNUMBER(SEARCH("R36",G426)),0)+IFERROR(--ISNUMBER(SEARCH("R38",G426)),0)+IFERROR(--ISNUMBER(SEARCH("R39",G426)),0)+IFERROR(--ISNUMBER(SEARCH("R43",G426)),0)+IFERROR(--ISNUMBER(SEARCH("R44",G426)),0)+IFERROR(--ISNUMBER(SEARCH("R45",G426)),0)+IFERROR(--ISNUMBER(SEARCH("R47",G426)),0)+IFERROR(--ISNUMBER(SEARCH("R48",G426)),0)+IFERROR(--ISNUMBER(SEARCH("R50",G426)),0)+IFERROR(--ISNUMBER(SEARCH("R51",G426)),0)+IFERROR(--ISNUMBER(SEARCH("R56",G426)),0)+IFERROR(--ISNUMBER(SEARCH("R58",G426)),0)+IFERROR(--ISNUMBER(SEARCH("R59",G426)),0)+IFERROR(--ISNUMBER(SEARCH("R60",G426)),0)+IFERROR(--ISNUMBER(SEARCH("R62",G426)),0)+IFERROR(--ISNUMBER(SEARCH("R63",G426)),0)+IFERROR(--ISNUMBER(SEARCH("R64",G426)),0)+IFERROR(--ISNUMBER(SEARCH("R66",G426)),0)+IFERROR(--ISNUMBER(SEARCH("R67",G426)),0)+IFERROR(--ISNUMBER(SEARCH("R72",G426)),0)+IFERROR(--ISNUMBER(SEARCH("R74",G426)),0)+IFERROR(--ISNUMBER(SEARCH("R75",G426)),0)+IFERROR(--ISNUMBER(SEARCH("R76",G426)),0)+IFERROR(--ISNUMBER(SEARCH("R77",G426)),0)+IFERROR(--ISNUMBER(SEARCH("R79",G426)),0)+IFERROR(--ISNUMBER(SEARCH("R80",G426)),0)+IFERROR(--ISNUMBER(SEARCH("R81",G426)),0)+IFERROR(--ISNUMBER(SEARCH("R83",G426)),0)+IFERROR(--ISNUMBER(SEARCH("R84",G426)),0)+IFERROR(--ISNUMBER(SEARCH("R89",G426)),0)+IFERROR(--ISNUMBER(SEARCH("R94",G426)),0)+IFERROR(--ISNUMBER(SEARCH("R95",G426)),0)+IFERROR(--ISNUMBER(SEARCH("R96",G426)),0)+IFERROR(--ISNUMBER(SEARCH("R98",G426)),0)+IFERROR(--ISNUMBER(SEARCH("R99",G426)),0)+IFERROR(--ISNUMBER(SEARCH("R100",G426)),0)+IFERROR(--ISNUMBER(SEARCH("R104",G426)),0)+IFERROR(--ISNUMBER(SEARCH("R105",G426)),0)+IFERROR(--ISNUMBER(SEARCH("R107",G426)),0)+IFERROR(--ISNUMBER(SEARCH("R108",G426)),0)+IFERROR(--ISNUMBER(SEARCH("R109",G426)),0)+IFERROR(--ISNUMBER(SEARCH("R110",G426)),0)+IFERROR(--ISNUMBER(SEARCH("R112",G426)),0)+IFERROR(--ISNUMBER(SEARCH("R113",G426)),0)+IFERROR(--ISNUMBER(SEARCH("R114",G426)),0)+IFERROR(--ISNUMBER(SEARCH("R118",G426)),0)+IFERROR(--ISNUMBER(SEARCH("R119",G426)),0)+IFERROR(--ISNUMBER(SEARCH("R120",G426)),0)+IFERROR(--ISNUMBER(SEARCH("R122",G426)),0)+IFERROR(--ISNUMBER(SEARCH("R123",G426)),0)+IFERROR(--ISNUMBER(SEARCH("R124",G426)),0)+IFERROR(--ISNUMBER(SEARCH("R128",G426)),0)+IFERROR(--ISNUMBER(SEARCH("R130",G426)),0)+IFERROR(--ISNUMBER(SEARCH("R131",G426)),0)+IFERROR(--ISNUMBER(SEARCH("R132",G426)),0)+IFERROR(--ISNUMBER(SEARCH("R135",G426)),0)+IFERROR(--ISNUMBER(SEARCH("R138",G426)),0)+IFERROR(--ISNUMBER(SEARCH("R141",G426)),0))</f>
        <v/>
      </c>
      <c r="U426" s="58">
        <f>IF(A426="","",IFERROR(--ISNUMBER(SEARCH("R28",G426))*28,0)+IFERROR(--ISNUMBER(SEARCH("R29",G426))*29,0)+IFERROR(--ISNUMBER(SEARCH("R30",G426))*30,0)+IFERROR(--ISNUMBER(SEARCH("R31",G426))*31,0)+IFERROR(--ISNUMBER(SEARCH("R32",G426))*32,0)+IFERROR(--ISNUMBER(SEARCH("R33",G426))*33,0)+IFERROR(--ISNUMBER(SEARCH("R34",G426))*34,0)+IFERROR(--ISNUMBER(SEARCH("R35",G426))*35,0)+IFERROR(--ISNUMBER(SEARCH("R36",G426))*36,0)+IFERROR(--ISNUMBER(SEARCH("R37",G426))*37,0)+IFERROR(--ISNUMBER(SEARCH("R38",G426))*38,0)+IFERROR(--ISNUMBER(SEARCH("R39",G426))*39,0)+IFERROR(--ISNUMBER(SEARCH("R40",G426))*40,0)+IFERROR(--ISNUMBER(SEARCH("R41",G426))*41,0)+IFERROR(--ISNUMBER(SEARCH("R42",G426))*42,0)+IFERROR(--ISNUMBER(SEARCH("R43",G426))*43,0)+IFERROR(--ISNUMBER(SEARCH("R44",G426))*44,0)+IFERROR(--ISNUMBER(SEARCH("R45",G426))*45,0)+IFERROR(--ISNUMBER(SEARCH("R46",G426))*46,0)+IFERROR(--ISNUMBER(SEARCH("R47",G426))*47,0)+IFERROR(--ISNUMBER(SEARCH("R48",G426))*48,0)+IFERROR(--ISNUMBER(SEARCH("R49",G426))*49,0)+IFERROR(--ISNUMBER(SEARCH("R50",G426))*50,0)+IFERROR(--ISNUMBER(SEARCH("R51",G426))*51,0)+IFERROR(--ISNUMBER(SEARCH("R52",G426))*52,0)+IFERROR(--ISNUMBER(SEARCH("R53",G426))*53,0)+IFERROR(--ISNUMBER(SEARCH("R54",G426))*54,0)+IFERROR(--ISNUMBER(SEARCH("R55",G426))*55,0)+IFERROR(--ISNUMBER(SEARCH("R56",G426))*56,0)+IFERROR(--ISNUMBER(SEARCH("R57",G426))*57,0)+IFERROR(--ISNUMBER(SEARCH("R58",G426))*58,0)+IFERROR(--ISNUMBER(SEARCH("R59",G426))*59,0)+IFERROR(--ISNUMBER(SEARCH("R60",G426))*60,0)+IFERROR(--ISNUMBER(SEARCH("R61",G426))*61,0)+IFERROR(--ISNUMBER(SEARCH("R62",G426))*62,0)+IFERROR(--ISNUMBER(SEARCH("R63",G426))*63,0)+IFERROR(--ISNUMBER(SEARCH("R64",G426))*64,0)+IFERROR(--ISNUMBER(SEARCH("R65",G426))*65,0)+IFERROR(--ISNUMBER(SEARCH("R66",G426))*66,0)+IFERROR(--ISNUMBER(SEARCH("R67",G426))*67,0)+IFERROR(--ISNUMBER(SEARCH("R68",G426))*68,0)+IFERROR(--ISNUMBER(SEARCH("R69",G426))*69,0)+IFERROR(--ISNUMBER(SEARCH("R70",G426))*70,0)+IFERROR(--ISNUMBER(SEARCH("R71",G426))*71,0)+IFERROR(--ISNUMBER(SEARCH("R72",G426))*72,0)+IFERROR(--ISNUMBER(SEARCH("R73",G426))*73,0)+IFERROR(--ISNUMBER(SEARCH("R74",G426))*74,0)+IFERROR(--ISNUMBER(SEARCH("R75",G426))*75,0)+IFERROR(--ISNUMBER(SEARCH("R76",G426))*76,0)+IFERROR(--ISNUMBER(SEARCH("R77",G426))*77,0)+IFERROR(--ISNUMBER(SEARCH("R78",G426))*78,0)+IFERROR(--ISNUMBER(SEARCH("R79",G426))*79,0)+IFERROR(--ISNUMBER(SEARCH("R80",G426))*80,0)+IFERROR(--ISNUMBER(SEARCH("R81",G426))*81,0)+IFERROR(--ISNUMBER(SEARCH("R82",G426))*82,0)+IFERROR(--ISNUMBER(SEARCH("R83",G426))*83,0)+IFERROR(--ISNUMBER(SEARCH("R84",G426))*84,0)+IFERROR(--ISNUMBER(SEARCH("R85",G426))*85,0)+IFERROR(--ISNUMBER(SEARCH("R86",G426))*86,0)+IFERROR(--ISNUMBER(SEARCH("R87",G426))*87,0)+IFERROR(--ISNUMBER(SEARCH("R88",G426))*88,0)+IFERROR(--ISNUMBER(SEARCH("R89",G426))*89,0)+IFERROR(--ISNUMBER(SEARCH("R90",G426))*90,0)+IFERROR(--ISNUMBER(SEARCH("R91",G426))*91,0)+IFERROR(--ISNUMBER(SEARCH("R92",G426))*92,0)+IFERROR(--ISNUMBER(SEARCH("R93",G426))*93,0)+IFERROR(--ISNUMBER(SEARCH("R94",G426))*94,0)+IFERROR(--ISNUMBER(SEARCH("R95",G426))*95,0)+IFERROR(--ISNUMBER(SEARCH("R96",G426))*96,0)+IFERROR(--ISNUMBER(SEARCH("R97",G426))*97,0)+IFERROR(--ISNUMBER(SEARCH("R98",G426))*98,0)+IFERROR(--ISNUMBER(SEARCH("R99",G426))*99,0)+IFERROR(--ISNUMBER(SEARCH("R100",G426))*100,0)+IFERROR(--ISNUMBER(SEARCH("R101",G426))*101,0)+IFERROR(--ISNUMBER(SEARCH("R102",G426))*102,0)+IFERROR(--ISNUMBER(SEARCH("R103",G426))*103,0)+IFERROR(--ISNUMBER(SEARCH("R104",G426))*104,0)+IFERROR(--ISNUMBER(SEARCH("R105",G426))*105,0)+IFERROR(--ISNUMBER(SEARCH("R106",G426))*106,0)+IFERROR(--ISNUMBER(SEARCH("R107",G426))*107,0)+IFERROR(--ISNUMBER(SEARCH("R108",G426))*108,0)+IFERROR(--ISNUMBER(SEARCH("R109",G426))*109,0)+IFERROR(--ISNUMBER(SEARCH("R110",G426))*110,0)+IFERROR(--ISNUMBER(SEARCH("R111",G426))*111,0)+IFERROR(--ISNUMBER(SEARCH("R112",G426))*112,0)+IFERROR(--ISNUMBER(SEARCH("R113",G426))*113,0)+IFERROR(--ISNUMBER(SEARCH("R114",G426))*114,0)+IFERROR(--ISNUMBER(SEARCH("R115",G426))*115,0)+IFERROR(--ISNUMBER(SEARCH("R116",G426))*116,0)+IFERROR(--ISNUMBER(SEARCH("R117",G426))*117,0)+IFERROR(--ISNUMBER(SEARCH("R118",G426))*118,0)+IFERROR(--ISNUMBER(SEARCH("R119",G426))*119,0)+IFERROR(--ISNUMBER(SEARCH("R120",G426))*120,0)+IFERROR(--ISNUMBER(SEARCH("R121",G426))*121,0)+IFERROR(--ISNUMBER(SEARCH("R122",G426))*122,0)+IFERROR(--ISNUMBER(SEARCH("R123",G426))*123,0)+IFERROR(--ISNUMBER(SEARCH("R124",G426))*124,0)+IFERROR(--ISNUMBER(SEARCH("R125",G426))*125,0)+IFERROR(--ISNUMBER(SEARCH("R126",G426))*126,0)+IFERROR(--ISNUMBER(SEARCH("R127",G426))*127,0)+IFERROR(--ISNUMBER(SEARCH("R128",G426))*128,0)+IFERROR(--ISNUMBER(SEARCH("R129",G426))*129,0)+IFERROR(--ISNUMBER(SEARCH("R130",G426))*130,0)+IFERROR(--ISNUMBER(SEARCH("R131",G426))*131,0)+IFERROR(--ISNUMBER(SEARCH("R132",G426))*132,0)+IFERROR(--ISNUMBER(SEARCH("R133",G426))*133,0)+IFERROR(--ISNUMBER(SEARCH("R134",G426))*134,0)+IFERROR(--ISNUMBER(SEARCH("R135",G426))*135,0)+IFERROR(--ISNUMBER(SEARCH("R136",G426))*136,0)+IFERROR(--ISNUMBER(SEARCH("R137",G426))*137,0)+IFERROR(--ISNUMBER(SEARCH("R138",G426))*138,0)+IFERROR(--ISNUMBER(SEARCH("R139",G426))*139,0)+IFERROR(--ISNUMBER(SEARCH("R140",G426))*140,0)+IFERROR(--ISNUMBER(SEARCH("R141",G426))*141,0))</f>
        <v/>
      </c>
      <c r="V426" s="59">
        <f>IF(A426="","",IF(K426&lt;&gt;"",K426,J426))</f>
        <v/>
      </c>
      <c r="W426" s="59">
        <f>IF(A426="","",IF(AND(V426=29,O426&lt;&gt;"",COUNTIFS($V$6:$V$505,29,$F$6:$F$505,F426,$C$6:$C$505,C426,$O$6:$O$505,"&lt;&gt;")&gt;1),IF(COUNTIFS($V$6:V426,29,$F$6:F426,F426,$C$6:C426,C426,$O$6:O426,"&lt;&gt;")=1,"Esta es la fila que se debe CONSERVAR (aparición 1 de "&amp;COUNTIFS($V$6:$V$505,29,$F$6:$F$505,F426,$C$6:$C$505,C426,$O$6:$O$505,"&lt;&gt;")&amp;" con el mismo tercero y valor, casilla 29). Si hay más filas iguales, bórreles el valor a ELLAS, no a esta.","DUPLICADO — ya existe otra fila con el mismo tercero y valor para casilla 29 (aparición "&amp;COUNTIFS($V$6:V426,29,$F$6:F426,F426,$C$6:C426,C426,$O$6:O426,"&lt;&gt;")&amp;" de "&amp;COUNTIFS($V$6:$V$505,29,$F$6:$F$505,F426,$C$6:$C$505,C426,$O$6:$O$505,"&lt;&gt;")&amp;"). Para resolverlo: seleccione la celda O"&amp;ROW()&amp;" (columna Valor a declarar de ESTA fila) y presione Supr."),""))</f>
        <v/>
      </c>
      <c r="X426" s="463">
        <f>IF(A426="","",F426)</f>
        <v/>
      </c>
      <c r="Y426" s="463">
        <f>IF(A426="","",SUMIF(Entrada_Manual!$I$88:$I$187,A426,Entrada_Manual!$F$88:$F$187))</f>
        <v/>
      </c>
      <c r="Z426" s="463">
        <f>IF(A426="","",X426-Y426)</f>
        <v/>
      </c>
      <c r="AA426">
        <f>IF(A426="","",SUMPRODUCT((Entrada_Manual!$I$88:$I$187=A426)*1))</f>
        <v/>
      </c>
      <c r="AB426">
        <f>IF(A426="","",IF(S426&lt;=1,"",IF(AA426=0,"PENDIENTE — SIN ASIGNAR",IF(Z426=0,"RESUELTO","PARCIAL — DIFERENCIA "&amp;TEXT(Z426,"#,##0")))))</f>
        <v/>
      </c>
    </row>
    <row r="427" ht="14.25" customHeight="1" s="235">
      <c r="A427" s="47">
        <f>IF(Exogena_RAW!E436&lt;&gt;"",ROW()-5,"")</f>
        <v/>
      </c>
      <c r="B427" s="48">
        <f>IF(A427="","",436)</f>
        <v/>
      </c>
      <c r="C427" s="48">
        <f>IF(A427="","",IFERROR(Exogena_RAW!A436,""))</f>
        <v/>
      </c>
      <c r="D427" s="48">
        <f>IF(A427="","",IFERROR(Exogena_RAW!B436,""))</f>
        <v/>
      </c>
      <c r="E427" s="48">
        <f>IF(A427="","",Exogena_RAW!E436)</f>
        <v/>
      </c>
      <c r="F427" s="461">
        <f>IF(A427="","",Exogena_RAW!F436)</f>
        <v/>
      </c>
      <c r="G427" s="48">
        <f>IF(A427="","",IFERROR(Exogena_RAW!G436,""))</f>
        <v/>
      </c>
      <c r="H427" s="48">
        <f>IF(A427="","",IFERROR(Exogena_RAW!H436,""))</f>
        <v/>
      </c>
      <c r="I427" s="48">
        <f>IF(A427="","",IFERROR(IF(S427&gt;1,"VARIAS CASILLAS",IF(S427=1,IF(T427=1,"PROPUESTA DE CASILLA","REVISIÓN: CASILLA NO DIRECTA"),IF(OR(ISNUMBER(SEARCH("TOPE",UPPER(E427))),ISNUMBER(SEARCH("TOPE",UPPER(G427)))),"SOLO CONTROL",IF(ISNUMBER(SEARCH("RETEN",UPPER(E427))),"RETENCIÓN","REVISAR")))),"REVISAR"))</f>
        <v/>
      </c>
      <c r="J427" s="48">
        <f>IF(A427="","",IF(ISNUMBER(SEARCH("ingreso laboral promedio de los últimos seis meses",E427)),"",IFERROR(IF(AND(S427=1,T427=1),U427,""),"")))</f>
        <v/>
      </c>
      <c r="K427" s="216" t="n"/>
      <c r="L427" s="48">
        <f>IF(A427="","",IFERROR(IF(K427&lt;&gt;"","Casilla elegida por usuario",IF(S427&gt;1,"Varias casillas — elegir en K",IF(J427&lt;&gt;"","Sugerencia directa",IF(S427=1,"No trasladar directo — revisar",IF(OR(ISNUMBER(SEARCH("TOPE",UPPER(E427))),ISNUMBER(SEARCH("TOPE",UPPER(G427)))),"Solo control","Revisar manualmente"))))),"Revisar manualmente"))</f>
        <v/>
      </c>
      <c r="M427" s="461">
        <f>IF(A427="","",IF(IF(K427&lt;&gt;"",K427,J427)="",0,IF(COUNTIFS(Reglas!$I$5:$I$118,IF(K427&lt;&gt;"",K427,J427),Reglas!$J$5:$J$118,"Sí")=1,F427,0)))</f>
        <v/>
      </c>
      <c r="N427" s="56" t="n"/>
      <c r="O427" s="462">
        <f>IF(A427="","",IF(M427=0,"",M427))</f>
        <v/>
      </c>
      <c r="P427" s="461">
        <f>IF(A427="","",IF(O427="",0,IF(ISNUMBER(O427),O427,0)))</f>
        <v/>
      </c>
      <c r="Q427" s="48">
        <f>IF(A427="","",IF(Exogena_RAW!$C$4="","BLOQUEADO: FALTA AÑO",IF(Exogena_RAW!$K$10&lt;&gt;Reglas!$B$5,"BLOQUEADO: AÑO",IF(IF(K427&lt;&gt;"",K427,J427)="",IF(S427&gt;1,"REQUIERE ASIGNACIÓN MANUAL (VARIAS CASILLAS)","INFORMATIVO (sin casilla — no se declara)"),IF(COUNTIFS(Reglas!$I$5:$I$118,IF(K427&lt;&gt;"",K427,J427),Reglas!$J$5:$J$118,"Sí")=0,"BLOQUEADO: CASILLA NO DIRECTA",IF(O427="","EXCLUIDO (valor borrado por el usuario)",IF(_xlfn.ISFORMULA(O427),IF(W427&lt;&gt;"","BORRADOR — VALOR SUGERIDO DIAN ⚠ VER ALERTA","BORRADOR — VALOR SUGERIDO DIAN"),IF(W427&lt;&gt;"","ACEPTADO ⚠ VER ALERTA","ACEPTADO"))))))))</f>
        <v/>
      </c>
      <c r="R427" s="218" t="n"/>
      <c r="S427" s="58">
        <f>IF(A427="","",IFERROR(--ISNUMBER(SEARCH("R28",G427)),0)+IFERROR(--ISNUMBER(SEARCH("R29",G427)),0)+IFERROR(--ISNUMBER(SEARCH("R30",G427)),0)+IFERROR(--ISNUMBER(SEARCH("R31",G427)),0)+IFERROR(--ISNUMBER(SEARCH("R32",G427)),0)+IFERROR(--ISNUMBER(SEARCH("R33",G427)),0)+IFERROR(--ISNUMBER(SEARCH("R34",G427)),0)+IFERROR(--ISNUMBER(SEARCH("R35",G427)),0)+IFERROR(--ISNUMBER(SEARCH("R36",G427)),0)+IFERROR(--ISNUMBER(SEARCH("R37",G427)),0)+IFERROR(--ISNUMBER(SEARCH("R38",G427)),0)+IFERROR(--ISNUMBER(SEARCH("R39",G427)),0)+IFERROR(--ISNUMBER(SEARCH("R40",G427)),0)+IFERROR(--ISNUMBER(SEARCH("R41",G427)),0)+IFERROR(--ISNUMBER(SEARCH("R42",G427)),0)+IFERROR(--ISNUMBER(SEARCH("R43",G427)),0)+IFERROR(--ISNUMBER(SEARCH("R44",G427)),0)+IFERROR(--ISNUMBER(SEARCH("R45",G427)),0)+IFERROR(--ISNUMBER(SEARCH("R46",G427)),0)+IFERROR(--ISNUMBER(SEARCH("R47",G427)),0)+IFERROR(--ISNUMBER(SEARCH("R48",G427)),0)+IFERROR(--ISNUMBER(SEARCH("R49",G427)),0)+IFERROR(--ISNUMBER(SEARCH("R50",G427)),0)+IFERROR(--ISNUMBER(SEARCH("R51",G427)),0)+IFERROR(--ISNUMBER(SEARCH("R52",G427)),0)+IFERROR(--ISNUMBER(SEARCH("R53",G427)),0)+IFERROR(--ISNUMBER(SEARCH("R54",G427)),0)+IFERROR(--ISNUMBER(SEARCH("R55",G427)),0)+IFERROR(--ISNUMBER(SEARCH("R56",G427)),0)+IFERROR(--ISNUMBER(SEARCH("R57",G427)),0)+IFERROR(--ISNUMBER(SEARCH("R58",G427)),0)+IFERROR(--ISNUMBER(SEARCH("R59",G427)),0)+IFERROR(--ISNUMBER(SEARCH("R60",G427)),0)+IFERROR(--ISNUMBER(SEARCH("R61",G427)),0)+IFERROR(--ISNUMBER(SEARCH("R62",G427)),0)+IFERROR(--ISNUMBER(SEARCH("R63",G427)),0)+IFERROR(--ISNUMBER(SEARCH("R64",G427)),0)+IFERROR(--ISNUMBER(SEARCH("R65",G427)),0)+IFERROR(--ISNUMBER(SEARCH("R66",G427)),0)+IFERROR(--ISNUMBER(SEARCH("R67",G427)),0)+IFERROR(--ISNUMBER(SEARCH("R68",G427)),0)+IFERROR(--ISNUMBER(SEARCH("R69",G427)),0)+IFERROR(--ISNUMBER(SEARCH("R70",G427)),0)+IFERROR(--ISNUMBER(SEARCH("R71",G427)),0)+IFERROR(--ISNUMBER(SEARCH("R72",G427)),0)+IFERROR(--ISNUMBER(SEARCH("R73",G427)),0)+IFERROR(--ISNUMBER(SEARCH("R74",G427)),0)+IFERROR(--ISNUMBER(SEARCH("R75",G427)),0)+IFERROR(--ISNUMBER(SEARCH("R76",G427)),0)+IFERROR(--ISNUMBER(SEARCH("R77",G427)),0)+IFERROR(--ISNUMBER(SEARCH("R78",G427)),0)+IFERROR(--ISNUMBER(SEARCH("R79",G427)),0)+IFERROR(--ISNUMBER(SEARCH("R80",G427)),0)+IFERROR(--ISNUMBER(SEARCH("R81",G427)),0)+IFERROR(--ISNUMBER(SEARCH("R82",G427)),0)+IFERROR(--ISNUMBER(SEARCH("R83",G427)),0)+IFERROR(--ISNUMBER(SEARCH("R84",G427)),0)+IFERROR(--ISNUMBER(SEARCH("R85",G427)),0)+IFERROR(--ISNUMBER(SEARCH("R86",G427)),0)+IFERROR(--ISNUMBER(SEARCH("R87",G427)),0)+IFERROR(--ISNUMBER(SEARCH("R88",G427)),0)+IFERROR(--ISNUMBER(SEARCH("R89",G427)),0)+IFERROR(--ISNUMBER(SEARCH("R90",G427)),0)+IFERROR(--ISNUMBER(SEARCH("R91",G427)),0)+IFERROR(--ISNUMBER(SEARCH("R92",G427)),0)+IFERROR(--ISNUMBER(SEARCH("R93",G427)),0)+IFERROR(--ISNUMBER(SEARCH("R94",G427)),0)+IFERROR(--ISNUMBER(SEARCH("R95",G427)),0)+IFERROR(--ISNUMBER(SEARCH("R96",G427)),0)+IFERROR(--ISNUMBER(SEARCH("R97",G427)),0)+IFERROR(--ISNUMBER(SEARCH("R98",G427)),0)+IFERROR(--ISNUMBER(SEARCH("R99",G427)),0)+IFERROR(--ISNUMBER(SEARCH("R100",G427)),0)+IFERROR(--ISNUMBER(SEARCH("R101",G427)),0)+IFERROR(--ISNUMBER(SEARCH("R102",G427)),0)+IFERROR(--ISNUMBER(SEARCH("R103",G427)),0)+IFERROR(--ISNUMBER(SEARCH("R104",G427)),0)+IFERROR(--ISNUMBER(SEARCH("R105",G427)),0)+IFERROR(--ISNUMBER(SEARCH("R106",G427)),0)+IFERROR(--ISNUMBER(SEARCH("R107",G427)),0)+IFERROR(--ISNUMBER(SEARCH("R108",G427)),0)+IFERROR(--ISNUMBER(SEARCH("R109",G427)),0)+IFERROR(--ISNUMBER(SEARCH("R110",G427)),0)+IFERROR(--ISNUMBER(SEARCH("R111",G427)),0)+IFERROR(--ISNUMBER(SEARCH("R112",G427)),0)+IFERROR(--ISNUMBER(SEARCH("R113",G427)),0)+IFERROR(--ISNUMBER(SEARCH("R114",G427)),0)+IFERROR(--ISNUMBER(SEARCH("R115",G427)),0)+IFERROR(--ISNUMBER(SEARCH("R116",G427)),0)+IFERROR(--ISNUMBER(SEARCH("R117",G427)),0)+IFERROR(--ISNUMBER(SEARCH("R118",G427)),0)+IFERROR(--ISNUMBER(SEARCH("R119",G427)),0)+IFERROR(--ISNUMBER(SEARCH("R120",G427)),0)+IFERROR(--ISNUMBER(SEARCH("R121",G427)),0)+IFERROR(--ISNUMBER(SEARCH("R122",G427)),0)+IFERROR(--ISNUMBER(SEARCH("R123",G427)),0)+IFERROR(--ISNUMBER(SEARCH("R124",G427)),0)+IFERROR(--ISNUMBER(SEARCH("R125",G427)),0)+IFERROR(--ISNUMBER(SEARCH("R126",G427)),0)+IFERROR(--ISNUMBER(SEARCH("R127",G427)),0)+IFERROR(--ISNUMBER(SEARCH("R128",G427)),0)+IFERROR(--ISNUMBER(SEARCH("R129",G427)),0)+IFERROR(--ISNUMBER(SEARCH("R130",G427)),0)+IFERROR(--ISNUMBER(SEARCH("R131",G427)),0)+IFERROR(--ISNUMBER(SEARCH("R132",G427)),0)+IFERROR(--ISNUMBER(SEARCH("R133",G427)),0)+IFERROR(--ISNUMBER(SEARCH("R134",G427)),0)+IFERROR(--ISNUMBER(SEARCH("R135",G427)),0)+IFERROR(--ISNUMBER(SEARCH("R136",G427)),0)+IFERROR(--ISNUMBER(SEARCH("R137",G427)),0)+IFERROR(--ISNUMBER(SEARCH("R138",G427)),0)+IFERROR(--ISNUMBER(SEARCH("R139",G427)),0)+IFERROR(--ISNUMBER(SEARCH("R140",G427)),0)+IFERROR(--ISNUMBER(SEARCH("R141",G427)),0))</f>
        <v/>
      </c>
      <c r="T427" s="58">
        <f>IF(A427="","",IFERROR(--ISNUMBER(SEARCH("R28",G427)),0)+IFERROR(--ISNUMBER(SEARCH("R29",G427)),0)+IFERROR(--ISNUMBER(SEARCH("R30",G427)),0)+IFERROR(--ISNUMBER(SEARCH("R32",G427)),0)+IFERROR(--ISNUMBER(SEARCH("R33",G427)),0)+IFERROR(--ISNUMBER(SEARCH("R35",G427)),0)+IFERROR(--ISNUMBER(SEARCH("R36",G427)),0)+IFERROR(--ISNUMBER(SEARCH("R38",G427)),0)+IFERROR(--ISNUMBER(SEARCH("R39",G427)),0)+IFERROR(--ISNUMBER(SEARCH("R43",G427)),0)+IFERROR(--ISNUMBER(SEARCH("R44",G427)),0)+IFERROR(--ISNUMBER(SEARCH("R45",G427)),0)+IFERROR(--ISNUMBER(SEARCH("R47",G427)),0)+IFERROR(--ISNUMBER(SEARCH("R48",G427)),0)+IFERROR(--ISNUMBER(SEARCH("R50",G427)),0)+IFERROR(--ISNUMBER(SEARCH("R51",G427)),0)+IFERROR(--ISNUMBER(SEARCH("R56",G427)),0)+IFERROR(--ISNUMBER(SEARCH("R58",G427)),0)+IFERROR(--ISNUMBER(SEARCH("R59",G427)),0)+IFERROR(--ISNUMBER(SEARCH("R60",G427)),0)+IFERROR(--ISNUMBER(SEARCH("R62",G427)),0)+IFERROR(--ISNUMBER(SEARCH("R63",G427)),0)+IFERROR(--ISNUMBER(SEARCH("R64",G427)),0)+IFERROR(--ISNUMBER(SEARCH("R66",G427)),0)+IFERROR(--ISNUMBER(SEARCH("R67",G427)),0)+IFERROR(--ISNUMBER(SEARCH("R72",G427)),0)+IFERROR(--ISNUMBER(SEARCH("R74",G427)),0)+IFERROR(--ISNUMBER(SEARCH("R75",G427)),0)+IFERROR(--ISNUMBER(SEARCH("R76",G427)),0)+IFERROR(--ISNUMBER(SEARCH("R77",G427)),0)+IFERROR(--ISNUMBER(SEARCH("R79",G427)),0)+IFERROR(--ISNUMBER(SEARCH("R80",G427)),0)+IFERROR(--ISNUMBER(SEARCH("R81",G427)),0)+IFERROR(--ISNUMBER(SEARCH("R83",G427)),0)+IFERROR(--ISNUMBER(SEARCH("R84",G427)),0)+IFERROR(--ISNUMBER(SEARCH("R89",G427)),0)+IFERROR(--ISNUMBER(SEARCH("R94",G427)),0)+IFERROR(--ISNUMBER(SEARCH("R95",G427)),0)+IFERROR(--ISNUMBER(SEARCH("R96",G427)),0)+IFERROR(--ISNUMBER(SEARCH("R98",G427)),0)+IFERROR(--ISNUMBER(SEARCH("R99",G427)),0)+IFERROR(--ISNUMBER(SEARCH("R100",G427)),0)+IFERROR(--ISNUMBER(SEARCH("R104",G427)),0)+IFERROR(--ISNUMBER(SEARCH("R105",G427)),0)+IFERROR(--ISNUMBER(SEARCH("R107",G427)),0)+IFERROR(--ISNUMBER(SEARCH("R108",G427)),0)+IFERROR(--ISNUMBER(SEARCH("R109",G427)),0)+IFERROR(--ISNUMBER(SEARCH("R110",G427)),0)+IFERROR(--ISNUMBER(SEARCH("R112",G427)),0)+IFERROR(--ISNUMBER(SEARCH("R113",G427)),0)+IFERROR(--ISNUMBER(SEARCH("R114",G427)),0)+IFERROR(--ISNUMBER(SEARCH("R118",G427)),0)+IFERROR(--ISNUMBER(SEARCH("R119",G427)),0)+IFERROR(--ISNUMBER(SEARCH("R120",G427)),0)+IFERROR(--ISNUMBER(SEARCH("R122",G427)),0)+IFERROR(--ISNUMBER(SEARCH("R123",G427)),0)+IFERROR(--ISNUMBER(SEARCH("R124",G427)),0)+IFERROR(--ISNUMBER(SEARCH("R128",G427)),0)+IFERROR(--ISNUMBER(SEARCH("R130",G427)),0)+IFERROR(--ISNUMBER(SEARCH("R131",G427)),0)+IFERROR(--ISNUMBER(SEARCH("R132",G427)),0)+IFERROR(--ISNUMBER(SEARCH("R135",G427)),0)+IFERROR(--ISNUMBER(SEARCH("R138",G427)),0)+IFERROR(--ISNUMBER(SEARCH("R141",G427)),0))</f>
        <v/>
      </c>
      <c r="U427" s="58">
        <f>IF(A427="","",IFERROR(--ISNUMBER(SEARCH("R28",G427))*28,0)+IFERROR(--ISNUMBER(SEARCH("R29",G427))*29,0)+IFERROR(--ISNUMBER(SEARCH("R30",G427))*30,0)+IFERROR(--ISNUMBER(SEARCH("R31",G427))*31,0)+IFERROR(--ISNUMBER(SEARCH("R32",G427))*32,0)+IFERROR(--ISNUMBER(SEARCH("R33",G427))*33,0)+IFERROR(--ISNUMBER(SEARCH("R34",G427))*34,0)+IFERROR(--ISNUMBER(SEARCH("R35",G427))*35,0)+IFERROR(--ISNUMBER(SEARCH("R36",G427))*36,0)+IFERROR(--ISNUMBER(SEARCH("R37",G427))*37,0)+IFERROR(--ISNUMBER(SEARCH("R38",G427))*38,0)+IFERROR(--ISNUMBER(SEARCH("R39",G427))*39,0)+IFERROR(--ISNUMBER(SEARCH("R40",G427))*40,0)+IFERROR(--ISNUMBER(SEARCH("R41",G427))*41,0)+IFERROR(--ISNUMBER(SEARCH("R42",G427))*42,0)+IFERROR(--ISNUMBER(SEARCH("R43",G427))*43,0)+IFERROR(--ISNUMBER(SEARCH("R44",G427))*44,0)+IFERROR(--ISNUMBER(SEARCH("R45",G427))*45,0)+IFERROR(--ISNUMBER(SEARCH("R46",G427))*46,0)+IFERROR(--ISNUMBER(SEARCH("R47",G427))*47,0)+IFERROR(--ISNUMBER(SEARCH("R48",G427))*48,0)+IFERROR(--ISNUMBER(SEARCH("R49",G427))*49,0)+IFERROR(--ISNUMBER(SEARCH("R50",G427))*50,0)+IFERROR(--ISNUMBER(SEARCH("R51",G427))*51,0)+IFERROR(--ISNUMBER(SEARCH("R52",G427))*52,0)+IFERROR(--ISNUMBER(SEARCH("R53",G427))*53,0)+IFERROR(--ISNUMBER(SEARCH("R54",G427))*54,0)+IFERROR(--ISNUMBER(SEARCH("R55",G427))*55,0)+IFERROR(--ISNUMBER(SEARCH("R56",G427))*56,0)+IFERROR(--ISNUMBER(SEARCH("R57",G427))*57,0)+IFERROR(--ISNUMBER(SEARCH("R58",G427))*58,0)+IFERROR(--ISNUMBER(SEARCH("R59",G427))*59,0)+IFERROR(--ISNUMBER(SEARCH("R60",G427))*60,0)+IFERROR(--ISNUMBER(SEARCH("R61",G427))*61,0)+IFERROR(--ISNUMBER(SEARCH("R62",G427))*62,0)+IFERROR(--ISNUMBER(SEARCH("R63",G427))*63,0)+IFERROR(--ISNUMBER(SEARCH("R64",G427))*64,0)+IFERROR(--ISNUMBER(SEARCH("R65",G427))*65,0)+IFERROR(--ISNUMBER(SEARCH("R66",G427))*66,0)+IFERROR(--ISNUMBER(SEARCH("R67",G427))*67,0)+IFERROR(--ISNUMBER(SEARCH("R68",G427))*68,0)+IFERROR(--ISNUMBER(SEARCH("R69",G427))*69,0)+IFERROR(--ISNUMBER(SEARCH("R70",G427))*70,0)+IFERROR(--ISNUMBER(SEARCH("R71",G427))*71,0)+IFERROR(--ISNUMBER(SEARCH("R72",G427))*72,0)+IFERROR(--ISNUMBER(SEARCH("R73",G427))*73,0)+IFERROR(--ISNUMBER(SEARCH("R74",G427))*74,0)+IFERROR(--ISNUMBER(SEARCH("R75",G427))*75,0)+IFERROR(--ISNUMBER(SEARCH("R76",G427))*76,0)+IFERROR(--ISNUMBER(SEARCH("R77",G427))*77,0)+IFERROR(--ISNUMBER(SEARCH("R78",G427))*78,0)+IFERROR(--ISNUMBER(SEARCH("R79",G427))*79,0)+IFERROR(--ISNUMBER(SEARCH("R80",G427))*80,0)+IFERROR(--ISNUMBER(SEARCH("R81",G427))*81,0)+IFERROR(--ISNUMBER(SEARCH("R82",G427))*82,0)+IFERROR(--ISNUMBER(SEARCH("R83",G427))*83,0)+IFERROR(--ISNUMBER(SEARCH("R84",G427))*84,0)+IFERROR(--ISNUMBER(SEARCH("R85",G427))*85,0)+IFERROR(--ISNUMBER(SEARCH("R86",G427))*86,0)+IFERROR(--ISNUMBER(SEARCH("R87",G427))*87,0)+IFERROR(--ISNUMBER(SEARCH("R88",G427))*88,0)+IFERROR(--ISNUMBER(SEARCH("R89",G427))*89,0)+IFERROR(--ISNUMBER(SEARCH("R90",G427))*90,0)+IFERROR(--ISNUMBER(SEARCH("R91",G427))*91,0)+IFERROR(--ISNUMBER(SEARCH("R92",G427))*92,0)+IFERROR(--ISNUMBER(SEARCH("R93",G427))*93,0)+IFERROR(--ISNUMBER(SEARCH("R94",G427))*94,0)+IFERROR(--ISNUMBER(SEARCH("R95",G427))*95,0)+IFERROR(--ISNUMBER(SEARCH("R96",G427))*96,0)+IFERROR(--ISNUMBER(SEARCH("R97",G427))*97,0)+IFERROR(--ISNUMBER(SEARCH("R98",G427))*98,0)+IFERROR(--ISNUMBER(SEARCH("R99",G427))*99,0)+IFERROR(--ISNUMBER(SEARCH("R100",G427))*100,0)+IFERROR(--ISNUMBER(SEARCH("R101",G427))*101,0)+IFERROR(--ISNUMBER(SEARCH("R102",G427))*102,0)+IFERROR(--ISNUMBER(SEARCH("R103",G427))*103,0)+IFERROR(--ISNUMBER(SEARCH("R104",G427))*104,0)+IFERROR(--ISNUMBER(SEARCH("R105",G427))*105,0)+IFERROR(--ISNUMBER(SEARCH("R106",G427))*106,0)+IFERROR(--ISNUMBER(SEARCH("R107",G427))*107,0)+IFERROR(--ISNUMBER(SEARCH("R108",G427))*108,0)+IFERROR(--ISNUMBER(SEARCH("R109",G427))*109,0)+IFERROR(--ISNUMBER(SEARCH("R110",G427))*110,0)+IFERROR(--ISNUMBER(SEARCH("R111",G427))*111,0)+IFERROR(--ISNUMBER(SEARCH("R112",G427))*112,0)+IFERROR(--ISNUMBER(SEARCH("R113",G427))*113,0)+IFERROR(--ISNUMBER(SEARCH("R114",G427))*114,0)+IFERROR(--ISNUMBER(SEARCH("R115",G427))*115,0)+IFERROR(--ISNUMBER(SEARCH("R116",G427))*116,0)+IFERROR(--ISNUMBER(SEARCH("R117",G427))*117,0)+IFERROR(--ISNUMBER(SEARCH("R118",G427))*118,0)+IFERROR(--ISNUMBER(SEARCH("R119",G427))*119,0)+IFERROR(--ISNUMBER(SEARCH("R120",G427))*120,0)+IFERROR(--ISNUMBER(SEARCH("R121",G427))*121,0)+IFERROR(--ISNUMBER(SEARCH("R122",G427))*122,0)+IFERROR(--ISNUMBER(SEARCH("R123",G427))*123,0)+IFERROR(--ISNUMBER(SEARCH("R124",G427))*124,0)+IFERROR(--ISNUMBER(SEARCH("R125",G427))*125,0)+IFERROR(--ISNUMBER(SEARCH("R126",G427))*126,0)+IFERROR(--ISNUMBER(SEARCH("R127",G427))*127,0)+IFERROR(--ISNUMBER(SEARCH("R128",G427))*128,0)+IFERROR(--ISNUMBER(SEARCH("R129",G427))*129,0)+IFERROR(--ISNUMBER(SEARCH("R130",G427))*130,0)+IFERROR(--ISNUMBER(SEARCH("R131",G427))*131,0)+IFERROR(--ISNUMBER(SEARCH("R132",G427))*132,0)+IFERROR(--ISNUMBER(SEARCH("R133",G427))*133,0)+IFERROR(--ISNUMBER(SEARCH("R134",G427))*134,0)+IFERROR(--ISNUMBER(SEARCH("R135",G427))*135,0)+IFERROR(--ISNUMBER(SEARCH("R136",G427))*136,0)+IFERROR(--ISNUMBER(SEARCH("R137",G427))*137,0)+IFERROR(--ISNUMBER(SEARCH("R138",G427))*138,0)+IFERROR(--ISNUMBER(SEARCH("R139",G427))*139,0)+IFERROR(--ISNUMBER(SEARCH("R140",G427))*140,0)+IFERROR(--ISNUMBER(SEARCH("R141",G427))*141,0))</f>
        <v/>
      </c>
      <c r="V427" s="59">
        <f>IF(A427="","",IF(K427&lt;&gt;"",K427,J427))</f>
        <v/>
      </c>
      <c r="W427" s="59">
        <f>IF(A427="","",IF(AND(V427=29,O427&lt;&gt;"",COUNTIFS($V$6:$V$505,29,$F$6:$F$505,F427,$C$6:$C$505,C427,$O$6:$O$505,"&lt;&gt;")&gt;1),IF(COUNTIFS($V$6:V427,29,$F$6:F427,F427,$C$6:C427,C427,$O$6:O427,"&lt;&gt;")=1,"Esta es la fila que se debe CONSERVAR (aparición 1 de "&amp;COUNTIFS($V$6:$V$505,29,$F$6:$F$505,F427,$C$6:$C$505,C427,$O$6:$O$505,"&lt;&gt;")&amp;" con el mismo tercero y valor, casilla 29). Si hay más filas iguales, bórreles el valor a ELLAS, no a esta.","DUPLICADO — ya existe otra fila con el mismo tercero y valor para casilla 29 (aparición "&amp;COUNTIFS($V$6:V427,29,$F$6:F427,F427,$C$6:C427,C427,$O$6:O427,"&lt;&gt;")&amp;" de "&amp;COUNTIFS($V$6:$V$505,29,$F$6:$F$505,F427,$C$6:$C$505,C427,$O$6:$O$505,"&lt;&gt;")&amp;"). Para resolverlo: seleccione la celda O"&amp;ROW()&amp;" (columna Valor a declarar de ESTA fila) y presione Supr."),""))</f>
        <v/>
      </c>
      <c r="X427" s="463">
        <f>IF(A427="","",F427)</f>
        <v/>
      </c>
      <c r="Y427" s="463">
        <f>IF(A427="","",SUMIF(Entrada_Manual!$I$88:$I$187,A427,Entrada_Manual!$F$88:$F$187))</f>
        <v/>
      </c>
      <c r="Z427" s="463">
        <f>IF(A427="","",X427-Y427)</f>
        <v/>
      </c>
      <c r="AA427">
        <f>IF(A427="","",SUMPRODUCT((Entrada_Manual!$I$88:$I$187=A427)*1))</f>
        <v/>
      </c>
      <c r="AB427">
        <f>IF(A427="","",IF(S427&lt;=1,"",IF(AA427=0,"PENDIENTE — SIN ASIGNAR",IF(Z427=0,"RESUELTO","PARCIAL — DIFERENCIA "&amp;TEXT(Z427,"#,##0")))))</f>
        <v/>
      </c>
    </row>
    <row r="428" ht="14.25" customHeight="1" s="235">
      <c r="A428" s="47">
        <f>IF(Exogena_RAW!E437&lt;&gt;"",ROW()-5,"")</f>
        <v/>
      </c>
      <c r="B428" s="48">
        <f>IF(A428="","",437)</f>
        <v/>
      </c>
      <c r="C428" s="48">
        <f>IF(A428="","",IFERROR(Exogena_RAW!A437,""))</f>
        <v/>
      </c>
      <c r="D428" s="48">
        <f>IF(A428="","",IFERROR(Exogena_RAW!B437,""))</f>
        <v/>
      </c>
      <c r="E428" s="48">
        <f>IF(A428="","",Exogena_RAW!E437)</f>
        <v/>
      </c>
      <c r="F428" s="461">
        <f>IF(A428="","",Exogena_RAW!F437)</f>
        <v/>
      </c>
      <c r="G428" s="48">
        <f>IF(A428="","",IFERROR(Exogena_RAW!G437,""))</f>
        <v/>
      </c>
      <c r="H428" s="48">
        <f>IF(A428="","",IFERROR(Exogena_RAW!H437,""))</f>
        <v/>
      </c>
      <c r="I428" s="48">
        <f>IF(A428="","",IFERROR(IF(S428&gt;1,"VARIAS CASILLAS",IF(S428=1,IF(T428=1,"PROPUESTA DE CASILLA","REVISIÓN: CASILLA NO DIRECTA"),IF(OR(ISNUMBER(SEARCH("TOPE",UPPER(E428))),ISNUMBER(SEARCH("TOPE",UPPER(G428)))),"SOLO CONTROL",IF(ISNUMBER(SEARCH("RETEN",UPPER(E428))),"RETENCIÓN","REVISAR")))),"REVISAR"))</f>
        <v/>
      </c>
      <c r="J428" s="48">
        <f>IF(A428="","",IF(ISNUMBER(SEARCH("ingreso laboral promedio de los últimos seis meses",E428)),"",IFERROR(IF(AND(S428=1,T428=1),U428,""),"")))</f>
        <v/>
      </c>
      <c r="K428" s="216" t="n"/>
      <c r="L428" s="48">
        <f>IF(A428="","",IFERROR(IF(K428&lt;&gt;"","Casilla elegida por usuario",IF(S428&gt;1,"Varias casillas — elegir en K",IF(J428&lt;&gt;"","Sugerencia directa",IF(S428=1,"No trasladar directo — revisar",IF(OR(ISNUMBER(SEARCH("TOPE",UPPER(E428))),ISNUMBER(SEARCH("TOPE",UPPER(G428)))),"Solo control","Revisar manualmente"))))),"Revisar manualmente"))</f>
        <v/>
      </c>
      <c r="M428" s="461">
        <f>IF(A428="","",IF(IF(K428&lt;&gt;"",K428,J428)="",0,IF(COUNTIFS(Reglas!$I$5:$I$118,IF(K428&lt;&gt;"",K428,J428),Reglas!$J$5:$J$118,"Sí")=1,F428,0)))</f>
        <v/>
      </c>
      <c r="N428" s="56" t="n"/>
      <c r="O428" s="462">
        <f>IF(A428="","",IF(M428=0,"",M428))</f>
        <v/>
      </c>
      <c r="P428" s="461">
        <f>IF(A428="","",IF(O428="",0,IF(ISNUMBER(O428),O428,0)))</f>
        <v/>
      </c>
      <c r="Q428" s="48">
        <f>IF(A428="","",IF(Exogena_RAW!$C$4="","BLOQUEADO: FALTA AÑO",IF(Exogena_RAW!$K$10&lt;&gt;Reglas!$B$5,"BLOQUEADO: AÑO",IF(IF(K428&lt;&gt;"",K428,J428)="",IF(S428&gt;1,"REQUIERE ASIGNACIÓN MANUAL (VARIAS CASILLAS)","INFORMATIVO (sin casilla — no se declara)"),IF(COUNTIFS(Reglas!$I$5:$I$118,IF(K428&lt;&gt;"",K428,J428),Reglas!$J$5:$J$118,"Sí")=0,"BLOQUEADO: CASILLA NO DIRECTA",IF(O428="","EXCLUIDO (valor borrado por el usuario)",IF(_xlfn.ISFORMULA(O428),IF(W428&lt;&gt;"","BORRADOR — VALOR SUGERIDO DIAN ⚠ VER ALERTA","BORRADOR — VALOR SUGERIDO DIAN"),IF(W428&lt;&gt;"","ACEPTADO ⚠ VER ALERTA","ACEPTADO"))))))))</f>
        <v/>
      </c>
      <c r="R428" s="218" t="n"/>
      <c r="S428" s="58">
        <f>IF(A428="","",IFERROR(--ISNUMBER(SEARCH("R28",G428)),0)+IFERROR(--ISNUMBER(SEARCH("R29",G428)),0)+IFERROR(--ISNUMBER(SEARCH("R30",G428)),0)+IFERROR(--ISNUMBER(SEARCH("R31",G428)),0)+IFERROR(--ISNUMBER(SEARCH("R32",G428)),0)+IFERROR(--ISNUMBER(SEARCH("R33",G428)),0)+IFERROR(--ISNUMBER(SEARCH("R34",G428)),0)+IFERROR(--ISNUMBER(SEARCH("R35",G428)),0)+IFERROR(--ISNUMBER(SEARCH("R36",G428)),0)+IFERROR(--ISNUMBER(SEARCH("R37",G428)),0)+IFERROR(--ISNUMBER(SEARCH("R38",G428)),0)+IFERROR(--ISNUMBER(SEARCH("R39",G428)),0)+IFERROR(--ISNUMBER(SEARCH("R40",G428)),0)+IFERROR(--ISNUMBER(SEARCH("R41",G428)),0)+IFERROR(--ISNUMBER(SEARCH("R42",G428)),0)+IFERROR(--ISNUMBER(SEARCH("R43",G428)),0)+IFERROR(--ISNUMBER(SEARCH("R44",G428)),0)+IFERROR(--ISNUMBER(SEARCH("R45",G428)),0)+IFERROR(--ISNUMBER(SEARCH("R46",G428)),0)+IFERROR(--ISNUMBER(SEARCH("R47",G428)),0)+IFERROR(--ISNUMBER(SEARCH("R48",G428)),0)+IFERROR(--ISNUMBER(SEARCH("R49",G428)),0)+IFERROR(--ISNUMBER(SEARCH("R50",G428)),0)+IFERROR(--ISNUMBER(SEARCH("R51",G428)),0)+IFERROR(--ISNUMBER(SEARCH("R52",G428)),0)+IFERROR(--ISNUMBER(SEARCH("R53",G428)),0)+IFERROR(--ISNUMBER(SEARCH("R54",G428)),0)+IFERROR(--ISNUMBER(SEARCH("R55",G428)),0)+IFERROR(--ISNUMBER(SEARCH("R56",G428)),0)+IFERROR(--ISNUMBER(SEARCH("R57",G428)),0)+IFERROR(--ISNUMBER(SEARCH("R58",G428)),0)+IFERROR(--ISNUMBER(SEARCH("R59",G428)),0)+IFERROR(--ISNUMBER(SEARCH("R60",G428)),0)+IFERROR(--ISNUMBER(SEARCH("R61",G428)),0)+IFERROR(--ISNUMBER(SEARCH("R62",G428)),0)+IFERROR(--ISNUMBER(SEARCH("R63",G428)),0)+IFERROR(--ISNUMBER(SEARCH("R64",G428)),0)+IFERROR(--ISNUMBER(SEARCH("R65",G428)),0)+IFERROR(--ISNUMBER(SEARCH("R66",G428)),0)+IFERROR(--ISNUMBER(SEARCH("R67",G428)),0)+IFERROR(--ISNUMBER(SEARCH("R68",G428)),0)+IFERROR(--ISNUMBER(SEARCH("R69",G428)),0)+IFERROR(--ISNUMBER(SEARCH("R70",G428)),0)+IFERROR(--ISNUMBER(SEARCH("R71",G428)),0)+IFERROR(--ISNUMBER(SEARCH("R72",G428)),0)+IFERROR(--ISNUMBER(SEARCH("R73",G428)),0)+IFERROR(--ISNUMBER(SEARCH("R74",G428)),0)+IFERROR(--ISNUMBER(SEARCH("R75",G428)),0)+IFERROR(--ISNUMBER(SEARCH("R76",G428)),0)+IFERROR(--ISNUMBER(SEARCH("R77",G428)),0)+IFERROR(--ISNUMBER(SEARCH("R78",G428)),0)+IFERROR(--ISNUMBER(SEARCH("R79",G428)),0)+IFERROR(--ISNUMBER(SEARCH("R80",G428)),0)+IFERROR(--ISNUMBER(SEARCH("R81",G428)),0)+IFERROR(--ISNUMBER(SEARCH("R82",G428)),0)+IFERROR(--ISNUMBER(SEARCH("R83",G428)),0)+IFERROR(--ISNUMBER(SEARCH("R84",G428)),0)+IFERROR(--ISNUMBER(SEARCH("R85",G428)),0)+IFERROR(--ISNUMBER(SEARCH("R86",G428)),0)+IFERROR(--ISNUMBER(SEARCH("R87",G428)),0)+IFERROR(--ISNUMBER(SEARCH("R88",G428)),0)+IFERROR(--ISNUMBER(SEARCH("R89",G428)),0)+IFERROR(--ISNUMBER(SEARCH("R90",G428)),0)+IFERROR(--ISNUMBER(SEARCH("R91",G428)),0)+IFERROR(--ISNUMBER(SEARCH("R92",G428)),0)+IFERROR(--ISNUMBER(SEARCH("R93",G428)),0)+IFERROR(--ISNUMBER(SEARCH("R94",G428)),0)+IFERROR(--ISNUMBER(SEARCH("R95",G428)),0)+IFERROR(--ISNUMBER(SEARCH("R96",G428)),0)+IFERROR(--ISNUMBER(SEARCH("R97",G428)),0)+IFERROR(--ISNUMBER(SEARCH("R98",G428)),0)+IFERROR(--ISNUMBER(SEARCH("R99",G428)),0)+IFERROR(--ISNUMBER(SEARCH("R100",G428)),0)+IFERROR(--ISNUMBER(SEARCH("R101",G428)),0)+IFERROR(--ISNUMBER(SEARCH("R102",G428)),0)+IFERROR(--ISNUMBER(SEARCH("R103",G428)),0)+IFERROR(--ISNUMBER(SEARCH("R104",G428)),0)+IFERROR(--ISNUMBER(SEARCH("R105",G428)),0)+IFERROR(--ISNUMBER(SEARCH("R106",G428)),0)+IFERROR(--ISNUMBER(SEARCH("R107",G428)),0)+IFERROR(--ISNUMBER(SEARCH("R108",G428)),0)+IFERROR(--ISNUMBER(SEARCH("R109",G428)),0)+IFERROR(--ISNUMBER(SEARCH("R110",G428)),0)+IFERROR(--ISNUMBER(SEARCH("R111",G428)),0)+IFERROR(--ISNUMBER(SEARCH("R112",G428)),0)+IFERROR(--ISNUMBER(SEARCH("R113",G428)),0)+IFERROR(--ISNUMBER(SEARCH("R114",G428)),0)+IFERROR(--ISNUMBER(SEARCH("R115",G428)),0)+IFERROR(--ISNUMBER(SEARCH("R116",G428)),0)+IFERROR(--ISNUMBER(SEARCH("R117",G428)),0)+IFERROR(--ISNUMBER(SEARCH("R118",G428)),0)+IFERROR(--ISNUMBER(SEARCH("R119",G428)),0)+IFERROR(--ISNUMBER(SEARCH("R120",G428)),0)+IFERROR(--ISNUMBER(SEARCH("R121",G428)),0)+IFERROR(--ISNUMBER(SEARCH("R122",G428)),0)+IFERROR(--ISNUMBER(SEARCH("R123",G428)),0)+IFERROR(--ISNUMBER(SEARCH("R124",G428)),0)+IFERROR(--ISNUMBER(SEARCH("R125",G428)),0)+IFERROR(--ISNUMBER(SEARCH("R126",G428)),0)+IFERROR(--ISNUMBER(SEARCH("R127",G428)),0)+IFERROR(--ISNUMBER(SEARCH("R128",G428)),0)+IFERROR(--ISNUMBER(SEARCH("R129",G428)),0)+IFERROR(--ISNUMBER(SEARCH("R130",G428)),0)+IFERROR(--ISNUMBER(SEARCH("R131",G428)),0)+IFERROR(--ISNUMBER(SEARCH("R132",G428)),0)+IFERROR(--ISNUMBER(SEARCH("R133",G428)),0)+IFERROR(--ISNUMBER(SEARCH("R134",G428)),0)+IFERROR(--ISNUMBER(SEARCH("R135",G428)),0)+IFERROR(--ISNUMBER(SEARCH("R136",G428)),0)+IFERROR(--ISNUMBER(SEARCH("R137",G428)),0)+IFERROR(--ISNUMBER(SEARCH("R138",G428)),0)+IFERROR(--ISNUMBER(SEARCH("R139",G428)),0)+IFERROR(--ISNUMBER(SEARCH("R140",G428)),0)+IFERROR(--ISNUMBER(SEARCH("R141",G428)),0))</f>
        <v/>
      </c>
      <c r="T428" s="58">
        <f>IF(A428="","",IFERROR(--ISNUMBER(SEARCH("R28",G428)),0)+IFERROR(--ISNUMBER(SEARCH("R29",G428)),0)+IFERROR(--ISNUMBER(SEARCH("R30",G428)),0)+IFERROR(--ISNUMBER(SEARCH("R32",G428)),0)+IFERROR(--ISNUMBER(SEARCH("R33",G428)),0)+IFERROR(--ISNUMBER(SEARCH("R35",G428)),0)+IFERROR(--ISNUMBER(SEARCH("R36",G428)),0)+IFERROR(--ISNUMBER(SEARCH("R38",G428)),0)+IFERROR(--ISNUMBER(SEARCH("R39",G428)),0)+IFERROR(--ISNUMBER(SEARCH("R43",G428)),0)+IFERROR(--ISNUMBER(SEARCH("R44",G428)),0)+IFERROR(--ISNUMBER(SEARCH("R45",G428)),0)+IFERROR(--ISNUMBER(SEARCH("R47",G428)),0)+IFERROR(--ISNUMBER(SEARCH("R48",G428)),0)+IFERROR(--ISNUMBER(SEARCH("R50",G428)),0)+IFERROR(--ISNUMBER(SEARCH("R51",G428)),0)+IFERROR(--ISNUMBER(SEARCH("R56",G428)),0)+IFERROR(--ISNUMBER(SEARCH("R58",G428)),0)+IFERROR(--ISNUMBER(SEARCH("R59",G428)),0)+IFERROR(--ISNUMBER(SEARCH("R60",G428)),0)+IFERROR(--ISNUMBER(SEARCH("R62",G428)),0)+IFERROR(--ISNUMBER(SEARCH("R63",G428)),0)+IFERROR(--ISNUMBER(SEARCH("R64",G428)),0)+IFERROR(--ISNUMBER(SEARCH("R66",G428)),0)+IFERROR(--ISNUMBER(SEARCH("R67",G428)),0)+IFERROR(--ISNUMBER(SEARCH("R72",G428)),0)+IFERROR(--ISNUMBER(SEARCH("R74",G428)),0)+IFERROR(--ISNUMBER(SEARCH("R75",G428)),0)+IFERROR(--ISNUMBER(SEARCH("R76",G428)),0)+IFERROR(--ISNUMBER(SEARCH("R77",G428)),0)+IFERROR(--ISNUMBER(SEARCH("R79",G428)),0)+IFERROR(--ISNUMBER(SEARCH("R80",G428)),0)+IFERROR(--ISNUMBER(SEARCH("R81",G428)),0)+IFERROR(--ISNUMBER(SEARCH("R83",G428)),0)+IFERROR(--ISNUMBER(SEARCH("R84",G428)),0)+IFERROR(--ISNUMBER(SEARCH("R89",G428)),0)+IFERROR(--ISNUMBER(SEARCH("R94",G428)),0)+IFERROR(--ISNUMBER(SEARCH("R95",G428)),0)+IFERROR(--ISNUMBER(SEARCH("R96",G428)),0)+IFERROR(--ISNUMBER(SEARCH("R98",G428)),0)+IFERROR(--ISNUMBER(SEARCH("R99",G428)),0)+IFERROR(--ISNUMBER(SEARCH("R100",G428)),0)+IFERROR(--ISNUMBER(SEARCH("R104",G428)),0)+IFERROR(--ISNUMBER(SEARCH("R105",G428)),0)+IFERROR(--ISNUMBER(SEARCH("R107",G428)),0)+IFERROR(--ISNUMBER(SEARCH("R108",G428)),0)+IFERROR(--ISNUMBER(SEARCH("R109",G428)),0)+IFERROR(--ISNUMBER(SEARCH("R110",G428)),0)+IFERROR(--ISNUMBER(SEARCH("R112",G428)),0)+IFERROR(--ISNUMBER(SEARCH("R113",G428)),0)+IFERROR(--ISNUMBER(SEARCH("R114",G428)),0)+IFERROR(--ISNUMBER(SEARCH("R118",G428)),0)+IFERROR(--ISNUMBER(SEARCH("R119",G428)),0)+IFERROR(--ISNUMBER(SEARCH("R120",G428)),0)+IFERROR(--ISNUMBER(SEARCH("R122",G428)),0)+IFERROR(--ISNUMBER(SEARCH("R123",G428)),0)+IFERROR(--ISNUMBER(SEARCH("R124",G428)),0)+IFERROR(--ISNUMBER(SEARCH("R128",G428)),0)+IFERROR(--ISNUMBER(SEARCH("R130",G428)),0)+IFERROR(--ISNUMBER(SEARCH("R131",G428)),0)+IFERROR(--ISNUMBER(SEARCH("R132",G428)),0)+IFERROR(--ISNUMBER(SEARCH("R135",G428)),0)+IFERROR(--ISNUMBER(SEARCH("R138",G428)),0)+IFERROR(--ISNUMBER(SEARCH("R141",G428)),0))</f>
        <v/>
      </c>
      <c r="U428" s="58">
        <f>IF(A428="","",IFERROR(--ISNUMBER(SEARCH("R28",G428))*28,0)+IFERROR(--ISNUMBER(SEARCH("R29",G428))*29,0)+IFERROR(--ISNUMBER(SEARCH("R30",G428))*30,0)+IFERROR(--ISNUMBER(SEARCH("R31",G428))*31,0)+IFERROR(--ISNUMBER(SEARCH("R32",G428))*32,0)+IFERROR(--ISNUMBER(SEARCH("R33",G428))*33,0)+IFERROR(--ISNUMBER(SEARCH("R34",G428))*34,0)+IFERROR(--ISNUMBER(SEARCH("R35",G428))*35,0)+IFERROR(--ISNUMBER(SEARCH("R36",G428))*36,0)+IFERROR(--ISNUMBER(SEARCH("R37",G428))*37,0)+IFERROR(--ISNUMBER(SEARCH("R38",G428))*38,0)+IFERROR(--ISNUMBER(SEARCH("R39",G428))*39,0)+IFERROR(--ISNUMBER(SEARCH("R40",G428))*40,0)+IFERROR(--ISNUMBER(SEARCH("R41",G428))*41,0)+IFERROR(--ISNUMBER(SEARCH("R42",G428))*42,0)+IFERROR(--ISNUMBER(SEARCH("R43",G428))*43,0)+IFERROR(--ISNUMBER(SEARCH("R44",G428))*44,0)+IFERROR(--ISNUMBER(SEARCH("R45",G428))*45,0)+IFERROR(--ISNUMBER(SEARCH("R46",G428))*46,0)+IFERROR(--ISNUMBER(SEARCH("R47",G428))*47,0)+IFERROR(--ISNUMBER(SEARCH("R48",G428))*48,0)+IFERROR(--ISNUMBER(SEARCH("R49",G428))*49,0)+IFERROR(--ISNUMBER(SEARCH("R50",G428))*50,0)+IFERROR(--ISNUMBER(SEARCH("R51",G428))*51,0)+IFERROR(--ISNUMBER(SEARCH("R52",G428))*52,0)+IFERROR(--ISNUMBER(SEARCH("R53",G428))*53,0)+IFERROR(--ISNUMBER(SEARCH("R54",G428))*54,0)+IFERROR(--ISNUMBER(SEARCH("R55",G428))*55,0)+IFERROR(--ISNUMBER(SEARCH("R56",G428))*56,0)+IFERROR(--ISNUMBER(SEARCH("R57",G428))*57,0)+IFERROR(--ISNUMBER(SEARCH("R58",G428))*58,0)+IFERROR(--ISNUMBER(SEARCH("R59",G428))*59,0)+IFERROR(--ISNUMBER(SEARCH("R60",G428))*60,0)+IFERROR(--ISNUMBER(SEARCH("R61",G428))*61,0)+IFERROR(--ISNUMBER(SEARCH("R62",G428))*62,0)+IFERROR(--ISNUMBER(SEARCH("R63",G428))*63,0)+IFERROR(--ISNUMBER(SEARCH("R64",G428))*64,0)+IFERROR(--ISNUMBER(SEARCH("R65",G428))*65,0)+IFERROR(--ISNUMBER(SEARCH("R66",G428))*66,0)+IFERROR(--ISNUMBER(SEARCH("R67",G428))*67,0)+IFERROR(--ISNUMBER(SEARCH("R68",G428))*68,0)+IFERROR(--ISNUMBER(SEARCH("R69",G428))*69,0)+IFERROR(--ISNUMBER(SEARCH("R70",G428))*70,0)+IFERROR(--ISNUMBER(SEARCH("R71",G428))*71,0)+IFERROR(--ISNUMBER(SEARCH("R72",G428))*72,0)+IFERROR(--ISNUMBER(SEARCH("R73",G428))*73,0)+IFERROR(--ISNUMBER(SEARCH("R74",G428))*74,0)+IFERROR(--ISNUMBER(SEARCH("R75",G428))*75,0)+IFERROR(--ISNUMBER(SEARCH("R76",G428))*76,0)+IFERROR(--ISNUMBER(SEARCH("R77",G428))*77,0)+IFERROR(--ISNUMBER(SEARCH("R78",G428))*78,0)+IFERROR(--ISNUMBER(SEARCH("R79",G428))*79,0)+IFERROR(--ISNUMBER(SEARCH("R80",G428))*80,0)+IFERROR(--ISNUMBER(SEARCH("R81",G428))*81,0)+IFERROR(--ISNUMBER(SEARCH("R82",G428))*82,0)+IFERROR(--ISNUMBER(SEARCH("R83",G428))*83,0)+IFERROR(--ISNUMBER(SEARCH("R84",G428))*84,0)+IFERROR(--ISNUMBER(SEARCH("R85",G428))*85,0)+IFERROR(--ISNUMBER(SEARCH("R86",G428))*86,0)+IFERROR(--ISNUMBER(SEARCH("R87",G428))*87,0)+IFERROR(--ISNUMBER(SEARCH("R88",G428))*88,0)+IFERROR(--ISNUMBER(SEARCH("R89",G428))*89,0)+IFERROR(--ISNUMBER(SEARCH("R90",G428))*90,0)+IFERROR(--ISNUMBER(SEARCH("R91",G428))*91,0)+IFERROR(--ISNUMBER(SEARCH("R92",G428))*92,0)+IFERROR(--ISNUMBER(SEARCH("R93",G428))*93,0)+IFERROR(--ISNUMBER(SEARCH("R94",G428))*94,0)+IFERROR(--ISNUMBER(SEARCH("R95",G428))*95,0)+IFERROR(--ISNUMBER(SEARCH("R96",G428))*96,0)+IFERROR(--ISNUMBER(SEARCH("R97",G428))*97,0)+IFERROR(--ISNUMBER(SEARCH("R98",G428))*98,0)+IFERROR(--ISNUMBER(SEARCH("R99",G428))*99,0)+IFERROR(--ISNUMBER(SEARCH("R100",G428))*100,0)+IFERROR(--ISNUMBER(SEARCH("R101",G428))*101,0)+IFERROR(--ISNUMBER(SEARCH("R102",G428))*102,0)+IFERROR(--ISNUMBER(SEARCH("R103",G428))*103,0)+IFERROR(--ISNUMBER(SEARCH("R104",G428))*104,0)+IFERROR(--ISNUMBER(SEARCH("R105",G428))*105,0)+IFERROR(--ISNUMBER(SEARCH("R106",G428))*106,0)+IFERROR(--ISNUMBER(SEARCH("R107",G428))*107,0)+IFERROR(--ISNUMBER(SEARCH("R108",G428))*108,0)+IFERROR(--ISNUMBER(SEARCH("R109",G428))*109,0)+IFERROR(--ISNUMBER(SEARCH("R110",G428))*110,0)+IFERROR(--ISNUMBER(SEARCH("R111",G428))*111,0)+IFERROR(--ISNUMBER(SEARCH("R112",G428))*112,0)+IFERROR(--ISNUMBER(SEARCH("R113",G428))*113,0)+IFERROR(--ISNUMBER(SEARCH("R114",G428))*114,0)+IFERROR(--ISNUMBER(SEARCH("R115",G428))*115,0)+IFERROR(--ISNUMBER(SEARCH("R116",G428))*116,0)+IFERROR(--ISNUMBER(SEARCH("R117",G428))*117,0)+IFERROR(--ISNUMBER(SEARCH("R118",G428))*118,0)+IFERROR(--ISNUMBER(SEARCH("R119",G428))*119,0)+IFERROR(--ISNUMBER(SEARCH("R120",G428))*120,0)+IFERROR(--ISNUMBER(SEARCH("R121",G428))*121,0)+IFERROR(--ISNUMBER(SEARCH("R122",G428))*122,0)+IFERROR(--ISNUMBER(SEARCH("R123",G428))*123,0)+IFERROR(--ISNUMBER(SEARCH("R124",G428))*124,0)+IFERROR(--ISNUMBER(SEARCH("R125",G428))*125,0)+IFERROR(--ISNUMBER(SEARCH("R126",G428))*126,0)+IFERROR(--ISNUMBER(SEARCH("R127",G428))*127,0)+IFERROR(--ISNUMBER(SEARCH("R128",G428))*128,0)+IFERROR(--ISNUMBER(SEARCH("R129",G428))*129,0)+IFERROR(--ISNUMBER(SEARCH("R130",G428))*130,0)+IFERROR(--ISNUMBER(SEARCH("R131",G428))*131,0)+IFERROR(--ISNUMBER(SEARCH("R132",G428))*132,0)+IFERROR(--ISNUMBER(SEARCH("R133",G428))*133,0)+IFERROR(--ISNUMBER(SEARCH("R134",G428))*134,0)+IFERROR(--ISNUMBER(SEARCH("R135",G428))*135,0)+IFERROR(--ISNUMBER(SEARCH("R136",G428))*136,0)+IFERROR(--ISNUMBER(SEARCH("R137",G428))*137,0)+IFERROR(--ISNUMBER(SEARCH("R138",G428))*138,0)+IFERROR(--ISNUMBER(SEARCH("R139",G428))*139,0)+IFERROR(--ISNUMBER(SEARCH("R140",G428))*140,0)+IFERROR(--ISNUMBER(SEARCH("R141",G428))*141,0))</f>
        <v/>
      </c>
      <c r="V428" s="59">
        <f>IF(A428="","",IF(K428&lt;&gt;"",K428,J428))</f>
        <v/>
      </c>
      <c r="W428" s="59">
        <f>IF(A428="","",IF(AND(V428=29,O428&lt;&gt;"",COUNTIFS($V$6:$V$505,29,$F$6:$F$505,F428,$C$6:$C$505,C428,$O$6:$O$505,"&lt;&gt;")&gt;1),IF(COUNTIFS($V$6:V428,29,$F$6:F428,F428,$C$6:C428,C428,$O$6:O428,"&lt;&gt;")=1,"Esta es la fila que se debe CONSERVAR (aparición 1 de "&amp;COUNTIFS($V$6:$V$505,29,$F$6:$F$505,F428,$C$6:$C$505,C428,$O$6:$O$505,"&lt;&gt;")&amp;" con el mismo tercero y valor, casilla 29). Si hay más filas iguales, bórreles el valor a ELLAS, no a esta.","DUPLICADO — ya existe otra fila con el mismo tercero y valor para casilla 29 (aparición "&amp;COUNTIFS($V$6:V428,29,$F$6:F428,F428,$C$6:C428,C428,$O$6:O428,"&lt;&gt;")&amp;" de "&amp;COUNTIFS($V$6:$V$505,29,$F$6:$F$505,F428,$C$6:$C$505,C428,$O$6:$O$505,"&lt;&gt;")&amp;"). Para resolverlo: seleccione la celda O"&amp;ROW()&amp;" (columna Valor a declarar de ESTA fila) y presione Supr."),""))</f>
        <v/>
      </c>
      <c r="X428" s="463">
        <f>IF(A428="","",F428)</f>
        <v/>
      </c>
      <c r="Y428" s="463">
        <f>IF(A428="","",SUMIF(Entrada_Manual!$I$88:$I$187,A428,Entrada_Manual!$F$88:$F$187))</f>
        <v/>
      </c>
      <c r="Z428" s="463">
        <f>IF(A428="","",X428-Y428)</f>
        <v/>
      </c>
      <c r="AA428">
        <f>IF(A428="","",SUMPRODUCT((Entrada_Manual!$I$88:$I$187=A428)*1))</f>
        <v/>
      </c>
      <c r="AB428">
        <f>IF(A428="","",IF(S428&lt;=1,"",IF(AA428=0,"PENDIENTE — SIN ASIGNAR",IF(Z428=0,"RESUELTO","PARCIAL — DIFERENCIA "&amp;TEXT(Z428,"#,##0")))))</f>
        <v/>
      </c>
    </row>
    <row r="429" ht="14.25" customHeight="1" s="235">
      <c r="A429" s="47">
        <f>IF(Exogena_RAW!E438&lt;&gt;"",ROW()-5,"")</f>
        <v/>
      </c>
      <c r="B429" s="48">
        <f>IF(A429="","",438)</f>
        <v/>
      </c>
      <c r="C429" s="48">
        <f>IF(A429="","",IFERROR(Exogena_RAW!A438,""))</f>
        <v/>
      </c>
      <c r="D429" s="48">
        <f>IF(A429="","",IFERROR(Exogena_RAW!B438,""))</f>
        <v/>
      </c>
      <c r="E429" s="48">
        <f>IF(A429="","",Exogena_RAW!E438)</f>
        <v/>
      </c>
      <c r="F429" s="461">
        <f>IF(A429="","",Exogena_RAW!F438)</f>
        <v/>
      </c>
      <c r="G429" s="48">
        <f>IF(A429="","",IFERROR(Exogena_RAW!G438,""))</f>
        <v/>
      </c>
      <c r="H429" s="48">
        <f>IF(A429="","",IFERROR(Exogena_RAW!H438,""))</f>
        <v/>
      </c>
      <c r="I429" s="48">
        <f>IF(A429="","",IFERROR(IF(S429&gt;1,"VARIAS CASILLAS",IF(S429=1,IF(T429=1,"PROPUESTA DE CASILLA","REVISIÓN: CASILLA NO DIRECTA"),IF(OR(ISNUMBER(SEARCH("TOPE",UPPER(E429))),ISNUMBER(SEARCH("TOPE",UPPER(G429)))),"SOLO CONTROL",IF(ISNUMBER(SEARCH("RETEN",UPPER(E429))),"RETENCIÓN","REVISAR")))),"REVISAR"))</f>
        <v/>
      </c>
      <c r="J429" s="48">
        <f>IF(A429="","",IF(ISNUMBER(SEARCH("ingreso laboral promedio de los últimos seis meses",E429)),"",IFERROR(IF(AND(S429=1,T429=1),U429,""),"")))</f>
        <v/>
      </c>
      <c r="K429" s="216" t="n"/>
      <c r="L429" s="48">
        <f>IF(A429="","",IFERROR(IF(K429&lt;&gt;"","Casilla elegida por usuario",IF(S429&gt;1,"Varias casillas — elegir en K",IF(J429&lt;&gt;"","Sugerencia directa",IF(S429=1,"No trasladar directo — revisar",IF(OR(ISNUMBER(SEARCH("TOPE",UPPER(E429))),ISNUMBER(SEARCH("TOPE",UPPER(G429)))),"Solo control","Revisar manualmente"))))),"Revisar manualmente"))</f>
        <v/>
      </c>
      <c r="M429" s="461">
        <f>IF(A429="","",IF(IF(K429&lt;&gt;"",K429,J429)="",0,IF(COUNTIFS(Reglas!$I$5:$I$118,IF(K429&lt;&gt;"",K429,J429),Reglas!$J$5:$J$118,"Sí")=1,F429,0)))</f>
        <v/>
      </c>
      <c r="N429" s="56" t="n"/>
      <c r="O429" s="462">
        <f>IF(A429="","",IF(M429=0,"",M429))</f>
        <v/>
      </c>
      <c r="P429" s="461">
        <f>IF(A429="","",IF(O429="",0,IF(ISNUMBER(O429),O429,0)))</f>
        <v/>
      </c>
      <c r="Q429" s="48">
        <f>IF(A429="","",IF(Exogena_RAW!$C$4="","BLOQUEADO: FALTA AÑO",IF(Exogena_RAW!$K$10&lt;&gt;Reglas!$B$5,"BLOQUEADO: AÑO",IF(IF(K429&lt;&gt;"",K429,J429)="",IF(S429&gt;1,"REQUIERE ASIGNACIÓN MANUAL (VARIAS CASILLAS)","INFORMATIVO (sin casilla — no se declara)"),IF(COUNTIFS(Reglas!$I$5:$I$118,IF(K429&lt;&gt;"",K429,J429),Reglas!$J$5:$J$118,"Sí")=0,"BLOQUEADO: CASILLA NO DIRECTA",IF(O429="","EXCLUIDO (valor borrado por el usuario)",IF(_xlfn.ISFORMULA(O429),IF(W429&lt;&gt;"","BORRADOR — VALOR SUGERIDO DIAN ⚠ VER ALERTA","BORRADOR — VALOR SUGERIDO DIAN"),IF(W429&lt;&gt;"","ACEPTADO ⚠ VER ALERTA","ACEPTADO"))))))))</f>
        <v/>
      </c>
      <c r="R429" s="218" t="n"/>
      <c r="S429" s="58">
        <f>IF(A429="","",IFERROR(--ISNUMBER(SEARCH("R28",G429)),0)+IFERROR(--ISNUMBER(SEARCH("R29",G429)),0)+IFERROR(--ISNUMBER(SEARCH("R30",G429)),0)+IFERROR(--ISNUMBER(SEARCH("R31",G429)),0)+IFERROR(--ISNUMBER(SEARCH("R32",G429)),0)+IFERROR(--ISNUMBER(SEARCH("R33",G429)),0)+IFERROR(--ISNUMBER(SEARCH("R34",G429)),0)+IFERROR(--ISNUMBER(SEARCH("R35",G429)),0)+IFERROR(--ISNUMBER(SEARCH("R36",G429)),0)+IFERROR(--ISNUMBER(SEARCH("R37",G429)),0)+IFERROR(--ISNUMBER(SEARCH("R38",G429)),0)+IFERROR(--ISNUMBER(SEARCH("R39",G429)),0)+IFERROR(--ISNUMBER(SEARCH("R40",G429)),0)+IFERROR(--ISNUMBER(SEARCH("R41",G429)),0)+IFERROR(--ISNUMBER(SEARCH("R42",G429)),0)+IFERROR(--ISNUMBER(SEARCH("R43",G429)),0)+IFERROR(--ISNUMBER(SEARCH("R44",G429)),0)+IFERROR(--ISNUMBER(SEARCH("R45",G429)),0)+IFERROR(--ISNUMBER(SEARCH("R46",G429)),0)+IFERROR(--ISNUMBER(SEARCH("R47",G429)),0)+IFERROR(--ISNUMBER(SEARCH("R48",G429)),0)+IFERROR(--ISNUMBER(SEARCH("R49",G429)),0)+IFERROR(--ISNUMBER(SEARCH("R50",G429)),0)+IFERROR(--ISNUMBER(SEARCH("R51",G429)),0)+IFERROR(--ISNUMBER(SEARCH("R52",G429)),0)+IFERROR(--ISNUMBER(SEARCH("R53",G429)),0)+IFERROR(--ISNUMBER(SEARCH("R54",G429)),0)+IFERROR(--ISNUMBER(SEARCH("R55",G429)),0)+IFERROR(--ISNUMBER(SEARCH("R56",G429)),0)+IFERROR(--ISNUMBER(SEARCH("R57",G429)),0)+IFERROR(--ISNUMBER(SEARCH("R58",G429)),0)+IFERROR(--ISNUMBER(SEARCH("R59",G429)),0)+IFERROR(--ISNUMBER(SEARCH("R60",G429)),0)+IFERROR(--ISNUMBER(SEARCH("R61",G429)),0)+IFERROR(--ISNUMBER(SEARCH("R62",G429)),0)+IFERROR(--ISNUMBER(SEARCH("R63",G429)),0)+IFERROR(--ISNUMBER(SEARCH("R64",G429)),0)+IFERROR(--ISNUMBER(SEARCH("R65",G429)),0)+IFERROR(--ISNUMBER(SEARCH("R66",G429)),0)+IFERROR(--ISNUMBER(SEARCH("R67",G429)),0)+IFERROR(--ISNUMBER(SEARCH("R68",G429)),0)+IFERROR(--ISNUMBER(SEARCH("R69",G429)),0)+IFERROR(--ISNUMBER(SEARCH("R70",G429)),0)+IFERROR(--ISNUMBER(SEARCH("R71",G429)),0)+IFERROR(--ISNUMBER(SEARCH("R72",G429)),0)+IFERROR(--ISNUMBER(SEARCH("R73",G429)),0)+IFERROR(--ISNUMBER(SEARCH("R74",G429)),0)+IFERROR(--ISNUMBER(SEARCH("R75",G429)),0)+IFERROR(--ISNUMBER(SEARCH("R76",G429)),0)+IFERROR(--ISNUMBER(SEARCH("R77",G429)),0)+IFERROR(--ISNUMBER(SEARCH("R78",G429)),0)+IFERROR(--ISNUMBER(SEARCH("R79",G429)),0)+IFERROR(--ISNUMBER(SEARCH("R80",G429)),0)+IFERROR(--ISNUMBER(SEARCH("R81",G429)),0)+IFERROR(--ISNUMBER(SEARCH("R82",G429)),0)+IFERROR(--ISNUMBER(SEARCH("R83",G429)),0)+IFERROR(--ISNUMBER(SEARCH("R84",G429)),0)+IFERROR(--ISNUMBER(SEARCH("R85",G429)),0)+IFERROR(--ISNUMBER(SEARCH("R86",G429)),0)+IFERROR(--ISNUMBER(SEARCH("R87",G429)),0)+IFERROR(--ISNUMBER(SEARCH("R88",G429)),0)+IFERROR(--ISNUMBER(SEARCH("R89",G429)),0)+IFERROR(--ISNUMBER(SEARCH("R90",G429)),0)+IFERROR(--ISNUMBER(SEARCH("R91",G429)),0)+IFERROR(--ISNUMBER(SEARCH("R92",G429)),0)+IFERROR(--ISNUMBER(SEARCH("R93",G429)),0)+IFERROR(--ISNUMBER(SEARCH("R94",G429)),0)+IFERROR(--ISNUMBER(SEARCH("R95",G429)),0)+IFERROR(--ISNUMBER(SEARCH("R96",G429)),0)+IFERROR(--ISNUMBER(SEARCH("R97",G429)),0)+IFERROR(--ISNUMBER(SEARCH("R98",G429)),0)+IFERROR(--ISNUMBER(SEARCH("R99",G429)),0)+IFERROR(--ISNUMBER(SEARCH("R100",G429)),0)+IFERROR(--ISNUMBER(SEARCH("R101",G429)),0)+IFERROR(--ISNUMBER(SEARCH("R102",G429)),0)+IFERROR(--ISNUMBER(SEARCH("R103",G429)),0)+IFERROR(--ISNUMBER(SEARCH("R104",G429)),0)+IFERROR(--ISNUMBER(SEARCH("R105",G429)),0)+IFERROR(--ISNUMBER(SEARCH("R106",G429)),0)+IFERROR(--ISNUMBER(SEARCH("R107",G429)),0)+IFERROR(--ISNUMBER(SEARCH("R108",G429)),0)+IFERROR(--ISNUMBER(SEARCH("R109",G429)),0)+IFERROR(--ISNUMBER(SEARCH("R110",G429)),0)+IFERROR(--ISNUMBER(SEARCH("R111",G429)),0)+IFERROR(--ISNUMBER(SEARCH("R112",G429)),0)+IFERROR(--ISNUMBER(SEARCH("R113",G429)),0)+IFERROR(--ISNUMBER(SEARCH("R114",G429)),0)+IFERROR(--ISNUMBER(SEARCH("R115",G429)),0)+IFERROR(--ISNUMBER(SEARCH("R116",G429)),0)+IFERROR(--ISNUMBER(SEARCH("R117",G429)),0)+IFERROR(--ISNUMBER(SEARCH("R118",G429)),0)+IFERROR(--ISNUMBER(SEARCH("R119",G429)),0)+IFERROR(--ISNUMBER(SEARCH("R120",G429)),0)+IFERROR(--ISNUMBER(SEARCH("R121",G429)),0)+IFERROR(--ISNUMBER(SEARCH("R122",G429)),0)+IFERROR(--ISNUMBER(SEARCH("R123",G429)),0)+IFERROR(--ISNUMBER(SEARCH("R124",G429)),0)+IFERROR(--ISNUMBER(SEARCH("R125",G429)),0)+IFERROR(--ISNUMBER(SEARCH("R126",G429)),0)+IFERROR(--ISNUMBER(SEARCH("R127",G429)),0)+IFERROR(--ISNUMBER(SEARCH("R128",G429)),0)+IFERROR(--ISNUMBER(SEARCH("R129",G429)),0)+IFERROR(--ISNUMBER(SEARCH("R130",G429)),0)+IFERROR(--ISNUMBER(SEARCH("R131",G429)),0)+IFERROR(--ISNUMBER(SEARCH("R132",G429)),0)+IFERROR(--ISNUMBER(SEARCH("R133",G429)),0)+IFERROR(--ISNUMBER(SEARCH("R134",G429)),0)+IFERROR(--ISNUMBER(SEARCH("R135",G429)),0)+IFERROR(--ISNUMBER(SEARCH("R136",G429)),0)+IFERROR(--ISNUMBER(SEARCH("R137",G429)),0)+IFERROR(--ISNUMBER(SEARCH("R138",G429)),0)+IFERROR(--ISNUMBER(SEARCH("R139",G429)),0)+IFERROR(--ISNUMBER(SEARCH("R140",G429)),0)+IFERROR(--ISNUMBER(SEARCH("R141",G429)),0))</f>
        <v/>
      </c>
      <c r="T429" s="58">
        <f>IF(A429="","",IFERROR(--ISNUMBER(SEARCH("R28",G429)),0)+IFERROR(--ISNUMBER(SEARCH("R29",G429)),0)+IFERROR(--ISNUMBER(SEARCH("R30",G429)),0)+IFERROR(--ISNUMBER(SEARCH("R32",G429)),0)+IFERROR(--ISNUMBER(SEARCH("R33",G429)),0)+IFERROR(--ISNUMBER(SEARCH("R35",G429)),0)+IFERROR(--ISNUMBER(SEARCH("R36",G429)),0)+IFERROR(--ISNUMBER(SEARCH("R38",G429)),0)+IFERROR(--ISNUMBER(SEARCH("R39",G429)),0)+IFERROR(--ISNUMBER(SEARCH("R43",G429)),0)+IFERROR(--ISNUMBER(SEARCH("R44",G429)),0)+IFERROR(--ISNUMBER(SEARCH("R45",G429)),0)+IFERROR(--ISNUMBER(SEARCH("R47",G429)),0)+IFERROR(--ISNUMBER(SEARCH("R48",G429)),0)+IFERROR(--ISNUMBER(SEARCH("R50",G429)),0)+IFERROR(--ISNUMBER(SEARCH("R51",G429)),0)+IFERROR(--ISNUMBER(SEARCH("R56",G429)),0)+IFERROR(--ISNUMBER(SEARCH("R58",G429)),0)+IFERROR(--ISNUMBER(SEARCH("R59",G429)),0)+IFERROR(--ISNUMBER(SEARCH("R60",G429)),0)+IFERROR(--ISNUMBER(SEARCH("R62",G429)),0)+IFERROR(--ISNUMBER(SEARCH("R63",G429)),0)+IFERROR(--ISNUMBER(SEARCH("R64",G429)),0)+IFERROR(--ISNUMBER(SEARCH("R66",G429)),0)+IFERROR(--ISNUMBER(SEARCH("R67",G429)),0)+IFERROR(--ISNUMBER(SEARCH("R72",G429)),0)+IFERROR(--ISNUMBER(SEARCH("R74",G429)),0)+IFERROR(--ISNUMBER(SEARCH("R75",G429)),0)+IFERROR(--ISNUMBER(SEARCH("R76",G429)),0)+IFERROR(--ISNUMBER(SEARCH("R77",G429)),0)+IFERROR(--ISNUMBER(SEARCH("R79",G429)),0)+IFERROR(--ISNUMBER(SEARCH("R80",G429)),0)+IFERROR(--ISNUMBER(SEARCH("R81",G429)),0)+IFERROR(--ISNUMBER(SEARCH("R83",G429)),0)+IFERROR(--ISNUMBER(SEARCH("R84",G429)),0)+IFERROR(--ISNUMBER(SEARCH("R89",G429)),0)+IFERROR(--ISNUMBER(SEARCH("R94",G429)),0)+IFERROR(--ISNUMBER(SEARCH("R95",G429)),0)+IFERROR(--ISNUMBER(SEARCH("R96",G429)),0)+IFERROR(--ISNUMBER(SEARCH("R98",G429)),0)+IFERROR(--ISNUMBER(SEARCH("R99",G429)),0)+IFERROR(--ISNUMBER(SEARCH("R100",G429)),0)+IFERROR(--ISNUMBER(SEARCH("R104",G429)),0)+IFERROR(--ISNUMBER(SEARCH("R105",G429)),0)+IFERROR(--ISNUMBER(SEARCH("R107",G429)),0)+IFERROR(--ISNUMBER(SEARCH("R108",G429)),0)+IFERROR(--ISNUMBER(SEARCH("R109",G429)),0)+IFERROR(--ISNUMBER(SEARCH("R110",G429)),0)+IFERROR(--ISNUMBER(SEARCH("R112",G429)),0)+IFERROR(--ISNUMBER(SEARCH("R113",G429)),0)+IFERROR(--ISNUMBER(SEARCH("R114",G429)),0)+IFERROR(--ISNUMBER(SEARCH("R118",G429)),0)+IFERROR(--ISNUMBER(SEARCH("R119",G429)),0)+IFERROR(--ISNUMBER(SEARCH("R120",G429)),0)+IFERROR(--ISNUMBER(SEARCH("R122",G429)),0)+IFERROR(--ISNUMBER(SEARCH("R123",G429)),0)+IFERROR(--ISNUMBER(SEARCH("R124",G429)),0)+IFERROR(--ISNUMBER(SEARCH("R128",G429)),0)+IFERROR(--ISNUMBER(SEARCH("R130",G429)),0)+IFERROR(--ISNUMBER(SEARCH("R131",G429)),0)+IFERROR(--ISNUMBER(SEARCH("R132",G429)),0)+IFERROR(--ISNUMBER(SEARCH("R135",G429)),0)+IFERROR(--ISNUMBER(SEARCH("R138",G429)),0)+IFERROR(--ISNUMBER(SEARCH("R141",G429)),0))</f>
        <v/>
      </c>
      <c r="U429" s="58">
        <f>IF(A429="","",IFERROR(--ISNUMBER(SEARCH("R28",G429))*28,0)+IFERROR(--ISNUMBER(SEARCH("R29",G429))*29,0)+IFERROR(--ISNUMBER(SEARCH("R30",G429))*30,0)+IFERROR(--ISNUMBER(SEARCH("R31",G429))*31,0)+IFERROR(--ISNUMBER(SEARCH("R32",G429))*32,0)+IFERROR(--ISNUMBER(SEARCH("R33",G429))*33,0)+IFERROR(--ISNUMBER(SEARCH("R34",G429))*34,0)+IFERROR(--ISNUMBER(SEARCH("R35",G429))*35,0)+IFERROR(--ISNUMBER(SEARCH("R36",G429))*36,0)+IFERROR(--ISNUMBER(SEARCH("R37",G429))*37,0)+IFERROR(--ISNUMBER(SEARCH("R38",G429))*38,0)+IFERROR(--ISNUMBER(SEARCH("R39",G429))*39,0)+IFERROR(--ISNUMBER(SEARCH("R40",G429))*40,0)+IFERROR(--ISNUMBER(SEARCH("R41",G429))*41,0)+IFERROR(--ISNUMBER(SEARCH("R42",G429))*42,0)+IFERROR(--ISNUMBER(SEARCH("R43",G429))*43,0)+IFERROR(--ISNUMBER(SEARCH("R44",G429))*44,0)+IFERROR(--ISNUMBER(SEARCH("R45",G429))*45,0)+IFERROR(--ISNUMBER(SEARCH("R46",G429))*46,0)+IFERROR(--ISNUMBER(SEARCH("R47",G429))*47,0)+IFERROR(--ISNUMBER(SEARCH("R48",G429))*48,0)+IFERROR(--ISNUMBER(SEARCH("R49",G429))*49,0)+IFERROR(--ISNUMBER(SEARCH("R50",G429))*50,0)+IFERROR(--ISNUMBER(SEARCH("R51",G429))*51,0)+IFERROR(--ISNUMBER(SEARCH("R52",G429))*52,0)+IFERROR(--ISNUMBER(SEARCH("R53",G429))*53,0)+IFERROR(--ISNUMBER(SEARCH("R54",G429))*54,0)+IFERROR(--ISNUMBER(SEARCH("R55",G429))*55,0)+IFERROR(--ISNUMBER(SEARCH("R56",G429))*56,0)+IFERROR(--ISNUMBER(SEARCH("R57",G429))*57,0)+IFERROR(--ISNUMBER(SEARCH("R58",G429))*58,0)+IFERROR(--ISNUMBER(SEARCH("R59",G429))*59,0)+IFERROR(--ISNUMBER(SEARCH("R60",G429))*60,0)+IFERROR(--ISNUMBER(SEARCH("R61",G429))*61,0)+IFERROR(--ISNUMBER(SEARCH("R62",G429))*62,0)+IFERROR(--ISNUMBER(SEARCH("R63",G429))*63,0)+IFERROR(--ISNUMBER(SEARCH("R64",G429))*64,0)+IFERROR(--ISNUMBER(SEARCH("R65",G429))*65,0)+IFERROR(--ISNUMBER(SEARCH("R66",G429))*66,0)+IFERROR(--ISNUMBER(SEARCH("R67",G429))*67,0)+IFERROR(--ISNUMBER(SEARCH("R68",G429))*68,0)+IFERROR(--ISNUMBER(SEARCH("R69",G429))*69,0)+IFERROR(--ISNUMBER(SEARCH("R70",G429))*70,0)+IFERROR(--ISNUMBER(SEARCH("R71",G429))*71,0)+IFERROR(--ISNUMBER(SEARCH("R72",G429))*72,0)+IFERROR(--ISNUMBER(SEARCH("R73",G429))*73,0)+IFERROR(--ISNUMBER(SEARCH("R74",G429))*74,0)+IFERROR(--ISNUMBER(SEARCH("R75",G429))*75,0)+IFERROR(--ISNUMBER(SEARCH("R76",G429))*76,0)+IFERROR(--ISNUMBER(SEARCH("R77",G429))*77,0)+IFERROR(--ISNUMBER(SEARCH("R78",G429))*78,0)+IFERROR(--ISNUMBER(SEARCH("R79",G429))*79,0)+IFERROR(--ISNUMBER(SEARCH("R80",G429))*80,0)+IFERROR(--ISNUMBER(SEARCH("R81",G429))*81,0)+IFERROR(--ISNUMBER(SEARCH("R82",G429))*82,0)+IFERROR(--ISNUMBER(SEARCH("R83",G429))*83,0)+IFERROR(--ISNUMBER(SEARCH("R84",G429))*84,0)+IFERROR(--ISNUMBER(SEARCH("R85",G429))*85,0)+IFERROR(--ISNUMBER(SEARCH("R86",G429))*86,0)+IFERROR(--ISNUMBER(SEARCH("R87",G429))*87,0)+IFERROR(--ISNUMBER(SEARCH("R88",G429))*88,0)+IFERROR(--ISNUMBER(SEARCH("R89",G429))*89,0)+IFERROR(--ISNUMBER(SEARCH("R90",G429))*90,0)+IFERROR(--ISNUMBER(SEARCH("R91",G429))*91,0)+IFERROR(--ISNUMBER(SEARCH("R92",G429))*92,0)+IFERROR(--ISNUMBER(SEARCH("R93",G429))*93,0)+IFERROR(--ISNUMBER(SEARCH("R94",G429))*94,0)+IFERROR(--ISNUMBER(SEARCH("R95",G429))*95,0)+IFERROR(--ISNUMBER(SEARCH("R96",G429))*96,0)+IFERROR(--ISNUMBER(SEARCH("R97",G429))*97,0)+IFERROR(--ISNUMBER(SEARCH("R98",G429))*98,0)+IFERROR(--ISNUMBER(SEARCH("R99",G429))*99,0)+IFERROR(--ISNUMBER(SEARCH("R100",G429))*100,0)+IFERROR(--ISNUMBER(SEARCH("R101",G429))*101,0)+IFERROR(--ISNUMBER(SEARCH("R102",G429))*102,0)+IFERROR(--ISNUMBER(SEARCH("R103",G429))*103,0)+IFERROR(--ISNUMBER(SEARCH("R104",G429))*104,0)+IFERROR(--ISNUMBER(SEARCH("R105",G429))*105,0)+IFERROR(--ISNUMBER(SEARCH("R106",G429))*106,0)+IFERROR(--ISNUMBER(SEARCH("R107",G429))*107,0)+IFERROR(--ISNUMBER(SEARCH("R108",G429))*108,0)+IFERROR(--ISNUMBER(SEARCH("R109",G429))*109,0)+IFERROR(--ISNUMBER(SEARCH("R110",G429))*110,0)+IFERROR(--ISNUMBER(SEARCH("R111",G429))*111,0)+IFERROR(--ISNUMBER(SEARCH("R112",G429))*112,0)+IFERROR(--ISNUMBER(SEARCH("R113",G429))*113,0)+IFERROR(--ISNUMBER(SEARCH("R114",G429))*114,0)+IFERROR(--ISNUMBER(SEARCH("R115",G429))*115,0)+IFERROR(--ISNUMBER(SEARCH("R116",G429))*116,0)+IFERROR(--ISNUMBER(SEARCH("R117",G429))*117,0)+IFERROR(--ISNUMBER(SEARCH("R118",G429))*118,0)+IFERROR(--ISNUMBER(SEARCH("R119",G429))*119,0)+IFERROR(--ISNUMBER(SEARCH("R120",G429))*120,0)+IFERROR(--ISNUMBER(SEARCH("R121",G429))*121,0)+IFERROR(--ISNUMBER(SEARCH("R122",G429))*122,0)+IFERROR(--ISNUMBER(SEARCH("R123",G429))*123,0)+IFERROR(--ISNUMBER(SEARCH("R124",G429))*124,0)+IFERROR(--ISNUMBER(SEARCH("R125",G429))*125,0)+IFERROR(--ISNUMBER(SEARCH("R126",G429))*126,0)+IFERROR(--ISNUMBER(SEARCH("R127",G429))*127,0)+IFERROR(--ISNUMBER(SEARCH("R128",G429))*128,0)+IFERROR(--ISNUMBER(SEARCH("R129",G429))*129,0)+IFERROR(--ISNUMBER(SEARCH("R130",G429))*130,0)+IFERROR(--ISNUMBER(SEARCH("R131",G429))*131,0)+IFERROR(--ISNUMBER(SEARCH("R132",G429))*132,0)+IFERROR(--ISNUMBER(SEARCH("R133",G429))*133,0)+IFERROR(--ISNUMBER(SEARCH("R134",G429))*134,0)+IFERROR(--ISNUMBER(SEARCH("R135",G429))*135,0)+IFERROR(--ISNUMBER(SEARCH("R136",G429))*136,0)+IFERROR(--ISNUMBER(SEARCH("R137",G429))*137,0)+IFERROR(--ISNUMBER(SEARCH("R138",G429))*138,0)+IFERROR(--ISNUMBER(SEARCH("R139",G429))*139,0)+IFERROR(--ISNUMBER(SEARCH("R140",G429))*140,0)+IFERROR(--ISNUMBER(SEARCH("R141",G429))*141,0))</f>
        <v/>
      </c>
      <c r="V429" s="59">
        <f>IF(A429="","",IF(K429&lt;&gt;"",K429,J429))</f>
        <v/>
      </c>
      <c r="W429" s="59">
        <f>IF(A429="","",IF(AND(V429=29,O429&lt;&gt;"",COUNTIFS($V$6:$V$505,29,$F$6:$F$505,F429,$C$6:$C$505,C429,$O$6:$O$505,"&lt;&gt;")&gt;1),IF(COUNTIFS($V$6:V429,29,$F$6:F429,F429,$C$6:C429,C429,$O$6:O429,"&lt;&gt;")=1,"Esta es la fila que se debe CONSERVAR (aparición 1 de "&amp;COUNTIFS($V$6:$V$505,29,$F$6:$F$505,F429,$C$6:$C$505,C429,$O$6:$O$505,"&lt;&gt;")&amp;" con el mismo tercero y valor, casilla 29). Si hay más filas iguales, bórreles el valor a ELLAS, no a esta.","DUPLICADO — ya existe otra fila con el mismo tercero y valor para casilla 29 (aparición "&amp;COUNTIFS($V$6:V429,29,$F$6:F429,F429,$C$6:C429,C429,$O$6:O429,"&lt;&gt;")&amp;" de "&amp;COUNTIFS($V$6:$V$505,29,$F$6:$F$505,F429,$C$6:$C$505,C429,$O$6:$O$505,"&lt;&gt;")&amp;"). Para resolverlo: seleccione la celda O"&amp;ROW()&amp;" (columna Valor a declarar de ESTA fila) y presione Supr."),""))</f>
        <v/>
      </c>
      <c r="X429" s="463">
        <f>IF(A429="","",F429)</f>
        <v/>
      </c>
      <c r="Y429" s="463">
        <f>IF(A429="","",SUMIF(Entrada_Manual!$I$88:$I$187,A429,Entrada_Manual!$F$88:$F$187))</f>
        <v/>
      </c>
      <c r="Z429" s="463">
        <f>IF(A429="","",X429-Y429)</f>
        <v/>
      </c>
      <c r="AA429">
        <f>IF(A429="","",SUMPRODUCT((Entrada_Manual!$I$88:$I$187=A429)*1))</f>
        <v/>
      </c>
      <c r="AB429">
        <f>IF(A429="","",IF(S429&lt;=1,"",IF(AA429=0,"PENDIENTE — SIN ASIGNAR",IF(Z429=0,"RESUELTO","PARCIAL — DIFERENCIA "&amp;TEXT(Z429,"#,##0")))))</f>
        <v/>
      </c>
    </row>
    <row r="430" ht="14.25" customHeight="1" s="235">
      <c r="A430" s="47">
        <f>IF(Exogena_RAW!E439&lt;&gt;"",ROW()-5,"")</f>
        <v/>
      </c>
      <c r="B430" s="48">
        <f>IF(A430="","",439)</f>
        <v/>
      </c>
      <c r="C430" s="48">
        <f>IF(A430="","",IFERROR(Exogena_RAW!A439,""))</f>
        <v/>
      </c>
      <c r="D430" s="48">
        <f>IF(A430="","",IFERROR(Exogena_RAW!B439,""))</f>
        <v/>
      </c>
      <c r="E430" s="48">
        <f>IF(A430="","",Exogena_RAW!E439)</f>
        <v/>
      </c>
      <c r="F430" s="461">
        <f>IF(A430="","",Exogena_RAW!F439)</f>
        <v/>
      </c>
      <c r="G430" s="48">
        <f>IF(A430="","",IFERROR(Exogena_RAW!G439,""))</f>
        <v/>
      </c>
      <c r="H430" s="48">
        <f>IF(A430="","",IFERROR(Exogena_RAW!H439,""))</f>
        <v/>
      </c>
      <c r="I430" s="48">
        <f>IF(A430="","",IFERROR(IF(S430&gt;1,"VARIAS CASILLAS",IF(S430=1,IF(T430=1,"PROPUESTA DE CASILLA","REVISIÓN: CASILLA NO DIRECTA"),IF(OR(ISNUMBER(SEARCH("TOPE",UPPER(E430))),ISNUMBER(SEARCH("TOPE",UPPER(G430)))),"SOLO CONTROL",IF(ISNUMBER(SEARCH("RETEN",UPPER(E430))),"RETENCIÓN","REVISAR")))),"REVISAR"))</f>
        <v/>
      </c>
      <c r="J430" s="48">
        <f>IF(A430="","",IF(ISNUMBER(SEARCH("ingreso laboral promedio de los últimos seis meses",E430)),"",IFERROR(IF(AND(S430=1,T430=1),U430,""),"")))</f>
        <v/>
      </c>
      <c r="K430" s="216" t="n"/>
      <c r="L430" s="48">
        <f>IF(A430="","",IFERROR(IF(K430&lt;&gt;"","Casilla elegida por usuario",IF(S430&gt;1,"Varias casillas — elegir en K",IF(J430&lt;&gt;"","Sugerencia directa",IF(S430=1,"No trasladar directo — revisar",IF(OR(ISNUMBER(SEARCH("TOPE",UPPER(E430))),ISNUMBER(SEARCH("TOPE",UPPER(G430)))),"Solo control","Revisar manualmente"))))),"Revisar manualmente"))</f>
        <v/>
      </c>
      <c r="M430" s="461">
        <f>IF(A430="","",IF(IF(K430&lt;&gt;"",K430,J430)="",0,IF(COUNTIFS(Reglas!$I$5:$I$118,IF(K430&lt;&gt;"",K430,J430),Reglas!$J$5:$J$118,"Sí")=1,F430,0)))</f>
        <v/>
      </c>
      <c r="N430" s="56" t="n"/>
      <c r="O430" s="462">
        <f>IF(A430="","",IF(M430=0,"",M430))</f>
        <v/>
      </c>
      <c r="P430" s="461">
        <f>IF(A430="","",IF(O430="",0,IF(ISNUMBER(O430),O430,0)))</f>
        <v/>
      </c>
      <c r="Q430" s="48">
        <f>IF(A430="","",IF(Exogena_RAW!$C$4="","BLOQUEADO: FALTA AÑO",IF(Exogena_RAW!$K$10&lt;&gt;Reglas!$B$5,"BLOQUEADO: AÑO",IF(IF(K430&lt;&gt;"",K430,J430)="",IF(S430&gt;1,"REQUIERE ASIGNACIÓN MANUAL (VARIAS CASILLAS)","INFORMATIVO (sin casilla — no se declara)"),IF(COUNTIFS(Reglas!$I$5:$I$118,IF(K430&lt;&gt;"",K430,J430),Reglas!$J$5:$J$118,"Sí")=0,"BLOQUEADO: CASILLA NO DIRECTA",IF(O430="","EXCLUIDO (valor borrado por el usuario)",IF(_xlfn.ISFORMULA(O430),IF(W430&lt;&gt;"","BORRADOR — VALOR SUGERIDO DIAN ⚠ VER ALERTA","BORRADOR — VALOR SUGERIDO DIAN"),IF(W430&lt;&gt;"","ACEPTADO ⚠ VER ALERTA","ACEPTADO"))))))))</f>
        <v/>
      </c>
      <c r="R430" s="218" t="n"/>
      <c r="S430" s="58">
        <f>IF(A430="","",IFERROR(--ISNUMBER(SEARCH("R28",G430)),0)+IFERROR(--ISNUMBER(SEARCH("R29",G430)),0)+IFERROR(--ISNUMBER(SEARCH("R30",G430)),0)+IFERROR(--ISNUMBER(SEARCH("R31",G430)),0)+IFERROR(--ISNUMBER(SEARCH("R32",G430)),0)+IFERROR(--ISNUMBER(SEARCH("R33",G430)),0)+IFERROR(--ISNUMBER(SEARCH("R34",G430)),0)+IFERROR(--ISNUMBER(SEARCH("R35",G430)),0)+IFERROR(--ISNUMBER(SEARCH("R36",G430)),0)+IFERROR(--ISNUMBER(SEARCH("R37",G430)),0)+IFERROR(--ISNUMBER(SEARCH("R38",G430)),0)+IFERROR(--ISNUMBER(SEARCH("R39",G430)),0)+IFERROR(--ISNUMBER(SEARCH("R40",G430)),0)+IFERROR(--ISNUMBER(SEARCH("R41",G430)),0)+IFERROR(--ISNUMBER(SEARCH("R42",G430)),0)+IFERROR(--ISNUMBER(SEARCH("R43",G430)),0)+IFERROR(--ISNUMBER(SEARCH("R44",G430)),0)+IFERROR(--ISNUMBER(SEARCH("R45",G430)),0)+IFERROR(--ISNUMBER(SEARCH("R46",G430)),0)+IFERROR(--ISNUMBER(SEARCH("R47",G430)),0)+IFERROR(--ISNUMBER(SEARCH("R48",G430)),0)+IFERROR(--ISNUMBER(SEARCH("R49",G430)),0)+IFERROR(--ISNUMBER(SEARCH("R50",G430)),0)+IFERROR(--ISNUMBER(SEARCH("R51",G430)),0)+IFERROR(--ISNUMBER(SEARCH("R52",G430)),0)+IFERROR(--ISNUMBER(SEARCH("R53",G430)),0)+IFERROR(--ISNUMBER(SEARCH("R54",G430)),0)+IFERROR(--ISNUMBER(SEARCH("R55",G430)),0)+IFERROR(--ISNUMBER(SEARCH("R56",G430)),0)+IFERROR(--ISNUMBER(SEARCH("R57",G430)),0)+IFERROR(--ISNUMBER(SEARCH("R58",G430)),0)+IFERROR(--ISNUMBER(SEARCH("R59",G430)),0)+IFERROR(--ISNUMBER(SEARCH("R60",G430)),0)+IFERROR(--ISNUMBER(SEARCH("R61",G430)),0)+IFERROR(--ISNUMBER(SEARCH("R62",G430)),0)+IFERROR(--ISNUMBER(SEARCH("R63",G430)),0)+IFERROR(--ISNUMBER(SEARCH("R64",G430)),0)+IFERROR(--ISNUMBER(SEARCH("R65",G430)),0)+IFERROR(--ISNUMBER(SEARCH("R66",G430)),0)+IFERROR(--ISNUMBER(SEARCH("R67",G430)),0)+IFERROR(--ISNUMBER(SEARCH("R68",G430)),0)+IFERROR(--ISNUMBER(SEARCH("R69",G430)),0)+IFERROR(--ISNUMBER(SEARCH("R70",G430)),0)+IFERROR(--ISNUMBER(SEARCH("R71",G430)),0)+IFERROR(--ISNUMBER(SEARCH("R72",G430)),0)+IFERROR(--ISNUMBER(SEARCH("R73",G430)),0)+IFERROR(--ISNUMBER(SEARCH("R74",G430)),0)+IFERROR(--ISNUMBER(SEARCH("R75",G430)),0)+IFERROR(--ISNUMBER(SEARCH("R76",G430)),0)+IFERROR(--ISNUMBER(SEARCH("R77",G430)),0)+IFERROR(--ISNUMBER(SEARCH("R78",G430)),0)+IFERROR(--ISNUMBER(SEARCH("R79",G430)),0)+IFERROR(--ISNUMBER(SEARCH("R80",G430)),0)+IFERROR(--ISNUMBER(SEARCH("R81",G430)),0)+IFERROR(--ISNUMBER(SEARCH("R82",G430)),0)+IFERROR(--ISNUMBER(SEARCH("R83",G430)),0)+IFERROR(--ISNUMBER(SEARCH("R84",G430)),0)+IFERROR(--ISNUMBER(SEARCH("R85",G430)),0)+IFERROR(--ISNUMBER(SEARCH("R86",G430)),0)+IFERROR(--ISNUMBER(SEARCH("R87",G430)),0)+IFERROR(--ISNUMBER(SEARCH("R88",G430)),0)+IFERROR(--ISNUMBER(SEARCH("R89",G430)),0)+IFERROR(--ISNUMBER(SEARCH("R90",G430)),0)+IFERROR(--ISNUMBER(SEARCH("R91",G430)),0)+IFERROR(--ISNUMBER(SEARCH("R92",G430)),0)+IFERROR(--ISNUMBER(SEARCH("R93",G430)),0)+IFERROR(--ISNUMBER(SEARCH("R94",G430)),0)+IFERROR(--ISNUMBER(SEARCH("R95",G430)),0)+IFERROR(--ISNUMBER(SEARCH("R96",G430)),0)+IFERROR(--ISNUMBER(SEARCH("R97",G430)),0)+IFERROR(--ISNUMBER(SEARCH("R98",G430)),0)+IFERROR(--ISNUMBER(SEARCH("R99",G430)),0)+IFERROR(--ISNUMBER(SEARCH("R100",G430)),0)+IFERROR(--ISNUMBER(SEARCH("R101",G430)),0)+IFERROR(--ISNUMBER(SEARCH("R102",G430)),0)+IFERROR(--ISNUMBER(SEARCH("R103",G430)),0)+IFERROR(--ISNUMBER(SEARCH("R104",G430)),0)+IFERROR(--ISNUMBER(SEARCH("R105",G430)),0)+IFERROR(--ISNUMBER(SEARCH("R106",G430)),0)+IFERROR(--ISNUMBER(SEARCH("R107",G430)),0)+IFERROR(--ISNUMBER(SEARCH("R108",G430)),0)+IFERROR(--ISNUMBER(SEARCH("R109",G430)),0)+IFERROR(--ISNUMBER(SEARCH("R110",G430)),0)+IFERROR(--ISNUMBER(SEARCH("R111",G430)),0)+IFERROR(--ISNUMBER(SEARCH("R112",G430)),0)+IFERROR(--ISNUMBER(SEARCH("R113",G430)),0)+IFERROR(--ISNUMBER(SEARCH("R114",G430)),0)+IFERROR(--ISNUMBER(SEARCH("R115",G430)),0)+IFERROR(--ISNUMBER(SEARCH("R116",G430)),0)+IFERROR(--ISNUMBER(SEARCH("R117",G430)),0)+IFERROR(--ISNUMBER(SEARCH("R118",G430)),0)+IFERROR(--ISNUMBER(SEARCH("R119",G430)),0)+IFERROR(--ISNUMBER(SEARCH("R120",G430)),0)+IFERROR(--ISNUMBER(SEARCH("R121",G430)),0)+IFERROR(--ISNUMBER(SEARCH("R122",G430)),0)+IFERROR(--ISNUMBER(SEARCH("R123",G430)),0)+IFERROR(--ISNUMBER(SEARCH("R124",G430)),0)+IFERROR(--ISNUMBER(SEARCH("R125",G430)),0)+IFERROR(--ISNUMBER(SEARCH("R126",G430)),0)+IFERROR(--ISNUMBER(SEARCH("R127",G430)),0)+IFERROR(--ISNUMBER(SEARCH("R128",G430)),0)+IFERROR(--ISNUMBER(SEARCH("R129",G430)),0)+IFERROR(--ISNUMBER(SEARCH("R130",G430)),0)+IFERROR(--ISNUMBER(SEARCH("R131",G430)),0)+IFERROR(--ISNUMBER(SEARCH("R132",G430)),0)+IFERROR(--ISNUMBER(SEARCH("R133",G430)),0)+IFERROR(--ISNUMBER(SEARCH("R134",G430)),0)+IFERROR(--ISNUMBER(SEARCH("R135",G430)),0)+IFERROR(--ISNUMBER(SEARCH("R136",G430)),0)+IFERROR(--ISNUMBER(SEARCH("R137",G430)),0)+IFERROR(--ISNUMBER(SEARCH("R138",G430)),0)+IFERROR(--ISNUMBER(SEARCH("R139",G430)),0)+IFERROR(--ISNUMBER(SEARCH("R140",G430)),0)+IFERROR(--ISNUMBER(SEARCH("R141",G430)),0))</f>
        <v/>
      </c>
      <c r="T430" s="58">
        <f>IF(A430="","",IFERROR(--ISNUMBER(SEARCH("R28",G430)),0)+IFERROR(--ISNUMBER(SEARCH("R29",G430)),0)+IFERROR(--ISNUMBER(SEARCH("R30",G430)),0)+IFERROR(--ISNUMBER(SEARCH("R32",G430)),0)+IFERROR(--ISNUMBER(SEARCH("R33",G430)),0)+IFERROR(--ISNUMBER(SEARCH("R35",G430)),0)+IFERROR(--ISNUMBER(SEARCH("R36",G430)),0)+IFERROR(--ISNUMBER(SEARCH("R38",G430)),0)+IFERROR(--ISNUMBER(SEARCH("R39",G430)),0)+IFERROR(--ISNUMBER(SEARCH("R43",G430)),0)+IFERROR(--ISNUMBER(SEARCH("R44",G430)),0)+IFERROR(--ISNUMBER(SEARCH("R45",G430)),0)+IFERROR(--ISNUMBER(SEARCH("R47",G430)),0)+IFERROR(--ISNUMBER(SEARCH("R48",G430)),0)+IFERROR(--ISNUMBER(SEARCH("R50",G430)),0)+IFERROR(--ISNUMBER(SEARCH("R51",G430)),0)+IFERROR(--ISNUMBER(SEARCH("R56",G430)),0)+IFERROR(--ISNUMBER(SEARCH("R58",G430)),0)+IFERROR(--ISNUMBER(SEARCH("R59",G430)),0)+IFERROR(--ISNUMBER(SEARCH("R60",G430)),0)+IFERROR(--ISNUMBER(SEARCH("R62",G430)),0)+IFERROR(--ISNUMBER(SEARCH("R63",G430)),0)+IFERROR(--ISNUMBER(SEARCH("R64",G430)),0)+IFERROR(--ISNUMBER(SEARCH("R66",G430)),0)+IFERROR(--ISNUMBER(SEARCH("R67",G430)),0)+IFERROR(--ISNUMBER(SEARCH("R72",G430)),0)+IFERROR(--ISNUMBER(SEARCH("R74",G430)),0)+IFERROR(--ISNUMBER(SEARCH("R75",G430)),0)+IFERROR(--ISNUMBER(SEARCH("R76",G430)),0)+IFERROR(--ISNUMBER(SEARCH("R77",G430)),0)+IFERROR(--ISNUMBER(SEARCH("R79",G430)),0)+IFERROR(--ISNUMBER(SEARCH("R80",G430)),0)+IFERROR(--ISNUMBER(SEARCH("R81",G430)),0)+IFERROR(--ISNUMBER(SEARCH("R83",G430)),0)+IFERROR(--ISNUMBER(SEARCH("R84",G430)),0)+IFERROR(--ISNUMBER(SEARCH("R89",G430)),0)+IFERROR(--ISNUMBER(SEARCH("R94",G430)),0)+IFERROR(--ISNUMBER(SEARCH("R95",G430)),0)+IFERROR(--ISNUMBER(SEARCH("R96",G430)),0)+IFERROR(--ISNUMBER(SEARCH("R98",G430)),0)+IFERROR(--ISNUMBER(SEARCH("R99",G430)),0)+IFERROR(--ISNUMBER(SEARCH("R100",G430)),0)+IFERROR(--ISNUMBER(SEARCH("R104",G430)),0)+IFERROR(--ISNUMBER(SEARCH("R105",G430)),0)+IFERROR(--ISNUMBER(SEARCH("R107",G430)),0)+IFERROR(--ISNUMBER(SEARCH("R108",G430)),0)+IFERROR(--ISNUMBER(SEARCH("R109",G430)),0)+IFERROR(--ISNUMBER(SEARCH("R110",G430)),0)+IFERROR(--ISNUMBER(SEARCH("R112",G430)),0)+IFERROR(--ISNUMBER(SEARCH("R113",G430)),0)+IFERROR(--ISNUMBER(SEARCH("R114",G430)),0)+IFERROR(--ISNUMBER(SEARCH("R118",G430)),0)+IFERROR(--ISNUMBER(SEARCH("R119",G430)),0)+IFERROR(--ISNUMBER(SEARCH("R120",G430)),0)+IFERROR(--ISNUMBER(SEARCH("R122",G430)),0)+IFERROR(--ISNUMBER(SEARCH("R123",G430)),0)+IFERROR(--ISNUMBER(SEARCH("R124",G430)),0)+IFERROR(--ISNUMBER(SEARCH("R128",G430)),0)+IFERROR(--ISNUMBER(SEARCH("R130",G430)),0)+IFERROR(--ISNUMBER(SEARCH("R131",G430)),0)+IFERROR(--ISNUMBER(SEARCH("R132",G430)),0)+IFERROR(--ISNUMBER(SEARCH("R135",G430)),0)+IFERROR(--ISNUMBER(SEARCH("R138",G430)),0)+IFERROR(--ISNUMBER(SEARCH("R141",G430)),0))</f>
        <v/>
      </c>
      <c r="U430" s="58">
        <f>IF(A430="","",IFERROR(--ISNUMBER(SEARCH("R28",G430))*28,0)+IFERROR(--ISNUMBER(SEARCH("R29",G430))*29,0)+IFERROR(--ISNUMBER(SEARCH("R30",G430))*30,0)+IFERROR(--ISNUMBER(SEARCH("R31",G430))*31,0)+IFERROR(--ISNUMBER(SEARCH("R32",G430))*32,0)+IFERROR(--ISNUMBER(SEARCH("R33",G430))*33,0)+IFERROR(--ISNUMBER(SEARCH("R34",G430))*34,0)+IFERROR(--ISNUMBER(SEARCH("R35",G430))*35,0)+IFERROR(--ISNUMBER(SEARCH("R36",G430))*36,0)+IFERROR(--ISNUMBER(SEARCH("R37",G430))*37,0)+IFERROR(--ISNUMBER(SEARCH("R38",G430))*38,0)+IFERROR(--ISNUMBER(SEARCH("R39",G430))*39,0)+IFERROR(--ISNUMBER(SEARCH("R40",G430))*40,0)+IFERROR(--ISNUMBER(SEARCH("R41",G430))*41,0)+IFERROR(--ISNUMBER(SEARCH("R42",G430))*42,0)+IFERROR(--ISNUMBER(SEARCH("R43",G430))*43,0)+IFERROR(--ISNUMBER(SEARCH("R44",G430))*44,0)+IFERROR(--ISNUMBER(SEARCH("R45",G430))*45,0)+IFERROR(--ISNUMBER(SEARCH("R46",G430))*46,0)+IFERROR(--ISNUMBER(SEARCH("R47",G430))*47,0)+IFERROR(--ISNUMBER(SEARCH("R48",G430))*48,0)+IFERROR(--ISNUMBER(SEARCH("R49",G430))*49,0)+IFERROR(--ISNUMBER(SEARCH("R50",G430))*50,0)+IFERROR(--ISNUMBER(SEARCH("R51",G430))*51,0)+IFERROR(--ISNUMBER(SEARCH("R52",G430))*52,0)+IFERROR(--ISNUMBER(SEARCH("R53",G430))*53,0)+IFERROR(--ISNUMBER(SEARCH("R54",G430))*54,0)+IFERROR(--ISNUMBER(SEARCH("R55",G430))*55,0)+IFERROR(--ISNUMBER(SEARCH("R56",G430))*56,0)+IFERROR(--ISNUMBER(SEARCH("R57",G430))*57,0)+IFERROR(--ISNUMBER(SEARCH("R58",G430))*58,0)+IFERROR(--ISNUMBER(SEARCH("R59",G430))*59,0)+IFERROR(--ISNUMBER(SEARCH("R60",G430))*60,0)+IFERROR(--ISNUMBER(SEARCH("R61",G430))*61,0)+IFERROR(--ISNUMBER(SEARCH("R62",G430))*62,0)+IFERROR(--ISNUMBER(SEARCH("R63",G430))*63,0)+IFERROR(--ISNUMBER(SEARCH("R64",G430))*64,0)+IFERROR(--ISNUMBER(SEARCH("R65",G430))*65,0)+IFERROR(--ISNUMBER(SEARCH("R66",G430))*66,0)+IFERROR(--ISNUMBER(SEARCH("R67",G430))*67,0)+IFERROR(--ISNUMBER(SEARCH("R68",G430))*68,0)+IFERROR(--ISNUMBER(SEARCH("R69",G430))*69,0)+IFERROR(--ISNUMBER(SEARCH("R70",G430))*70,0)+IFERROR(--ISNUMBER(SEARCH("R71",G430))*71,0)+IFERROR(--ISNUMBER(SEARCH("R72",G430))*72,0)+IFERROR(--ISNUMBER(SEARCH("R73",G430))*73,0)+IFERROR(--ISNUMBER(SEARCH("R74",G430))*74,0)+IFERROR(--ISNUMBER(SEARCH("R75",G430))*75,0)+IFERROR(--ISNUMBER(SEARCH("R76",G430))*76,0)+IFERROR(--ISNUMBER(SEARCH("R77",G430))*77,0)+IFERROR(--ISNUMBER(SEARCH("R78",G430))*78,0)+IFERROR(--ISNUMBER(SEARCH("R79",G430))*79,0)+IFERROR(--ISNUMBER(SEARCH("R80",G430))*80,0)+IFERROR(--ISNUMBER(SEARCH("R81",G430))*81,0)+IFERROR(--ISNUMBER(SEARCH("R82",G430))*82,0)+IFERROR(--ISNUMBER(SEARCH("R83",G430))*83,0)+IFERROR(--ISNUMBER(SEARCH("R84",G430))*84,0)+IFERROR(--ISNUMBER(SEARCH("R85",G430))*85,0)+IFERROR(--ISNUMBER(SEARCH("R86",G430))*86,0)+IFERROR(--ISNUMBER(SEARCH("R87",G430))*87,0)+IFERROR(--ISNUMBER(SEARCH("R88",G430))*88,0)+IFERROR(--ISNUMBER(SEARCH("R89",G430))*89,0)+IFERROR(--ISNUMBER(SEARCH("R90",G430))*90,0)+IFERROR(--ISNUMBER(SEARCH("R91",G430))*91,0)+IFERROR(--ISNUMBER(SEARCH("R92",G430))*92,0)+IFERROR(--ISNUMBER(SEARCH("R93",G430))*93,0)+IFERROR(--ISNUMBER(SEARCH("R94",G430))*94,0)+IFERROR(--ISNUMBER(SEARCH("R95",G430))*95,0)+IFERROR(--ISNUMBER(SEARCH("R96",G430))*96,0)+IFERROR(--ISNUMBER(SEARCH("R97",G430))*97,0)+IFERROR(--ISNUMBER(SEARCH("R98",G430))*98,0)+IFERROR(--ISNUMBER(SEARCH("R99",G430))*99,0)+IFERROR(--ISNUMBER(SEARCH("R100",G430))*100,0)+IFERROR(--ISNUMBER(SEARCH("R101",G430))*101,0)+IFERROR(--ISNUMBER(SEARCH("R102",G430))*102,0)+IFERROR(--ISNUMBER(SEARCH("R103",G430))*103,0)+IFERROR(--ISNUMBER(SEARCH("R104",G430))*104,0)+IFERROR(--ISNUMBER(SEARCH("R105",G430))*105,0)+IFERROR(--ISNUMBER(SEARCH("R106",G430))*106,0)+IFERROR(--ISNUMBER(SEARCH("R107",G430))*107,0)+IFERROR(--ISNUMBER(SEARCH("R108",G430))*108,0)+IFERROR(--ISNUMBER(SEARCH("R109",G430))*109,0)+IFERROR(--ISNUMBER(SEARCH("R110",G430))*110,0)+IFERROR(--ISNUMBER(SEARCH("R111",G430))*111,0)+IFERROR(--ISNUMBER(SEARCH("R112",G430))*112,0)+IFERROR(--ISNUMBER(SEARCH("R113",G430))*113,0)+IFERROR(--ISNUMBER(SEARCH("R114",G430))*114,0)+IFERROR(--ISNUMBER(SEARCH("R115",G430))*115,0)+IFERROR(--ISNUMBER(SEARCH("R116",G430))*116,0)+IFERROR(--ISNUMBER(SEARCH("R117",G430))*117,0)+IFERROR(--ISNUMBER(SEARCH("R118",G430))*118,0)+IFERROR(--ISNUMBER(SEARCH("R119",G430))*119,0)+IFERROR(--ISNUMBER(SEARCH("R120",G430))*120,0)+IFERROR(--ISNUMBER(SEARCH("R121",G430))*121,0)+IFERROR(--ISNUMBER(SEARCH("R122",G430))*122,0)+IFERROR(--ISNUMBER(SEARCH("R123",G430))*123,0)+IFERROR(--ISNUMBER(SEARCH("R124",G430))*124,0)+IFERROR(--ISNUMBER(SEARCH("R125",G430))*125,0)+IFERROR(--ISNUMBER(SEARCH("R126",G430))*126,0)+IFERROR(--ISNUMBER(SEARCH("R127",G430))*127,0)+IFERROR(--ISNUMBER(SEARCH("R128",G430))*128,0)+IFERROR(--ISNUMBER(SEARCH("R129",G430))*129,0)+IFERROR(--ISNUMBER(SEARCH("R130",G430))*130,0)+IFERROR(--ISNUMBER(SEARCH("R131",G430))*131,0)+IFERROR(--ISNUMBER(SEARCH("R132",G430))*132,0)+IFERROR(--ISNUMBER(SEARCH("R133",G430))*133,0)+IFERROR(--ISNUMBER(SEARCH("R134",G430))*134,0)+IFERROR(--ISNUMBER(SEARCH("R135",G430))*135,0)+IFERROR(--ISNUMBER(SEARCH("R136",G430))*136,0)+IFERROR(--ISNUMBER(SEARCH("R137",G430))*137,0)+IFERROR(--ISNUMBER(SEARCH("R138",G430))*138,0)+IFERROR(--ISNUMBER(SEARCH("R139",G430))*139,0)+IFERROR(--ISNUMBER(SEARCH("R140",G430))*140,0)+IFERROR(--ISNUMBER(SEARCH("R141",G430))*141,0))</f>
        <v/>
      </c>
      <c r="V430" s="59">
        <f>IF(A430="","",IF(K430&lt;&gt;"",K430,J430))</f>
        <v/>
      </c>
      <c r="W430" s="59">
        <f>IF(A430="","",IF(AND(V430=29,O430&lt;&gt;"",COUNTIFS($V$6:$V$505,29,$F$6:$F$505,F430,$C$6:$C$505,C430,$O$6:$O$505,"&lt;&gt;")&gt;1),IF(COUNTIFS($V$6:V430,29,$F$6:F430,F430,$C$6:C430,C430,$O$6:O430,"&lt;&gt;")=1,"Esta es la fila que se debe CONSERVAR (aparición 1 de "&amp;COUNTIFS($V$6:$V$505,29,$F$6:$F$505,F430,$C$6:$C$505,C430,$O$6:$O$505,"&lt;&gt;")&amp;" con el mismo tercero y valor, casilla 29). Si hay más filas iguales, bórreles el valor a ELLAS, no a esta.","DUPLICADO — ya existe otra fila con el mismo tercero y valor para casilla 29 (aparición "&amp;COUNTIFS($V$6:V430,29,$F$6:F430,F430,$C$6:C430,C430,$O$6:O430,"&lt;&gt;")&amp;" de "&amp;COUNTIFS($V$6:$V$505,29,$F$6:$F$505,F430,$C$6:$C$505,C430,$O$6:$O$505,"&lt;&gt;")&amp;"). Para resolverlo: seleccione la celda O"&amp;ROW()&amp;" (columna Valor a declarar de ESTA fila) y presione Supr."),""))</f>
        <v/>
      </c>
      <c r="X430" s="463">
        <f>IF(A430="","",F430)</f>
        <v/>
      </c>
      <c r="Y430" s="463">
        <f>IF(A430="","",SUMIF(Entrada_Manual!$I$88:$I$187,A430,Entrada_Manual!$F$88:$F$187))</f>
        <v/>
      </c>
      <c r="Z430" s="463">
        <f>IF(A430="","",X430-Y430)</f>
        <v/>
      </c>
      <c r="AA430">
        <f>IF(A430="","",SUMPRODUCT((Entrada_Manual!$I$88:$I$187=A430)*1))</f>
        <v/>
      </c>
      <c r="AB430">
        <f>IF(A430="","",IF(S430&lt;=1,"",IF(AA430=0,"PENDIENTE — SIN ASIGNAR",IF(Z430=0,"RESUELTO","PARCIAL — DIFERENCIA "&amp;TEXT(Z430,"#,##0")))))</f>
        <v/>
      </c>
    </row>
    <row r="431" ht="14.25" customHeight="1" s="235">
      <c r="A431" s="47">
        <f>IF(Exogena_RAW!E440&lt;&gt;"",ROW()-5,"")</f>
        <v/>
      </c>
      <c r="B431" s="48">
        <f>IF(A431="","",440)</f>
        <v/>
      </c>
      <c r="C431" s="48">
        <f>IF(A431="","",IFERROR(Exogena_RAW!A440,""))</f>
        <v/>
      </c>
      <c r="D431" s="48">
        <f>IF(A431="","",IFERROR(Exogena_RAW!B440,""))</f>
        <v/>
      </c>
      <c r="E431" s="48">
        <f>IF(A431="","",Exogena_RAW!E440)</f>
        <v/>
      </c>
      <c r="F431" s="461">
        <f>IF(A431="","",Exogena_RAW!F440)</f>
        <v/>
      </c>
      <c r="G431" s="48">
        <f>IF(A431="","",IFERROR(Exogena_RAW!G440,""))</f>
        <v/>
      </c>
      <c r="H431" s="48">
        <f>IF(A431="","",IFERROR(Exogena_RAW!H440,""))</f>
        <v/>
      </c>
      <c r="I431" s="48">
        <f>IF(A431="","",IFERROR(IF(S431&gt;1,"VARIAS CASILLAS",IF(S431=1,IF(T431=1,"PROPUESTA DE CASILLA","REVISIÓN: CASILLA NO DIRECTA"),IF(OR(ISNUMBER(SEARCH("TOPE",UPPER(E431))),ISNUMBER(SEARCH("TOPE",UPPER(G431)))),"SOLO CONTROL",IF(ISNUMBER(SEARCH("RETEN",UPPER(E431))),"RETENCIÓN","REVISAR")))),"REVISAR"))</f>
        <v/>
      </c>
      <c r="J431" s="48">
        <f>IF(A431="","",IF(ISNUMBER(SEARCH("ingreso laboral promedio de los últimos seis meses",E431)),"",IFERROR(IF(AND(S431=1,T431=1),U431,""),"")))</f>
        <v/>
      </c>
      <c r="K431" s="216" t="n"/>
      <c r="L431" s="48">
        <f>IF(A431="","",IFERROR(IF(K431&lt;&gt;"","Casilla elegida por usuario",IF(S431&gt;1,"Varias casillas — elegir en K",IF(J431&lt;&gt;"","Sugerencia directa",IF(S431=1,"No trasladar directo — revisar",IF(OR(ISNUMBER(SEARCH("TOPE",UPPER(E431))),ISNUMBER(SEARCH("TOPE",UPPER(G431)))),"Solo control","Revisar manualmente"))))),"Revisar manualmente"))</f>
        <v/>
      </c>
      <c r="M431" s="461">
        <f>IF(A431="","",IF(IF(K431&lt;&gt;"",K431,J431)="",0,IF(COUNTIFS(Reglas!$I$5:$I$118,IF(K431&lt;&gt;"",K431,J431),Reglas!$J$5:$J$118,"Sí")=1,F431,0)))</f>
        <v/>
      </c>
      <c r="N431" s="56" t="n"/>
      <c r="O431" s="462">
        <f>IF(A431="","",IF(M431=0,"",M431))</f>
        <v/>
      </c>
      <c r="P431" s="461">
        <f>IF(A431="","",IF(O431="",0,IF(ISNUMBER(O431),O431,0)))</f>
        <v/>
      </c>
      <c r="Q431" s="48">
        <f>IF(A431="","",IF(Exogena_RAW!$C$4="","BLOQUEADO: FALTA AÑO",IF(Exogena_RAW!$K$10&lt;&gt;Reglas!$B$5,"BLOQUEADO: AÑO",IF(IF(K431&lt;&gt;"",K431,J431)="",IF(S431&gt;1,"REQUIERE ASIGNACIÓN MANUAL (VARIAS CASILLAS)","INFORMATIVO (sin casilla — no se declara)"),IF(COUNTIFS(Reglas!$I$5:$I$118,IF(K431&lt;&gt;"",K431,J431),Reglas!$J$5:$J$118,"Sí")=0,"BLOQUEADO: CASILLA NO DIRECTA",IF(O431="","EXCLUIDO (valor borrado por el usuario)",IF(_xlfn.ISFORMULA(O431),IF(W431&lt;&gt;"","BORRADOR — VALOR SUGERIDO DIAN ⚠ VER ALERTA","BORRADOR — VALOR SUGERIDO DIAN"),IF(W431&lt;&gt;"","ACEPTADO ⚠ VER ALERTA","ACEPTADO"))))))))</f>
        <v/>
      </c>
      <c r="R431" s="218" t="n"/>
      <c r="S431" s="58">
        <f>IF(A431="","",IFERROR(--ISNUMBER(SEARCH("R28",G431)),0)+IFERROR(--ISNUMBER(SEARCH("R29",G431)),0)+IFERROR(--ISNUMBER(SEARCH("R30",G431)),0)+IFERROR(--ISNUMBER(SEARCH("R31",G431)),0)+IFERROR(--ISNUMBER(SEARCH("R32",G431)),0)+IFERROR(--ISNUMBER(SEARCH("R33",G431)),0)+IFERROR(--ISNUMBER(SEARCH("R34",G431)),0)+IFERROR(--ISNUMBER(SEARCH("R35",G431)),0)+IFERROR(--ISNUMBER(SEARCH("R36",G431)),0)+IFERROR(--ISNUMBER(SEARCH("R37",G431)),0)+IFERROR(--ISNUMBER(SEARCH("R38",G431)),0)+IFERROR(--ISNUMBER(SEARCH("R39",G431)),0)+IFERROR(--ISNUMBER(SEARCH("R40",G431)),0)+IFERROR(--ISNUMBER(SEARCH("R41",G431)),0)+IFERROR(--ISNUMBER(SEARCH("R42",G431)),0)+IFERROR(--ISNUMBER(SEARCH("R43",G431)),0)+IFERROR(--ISNUMBER(SEARCH("R44",G431)),0)+IFERROR(--ISNUMBER(SEARCH("R45",G431)),0)+IFERROR(--ISNUMBER(SEARCH("R46",G431)),0)+IFERROR(--ISNUMBER(SEARCH("R47",G431)),0)+IFERROR(--ISNUMBER(SEARCH("R48",G431)),0)+IFERROR(--ISNUMBER(SEARCH("R49",G431)),0)+IFERROR(--ISNUMBER(SEARCH("R50",G431)),0)+IFERROR(--ISNUMBER(SEARCH("R51",G431)),0)+IFERROR(--ISNUMBER(SEARCH("R52",G431)),0)+IFERROR(--ISNUMBER(SEARCH("R53",G431)),0)+IFERROR(--ISNUMBER(SEARCH("R54",G431)),0)+IFERROR(--ISNUMBER(SEARCH("R55",G431)),0)+IFERROR(--ISNUMBER(SEARCH("R56",G431)),0)+IFERROR(--ISNUMBER(SEARCH("R57",G431)),0)+IFERROR(--ISNUMBER(SEARCH("R58",G431)),0)+IFERROR(--ISNUMBER(SEARCH("R59",G431)),0)+IFERROR(--ISNUMBER(SEARCH("R60",G431)),0)+IFERROR(--ISNUMBER(SEARCH("R61",G431)),0)+IFERROR(--ISNUMBER(SEARCH("R62",G431)),0)+IFERROR(--ISNUMBER(SEARCH("R63",G431)),0)+IFERROR(--ISNUMBER(SEARCH("R64",G431)),0)+IFERROR(--ISNUMBER(SEARCH("R65",G431)),0)+IFERROR(--ISNUMBER(SEARCH("R66",G431)),0)+IFERROR(--ISNUMBER(SEARCH("R67",G431)),0)+IFERROR(--ISNUMBER(SEARCH("R68",G431)),0)+IFERROR(--ISNUMBER(SEARCH("R69",G431)),0)+IFERROR(--ISNUMBER(SEARCH("R70",G431)),0)+IFERROR(--ISNUMBER(SEARCH("R71",G431)),0)+IFERROR(--ISNUMBER(SEARCH("R72",G431)),0)+IFERROR(--ISNUMBER(SEARCH("R73",G431)),0)+IFERROR(--ISNUMBER(SEARCH("R74",G431)),0)+IFERROR(--ISNUMBER(SEARCH("R75",G431)),0)+IFERROR(--ISNUMBER(SEARCH("R76",G431)),0)+IFERROR(--ISNUMBER(SEARCH("R77",G431)),0)+IFERROR(--ISNUMBER(SEARCH("R78",G431)),0)+IFERROR(--ISNUMBER(SEARCH("R79",G431)),0)+IFERROR(--ISNUMBER(SEARCH("R80",G431)),0)+IFERROR(--ISNUMBER(SEARCH("R81",G431)),0)+IFERROR(--ISNUMBER(SEARCH("R82",G431)),0)+IFERROR(--ISNUMBER(SEARCH("R83",G431)),0)+IFERROR(--ISNUMBER(SEARCH("R84",G431)),0)+IFERROR(--ISNUMBER(SEARCH("R85",G431)),0)+IFERROR(--ISNUMBER(SEARCH("R86",G431)),0)+IFERROR(--ISNUMBER(SEARCH("R87",G431)),0)+IFERROR(--ISNUMBER(SEARCH("R88",G431)),0)+IFERROR(--ISNUMBER(SEARCH("R89",G431)),0)+IFERROR(--ISNUMBER(SEARCH("R90",G431)),0)+IFERROR(--ISNUMBER(SEARCH("R91",G431)),0)+IFERROR(--ISNUMBER(SEARCH("R92",G431)),0)+IFERROR(--ISNUMBER(SEARCH("R93",G431)),0)+IFERROR(--ISNUMBER(SEARCH("R94",G431)),0)+IFERROR(--ISNUMBER(SEARCH("R95",G431)),0)+IFERROR(--ISNUMBER(SEARCH("R96",G431)),0)+IFERROR(--ISNUMBER(SEARCH("R97",G431)),0)+IFERROR(--ISNUMBER(SEARCH("R98",G431)),0)+IFERROR(--ISNUMBER(SEARCH("R99",G431)),0)+IFERROR(--ISNUMBER(SEARCH("R100",G431)),0)+IFERROR(--ISNUMBER(SEARCH("R101",G431)),0)+IFERROR(--ISNUMBER(SEARCH("R102",G431)),0)+IFERROR(--ISNUMBER(SEARCH("R103",G431)),0)+IFERROR(--ISNUMBER(SEARCH("R104",G431)),0)+IFERROR(--ISNUMBER(SEARCH("R105",G431)),0)+IFERROR(--ISNUMBER(SEARCH("R106",G431)),0)+IFERROR(--ISNUMBER(SEARCH("R107",G431)),0)+IFERROR(--ISNUMBER(SEARCH("R108",G431)),0)+IFERROR(--ISNUMBER(SEARCH("R109",G431)),0)+IFERROR(--ISNUMBER(SEARCH("R110",G431)),0)+IFERROR(--ISNUMBER(SEARCH("R111",G431)),0)+IFERROR(--ISNUMBER(SEARCH("R112",G431)),0)+IFERROR(--ISNUMBER(SEARCH("R113",G431)),0)+IFERROR(--ISNUMBER(SEARCH("R114",G431)),0)+IFERROR(--ISNUMBER(SEARCH("R115",G431)),0)+IFERROR(--ISNUMBER(SEARCH("R116",G431)),0)+IFERROR(--ISNUMBER(SEARCH("R117",G431)),0)+IFERROR(--ISNUMBER(SEARCH("R118",G431)),0)+IFERROR(--ISNUMBER(SEARCH("R119",G431)),0)+IFERROR(--ISNUMBER(SEARCH("R120",G431)),0)+IFERROR(--ISNUMBER(SEARCH("R121",G431)),0)+IFERROR(--ISNUMBER(SEARCH("R122",G431)),0)+IFERROR(--ISNUMBER(SEARCH("R123",G431)),0)+IFERROR(--ISNUMBER(SEARCH("R124",G431)),0)+IFERROR(--ISNUMBER(SEARCH("R125",G431)),0)+IFERROR(--ISNUMBER(SEARCH("R126",G431)),0)+IFERROR(--ISNUMBER(SEARCH("R127",G431)),0)+IFERROR(--ISNUMBER(SEARCH("R128",G431)),0)+IFERROR(--ISNUMBER(SEARCH("R129",G431)),0)+IFERROR(--ISNUMBER(SEARCH("R130",G431)),0)+IFERROR(--ISNUMBER(SEARCH("R131",G431)),0)+IFERROR(--ISNUMBER(SEARCH("R132",G431)),0)+IFERROR(--ISNUMBER(SEARCH("R133",G431)),0)+IFERROR(--ISNUMBER(SEARCH("R134",G431)),0)+IFERROR(--ISNUMBER(SEARCH("R135",G431)),0)+IFERROR(--ISNUMBER(SEARCH("R136",G431)),0)+IFERROR(--ISNUMBER(SEARCH("R137",G431)),0)+IFERROR(--ISNUMBER(SEARCH("R138",G431)),0)+IFERROR(--ISNUMBER(SEARCH("R139",G431)),0)+IFERROR(--ISNUMBER(SEARCH("R140",G431)),0)+IFERROR(--ISNUMBER(SEARCH("R141",G431)),0))</f>
        <v/>
      </c>
      <c r="T431" s="58">
        <f>IF(A431="","",IFERROR(--ISNUMBER(SEARCH("R28",G431)),0)+IFERROR(--ISNUMBER(SEARCH("R29",G431)),0)+IFERROR(--ISNUMBER(SEARCH("R30",G431)),0)+IFERROR(--ISNUMBER(SEARCH("R32",G431)),0)+IFERROR(--ISNUMBER(SEARCH("R33",G431)),0)+IFERROR(--ISNUMBER(SEARCH("R35",G431)),0)+IFERROR(--ISNUMBER(SEARCH("R36",G431)),0)+IFERROR(--ISNUMBER(SEARCH("R38",G431)),0)+IFERROR(--ISNUMBER(SEARCH("R39",G431)),0)+IFERROR(--ISNUMBER(SEARCH("R43",G431)),0)+IFERROR(--ISNUMBER(SEARCH("R44",G431)),0)+IFERROR(--ISNUMBER(SEARCH("R45",G431)),0)+IFERROR(--ISNUMBER(SEARCH("R47",G431)),0)+IFERROR(--ISNUMBER(SEARCH("R48",G431)),0)+IFERROR(--ISNUMBER(SEARCH("R50",G431)),0)+IFERROR(--ISNUMBER(SEARCH("R51",G431)),0)+IFERROR(--ISNUMBER(SEARCH("R56",G431)),0)+IFERROR(--ISNUMBER(SEARCH("R58",G431)),0)+IFERROR(--ISNUMBER(SEARCH("R59",G431)),0)+IFERROR(--ISNUMBER(SEARCH("R60",G431)),0)+IFERROR(--ISNUMBER(SEARCH("R62",G431)),0)+IFERROR(--ISNUMBER(SEARCH("R63",G431)),0)+IFERROR(--ISNUMBER(SEARCH("R64",G431)),0)+IFERROR(--ISNUMBER(SEARCH("R66",G431)),0)+IFERROR(--ISNUMBER(SEARCH("R67",G431)),0)+IFERROR(--ISNUMBER(SEARCH("R72",G431)),0)+IFERROR(--ISNUMBER(SEARCH("R74",G431)),0)+IFERROR(--ISNUMBER(SEARCH("R75",G431)),0)+IFERROR(--ISNUMBER(SEARCH("R76",G431)),0)+IFERROR(--ISNUMBER(SEARCH("R77",G431)),0)+IFERROR(--ISNUMBER(SEARCH("R79",G431)),0)+IFERROR(--ISNUMBER(SEARCH("R80",G431)),0)+IFERROR(--ISNUMBER(SEARCH("R81",G431)),0)+IFERROR(--ISNUMBER(SEARCH("R83",G431)),0)+IFERROR(--ISNUMBER(SEARCH("R84",G431)),0)+IFERROR(--ISNUMBER(SEARCH("R89",G431)),0)+IFERROR(--ISNUMBER(SEARCH("R94",G431)),0)+IFERROR(--ISNUMBER(SEARCH("R95",G431)),0)+IFERROR(--ISNUMBER(SEARCH("R96",G431)),0)+IFERROR(--ISNUMBER(SEARCH("R98",G431)),0)+IFERROR(--ISNUMBER(SEARCH("R99",G431)),0)+IFERROR(--ISNUMBER(SEARCH("R100",G431)),0)+IFERROR(--ISNUMBER(SEARCH("R104",G431)),0)+IFERROR(--ISNUMBER(SEARCH("R105",G431)),0)+IFERROR(--ISNUMBER(SEARCH("R107",G431)),0)+IFERROR(--ISNUMBER(SEARCH("R108",G431)),0)+IFERROR(--ISNUMBER(SEARCH("R109",G431)),0)+IFERROR(--ISNUMBER(SEARCH("R110",G431)),0)+IFERROR(--ISNUMBER(SEARCH("R112",G431)),0)+IFERROR(--ISNUMBER(SEARCH("R113",G431)),0)+IFERROR(--ISNUMBER(SEARCH("R114",G431)),0)+IFERROR(--ISNUMBER(SEARCH("R118",G431)),0)+IFERROR(--ISNUMBER(SEARCH("R119",G431)),0)+IFERROR(--ISNUMBER(SEARCH("R120",G431)),0)+IFERROR(--ISNUMBER(SEARCH("R122",G431)),0)+IFERROR(--ISNUMBER(SEARCH("R123",G431)),0)+IFERROR(--ISNUMBER(SEARCH("R124",G431)),0)+IFERROR(--ISNUMBER(SEARCH("R128",G431)),0)+IFERROR(--ISNUMBER(SEARCH("R130",G431)),0)+IFERROR(--ISNUMBER(SEARCH("R131",G431)),0)+IFERROR(--ISNUMBER(SEARCH("R132",G431)),0)+IFERROR(--ISNUMBER(SEARCH("R135",G431)),0)+IFERROR(--ISNUMBER(SEARCH("R138",G431)),0)+IFERROR(--ISNUMBER(SEARCH("R141",G431)),0))</f>
        <v/>
      </c>
      <c r="U431" s="58">
        <f>IF(A431="","",IFERROR(--ISNUMBER(SEARCH("R28",G431))*28,0)+IFERROR(--ISNUMBER(SEARCH("R29",G431))*29,0)+IFERROR(--ISNUMBER(SEARCH("R30",G431))*30,0)+IFERROR(--ISNUMBER(SEARCH("R31",G431))*31,0)+IFERROR(--ISNUMBER(SEARCH("R32",G431))*32,0)+IFERROR(--ISNUMBER(SEARCH("R33",G431))*33,0)+IFERROR(--ISNUMBER(SEARCH("R34",G431))*34,0)+IFERROR(--ISNUMBER(SEARCH("R35",G431))*35,0)+IFERROR(--ISNUMBER(SEARCH("R36",G431))*36,0)+IFERROR(--ISNUMBER(SEARCH("R37",G431))*37,0)+IFERROR(--ISNUMBER(SEARCH("R38",G431))*38,0)+IFERROR(--ISNUMBER(SEARCH("R39",G431))*39,0)+IFERROR(--ISNUMBER(SEARCH("R40",G431))*40,0)+IFERROR(--ISNUMBER(SEARCH("R41",G431))*41,0)+IFERROR(--ISNUMBER(SEARCH("R42",G431))*42,0)+IFERROR(--ISNUMBER(SEARCH("R43",G431))*43,0)+IFERROR(--ISNUMBER(SEARCH("R44",G431))*44,0)+IFERROR(--ISNUMBER(SEARCH("R45",G431))*45,0)+IFERROR(--ISNUMBER(SEARCH("R46",G431))*46,0)+IFERROR(--ISNUMBER(SEARCH("R47",G431))*47,0)+IFERROR(--ISNUMBER(SEARCH("R48",G431))*48,0)+IFERROR(--ISNUMBER(SEARCH("R49",G431))*49,0)+IFERROR(--ISNUMBER(SEARCH("R50",G431))*50,0)+IFERROR(--ISNUMBER(SEARCH("R51",G431))*51,0)+IFERROR(--ISNUMBER(SEARCH("R52",G431))*52,0)+IFERROR(--ISNUMBER(SEARCH("R53",G431))*53,0)+IFERROR(--ISNUMBER(SEARCH("R54",G431))*54,0)+IFERROR(--ISNUMBER(SEARCH("R55",G431))*55,0)+IFERROR(--ISNUMBER(SEARCH("R56",G431))*56,0)+IFERROR(--ISNUMBER(SEARCH("R57",G431))*57,0)+IFERROR(--ISNUMBER(SEARCH("R58",G431))*58,0)+IFERROR(--ISNUMBER(SEARCH("R59",G431))*59,0)+IFERROR(--ISNUMBER(SEARCH("R60",G431))*60,0)+IFERROR(--ISNUMBER(SEARCH("R61",G431))*61,0)+IFERROR(--ISNUMBER(SEARCH("R62",G431))*62,0)+IFERROR(--ISNUMBER(SEARCH("R63",G431))*63,0)+IFERROR(--ISNUMBER(SEARCH("R64",G431))*64,0)+IFERROR(--ISNUMBER(SEARCH("R65",G431))*65,0)+IFERROR(--ISNUMBER(SEARCH("R66",G431))*66,0)+IFERROR(--ISNUMBER(SEARCH("R67",G431))*67,0)+IFERROR(--ISNUMBER(SEARCH("R68",G431))*68,0)+IFERROR(--ISNUMBER(SEARCH("R69",G431))*69,0)+IFERROR(--ISNUMBER(SEARCH("R70",G431))*70,0)+IFERROR(--ISNUMBER(SEARCH("R71",G431))*71,0)+IFERROR(--ISNUMBER(SEARCH("R72",G431))*72,0)+IFERROR(--ISNUMBER(SEARCH("R73",G431))*73,0)+IFERROR(--ISNUMBER(SEARCH("R74",G431))*74,0)+IFERROR(--ISNUMBER(SEARCH("R75",G431))*75,0)+IFERROR(--ISNUMBER(SEARCH("R76",G431))*76,0)+IFERROR(--ISNUMBER(SEARCH("R77",G431))*77,0)+IFERROR(--ISNUMBER(SEARCH("R78",G431))*78,0)+IFERROR(--ISNUMBER(SEARCH("R79",G431))*79,0)+IFERROR(--ISNUMBER(SEARCH("R80",G431))*80,0)+IFERROR(--ISNUMBER(SEARCH("R81",G431))*81,0)+IFERROR(--ISNUMBER(SEARCH("R82",G431))*82,0)+IFERROR(--ISNUMBER(SEARCH("R83",G431))*83,0)+IFERROR(--ISNUMBER(SEARCH("R84",G431))*84,0)+IFERROR(--ISNUMBER(SEARCH("R85",G431))*85,0)+IFERROR(--ISNUMBER(SEARCH("R86",G431))*86,0)+IFERROR(--ISNUMBER(SEARCH("R87",G431))*87,0)+IFERROR(--ISNUMBER(SEARCH("R88",G431))*88,0)+IFERROR(--ISNUMBER(SEARCH("R89",G431))*89,0)+IFERROR(--ISNUMBER(SEARCH("R90",G431))*90,0)+IFERROR(--ISNUMBER(SEARCH("R91",G431))*91,0)+IFERROR(--ISNUMBER(SEARCH("R92",G431))*92,0)+IFERROR(--ISNUMBER(SEARCH("R93",G431))*93,0)+IFERROR(--ISNUMBER(SEARCH("R94",G431))*94,0)+IFERROR(--ISNUMBER(SEARCH("R95",G431))*95,0)+IFERROR(--ISNUMBER(SEARCH("R96",G431))*96,0)+IFERROR(--ISNUMBER(SEARCH("R97",G431))*97,0)+IFERROR(--ISNUMBER(SEARCH("R98",G431))*98,0)+IFERROR(--ISNUMBER(SEARCH("R99",G431))*99,0)+IFERROR(--ISNUMBER(SEARCH("R100",G431))*100,0)+IFERROR(--ISNUMBER(SEARCH("R101",G431))*101,0)+IFERROR(--ISNUMBER(SEARCH("R102",G431))*102,0)+IFERROR(--ISNUMBER(SEARCH("R103",G431))*103,0)+IFERROR(--ISNUMBER(SEARCH("R104",G431))*104,0)+IFERROR(--ISNUMBER(SEARCH("R105",G431))*105,0)+IFERROR(--ISNUMBER(SEARCH("R106",G431))*106,0)+IFERROR(--ISNUMBER(SEARCH("R107",G431))*107,0)+IFERROR(--ISNUMBER(SEARCH("R108",G431))*108,0)+IFERROR(--ISNUMBER(SEARCH("R109",G431))*109,0)+IFERROR(--ISNUMBER(SEARCH("R110",G431))*110,0)+IFERROR(--ISNUMBER(SEARCH("R111",G431))*111,0)+IFERROR(--ISNUMBER(SEARCH("R112",G431))*112,0)+IFERROR(--ISNUMBER(SEARCH("R113",G431))*113,0)+IFERROR(--ISNUMBER(SEARCH("R114",G431))*114,0)+IFERROR(--ISNUMBER(SEARCH("R115",G431))*115,0)+IFERROR(--ISNUMBER(SEARCH("R116",G431))*116,0)+IFERROR(--ISNUMBER(SEARCH("R117",G431))*117,0)+IFERROR(--ISNUMBER(SEARCH("R118",G431))*118,0)+IFERROR(--ISNUMBER(SEARCH("R119",G431))*119,0)+IFERROR(--ISNUMBER(SEARCH("R120",G431))*120,0)+IFERROR(--ISNUMBER(SEARCH("R121",G431))*121,0)+IFERROR(--ISNUMBER(SEARCH("R122",G431))*122,0)+IFERROR(--ISNUMBER(SEARCH("R123",G431))*123,0)+IFERROR(--ISNUMBER(SEARCH("R124",G431))*124,0)+IFERROR(--ISNUMBER(SEARCH("R125",G431))*125,0)+IFERROR(--ISNUMBER(SEARCH("R126",G431))*126,0)+IFERROR(--ISNUMBER(SEARCH("R127",G431))*127,0)+IFERROR(--ISNUMBER(SEARCH("R128",G431))*128,0)+IFERROR(--ISNUMBER(SEARCH("R129",G431))*129,0)+IFERROR(--ISNUMBER(SEARCH("R130",G431))*130,0)+IFERROR(--ISNUMBER(SEARCH("R131",G431))*131,0)+IFERROR(--ISNUMBER(SEARCH("R132",G431))*132,0)+IFERROR(--ISNUMBER(SEARCH("R133",G431))*133,0)+IFERROR(--ISNUMBER(SEARCH("R134",G431))*134,0)+IFERROR(--ISNUMBER(SEARCH("R135",G431))*135,0)+IFERROR(--ISNUMBER(SEARCH("R136",G431))*136,0)+IFERROR(--ISNUMBER(SEARCH("R137",G431))*137,0)+IFERROR(--ISNUMBER(SEARCH("R138",G431))*138,0)+IFERROR(--ISNUMBER(SEARCH("R139",G431))*139,0)+IFERROR(--ISNUMBER(SEARCH("R140",G431))*140,0)+IFERROR(--ISNUMBER(SEARCH("R141",G431))*141,0))</f>
        <v/>
      </c>
      <c r="V431" s="59">
        <f>IF(A431="","",IF(K431&lt;&gt;"",K431,J431))</f>
        <v/>
      </c>
      <c r="W431" s="59">
        <f>IF(A431="","",IF(AND(V431=29,O431&lt;&gt;"",COUNTIFS($V$6:$V$505,29,$F$6:$F$505,F431,$C$6:$C$505,C431,$O$6:$O$505,"&lt;&gt;")&gt;1),IF(COUNTIFS($V$6:V431,29,$F$6:F431,F431,$C$6:C431,C431,$O$6:O431,"&lt;&gt;")=1,"Esta es la fila que se debe CONSERVAR (aparición 1 de "&amp;COUNTIFS($V$6:$V$505,29,$F$6:$F$505,F431,$C$6:$C$505,C431,$O$6:$O$505,"&lt;&gt;")&amp;" con el mismo tercero y valor, casilla 29). Si hay más filas iguales, bórreles el valor a ELLAS, no a esta.","DUPLICADO — ya existe otra fila con el mismo tercero y valor para casilla 29 (aparición "&amp;COUNTIFS($V$6:V431,29,$F$6:F431,F431,$C$6:C431,C431,$O$6:O431,"&lt;&gt;")&amp;" de "&amp;COUNTIFS($V$6:$V$505,29,$F$6:$F$505,F431,$C$6:$C$505,C431,$O$6:$O$505,"&lt;&gt;")&amp;"). Para resolverlo: seleccione la celda O"&amp;ROW()&amp;" (columna Valor a declarar de ESTA fila) y presione Supr."),""))</f>
        <v/>
      </c>
      <c r="X431" s="463">
        <f>IF(A431="","",F431)</f>
        <v/>
      </c>
      <c r="Y431" s="463">
        <f>IF(A431="","",SUMIF(Entrada_Manual!$I$88:$I$187,A431,Entrada_Manual!$F$88:$F$187))</f>
        <v/>
      </c>
      <c r="Z431" s="463">
        <f>IF(A431="","",X431-Y431)</f>
        <v/>
      </c>
      <c r="AA431">
        <f>IF(A431="","",SUMPRODUCT((Entrada_Manual!$I$88:$I$187=A431)*1))</f>
        <v/>
      </c>
      <c r="AB431">
        <f>IF(A431="","",IF(S431&lt;=1,"",IF(AA431=0,"PENDIENTE — SIN ASIGNAR",IF(Z431=0,"RESUELTO","PARCIAL — DIFERENCIA "&amp;TEXT(Z431,"#,##0")))))</f>
        <v/>
      </c>
    </row>
    <row r="432" ht="14.25" customHeight="1" s="235">
      <c r="A432" s="47">
        <f>IF(Exogena_RAW!E441&lt;&gt;"",ROW()-5,"")</f>
        <v/>
      </c>
      <c r="B432" s="48">
        <f>IF(A432="","",441)</f>
        <v/>
      </c>
      <c r="C432" s="48">
        <f>IF(A432="","",IFERROR(Exogena_RAW!A441,""))</f>
        <v/>
      </c>
      <c r="D432" s="48">
        <f>IF(A432="","",IFERROR(Exogena_RAW!B441,""))</f>
        <v/>
      </c>
      <c r="E432" s="48">
        <f>IF(A432="","",Exogena_RAW!E441)</f>
        <v/>
      </c>
      <c r="F432" s="461">
        <f>IF(A432="","",Exogena_RAW!F441)</f>
        <v/>
      </c>
      <c r="G432" s="48">
        <f>IF(A432="","",IFERROR(Exogena_RAW!G441,""))</f>
        <v/>
      </c>
      <c r="H432" s="48">
        <f>IF(A432="","",IFERROR(Exogena_RAW!H441,""))</f>
        <v/>
      </c>
      <c r="I432" s="48">
        <f>IF(A432="","",IFERROR(IF(S432&gt;1,"VARIAS CASILLAS",IF(S432=1,IF(T432=1,"PROPUESTA DE CASILLA","REVISIÓN: CASILLA NO DIRECTA"),IF(OR(ISNUMBER(SEARCH("TOPE",UPPER(E432))),ISNUMBER(SEARCH("TOPE",UPPER(G432)))),"SOLO CONTROL",IF(ISNUMBER(SEARCH("RETEN",UPPER(E432))),"RETENCIÓN","REVISAR")))),"REVISAR"))</f>
        <v/>
      </c>
      <c r="J432" s="48">
        <f>IF(A432="","",IF(ISNUMBER(SEARCH("ingreso laboral promedio de los últimos seis meses",E432)),"",IFERROR(IF(AND(S432=1,T432=1),U432,""),"")))</f>
        <v/>
      </c>
      <c r="K432" s="216" t="n"/>
      <c r="L432" s="48">
        <f>IF(A432="","",IFERROR(IF(K432&lt;&gt;"","Casilla elegida por usuario",IF(S432&gt;1,"Varias casillas — elegir en K",IF(J432&lt;&gt;"","Sugerencia directa",IF(S432=1,"No trasladar directo — revisar",IF(OR(ISNUMBER(SEARCH("TOPE",UPPER(E432))),ISNUMBER(SEARCH("TOPE",UPPER(G432)))),"Solo control","Revisar manualmente"))))),"Revisar manualmente"))</f>
        <v/>
      </c>
      <c r="M432" s="461">
        <f>IF(A432="","",IF(IF(K432&lt;&gt;"",K432,J432)="",0,IF(COUNTIFS(Reglas!$I$5:$I$118,IF(K432&lt;&gt;"",K432,J432),Reglas!$J$5:$J$118,"Sí")=1,F432,0)))</f>
        <v/>
      </c>
      <c r="N432" s="56" t="n"/>
      <c r="O432" s="462">
        <f>IF(A432="","",IF(M432=0,"",M432))</f>
        <v/>
      </c>
      <c r="P432" s="461">
        <f>IF(A432="","",IF(O432="",0,IF(ISNUMBER(O432),O432,0)))</f>
        <v/>
      </c>
      <c r="Q432" s="48">
        <f>IF(A432="","",IF(Exogena_RAW!$C$4="","BLOQUEADO: FALTA AÑO",IF(Exogena_RAW!$K$10&lt;&gt;Reglas!$B$5,"BLOQUEADO: AÑO",IF(IF(K432&lt;&gt;"",K432,J432)="",IF(S432&gt;1,"REQUIERE ASIGNACIÓN MANUAL (VARIAS CASILLAS)","INFORMATIVO (sin casilla — no se declara)"),IF(COUNTIFS(Reglas!$I$5:$I$118,IF(K432&lt;&gt;"",K432,J432),Reglas!$J$5:$J$118,"Sí")=0,"BLOQUEADO: CASILLA NO DIRECTA",IF(O432="","EXCLUIDO (valor borrado por el usuario)",IF(_xlfn.ISFORMULA(O432),IF(W432&lt;&gt;"","BORRADOR — VALOR SUGERIDO DIAN ⚠ VER ALERTA","BORRADOR — VALOR SUGERIDO DIAN"),IF(W432&lt;&gt;"","ACEPTADO ⚠ VER ALERTA","ACEPTADO"))))))))</f>
        <v/>
      </c>
      <c r="R432" s="218" t="n"/>
      <c r="S432" s="58">
        <f>IF(A432="","",IFERROR(--ISNUMBER(SEARCH("R28",G432)),0)+IFERROR(--ISNUMBER(SEARCH("R29",G432)),0)+IFERROR(--ISNUMBER(SEARCH("R30",G432)),0)+IFERROR(--ISNUMBER(SEARCH("R31",G432)),0)+IFERROR(--ISNUMBER(SEARCH("R32",G432)),0)+IFERROR(--ISNUMBER(SEARCH("R33",G432)),0)+IFERROR(--ISNUMBER(SEARCH("R34",G432)),0)+IFERROR(--ISNUMBER(SEARCH("R35",G432)),0)+IFERROR(--ISNUMBER(SEARCH("R36",G432)),0)+IFERROR(--ISNUMBER(SEARCH("R37",G432)),0)+IFERROR(--ISNUMBER(SEARCH("R38",G432)),0)+IFERROR(--ISNUMBER(SEARCH("R39",G432)),0)+IFERROR(--ISNUMBER(SEARCH("R40",G432)),0)+IFERROR(--ISNUMBER(SEARCH("R41",G432)),0)+IFERROR(--ISNUMBER(SEARCH("R42",G432)),0)+IFERROR(--ISNUMBER(SEARCH("R43",G432)),0)+IFERROR(--ISNUMBER(SEARCH("R44",G432)),0)+IFERROR(--ISNUMBER(SEARCH("R45",G432)),0)+IFERROR(--ISNUMBER(SEARCH("R46",G432)),0)+IFERROR(--ISNUMBER(SEARCH("R47",G432)),0)+IFERROR(--ISNUMBER(SEARCH("R48",G432)),0)+IFERROR(--ISNUMBER(SEARCH("R49",G432)),0)+IFERROR(--ISNUMBER(SEARCH("R50",G432)),0)+IFERROR(--ISNUMBER(SEARCH("R51",G432)),0)+IFERROR(--ISNUMBER(SEARCH("R52",G432)),0)+IFERROR(--ISNUMBER(SEARCH("R53",G432)),0)+IFERROR(--ISNUMBER(SEARCH("R54",G432)),0)+IFERROR(--ISNUMBER(SEARCH("R55",G432)),0)+IFERROR(--ISNUMBER(SEARCH("R56",G432)),0)+IFERROR(--ISNUMBER(SEARCH("R57",G432)),0)+IFERROR(--ISNUMBER(SEARCH("R58",G432)),0)+IFERROR(--ISNUMBER(SEARCH("R59",G432)),0)+IFERROR(--ISNUMBER(SEARCH("R60",G432)),0)+IFERROR(--ISNUMBER(SEARCH("R61",G432)),0)+IFERROR(--ISNUMBER(SEARCH("R62",G432)),0)+IFERROR(--ISNUMBER(SEARCH("R63",G432)),0)+IFERROR(--ISNUMBER(SEARCH("R64",G432)),0)+IFERROR(--ISNUMBER(SEARCH("R65",G432)),0)+IFERROR(--ISNUMBER(SEARCH("R66",G432)),0)+IFERROR(--ISNUMBER(SEARCH("R67",G432)),0)+IFERROR(--ISNUMBER(SEARCH("R68",G432)),0)+IFERROR(--ISNUMBER(SEARCH("R69",G432)),0)+IFERROR(--ISNUMBER(SEARCH("R70",G432)),0)+IFERROR(--ISNUMBER(SEARCH("R71",G432)),0)+IFERROR(--ISNUMBER(SEARCH("R72",G432)),0)+IFERROR(--ISNUMBER(SEARCH("R73",G432)),0)+IFERROR(--ISNUMBER(SEARCH("R74",G432)),0)+IFERROR(--ISNUMBER(SEARCH("R75",G432)),0)+IFERROR(--ISNUMBER(SEARCH("R76",G432)),0)+IFERROR(--ISNUMBER(SEARCH("R77",G432)),0)+IFERROR(--ISNUMBER(SEARCH("R78",G432)),0)+IFERROR(--ISNUMBER(SEARCH("R79",G432)),0)+IFERROR(--ISNUMBER(SEARCH("R80",G432)),0)+IFERROR(--ISNUMBER(SEARCH("R81",G432)),0)+IFERROR(--ISNUMBER(SEARCH("R82",G432)),0)+IFERROR(--ISNUMBER(SEARCH("R83",G432)),0)+IFERROR(--ISNUMBER(SEARCH("R84",G432)),0)+IFERROR(--ISNUMBER(SEARCH("R85",G432)),0)+IFERROR(--ISNUMBER(SEARCH("R86",G432)),0)+IFERROR(--ISNUMBER(SEARCH("R87",G432)),0)+IFERROR(--ISNUMBER(SEARCH("R88",G432)),0)+IFERROR(--ISNUMBER(SEARCH("R89",G432)),0)+IFERROR(--ISNUMBER(SEARCH("R90",G432)),0)+IFERROR(--ISNUMBER(SEARCH("R91",G432)),0)+IFERROR(--ISNUMBER(SEARCH("R92",G432)),0)+IFERROR(--ISNUMBER(SEARCH("R93",G432)),0)+IFERROR(--ISNUMBER(SEARCH("R94",G432)),0)+IFERROR(--ISNUMBER(SEARCH("R95",G432)),0)+IFERROR(--ISNUMBER(SEARCH("R96",G432)),0)+IFERROR(--ISNUMBER(SEARCH("R97",G432)),0)+IFERROR(--ISNUMBER(SEARCH("R98",G432)),0)+IFERROR(--ISNUMBER(SEARCH("R99",G432)),0)+IFERROR(--ISNUMBER(SEARCH("R100",G432)),0)+IFERROR(--ISNUMBER(SEARCH("R101",G432)),0)+IFERROR(--ISNUMBER(SEARCH("R102",G432)),0)+IFERROR(--ISNUMBER(SEARCH("R103",G432)),0)+IFERROR(--ISNUMBER(SEARCH("R104",G432)),0)+IFERROR(--ISNUMBER(SEARCH("R105",G432)),0)+IFERROR(--ISNUMBER(SEARCH("R106",G432)),0)+IFERROR(--ISNUMBER(SEARCH("R107",G432)),0)+IFERROR(--ISNUMBER(SEARCH("R108",G432)),0)+IFERROR(--ISNUMBER(SEARCH("R109",G432)),0)+IFERROR(--ISNUMBER(SEARCH("R110",G432)),0)+IFERROR(--ISNUMBER(SEARCH("R111",G432)),0)+IFERROR(--ISNUMBER(SEARCH("R112",G432)),0)+IFERROR(--ISNUMBER(SEARCH("R113",G432)),0)+IFERROR(--ISNUMBER(SEARCH("R114",G432)),0)+IFERROR(--ISNUMBER(SEARCH("R115",G432)),0)+IFERROR(--ISNUMBER(SEARCH("R116",G432)),0)+IFERROR(--ISNUMBER(SEARCH("R117",G432)),0)+IFERROR(--ISNUMBER(SEARCH("R118",G432)),0)+IFERROR(--ISNUMBER(SEARCH("R119",G432)),0)+IFERROR(--ISNUMBER(SEARCH("R120",G432)),0)+IFERROR(--ISNUMBER(SEARCH("R121",G432)),0)+IFERROR(--ISNUMBER(SEARCH("R122",G432)),0)+IFERROR(--ISNUMBER(SEARCH("R123",G432)),0)+IFERROR(--ISNUMBER(SEARCH("R124",G432)),0)+IFERROR(--ISNUMBER(SEARCH("R125",G432)),0)+IFERROR(--ISNUMBER(SEARCH("R126",G432)),0)+IFERROR(--ISNUMBER(SEARCH("R127",G432)),0)+IFERROR(--ISNUMBER(SEARCH("R128",G432)),0)+IFERROR(--ISNUMBER(SEARCH("R129",G432)),0)+IFERROR(--ISNUMBER(SEARCH("R130",G432)),0)+IFERROR(--ISNUMBER(SEARCH("R131",G432)),0)+IFERROR(--ISNUMBER(SEARCH("R132",G432)),0)+IFERROR(--ISNUMBER(SEARCH("R133",G432)),0)+IFERROR(--ISNUMBER(SEARCH("R134",G432)),0)+IFERROR(--ISNUMBER(SEARCH("R135",G432)),0)+IFERROR(--ISNUMBER(SEARCH("R136",G432)),0)+IFERROR(--ISNUMBER(SEARCH("R137",G432)),0)+IFERROR(--ISNUMBER(SEARCH("R138",G432)),0)+IFERROR(--ISNUMBER(SEARCH("R139",G432)),0)+IFERROR(--ISNUMBER(SEARCH("R140",G432)),0)+IFERROR(--ISNUMBER(SEARCH("R141",G432)),0))</f>
        <v/>
      </c>
      <c r="T432" s="58">
        <f>IF(A432="","",IFERROR(--ISNUMBER(SEARCH("R28",G432)),0)+IFERROR(--ISNUMBER(SEARCH("R29",G432)),0)+IFERROR(--ISNUMBER(SEARCH("R30",G432)),0)+IFERROR(--ISNUMBER(SEARCH("R32",G432)),0)+IFERROR(--ISNUMBER(SEARCH("R33",G432)),0)+IFERROR(--ISNUMBER(SEARCH("R35",G432)),0)+IFERROR(--ISNUMBER(SEARCH("R36",G432)),0)+IFERROR(--ISNUMBER(SEARCH("R38",G432)),0)+IFERROR(--ISNUMBER(SEARCH("R39",G432)),0)+IFERROR(--ISNUMBER(SEARCH("R43",G432)),0)+IFERROR(--ISNUMBER(SEARCH("R44",G432)),0)+IFERROR(--ISNUMBER(SEARCH("R45",G432)),0)+IFERROR(--ISNUMBER(SEARCH("R47",G432)),0)+IFERROR(--ISNUMBER(SEARCH("R48",G432)),0)+IFERROR(--ISNUMBER(SEARCH("R50",G432)),0)+IFERROR(--ISNUMBER(SEARCH("R51",G432)),0)+IFERROR(--ISNUMBER(SEARCH("R56",G432)),0)+IFERROR(--ISNUMBER(SEARCH("R58",G432)),0)+IFERROR(--ISNUMBER(SEARCH("R59",G432)),0)+IFERROR(--ISNUMBER(SEARCH("R60",G432)),0)+IFERROR(--ISNUMBER(SEARCH("R62",G432)),0)+IFERROR(--ISNUMBER(SEARCH("R63",G432)),0)+IFERROR(--ISNUMBER(SEARCH("R64",G432)),0)+IFERROR(--ISNUMBER(SEARCH("R66",G432)),0)+IFERROR(--ISNUMBER(SEARCH("R67",G432)),0)+IFERROR(--ISNUMBER(SEARCH("R72",G432)),0)+IFERROR(--ISNUMBER(SEARCH("R74",G432)),0)+IFERROR(--ISNUMBER(SEARCH("R75",G432)),0)+IFERROR(--ISNUMBER(SEARCH("R76",G432)),0)+IFERROR(--ISNUMBER(SEARCH("R77",G432)),0)+IFERROR(--ISNUMBER(SEARCH("R79",G432)),0)+IFERROR(--ISNUMBER(SEARCH("R80",G432)),0)+IFERROR(--ISNUMBER(SEARCH("R81",G432)),0)+IFERROR(--ISNUMBER(SEARCH("R83",G432)),0)+IFERROR(--ISNUMBER(SEARCH("R84",G432)),0)+IFERROR(--ISNUMBER(SEARCH("R89",G432)),0)+IFERROR(--ISNUMBER(SEARCH("R94",G432)),0)+IFERROR(--ISNUMBER(SEARCH("R95",G432)),0)+IFERROR(--ISNUMBER(SEARCH("R96",G432)),0)+IFERROR(--ISNUMBER(SEARCH("R98",G432)),0)+IFERROR(--ISNUMBER(SEARCH("R99",G432)),0)+IFERROR(--ISNUMBER(SEARCH("R100",G432)),0)+IFERROR(--ISNUMBER(SEARCH("R104",G432)),0)+IFERROR(--ISNUMBER(SEARCH("R105",G432)),0)+IFERROR(--ISNUMBER(SEARCH("R107",G432)),0)+IFERROR(--ISNUMBER(SEARCH("R108",G432)),0)+IFERROR(--ISNUMBER(SEARCH("R109",G432)),0)+IFERROR(--ISNUMBER(SEARCH("R110",G432)),0)+IFERROR(--ISNUMBER(SEARCH("R112",G432)),0)+IFERROR(--ISNUMBER(SEARCH("R113",G432)),0)+IFERROR(--ISNUMBER(SEARCH("R114",G432)),0)+IFERROR(--ISNUMBER(SEARCH("R118",G432)),0)+IFERROR(--ISNUMBER(SEARCH("R119",G432)),0)+IFERROR(--ISNUMBER(SEARCH("R120",G432)),0)+IFERROR(--ISNUMBER(SEARCH("R122",G432)),0)+IFERROR(--ISNUMBER(SEARCH("R123",G432)),0)+IFERROR(--ISNUMBER(SEARCH("R124",G432)),0)+IFERROR(--ISNUMBER(SEARCH("R128",G432)),0)+IFERROR(--ISNUMBER(SEARCH("R130",G432)),0)+IFERROR(--ISNUMBER(SEARCH("R131",G432)),0)+IFERROR(--ISNUMBER(SEARCH("R132",G432)),0)+IFERROR(--ISNUMBER(SEARCH("R135",G432)),0)+IFERROR(--ISNUMBER(SEARCH("R138",G432)),0)+IFERROR(--ISNUMBER(SEARCH("R141",G432)),0))</f>
        <v/>
      </c>
      <c r="U432" s="58">
        <f>IF(A432="","",IFERROR(--ISNUMBER(SEARCH("R28",G432))*28,0)+IFERROR(--ISNUMBER(SEARCH("R29",G432))*29,0)+IFERROR(--ISNUMBER(SEARCH("R30",G432))*30,0)+IFERROR(--ISNUMBER(SEARCH("R31",G432))*31,0)+IFERROR(--ISNUMBER(SEARCH("R32",G432))*32,0)+IFERROR(--ISNUMBER(SEARCH("R33",G432))*33,0)+IFERROR(--ISNUMBER(SEARCH("R34",G432))*34,0)+IFERROR(--ISNUMBER(SEARCH("R35",G432))*35,0)+IFERROR(--ISNUMBER(SEARCH("R36",G432))*36,0)+IFERROR(--ISNUMBER(SEARCH("R37",G432))*37,0)+IFERROR(--ISNUMBER(SEARCH("R38",G432))*38,0)+IFERROR(--ISNUMBER(SEARCH("R39",G432))*39,0)+IFERROR(--ISNUMBER(SEARCH("R40",G432))*40,0)+IFERROR(--ISNUMBER(SEARCH("R41",G432))*41,0)+IFERROR(--ISNUMBER(SEARCH("R42",G432))*42,0)+IFERROR(--ISNUMBER(SEARCH("R43",G432))*43,0)+IFERROR(--ISNUMBER(SEARCH("R44",G432))*44,0)+IFERROR(--ISNUMBER(SEARCH("R45",G432))*45,0)+IFERROR(--ISNUMBER(SEARCH("R46",G432))*46,0)+IFERROR(--ISNUMBER(SEARCH("R47",G432))*47,0)+IFERROR(--ISNUMBER(SEARCH("R48",G432))*48,0)+IFERROR(--ISNUMBER(SEARCH("R49",G432))*49,0)+IFERROR(--ISNUMBER(SEARCH("R50",G432))*50,0)+IFERROR(--ISNUMBER(SEARCH("R51",G432))*51,0)+IFERROR(--ISNUMBER(SEARCH("R52",G432))*52,0)+IFERROR(--ISNUMBER(SEARCH("R53",G432))*53,0)+IFERROR(--ISNUMBER(SEARCH("R54",G432))*54,0)+IFERROR(--ISNUMBER(SEARCH("R55",G432))*55,0)+IFERROR(--ISNUMBER(SEARCH("R56",G432))*56,0)+IFERROR(--ISNUMBER(SEARCH("R57",G432))*57,0)+IFERROR(--ISNUMBER(SEARCH("R58",G432))*58,0)+IFERROR(--ISNUMBER(SEARCH("R59",G432))*59,0)+IFERROR(--ISNUMBER(SEARCH("R60",G432))*60,0)+IFERROR(--ISNUMBER(SEARCH("R61",G432))*61,0)+IFERROR(--ISNUMBER(SEARCH("R62",G432))*62,0)+IFERROR(--ISNUMBER(SEARCH("R63",G432))*63,0)+IFERROR(--ISNUMBER(SEARCH("R64",G432))*64,0)+IFERROR(--ISNUMBER(SEARCH("R65",G432))*65,0)+IFERROR(--ISNUMBER(SEARCH("R66",G432))*66,0)+IFERROR(--ISNUMBER(SEARCH("R67",G432))*67,0)+IFERROR(--ISNUMBER(SEARCH("R68",G432))*68,0)+IFERROR(--ISNUMBER(SEARCH("R69",G432))*69,0)+IFERROR(--ISNUMBER(SEARCH("R70",G432))*70,0)+IFERROR(--ISNUMBER(SEARCH("R71",G432))*71,0)+IFERROR(--ISNUMBER(SEARCH("R72",G432))*72,0)+IFERROR(--ISNUMBER(SEARCH("R73",G432))*73,0)+IFERROR(--ISNUMBER(SEARCH("R74",G432))*74,0)+IFERROR(--ISNUMBER(SEARCH("R75",G432))*75,0)+IFERROR(--ISNUMBER(SEARCH("R76",G432))*76,0)+IFERROR(--ISNUMBER(SEARCH("R77",G432))*77,0)+IFERROR(--ISNUMBER(SEARCH("R78",G432))*78,0)+IFERROR(--ISNUMBER(SEARCH("R79",G432))*79,0)+IFERROR(--ISNUMBER(SEARCH("R80",G432))*80,0)+IFERROR(--ISNUMBER(SEARCH("R81",G432))*81,0)+IFERROR(--ISNUMBER(SEARCH("R82",G432))*82,0)+IFERROR(--ISNUMBER(SEARCH("R83",G432))*83,0)+IFERROR(--ISNUMBER(SEARCH("R84",G432))*84,0)+IFERROR(--ISNUMBER(SEARCH("R85",G432))*85,0)+IFERROR(--ISNUMBER(SEARCH("R86",G432))*86,0)+IFERROR(--ISNUMBER(SEARCH("R87",G432))*87,0)+IFERROR(--ISNUMBER(SEARCH("R88",G432))*88,0)+IFERROR(--ISNUMBER(SEARCH("R89",G432))*89,0)+IFERROR(--ISNUMBER(SEARCH("R90",G432))*90,0)+IFERROR(--ISNUMBER(SEARCH("R91",G432))*91,0)+IFERROR(--ISNUMBER(SEARCH("R92",G432))*92,0)+IFERROR(--ISNUMBER(SEARCH("R93",G432))*93,0)+IFERROR(--ISNUMBER(SEARCH("R94",G432))*94,0)+IFERROR(--ISNUMBER(SEARCH("R95",G432))*95,0)+IFERROR(--ISNUMBER(SEARCH("R96",G432))*96,0)+IFERROR(--ISNUMBER(SEARCH("R97",G432))*97,0)+IFERROR(--ISNUMBER(SEARCH("R98",G432))*98,0)+IFERROR(--ISNUMBER(SEARCH("R99",G432))*99,0)+IFERROR(--ISNUMBER(SEARCH("R100",G432))*100,0)+IFERROR(--ISNUMBER(SEARCH("R101",G432))*101,0)+IFERROR(--ISNUMBER(SEARCH("R102",G432))*102,0)+IFERROR(--ISNUMBER(SEARCH("R103",G432))*103,0)+IFERROR(--ISNUMBER(SEARCH("R104",G432))*104,0)+IFERROR(--ISNUMBER(SEARCH("R105",G432))*105,0)+IFERROR(--ISNUMBER(SEARCH("R106",G432))*106,0)+IFERROR(--ISNUMBER(SEARCH("R107",G432))*107,0)+IFERROR(--ISNUMBER(SEARCH("R108",G432))*108,0)+IFERROR(--ISNUMBER(SEARCH("R109",G432))*109,0)+IFERROR(--ISNUMBER(SEARCH("R110",G432))*110,0)+IFERROR(--ISNUMBER(SEARCH("R111",G432))*111,0)+IFERROR(--ISNUMBER(SEARCH("R112",G432))*112,0)+IFERROR(--ISNUMBER(SEARCH("R113",G432))*113,0)+IFERROR(--ISNUMBER(SEARCH("R114",G432))*114,0)+IFERROR(--ISNUMBER(SEARCH("R115",G432))*115,0)+IFERROR(--ISNUMBER(SEARCH("R116",G432))*116,0)+IFERROR(--ISNUMBER(SEARCH("R117",G432))*117,0)+IFERROR(--ISNUMBER(SEARCH("R118",G432))*118,0)+IFERROR(--ISNUMBER(SEARCH("R119",G432))*119,0)+IFERROR(--ISNUMBER(SEARCH("R120",G432))*120,0)+IFERROR(--ISNUMBER(SEARCH("R121",G432))*121,0)+IFERROR(--ISNUMBER(SEARCH("R122",G432))*122,0)+IFERROR(--ISNUMBER(SEARCH("R123",G432))*123,0)+IFERROR(--ISNUMBER(SEARCH("R124",G432))*124,0)+IFERROR(--ISNUMBER(SEARCH("R125",G432))*125,0)+IFERROR(--ISNUMBER(SEARCH("R126",G432))*126,0)+IFERROR(--ISNUMBER(SEARCH("R127",G432))*127,0)+IFERROR(--ISNUMBER(SEARCH("R128",G432))*128,0)+IFERROR(--ISNUMBER(SEARCH("R129",G432))*129,0)+IFERROR(--ISNUMBER(SEARCH("R130",G432))*130,0)+IFERROR(--ISNUMBER(SEARCH("R131",G432))*131,0)+IFERROR(--ISNUMBER(SEARCH("R132",G432))*132,0)+IFERROR(--ISNUMBER(SEARCH("R133",G432))*133,0)+IFERROR(--ISNUMBER(SEARCH("R134",G432))*134,0)+IFERROR(--ISNUMBER(SEARCH("R135",G432))*135,0)+IFERROR(--ISNUMBER(SEARCH("R136",G432))*136,0)+IFERROR(--ISNUMBER(SEARCH("R137",G432))*137,0)+IFERROR(--ISNUMBER(SEARCH("R138",G432))*138,0)+IFERROR(--ISNUMBER(SEARCH("R139",G432))*139,0)+IFERROR(--ISNUMBER(SEARCH("R140",G432))*140,0)+IFERROR(--ISNUMBER(SEARCH("R141",G432))*141,0))</f>
        <v/>
      </c>
      <c r="V432" s="59">
        <f>IF(A432="","",IF(K432&lt;&gt;"",K432,J432))</f>
        <v/>
      </c>
      <c r="W432" s="59">
        <f>IF(A432="","",IF(AND(V432=29,O432&lt;&gt;"",COUNTIFS($V$6:$V$505,29,$F$6:$F$505,F432,$C$6:$C$505,C432,$O$6:$O$505,"&lt;&gt;")&gt;1),IF(COUNTIFS($V$6:V432,29,$F$6:F432,F432,$C$6:C432,C432,$O$6:O432,"&lt;&gt;")=1,"Esta es la fila que se debe CONSERVAR (aparición 1 de "&amp;COUNTIFS($V$6:$V$505,29,$F$6:$F$505,F432,$C$6:$C$505,C432,$O$6:$O$505,"&lt;&gt;")&amp;" con el mismo tercero y valor, casilla 29). Si hay más filas iguales, bórreles el valor a ELLAS, no a esta.","DUPLICADO — ya existe otra fila con el mismo tercero y valor para casilla 29 (aparición "&amp;COUNTIFS($V$6:V432,29,$F$6:F432,F432,$C$6:C432,C432,$O$6:O432,"&lt;&gt;")&amp;" de "&amp;COUNTIFS($V$6:$V$505,29,$F$6:$F$505,F432,$C$6:$C$505,C432,$O$6:$O$505,"&lt;&gt;")&amp;"). Para resolverlo: seleccione la celda O"&amp;ROW()&amp;" (columna Valor a declarar de ESTA fila) y presione Supr."),""))</f>
        <v/>
      </c>
      <c r="X432" s="463">
        <f>IF(A432="","",F432)</f>
        <v/>
      </c>
      <c r="Y432" s="463">
        <f>IF(A432="","",SUMIF(Entrada_Manual!$I$88:$I$187,A432,Entrada_Manual!$F$88:$F$187))</f>
        <v/>
      </c>
      <c r="Z432" s="463">
        <f>IF(A432="","",X432-Y432)</f>
        <v/>
      </c>
      <c r="AA432">
        <f>IF(A432="","",SUMPRODUCT((Entrada_Manual!$I$88:$I$187=A432)*1))</f>
        <v/>
      </c>
      <c r="AB432">
        <f>IF(A432="","",IF(S432&lt;=1,"",IF(AA432=0,"PENDIENTE — SIN ASIGNAR",IF(Z432=0,"RESUELTO","PARCIAL — DIFERENCIA "&amp;TEXT(Z432,"#,##0")))))</f>
        <v/>
      </c>
    </row>
    <row r="433" ht="14.25" customHeight="1" s="235">
      <c r="A433" s="47">
        <f>IF(Exogena_RAW!E442&lt;&gt;"",ROW()-5,"")</f>
        <v/>
      </c>
      <c r="B433" s="48">
        <f>IF(A433="","",442)</f>
        <v/>
      </c>
      <c r="C433" s="48">
        <f>IF(A433="","",IFERROR(Exogena_RAW!A442,""))</f>
        <v/>
      </c>
      <c r="D433" s="48">
        <f>IF(A433="","",IFERROR(Exogena_RAW!B442,""))</f>
        <v/>
      </c>
      <c r="E433" s="48">
        <f>IF(A433="","",Exogena_RAW!E442)</f>
        <v/>
      </c>
      <c r="F433" s="461">
        <f>IF(A433="","",Exogena_RAW!F442)</f>
        <v/>
      </c>
      <c r="G433" s="48">
        <f>IF(A433="","",IFERROR(Exogena_RAW!G442,""))</f>
        <v/>
      </c>
      <c r="H433" s="48">
        <f>IF(A433="","",IFERROR(Exogena_RAW!H442,""))</f>
        <v/>
      </c>
      <c r="I433" s="48">
        <f>IF(A433="","",IFERROR(IF(S433&gt;1,"VARIAS CASILLAS",IF(S433=1,IF(T433=1,"PROPUESTA DE CASILLA","REVISIÓN: CASILLA NO DIRECTA"),IF(OR(ISNUMBER(SEARCH("TOPE",UPPER(E433))),ISNUMBER(SEARCH("TOPE",UPPER(G433)))),"SOLO CONTROL",IF(ISNUMBER(SEARCH("RETEN",UPPER(E433))),"RETENCIÓN","REVISAR")))),"REVISAR"))</f>
        <v/>
      </c>
      <c r="J433" s="48">
        <f>IF(A433="","",IF(ISNUMBER(SEARCH("ingreso laboral promedio de los últimos seis meses",E433)),"",IFERROR(IF(AND(S433=1,T433=1),U433,""),"")))</f>
        <v/>
      </c>
      <c r="K433" s="216" t="n"/>
      <c r="L433" s="48">
        <f>IF(A433="","",IFERROR(IF(K433&lt;&gt;"","Casilla elegida por usuario",IF(S433&gt;1,"Varias casillas — elegir en K",IF(J433&lt;&gt;"","Sugerencia directa",IF(S433=1,"No trasladar directo — revisar",IF(OR(ISNUMBER(SEARCH("TOPE",UPPER(E433))),ISNUMBER(SEARCH("TOPE",UPPER(G433)))),"Solo control","Revisar manualmente"))))),"Revisar manualmente"))</f>
        <v/>
      </c>
      <c r="M433" s="461">
        <f>IF(A433="","",IF(IF(K433&lt;&gt;"",K433,J433)="",0,IF(COUNTIFS(Reglas!$I$5:$I$118,IF(K433&lt;&gt;"",K433,J433),Reglas!$J$5:$J$118,"Sí")=1,F433,0)))</f>
        <v/>
      </c>
      <c r="N433" s="56" t="n"/>
      <c r="O433" s="462">
        <f>IF(A433="","",IF(M433=0,"",M433))</f>
        <v/>
      </c>
      <c r="P433" s="461">
        <f>IF(A433="","",IF(O433="",0,IF(ISNUMBER(O433),O433,0)))</f>
        <v/>
      </c>
      <c r="Q433" s="48">
        <f>IF(A433="","",IF(Exogena_RAW!$C$4="","BLOQUEADO: FALTA AÑO",IF(Exogena_RAW!$K$10&lt;&gt;Reglas!$B$5,"BLOQUEADO: AÑO",IF(IF(K433&lt;&gt;"",K433,J433)="",IF(S433&gt;1,"REQUIERE ASIGNACIÓN MANUAL (VARIAS CASILLAS)","INFORMATIVO (sin casilla — no se declara)"),IF(COUNTIFS(Reglas!$I$5:$I$118,IF(K433&lt;&gt;"",K433,J433),Reglas!$J$5:$J$118,"Sí")=0,"BLOQUEADO: CASILLA NO DIRECTA",IF(O433="","EXCLUIDO (valor borrado por el usuario)",IF(_xlfn.ISFORMULA(O433),IF(W433&lt;&gt;"","BORRADOR — VALOR SUGERIDO DIAN ⚠ VER ALERTA","BORRADOR — VALOR SUGERIDO DIAN"),IF(W433&lt;&gt;"","ACEPTADO ⚠ VER ALERTA","ACEPTADO"))))))))</f>
        <v/>
      </c>
      <c r="R433" s="218" t="n"/>
      <c r="S433" s="58">
        <f>IF(A433="","",IFERROR(--ISNUMBER(SEARCH("R28",G433)),0)+IFERROR(--ISNUMBER(SEARCH("R29",G433)),0)+IFERROR(--ISNUMBER(SEARCH("R30",G433)),0)+IFERROR(--ISNUMBER(SEARCH("R31",G433)),0)+IFERROR(--ISNUMBER(SEARCH("R32",G433)),0)+IFERROR(--ISNUMBER(SEARCH("R33",G433)),0)+IFERROR(--ISNUMBER(SEARCH("R34",G433)),0)+IFERROR(--ISNUMBER(SEARCH("R35",G433)),0)+IFERROR(--ISNUMBER(SEARCH("R36",G433)),0)+IFERROR(--ISNUMBER(SEARCH("R37",G433)),0)+IFERROR(--ISNUMBER(SEARCH("R38",G433)),0)+IFERROR(--ISNUMBER(SEARCH("R39",G433)),0)+IFERROR(--ISNUMBER(SEARCH("R40",G433)),0)+IFERROR(--ISNUMBER(SEARCH("R41",G433)),0)+IFERROR(--ISNUMBER(SEARCH("R42",G433)),0)+IFERROR(--ISNUMBER(SEARCH("R43",G433)),0)+IFERROR(--ISNUMBER(SEARCH("R44",G433)),0)+IFERROR(--ISNUMBER(SEARCH("R45",G433)),0)+IFERROR(--ISNUMBER(SEARCH("R46",G433)),0)+IFERROR(--ISNUMBER(SEARCH("R47",G433)),0)+IFERROR(--ISNUMBER(SEARCH("R48",G433)),0)+IFERROR(--ISNUMBER(SEARCH("R49",G433)),0)+IFERROR(--ISNUMBER(SEARCH("R50",G433)),0)+IFERROR(--ISNUMBER(SEARCH("R51",G433)),0)+IFERROR(--ISNUMBER(SEARCH("R52",G433)),0)+IFERROR(--ISNUMBER(SEARCH("R53",G433)),0)+IFERROR(--ISNUMBER(SEARCH("R54",G433)),0)+IFERROR(--ISNUMBER(SEARCH("R55",G433)),0)+IFERROR(--ISNUMBER(SEARCH("R56",G433)),0)+IFERROR(--ISNUMBER(SEARCH("R57",G433)),0)+IFERROR(--ISNUMBER(SEARCH("R58",G433)),0)+IFERROR(--ISNUMBER(SEARCH("R59",G433)),0)+IFERROR(--ISNUMBER(SEARCH("R60",G433)),0)+IFERROR(--ISNUMBER(SEARCH("R61",G433)),0)+IFERROR(--ISNUMBER(SEARCH("R62",G433)),0)+IFERROR(--ISNUMBER(SEARCH("R63",G433)),0)+IFERROR(--ISNUMBER(SEARCH("R64",G433)),0)+IFERROR(--ISNUMBER(SEARCH("R65",G433)),0)+IFERROR(--ISNUMBER(SEARCH("R66",G433)),0)+IFERROR(--ISNUMBER(SEARCH("R67",G433)),0)+IFERROR(--ISNUMBER(SEARCH("R68",G433)),0)+IFERROR(--ISNUMBER(SEARCH("R69",G433)),0)+IFERROR(--ISNUMBER(SEARCH("R70",G433)),0)+IFERROR(--ISNUMBER(SEARCH("R71",G433)),0)+IFERROR(--ISNUMBER(SEARCH("R72",G433)),0)+IFERROR(--ISNUMBER(SEARCH("R73",G433)),0)+IFERROR(--ISNUMBER(SEARCH("R74",G433)),0)+IFERROR(--ISNUMBER(SEARCH("R75",G433)),0)+IFERROR(--ISNUMBER(SEARCH("R76",G433)),0)+IFERROR(--ISNUMBER(SEARCH("R77",G433)),0)+IFERROR(--ISNUMBER(SEARCH("R78",G433)),0)+IFERROR(--ISNUMBER(SEARCH("R79",G433)),0)+IFERROR(--ISNUMBER(SEARCH("R80",G433)),0)+IFERROR(--ISNUMBER(SEARCH("R81",G433)),0)+IFERROR(--ISNUMBER(SEARCH("R82",G433)),0)+IFERROR(--ISNUMBER(SEARCH("R83",G433)),0)+IFERROR(--ISNUMBER(SEARCH("R84",G433)),0)+IFERROR(--ISNUMBER(SEARCH("R85",G433)),0)+IFERROR(--ISNUMBER(SEARCH("R86",G433)),0)+IFERROR(--ISNUMBER(SEARCH("R87",G433)),0)+IFERROR(--ISNUMBER(SEARCH("R88",G433)),0)+IFERROR(--ISNUMBER(SEARCH("R89",G433)),0)+IFERROR(--ISNUMBER(SEARCH("R90",G433)),0)+IFERROR(--ISNUMBER(SEARCH("R91",G433)),0)+IFERROR(--ISNUMBER(SEARCH("R92",G433)),0)+IFERROR(--ISNUMBER(SEARCH("R93",G433)),0)+IFERROR(--ISNUMBER(SEARCH("R94",G433)),0)+IFERROR(--ISNUMBER(SEARCH("R95",G433)),0)+IFERROR(--ISNUMBER(SEARCH("R96",G433)),0)+IFERROR(--ISNUMBER(SEARCH("R97",G433)),0)+IFERROR(--ISNUMBER(SEARCH("R98",G433)),0)+IFERROR(--ISNUMBER(SEARCH("R99",G433)),0)+IFERROR(--ISNUMBER(SEARCH("R100",G433)),0)+IFERROR(--ISNUMBER(SEARCH("R101",G433)),0)+IFERROR(--ISNUMBER(SEARCH("R102",G433)),0)+IFERROR(--ISNUMBER(SEARCH("R103",G433)),0)+IFERROR(--ISNUMBER(SEARCH("R104",G433)),0)+IFERROR(--ISNUMBER(SEARCH("R105",G433)),0)+IFERROR(--ISNUMBER(SEARCH("R106",G433)),0)+IFERROR(--ISNUMBER(SEARCH("R107",G433)),0)+IFERROR(--ISNUMBER(SEARCH("R108",G433)),0)+IFERROR(--ISNUMBER(SEARCH("R109",G433)),0)+IFERROR(--ISNUMBER(SEARCH("R110",G433)),0)+IFERROR(--ISNUMBER(SEARCH("R111",G433)),0)+IFERROR(--ISNUMBER(SEARCH("R112",G433)),0)+IFERROR(--ISNUMBER(SEARCH("R113",G433)),0)+IFERROR(--ISNUMBER(SEARCH("R114",G433)),0)+IFERROR(--ISNUMBER(SEARCH("R115",G433)),0)+IFERROR(--ISNUMBER(SEARCH("R116",G433)),0)+IFERROR(--ISNUMBER(SEARCH("R117",G433)),0)+IFERROR(--ISNUMBER(SEARCH("R118",G433)),0)+IFERROR(--ISNUMBER(SEARCH("R119",G433)),0)+IFERROR(--ISNUMBER(SEARCH("R120",G433)),0)+IFERROR(--ISNUMBER(SEARCH("R121",G433)),0)+IFERROR(--ISNUMBER(SEARCH("R122",G433)),0)+IFERROR(--ISNUMBER(SEARCH("R123",G433)),0)+IFERROR(--ISNUMBER(SEARCH("R124",G433)),0)+IFERROR(--ISNUMBER(SEARCH("R125",G433)),0)+IFERROR(--ISNUMBER(SEARCH("R126",G433)),0)+IFERROR(--ISNUMBER(SEARCH("R127",G433)),0)+IFERROR(--ISNUMBER(SEARCH("R128",G433)),0)+IFERROR(--ISNUMBER(SEARCH("R129",G433)),0)+IFERROR(--ISNUMBER(SEARCH("R130",G433)),0)+IFERROR(--ISNUMBER(SEARCH("R131",G433)),0)+IFERROR(--ISNUMBER(SEARCH("R132",G433)),0)+IFERROR(--ISNUMBER(SEARCH("R133",G433)),0)+IFERROR(--ISNUMBER(SEARCH("R134",G433)),0)+IFERROR(--ISNUMBER(SEARCH("R135",G433)),0)+IFERROR(--ISNUMBER(SEARCH("R136",G433)),0)+IFERROR(--ISNUMBER(SEARCH("R137",G433)),0)+IFERROR(--ISNUMBER(SEARCH("R138",G433)),0)+IFERROR(--ISNUMBER(SEARCH("R139",G433)),0)+IFERROR(--ISNUMBER(SEARCH("R140",G433)),0)+IFERROR(--ISNUMBER(SEARCH("R141",G433)),0))</f>
        <v/>
      </c>
      <c r="T433" s="58">
        <f>IF(A433="","",IFERROR(--ISNUMBER(SEARCH("R28",G433)),0)+IFERROR(--ISNUMBER(SEARCH("R29",G433)),0)+IFERROR(--ISNUMBER(SEARCH("R30",G433)),0)+IFERROR(--ISNUMBER(SEARCH("R32",G433)),0)+IFERROR(--ISNUMBER(SEARCH("R33",G433)),0)+IFERROR(--ISNUMBER(SEARCH("R35",G433)),0)+IFERROR(--ISNUMBER(SEARCH("R36",G433)),0)+IFERROR(--ISNUMBER(SEARCH("R38",G433)),0)+IFERROR(--ISNUMBER(SEARCH("R39",G433)),0)+IFERROR(--ISNUMBER(SEARCH("R43",G433)),0)+IFERROR(--ISNUMBER(SEARCH("R44",G433)),0)+IFERROR(--ISNUMBER(SEARCH("R45",G433)),0)+IFERROR(--ISNUMBER(SEARCH("R47",G433)),0)+IFERROR(--ISNUMBER(SEARCH("R48",G433)),0)+IFERROR(--ISNUMBER(SEARCH("R50",G433)),0)+IFERROR(--ISNUMBER(SEARCH("R51",G433)),0)+IFERROR(--ISNUMBER(SEARCH("R56",G433)),0)+IFERROR(--ISNUMBER(SEARCH("R58",G433)),0)+IFERROR(--ISNUMBER(SEARCH("R59",G433)),0)+IFERROR(--ISNUMBER(SEARCH("R60",G433)),0)+IFERROR(--ISNUMBER(SEARCH("R62",G433)),0)+IFERROR(--ISNUMBER(SEARCH("R63",G433)),0)+IFERROR(--ISNUMBER(SEARCH("R64",G433)),0)+IFERROR(--ISNUMBER(SEARCH("R66",G433)),0)+IFERROR(--ISNUMBER(SEARCH("R67",G433)),0)+IFERROR(--ISNUMBER(SEARCH("R72",G433)),0)+IFERROR(--ISNUMBER(SEARCH("R74",G433)),0)+IFERROR(--ISNUMBER(SEARCH("R75",G433)),0)+IFERROR(--ISNUMBER(SEARCH("R76",G433)),0)+IFERROR(--ISNUMBER(SEARCH("R77",G433)),0)+IFERROR(--ISNUMBER(SEARCH("R79",G433)),0)+IFERROR(--ISNUMBER(SEARCH("R80",G433)),0)+IFERROR(--ISNUMBER(SEARCH("R81",G433)),0)+IFERROR(--ISNUMBER(SEARCH("R83",G433)),0)+IFERROR(--ISNUMBER(SEARCH("R84",G433)),0)+IFERROR(--ISNUMBER(SEARCH("R89",G433)),0)+IFERROR(--ISNUMBER(SEARCH("R94",G433)),0)+IFERROR(--ISNUMBER(SEARCH("R95",G433)),0)+IFERROR(--ISNUMBER(SEARCH("R96",G433)),0)+IFERROR(--ISNUMBER(SEARCH("R98",G433)),0)+IFERROR(--ISNUMBER(SEARCH("R99",G433)),0)+IFERROR(--ISNUMBER(SEARCH("R100",G433)),0)+IFERROR(--ISNUMBER(SEARCH("R104",G433)),0)+IFERROR(--ISNUMBER(SEARCH("R105",G433)),0)+IFERROR(--ISNUMBER(SEARCH("R107",G433)),0)+IFERROR(--ISNUMBER(SEARCH("R108",G433)),0)+IFERROR(--ISNUMBER(SEARCH("R109",G433)),0)+IFERROR(--ISNUMBER(SEARCH("R110",G433)),0)+IFERROR(--ISNUMBER(SEARCH("R112",G433)),0)+IFERROR(--ISNUMBER(SEARCH("R113",G433)),0)+IFERROR(--ISNUMBER(SEARCH("R114",G433)),0)+IFERROR(--ISNUMBER(SEARCH("R118",G433)),0)+IFERROR(--ISNUMBER(SEARCH("R119",G433)),0)+IFERROR(--ISNUMBER(SEARCH("R120",G433)),0)+IFERROR(--ISNUMBER(SEARCH("R122",G433)),0)+IFERROR(--ISNUMBER(SEARCH("R123",G433)),0)+IFERROR(--ISNUMBER(SEARCH("R124",G433)),0)+IFERROR(--ISNUMBER(SEARCH("R128",G433)),0)+IFERROR(--ISNUMBER(SEARCH("R130",G433)),0)+IFERROR(--ISNUMBER(SEARCH("R131",G433)),0)+IFERROR(--ISNUMBER(SEARCH("R132",G433)),0)+IFERROR(--ISNUMBER(SEARCH("R135",G433)),0)+IFERROR(--ISNUMBER(SEARCH("R138",G433)),0)+IFERROR(--ISNUMBER(SEARCH("R141",G433)),0))</f>
        <v/>
      </c>
      <c r="U433" s="58">
        <f>IF(A433="","",IFERROR(--ISNUMBER(SEARCH("R28",G433))*28,0)+IFERROR(--ISNUMBER(SEARCH("R29",G433))*29,0)+IFERROR(--ISNUMBER(SEARCH("R30",G433))*30,0)+IFERROR(--ISNUMBER(SEARCH("R31",G433))*31,0)+IFERROR(--ISNUMBER(SEARCH("R32",G433))*32,0)+IFERROR(--ISNUMBER(SEARCH("R33",G433))*33,0)+IFERROR(--ISNUMBER(SEARCH("R34",G433))*34,0)+IFERROR(--ISNUMBER(SEARCH("R35",G433))*35,0)+IFERROR(--ISNUMBER(SEARCH("R36",G433))*36,0)+IFERROR(--ISNUMBER(SEARCH("R37",G433))*37,0)+IFERROR(--ISNUMBER(SEARCH("R38",G433))*38,0)+IFERROR(--ISNUMBER(SEARCH("R39",G433))*39,0)+IFERROR(--ISNUMBER(SEARCH("R40",G433))*40,0)+IFERROR(--ISNUMBER(SEARCH("R41",G433))*41,0)+IFERROR(--ISNUMBER(SEARCH("R42",G433))*42,0)+IFERROR(--ISNUMBER(SEARCH("R43",G433))*43,0)+IFERROR(--ISNUMBER(SEARCH("R44",G433))*44,0)+IFERROR(--ISNUMBER(SEARCH("R45",G433))*45,0)+IFERROR(--ISNUMBER(SEARCH("R46",G433))*46,0)+IFERROR(--ISNUMBER(SEARCH("R47",G433))*47,0)+IFERROR(--ISNUMBER(SEARCH("R48",G433))*48,0)+IFERROR(--ISNUMBER(SEARCH("R49",G433))*49,0)+IFERROR(--ISNUMBER(SEARCH("R50",G433))*50,0)+IFERROR(--ISNUMBER(SEARCH("R51",G433))*51,0)+IFERROR(--ISNUMBER(SEARCH("R52",G433))*52,0)+IFERROR(--ISNUMBER(SEARCH("R53",G433))*53,0)+IFERROR(--ISNUMBER(SEARCH("R54",G433))*54,0)+IFERROR(--ISNUMBER(SEARCH("R55",G433))*55,0)+IFERROR(--ISNUMBER(SEARCH("R56",G433))*56,0)+IFERROR(--ISNUMBER(SEARCH("R57",G433))*57,0)+IFERROR(--ISNUMBER(SEARCH("R58",G433))*58,0)+IFERROR(--ISNUMBER(SEARCH("R59",G433))*59,0)+IFERROR(--ISNUMBER(SEARCH("R60",G433))*60,0)+IFERROR(--ISNUMBER(SEARCH("R61",G433))*61,0)+IFERROR(--ISNUMBER(SEARCH("R62",G433))*62,0)+IFERROR(--ISNUMBER(SEARCH("R63",G433))*63,0)+IFERROR(--ISNUMBER(SEARCH("R64",G433))*64,0)+IFERROR(--ISNUMBER(SEARCH("R65",G433))*65,0)+IFERROR(--ISNUMBER(SEARCH("R66",G433))*66,0)+IFERROR(--ISNUMBER(SEARCH("R67",G433))*67,0)+IFERROR(--ISNUMBER(SEARCH("R68",G433))*68,0)+IFERROR(--ISNUMBER(SEARCH("R69",G433))*69,0)+IFERROR(--ISNUMBER(SEARCH("R70",G433))*70,0)+IFERROR(--ISNUMBER(SEARCH("R71",G433))*71,0)+IFERROR(--ISNUMBER(SEARCH("R72",G433))*72,0)+IFERROR(--ISNUMBER(SEARCH("R73",G433))*73,0)+IFERROR(--ISNUMBER(SEARCH("R74",G433))*74,0)+IFERROR(--ISNUMBER(SEARCH("R75",G433))*75,0)+IFERROR(--ISNUMBER(SEARCH("R76",G433))*76,0)+IFERROR(--ISNUMBER(SEARCH("R77",G433))*77,0)+IFERROR(--ISNUMBER(SEARCH("R78",G433))*78,0)+IFERROR(--ISNUMBER(SEARCH("R79",G433))*79,0)+IFERROR(--ISNUMBER(SEARCH("R80",G433))*80,0)+IFERROR(--ISNUMBER(SEARCH("R81",G433))*81,0)+IFERROR(--ISNUMBER(SEARCH("R82",G433))*82,0)+IFERROR(--ISNUMBER(SEARCH("R83",G433))*83,0)+IFERROR(--ISNUMBER(SEARCH("R84",G433))*84,0)+IFERROR(--ISNUMBER(SEARCH("R85",G433))*85,0)+IFERROR(--ISNUMBER(SEARCH("R86",G433))*86,0)+IFERROR(--ISNUMBER(SEARCH("R87",G433))*87,0)+IFERROR(--ISNUMBER(SEARCH("R88",G433))*88,0)+IFERROR(--ISNUMBER(SEARCH("R89",G433))*89,0)+IFERROR(--ISNUMBER(SEARCH("R90",G433))*90,0)+IFERROR(--ISNUMBER(SEARCH("R91",G433))*91,0)+IFERROR(--ISNUMBER(SEARCH("R92",G433))*92,0)+IFERROR(--ISNUMBER(SEARCH("R93",G433))*93,0)+IFERROR(--ISNUMBER(SEARCH("R94",G433))*94,0)+IFERROR(--ISNUMBER(SEARCH("R95",G433))*95,0)+IFERROR(--ISNUMBER(SEARCH("R96",G433))*96,0)+IFERROR(--ISNUMBER(SEARCH("R97",G433))*97,0)+IFERROR(--ISNUMBER(SEARCH("R98",G433))*98,0)+IFERROR(--ISNUMBER(SEARCH("R99",G433))*99,0)+IFERROR(--ISNUMBER(SEARCH("R100",G433))*100,0)+IFERROR(--ISNUMBER(SEARCH("R101",G433))*101,0)+IFERROR(--ISNUMBER(SEARCH("R102",G433))*102,0)+IFERROR(--ISNUMBER(SEARCH("R103",G433))*103,0)+IFERROR(--ISNUMBER(SEARCH("R104",G433))*104,0)+IFERROR(--ISNUMBER(SEARCH("R105",G433))*105,0)+IFERROR(--ISNUMBER(SEARCH("R106",G433))*106,0)+IFERROR(--ISNUMBER(SEARCH("R107",G433))*107,0)+IFERROR(--ISNUMBER(SEARCH("R108",G433))*108,0)+IFERROR(--ISNUMBER(SEARCH("R109",G433))*109,0)+IFERROR(--ISNUMBER(SEARCH("R110",G433))*110,0)+IFERROR(--ISNUMBER(SEARCH("R111",G433))*111,0)+IFERROR(--ISNUMBER(SEARCH("R112",G433))*112,0)+IFERROR(--ISNUMBER(SEARCH("R113",G433))*113,0)+IFERROR(--ISNUMBER(SEARCH("R114",G433))*114,0)+IFERROR(--ISNUMBER(SEARCH("R115",G433))*115,0)+IFERROR(--ISNUMBER(SEARCH("R116",G433))*116,0)+IFERROR(--ISNUMBER(SEARCH("R117",G433))*117,0)+IFERROR(--ISNUMBER(SEARCH("R118",G433))*118,0)+IFERROR(--ISNUMBER(SEARCH("R119",G433))*119,0)+IFERROR(--ISNUMBER(SEARCH("R120",G433))*120,0)+IFERROR(--ISNUMBER(SEARCH("R121",G433))*121,0)+IFERROR(--ISNUMBER(SEARCH("R122",G433))*122,0)+IFERROR(--ISNUMBER(SEARCH("R123",G433))*123,0)+IFERROR(--ISNUMBER(SEARCH("R124",G433))*124,0)+IFERROR(--ISNUMBER(SEARCH("R125",G433))*125,0)+IFERROR(--ISNUMBER(SEARCH("R126",G433))*126,0)+IFERROR(--ISNUMBER(SEARCH("R127",G433))*127,0)+IFERROR(--ISNUMBER(SEARCH("R128",G433))*128,0)+IFERROR(--ISNUMBER(SEARCH("R129",G433))*129,0)+IFERROR(--ISNUMBER(SEARCH("R130",G433))*130,0)+IFERROR(--ISNUMBER(SEARCH("R131",G433))*131,0)+IFERROR(--ISNUMBER(SEARCH("R132",G433))*132,0)+IFERROR(--ISNUMBER(SEARCH("R133",G433))*133,0)+IFERROR(--ISNUMBER(SEARCH("R134",G433))*134,0)+IFERROR(--ISNUMBER(SEARCH("R135",G433))*135,0)+IFERROR(--ISNUMBER(SEARCH("R136",G433))*136,0)+IFERROR(--ISNUMBER(SEARCH("R137",G433))*137,0)+IFERROR(--ISNUMBER(SEARCH("R138",G433))*138,0)+IFERROR(--ISNUMBER(SEARCH("R139",G433))*139,0)+IFERROR(--ISNUMBER(SEARCH("R140",G433))*140,0)+IFERROR(--ISNUMBER(SEARCH("R141",G433))*141,0))</f>
        <v/>
      </c>
      <c r="V433" s="59">
        <f>IF(A433="","",IF(K433&lt;&gt;"",K433,J433))</f>
        <v/>
      </c>
      <c r="W433" s="59">
        <f>IF(A433="","",IF(AND(V433=29,O433&lt;&gt;"",COUNTIFS($V$6:$V$505,29,$F$6:$F$505,F433,$C$6:$C$505,C433,$O$6:$O$505,"&lt;&gt;")&gt;1),IF(COUNTIFS($V$6:V433,29,$F$6:F433,F433,$C$6:C433,C433,$O$6:O433,"&lt;&gt;")=1,"Esta es la fila que se debe CONSERVAR (aparición 1 de "&amp;COUNTIFS($V$6:$V$505,29,$F$6:$F$505,F433,$C$6:$C$505,C433,$O$6:$O$505,"&lt;&gt;")&amp;" con el mismo tercero y valor, casilla 29). Si hay más filas iguales, bórreles el valor a ELLAS, no a esta.","DUPLICADO — ya existe otra fila con el mismo tercero y valor para casilla 29 (aparición "&amp;COUNTIFS($V$6:V433,29,$F$6:F433,F433,$C$6:C433,C433,$O$6:O433,"&lt;&gt;")&amp;" de "&amp;COUNTIFS($V$6:$V$505,29,$F$6:$F$505,F433,$C$6:$C$505,C433,$O$6:$O$505,"&lt;&gt;")&amp;"). Para resolverlo: seleccione la celda O"&amp;ROW()&amp;" (columna Valor a declarar de ESTA fila) y presione Supr."),""))</f>
        <v/>
      </c>
      <c r="X433" s="463">
        <f>IF(A433="","",F433)</f>
        <v/>
      </c>
      <c r="Y433" s="463">
        <f>IF(A433="","",SUMIF(Entrada_Manual!$I$88:$I$187,A433,Entrada_Manual!$F$88:$F$187))</f>
        <v/>
      </c>
      <c r="Z433" s="463">
        <f>IF(A433="","",X433-Y433)</f>
        <v/>
      </c>
      <c r="AA433">
        <f>IF(A433="","",SUMPRODUCT((Entrada_Manual!$I$88:$I$187=A433)*1))</f>
        <v/>
      </c>
      <c r="AB433">
        <f>IF(A433="","",IF(S433&lt;=1,"",IF(AA433=0,"PENDIENTE — SIN ASIGNAR",IF(Z433=0,"RESUELTO","PARCIAL — DIFERENCIA "&amp;TEXT(Z433,"#,##0")))))</f>
        <v/>
      </c>
    </row>
    <row r="434" ht="14.25" customHeight="1" s="235">
      <c r="A434" s="47">
        <f>IF(Exogena_RAW!E443&lt;&gt;"",ROW()-5,"")</f>
        <v/>
      </c>
      <c r="B434" s="48">
        <f>IF(A434="","",443)</f>
        <v/>
      </c>
      <c r="C434" s="48">
        <f>IF(A434="","",IFERROR(Exogena_RAW!A443,""))</f>
        <v/>
      </c>
      <c r="D434" s="48">
        <f>IF(A434="","",IFERROR(Exogena_RAW!B443,""))</f>
        <v/>
      </c>
      <c r="E434" s="48">
        <f>IF(A434="","",Exogena_RAW!E443)</f>
        <v/>
      </c>
      <c r="F434" s="461">
        <f>IF(A434="","",Exogena_RAW!F443)</f>
        <v/>
      </c>
      <c r="G434" s="48">
        <f>IF(A434="","",IFERROR(Exogena_RAW!G443,""))</f>
        <v/>
      </c>
      <c r="H434" s="48">
        <f>IF(A434="","",IFERROR(Exogena_RAW!H443,""))</f>
        <v/>
      </c>
      <c r="I434" s="48">
        <f>IF(A434="","",IFERROR(IF(S434&gt;1,"VARIAS CASILLAS",IF(S434=1,IF(T434=1,"PROPUESTA DE CASILLA","REVISIÓN: CASILLA NO DIRECTA"),IF(OR(ISNUMBER(SEARCH("TOPE",UPPER(E434))),ISNUMBER(SEARCH("TOPE",UPPER(G434)))),"SOLO CONTROL",IF(ISNUMBER(SEARCH("RETEN",UPPER(E434))),"RETENCIÓN","REVISAR")))),"REVISAR"))</f>
        <v/>
      </c>
      <c r="J434" s="48">
        <f>IF(A434="","",IF(ISNUMBER(SEARCH("ingreso laboral promedio de los últimos seis meses",E434)),"",IFERROR(IF(AND(S434=1,T434=1),U434,""),"")))</f>
        <v/>
      </c>
      <c r="K434" s="216" t="n"/>
      <c r="L434" s="48">
        <f>IF(A434="","",IFERROR(IF(K434&lt;&gt;"","Casilla elegida por usuario",IF(S434&gt;1,"Varias casillas — elegir en K",IF(J434&lt;&gt;"","Sugerencia directa",IF(S434=1,"No trasladar directo — revisar",IF(OR(ISNUMBER(SEARCH("TOPE",UPPER(E434))),ISNUMBER(SEARCH("TOPE",UPPER(G434)))),"Solo control","Revisar manualmente"))))),"Revisar manualmente"))</f>
        <v/>
      </c>
      <c r="M434" s="461">
        <f>IF(A434="","",IF(IF(K434&lt;&gt;"",K434,J434)="",0,IF(COUNTIFS(Reglas!$I$5:$I$118,IF(K434&lt;&gt;"",K434,J434),Reglas!$J$5:$J$118,"Sí")=1,F434,0)))</f>
        <v/>
      </c>
      <c r="N434" s="56" t="n"/>
      <c r="O434" s="462">
        <f>IF(A434="","",IF(M434=0,"",M434))</f>
        <v/>
      </c>
      <c r="P434" s="461">
        <f>IF(A434="","",IF(O434="",0,IF(ISNUMBER(O434),O434,0)))</f>
        <v/>
      </c>
      <c r="Q434" s="48">
        <f>IF(A434="","",IF(Exogena_RAW!$C$4="","BLOQUEADO: FALTA AÑO",IF(Exogena_RAW!$K$10&lt;&gt;Reglas!$B$5,"BLOQUEADO: AÑO",IF(IF(K434&lt;&gt;"",K434,J434)="",IF(S434&gt;1,"REQUIERE ASIGNACIÓN MANUAL (VARIAS CASILLAS)","INFORMATIVO (sin casilla — no se declara)"),IF(COUNTIFS(Reglas!$I$5:$I$118,IF(K434&lt;&gt;"",K434,J434),Reglas!$J$5:$J$118,"Sí")=0,"BLOQUEADO: CASILLA NO DIRECTA",IF(O434="","EXCLUIDO (valor borrado por el usuario)",IF(_xlfn.ISFORMULA(O434),IF(W434&lt;&gt;"","BORRADOR — VALOR SUGERIDO DIAN ⚠ VER ALERTA","BORRADOR — VALOR SUGERIDO DIAN"),IF(W434&lt;&gt;"","ACEPTADO ⚠ VER ALERTA","ACEPTADO"))))))))</f>
        <v/>
      </c>
      <c r="R434" s="218" t="n"/>
      <c r="S434" s="58">
        <f>IF(A434="","",IFERROR(--ISNUMBER(SEARCH("R28",G434)),0)+IFERROR(--ISNUMBER(SEARCH("R29",G434)),0)+IFERROR(--ISNUMBER(SEARCH("R30",G434)),0)+IFERROR(--ISNUMBER(SEARCH("R31",G434)),0)+IFERROR(--ISNUMBER(SEARCH("R32",G434)),0)+IFERROR(--ISNUMBER(SEARCH("R33",G434)),0)+IFERROR(--ISNUMBER(SEARCH("R34",G434)),0)+IFERROR(--ISNUMBER(SEARCH("R35",G434)),0)+IFERROR(--ISNUMBER(SEARCH("R36",G434)),0)+IFERROR(--ISNUMBER(SEARCH("R37",G434)),0)+IFERROR(--ISNUMBER(SEARCH("R38",G434)),0)+IFERROR(--ISNUMBER(SEARCH("R39",G434)),0)+IFERROR(--ISNUMBER(SEARCH("R40",G434)),0)+IFERROR(--ISNUMBER(SEARCH("R41",G434)),0)+IFERROR(--ISNUMBER(SEARCH("R42",G434)),0)+IFERROR(--ISNUMBER(SEARCH("R43",G434)),0)+IFERROR(--ISNUMBER(SEARCH("R44",G434)),0)+IFERROR(--ISNUMBER(SEARCH("R45",G434)),0)+IFERROR(--ISNUMBER(SEARCH("R46",G434)),0)+IFERROR(--ISNUMBER(SEARCH("R47",G434)),0)+IFERROR(--ISNUMBER(SEARCH("R48",G434)),0)+IFERROR(--ISNUMBER(SEARCH("R49",G434)),0)+IFERROR(--ISNUMBER(SEARCH("R50",G434)),0)+IFERROR(--ISNUMBER(SEARCH("R51",G434)),0)+IFERROR(--ISNUMBER(SEARCH("R52",G434)),0)+IFERROR(--ISNUMBER(SEARCH("R53",G434)),0)+IFERROR(--ISNUMBER(SEARCH("R54",G434)),0)+IFERROR(--ISNUMBER(SEARCH("R55",G434)),0)+IFERROR(--ISNUMBER(SEARCH("R56",G434)),0)+IFERROR(--ISNUMBER(SEARCH("R57",G434)),0)+IFERROR(--ISNUMBER(SEARCH("R58",G434)),0)+IFERROR(--ISNUMBER(SEARCH("R59",G434)),0)+IFERROR(--ISNUMBER(SEARCH("R60",G434)),0)+IFERROR(--ISNUMBER(SEARCH("R61",G434)),0)+IFERROR(--ISNUMBER(SEARCH("R62",G434)),0)+IFERROR(--ISNUMBER(SEARCH("R63",G434)),0)+IFERROR(--ISNUMBER(SEARCH("R64",G434)),0)+IFERROR(--ISNUMBER(SEARCH("R65",G434)),0)+IFERROR(--ISNUMBER(SEARCH("R66",G434)),0)+IFERROR(--ISNUMBER(SEARCH("R67",G434)),0)+IFERROR(--ISNUMBER(SEARCH("R68",G434)),0)+IFERROR(--ISNUMBER(SEARCH("R69",G434)),0)+IFERROR(--ISNUMBER(SEARCH("R70",G434)),0)+IFERROR(--ISNUMBER(SEARCH("R71",G434)),0)+IFERROR(--ISNUMBER(SEARCH("R72",G434)),0)+IFERROR(--ISNUMBER(SEARCH("R73",G434)),0)+IFERROR(--ISNUMBER(SEARCH("R74",G434)),0)+IFERROR(--ISNUMBER(SEARCH("R75",G434)),0)+IFERROR(--ISNUMBER(SEARCH("R76",G434)),0)+IFERROR(--ISNUMBER(SEARCH("R77",G434)),0)+IFERROR(--ISNUMBER(SEARCH("R78",G434)),0)+IFERROR(--ISNUMBER(SEARCH("R79",G434)),0)+IFERROR(--ISNUMBER(SEARCH("R80",G434)),0)+IFERROR(--ISNUMBER(SEARCH("R81",G434)),0)+IFERROR(--ISNUMBER(SEARCH("R82",G434)),0)+IFERROR(--ISNUMBER(SEARCH("R83",G434)),0)+IFERROR(--ISNUMBER(SEARCH("R84",G434)),0)+IFERROR(--ISNUMBER(SEARCH("R85",G434)),0)+IFERROR(--ISNUMBER(SEARCH("R86",G434)),0)+IFERROR(--ISNUMBER(SEARCH("R87",G434)),0)+IFERROR(--ISNUMBER(SEARCH("R88",G434)),0)+IFERROR(--ISNUMBER(SEARCH("R89",G434)),0)+IFERROR(--ISNUMBER(SEARCH("R90",G434)),0)+IFERROR(--ISNUMBER(SEARCH("R91",G434)),0)+IFERROR(--ISNUMBER(SEARCH("R92",G434)),0)+IFERROR(--ISNUMBER(SEARCH("R93",G434)),0)+IFERROR(--ISNUMBER(SEARCH("R94",G434)),0)+IFERROR(--ISNUMBER(SEARCH("R95",G434)),0)+IFERROR(--ISNUMBER(SEARCH("R96",G434)),0)+IFERROR(--ISNUMBER(SEARCH("R97",G434)),0)+IFERROR(--ISNUMBER(SEARCH("R98",G434)),0)+IFERROR(--ISNUMBER(SEARCH("R99",G434)),0)+IFERROR(--ISNUMBER(SEARCH("R100",G434)),0)+IFERROR(--ISNUMBER(SEARCH("R101",G434)),0)+IFERROR(--ISNUMBER(SEARCH("R102",G434)),0)+IFERROR(--ISNUMBER(SEARCH("R103",G434)),0)+IFERROR(--ISNUMBER(SEARCH("R104",G434)),0)+IFERROR(--ISNUMBER(SEARCH("R105",G434)),0)+IFERROR(--ISNUMBER(SEARCH("R106",G434)),0)+IFERROR(--ISNUMBER(SEARCH("R107",G434)),0)+IFERROR(--ISNUMBER(SEARCH("R108",G434)),0)+IFERROR(--ISNUMBER(SEARCH("R109",G434)),0)+IFERROR(--ISNUMBER(SEARCH("R110",G434)),0)+IFERROR(--ISNUMBER(SEARCH("R111",G434)),0)+IFERROR(--ISNUMBER(SEARCH("R112",G434)),0)+IFERROR(--ISNUMBER(SEARCH("R113",G434)),0)+IFERROR(--ISNUMBER(SEARCH("R114",G434)),0)+IFERROR(--ISNUMBER(SEARCH("R115",G434)),0)+IFERROR(--ISNUMBER(SEARCH("R116",G434)),0)+IFERROR(--ISNUMBER(SEARCH("R117",G434)),0)+IFERROR(--ISNUMBER(SEARCH("R118",G434)),0)+IFERROR(--ISNUMBER(SEARCH("R119",G434)),0)+IFERROR(--ISNUMBER(SEARCH("R120",G434)),0)+IFERROR(--ISNUMBER(SEARCH("R121",G434)),0)+IFERROR(--ISNUMBER(SEARCH("R122",G434)),0)+IFERROR(--ISNUMBER(SEARCH("R123",G434)),0)+IFERROR(--ISNUMBER(SEARCH("R124",G434)),0)+IFERROR(--ISNUMBER(SEARCH("R125",G434)),0)+IFERROR(--ISNUMBER(SEARCH("R126",G434)),0)+IFERROR(--ISNUMBER(SEARCH("R127",G434)),0)+IFERROR(--ISNUMBER(SEARCH("R128",G434)),0)+IFERROR(--ISNUMBER(SEARCH("R129",G434)),0)+IFERROR(--ISNUMBER(SEARCH("R130",G434)),0)+IFERROR(--ISNUMBER(SEARCH("R131",G434)),0)+IFERROR(--ISNUMBER(SEARCH("R132",G434)),0)+IFERROR(--ISNUMBER(SEARCH("R133",G434)),0)+IFERROR(--ISNUMBER(SEARCH("R134",G434)),0)+IFERROR(--ISNUMBER(SEARCH("R135",G434)),0)+IFERROR(--ISNUMBER(SEARCH("R136",G434)),0)+IFERROR(--ISNUMBER(SEARCH("R137",G434)),0)+IFERROR(--ISNUMBER(SEARCH("R138",G434)),0)+IFERROR(--ISNUMBER(SEARCH("R139",G434)),0)+IFERROR(--ISNUMBER(SEARCH("R140",G434)),0)+IFERROR(--ISNUMBER(SEARCH("R141",G434)),0))</f>
        <v/>
      </c>
      <c r="T434" s="58">
        <f>IF(A434="","",IFERROR(--ISNUMBER(SEARCH("R28",G434)),0)+IFERROR(--ISNUMBER(SEARCH("R29",G434)),0)+IFERROR(--ISNUMBER(SEARCH("R30",G434)),0)+IFERROR(--ISNUMBER(SEARCH("R32",G434)),0)+IFERROR(--ISNUMBER(SEARCH("R33",G434)),0)+IFERROR(--ISNUMBER(SEARCH("R35",G434)),0)+IFERROR(--ISNUMBER(SEARCH("R36",G434)),0)+IFERROR(--ISNUMBER(SEARCH("R38",G434)),0)+IFERROR(--ISNUMBER(SEARCH("R39",G434)),0)+IFERROR(--ISNUMBER(SEARCH("R43",G434)),0)+IFERROR(--ISNUMBER(SEARCH("R44",G434)),0)+IFERROR(--ISNUMBER(SEARCH("R45",G434)),0)+IFERROR(--ISNUMBER(SEARCH("R47",G434)),0)+IFERROR(--ISNUMBER(SEARCH("R48",G434)),0)+IFERROR(--ISNUMBER(SEARCH("R50",G434)),0)+IFERROR(--ISNUMBER(SEARCH("R51",G434)),0)+IFERROR(--ISNUMBER(SEARCH("R56",G434)),0)+IFERROR(--ISNUMBER(SEARCH("R58",G434)),0)+IFERROR(--ISNUMBER(SEARCH("R59",G434)),0)+IFERROR(--ISNUMBER(SEARCH("R60",G434)),0)+IFERROR(--ISNUMBER(SEARCH("R62",G434)),0)+IFERROR(--ISNUMBER(SEARCH("R63",G434)),0)+IFERROR(--ISNUMBER(SEARCH("R64",G434)),0)+IFERROR(--ISNUMBER(SEARCH("R66",G434)),0)+IFERROR(--ISNUMBER(SEARCH("R67",G434)),0)+IFERROR(--ISNUMBER(SEARCH("R72",G434)),0)+IFERROR(--ISNUMBER(SEARCH("R74",G434)),0)+IFERROR(--ISNUMBER(SEARCH("R75",G434)),0)+IFERROR(--ISNUMBER(SEARCH("R76",G434)),0)+IFERROR(--ISNUMBER(SEARCH("R77",G434)),0)+IFERROR(--ISNUMBER(SEARCH("R79",G434)),0)+IFERROR(--ISNUMBER(SEARCH("R80",G434)),0)+IFERROR(--ISNUMBER(SEARCH("R81",G434)),0)+IFERROR(--ISNUMBER(SEARCH("R83",G434)),0)+IFERROR(--ISNUMBER(SEARCH("R84",G434)),0)+IFERROR(--ISNUMBER(SEARCH("R89",G434)),0)+IFERROR(--ISNUMBER(SEARCH("R94",G434)),0)+IFERROR(--ISNUMBER(SEARCH("R95",G434)),0)+IFERROR(--ISNUMBER(SEARCH("R96",G434)),0)+IFERROR(--ISNUMBER(SEARCH("R98",G434)),0)+IFERROR(--ISNUMBER(SEARCH("R99",G434)),0)+IFERROR(--ISNUMBER(SEARCH("R100",G434)),0)+IFERROR(--ISNUMBER(SEARCH("R104",G434)),0)+IFERROR(--ISNUMBER(SEARCH("R105",G434)),0)+IFERROR(--ISNUMBER(SEARCH("R107",G434)),0)+IFERROR(--ISNUMBER(SEARCH("R108",G434)),0)+IFERROR(--ISNUMBER(SEARCH("R109",G434)),0)+IFERROR(--ISNUMBER(SEARCH("R110",G434)),0)+IFERROR(--ISNUMBER(SEARCH("R112",G434)),0)+IFERROR(--ISNUMBER(SEARCH("R113",G434)),0)+IFERROR(--ISNUMBER(SEARCH("R114",G434)),0)+IFERROR(--ISNUMBER(SEARCH("R118",G434)),0)+IFERROR(--ISNUMBER(SEARCH("R119",G434)),0)+IFERROR(--ISNUMBER(SEARCH("R120",G434)),0)+IFERROR(--ISNUMBER(SEARCH("R122",G434)),0)+IFERROR(--ISNUMBER(SEARCH("R123",G434)),0)+IFERROR(--ISNUMBER(SEARCH("R124",G434)),0)+IFERROR(--ISNUMBER(SEARCH("R128",G434)),0)+IFERROR(--ISNUMBER(SEARCH("R130",G434)),0)+IFERROR(--ISNUMBER(SEARCH("R131",G434)),0)+IFERROR(--ISNUMBER(SEARCH("R132",G434)),0)+IFERROR(--ISNUMBER(SEARCH("R135",G434)),0)+IFERROR(--ISNUMBER(SEARCH("R138",G434)),0)+IFERROR(--ISNUMBER(SEARCH("R141",G434)),0))</f>
        <v/>
      </c>
      <c r="U434" s="58">
        <f>IF(A434="","",IFERROR(--ISNUMBER(SEARCH("R28",G434))*28,0)+IFERROR(--ISNUMBER(SEARCH("R29",G434))*29,0)+IFERROR(--ISNUMBER(SEARCH("R30",G434))*30,0)+IFERROR(--ISNUMBER(SEARCH("R31",G434))*31,0)+IFERROR(--ISNUMBER(SEARCH("R32",G434))*32,0)+IFERROR(--ISNUMBER(SEARCH("R33",G434))*33,0)+IFERROR(--ISNUMBER(SEARCH("R34",G434))*34,0)+IFERROR(--ISNUMBER(SEARCH("R35",G434))*35,0)+IFERROR(--ISNUMBER(SEARCH("R36",G434))*36,0)+IFERROR(--ISNUMBER(SEARCH("R37",G434))*37,0)+IFERROR(--ISNUMBER(SEARCH("R38",G434))*38,0)+IFERROR(--ISNUMBER(SEARCH("R39",G434))*39,0)+IFERROR(--ISNUMBER(SEARCH("R40",G434))*40,0)+IFERROR(--ISNUMBER(SEARCH("R41",G434))*41,0)+IFERROR(--ISNUMBER(SEARCH("R42",G434))*42,0)+IFERROR(--ISNUMBER(SEARCH("R43",G434))*43,0)+IFERROR(--ISNUMBER(SEARCH("R44",G434))*44,0)+IFERROR(--ISNUMBER(SEARCH("R45",G434))*45,0)+IFERROR(--ISNUMBER(SEARCH("R46",G434))*46,0)+IFERROR(--ISNUMBER(SEARCH("R47",G434))*47,0)+IFERROR(--ISNUMBER(SEARCH("R48",G434))*48,0)+IFERROR(--ISNUMBER(SEARCH("R49",G434))*49,0)+IFERROR(--ISNUMBER(SEARCH("R50",G434))*50,0)+IFERROR(--ISNUMBER(SEARCH("R51",G434))*51,0)+IFERROR(--ISNUMBER(SEARCH("R52",G434))*52,0)+IFERROR(--ISNUMBER(SEARCH("R53",G434))*53,0)+IFERROR(--ISNUMBER(SEARCH("R54",G434))*54,0)+IFERROR(--ISNUMBER(SEARCH("R55",G434))*55,0)+IFERROR(--ISNUMBER(SEARCH("R56",G434))*56,0)+IFERROR(--ISNUMBER(SEARCH("R57",G434))*57,0)+IFERROR(--ISNUMBER(SEARCH("R58",G434))*58,0)+IFERROR(--ISNUMBER(SEARCH("R59",G434))*59,0)+IFERROR(--ISNUMBER(SEARCH("R60",G434))*60,0)+IFERROR(--ISNUMBER(SEARCH("R61",G434))*61,0)+IFERROR(--ISNUMBER(SEARCH("R62",G434))*62,0)+IFERROR(--ISNUMBER(SEARCH("R63",G434))*63,0)+IFERROR(--ISNUMBER(SEARCH("R64",G434))*64,0)+IFERROR(--ISNUMBER(SEARCH("R65",G434))*65,0)+IFERROR(--ISNUMBER(SEARCH("R66",G434))*66,0)+IFERROR(--ISNUMBER(SEARCH("R67",G434))*67,0)+IFERROR(--ISNUMBER(SEARCH("R68",G434))*68,0)+IFERROR(--ISNUMBER(SEARCH("R69",G434))*69,0)+IFERROR(--ISNUMBER(SEARCH("R70",G434))*70,0)+IFERROR(--ISNUMBER(SEARCH("R71",G434))*71,0)+IFERROR(--ISNUMBER(SEARCH("R72",G434))*72,0)+IFERROR(--ISNUMBER(SEARCH("R73",G434))*73,0)+IFERROR(--ISNUMBER(SEARCH("R74",G434))*74,0)+IFERROR(--ISNUMBER(SEARCH("R75",G434))*75,0)+IFERROR(--ISNUMBER(SEARCH("R76",G434))*76,0)+IFERROR(--ISNUMBER(SEARCH("R77",G434))*77,0)+IFERROR(--ISNUMBER(SEARCH("R78",G434))*78,0)+IFERROR(--ISNUMBER(SEARCH("R79",G434))*79,0)+IFERROR(--ISNUMBER(SEARCH("R80",G434))*80,0)+IFERROR(--ISNUMBER(SEARCH("R81",G434))*81,0)+IFERROR(--ISNUMBER(SEARCH("R82",G434))*82,0)+IFERROR(--ISNUMBER(SEARCH("R83",G434))*83,0)+IFERROR(--ISNUMBER(SEARCH("R84",G434))*84,0)+IFERROR(--ISNUMBER(SEARCH("R85",G434))*85,0)+IFERROR(--ISNUMBER(SEARCH("R86",G434))*86,0)+IFERROR(--ISNUMBER(SEARCH("R87",G434))*87,0)+IFERROR(--ISNUMBER(SEARCH("R88",G434))*88,0)+IFERROR(--ISNUMBER(SEARCH("R89",G434))*89,0)+IFERROR(--ISNUMBER(SEARCH("R90",G434))*90,0)+IFERROR(--ISNUMBER(SEARCH("R91",G434))*91,0)+IFERROR(--ISNUMBER(SEARCH("R92",G434))*92,0)+IFERROR(--ISNUMBER(SEARCH("R93",G434))*93,0)+IFERROR(--ISNUMBER(SEARCH("R94",G434))*94,0)+IFERROR(--ISNUMBER(SEARCH("R95",G434))*95,0)+IFERROR(--ISNUMBER(SEARCH("R96",G434))*96,0)+IFERROR(--ISNUMBER(SEARCH("R97",G434))*97,0)+IFERROR(--ISNUMBER(SEARCH("R98",G434))*98,0)+IFERROR(--ISNUMBER(SEARCH("R99",G434))*99,0)+IFERROR(--ISNUMBER(SEARCH("R100",G434))*100,0)+IFERROR(--ISNUMBER(SEARCH("R101",G434))*101,0)+IFERROR(--ISNUMBER(SEARCH("R102",G434))*102,0)+IFERROR(--ISNUMBER(SEARCH("R103",G434))*103,0)+IFERROR(--ISNUMBER(SEARCH("R104",G434))*104,0)+IFERROR(--ISNUMBER(SEARCH("R105",G434))*105,0)+IFERROR(--ISNUMBER(SEARCH("R106",G434))*106,0)+IFERROR(--ISNUMBER(SEARCH("R107",G434))*107,0)+IFERROR(--ISNUMBER(SEARCH("R108",G434))*108,0)+IFERROR(--ISNUMBER(SEARCH("R109",G434))*109,0)+IFERROR(--ISNUMBER(SEARCH("R110",G434))*110,0)+IFERROR(--ISNUMBER(SEARCH("R111",G434))*111,0)+IFERROR(--ISNUMBER(SEARCH("R112",G434))*112,0)+IFERROR(--ISNUMBER(SEARCH("R113",G434))*113,0)+IFERROR(--ISNUMBER(SEARCH("R114",G434))*114,0)+IFERROR(--ISNUMBER(SEARCH("R115",G434))*115,0)+IFERROR(--ISNUMBER(SEARCH("R116",G434))*116,0)+IFERROR(--ISNUMBER(SEARCH("R117",G434))*117,0)+IFERROR(--ISNUMBER(SEARCH("R118",G434))*118,0)+IFERROR(--ISNUMBER(SEARCH("R119",G434))*119,0)+IFERROR(--ISNUMBER(SEARCH("R120",G434))*120,0)+IFERROR(--ISNUMBER(SEARCH("R121",G434))*121,0)+IFERROR(--ISNUMBER(SEARCH("R122",G434))*122,0)+IFERROR(--ISNUMBER(SEARCH("R123",G434))*123,0)+IFERROR(--ISNUMBER(SEARCH("R124",G434))*124,0)+IFERROR(--ISNUMBER(SEARCH("R125",G434))*125,0)+IFERROR(--ISNUMBER(SEARCH("R126",G434))*126,0)+IFERROR(--ISNUMBER(SEARCH("R127",G434))*127,0)+IFERROR(--ISNUMBER(SEARCH("R128",G434))*128,0)+IFERROR(--ISNUMBER(SEARCH("R129",G434))*129,0)+IFERROR(--ISNUMBER(SEARCH("R130",G434))*130,0)+IFERROR(--ISNUMBER(SEARCH("R131",G434))*131,0)+IFERROR(--ISNUMBER(SEARCH("R132",G434))*132,0)+IFERROR(--ISNUMBER(SEARCH("R133",G434))*133,0)+IFERROR(--ISNUMBER(SEARCH("R134",G434))*134,0)+IFERROR(--ISNUMBER(SEARCH("R135",G434))*135,0)+IFERROR(--ISNUMBER(SEARCH("R136",G434))*136,0)+IFERROR(--ISNUMBER(SEARCH("R137",G434))*137,0)+IFERROR(--ISNUMBER(SEARCH("R138",G434))*138,0)+IFERROR(--ISNUMBER(SEARCH("R139",G434))*139,0)+IFERROR(--ISNUMBER(SEARCH("R140",G434))*140,0)+IFERROR(--ISNUMBER(SEARCH("R141",G434))*141,0))</f>
        <v/>
      </c>
      <c r="V434" s="59">
        <f>IF(A434="","",IF(K434&lt;&gt;"",K434,J434))</f>
        <v/>
      </c>
      <c r="W434" s="59">
        <f>IF(A434="","",IF(AND(V434=29,O434&lt;&gt;"",COUNTIFS($V$6:$V$505,29,$F$6:$F$505,F434,$C$6:$C$505,C434,$O$6:$O$505,"&lt;&gt;")&gt;1),IF(COUNTIFS($V$6:V434,29,$F$6:F434,F434,$C$6:C434,C434,$O$6:O434,"&lt;&gt;")=1,"Esta es la fila que se debe CONSERVAR (aparición 1 de "&amp;COUNTIFS($V$6:$V$505,29,$F$6:$F$505,F434,$C$6:$C$505,C434,$O$6:$O$505,"&lt;&gt;")&amp;" con el mismo tercero y valor, casilla 29). Si hay más filas iguales, bórreles el valor a ELLAS, no a esta.","DUPLICADO — ya existe otra fila con el mismo tercero y valor para casilla 29 (aparición "&amp;COUNTIFS($V$6:V434,29,$F$6:F434,F434,$C$6:C434,C434,$O$6:O434,"&lt;&gt;")&amp;" de "&amp;COUNTIFS($V$6:$V$505,29,$F$6:$F$505,F434,$C$6:$C$505,C434,$O$6:$O$505,"&lt;&gt;")&amp;"). Para resolverlo: seleccione la celda O"&amp;ROW()&amp;" (columna Valor a declarar de ESTA fila) y presione Supr."),""))</f>
        <v/>
      </c>
      <c r="X434" s="463">
        <f>IF(A434="","",F434)</f>
        <v/>
      </c>
      <c r="Y434" s="463">
        <f>IF(A434="","",SUMIF(Entrada_Manual!$I$88:$I$187,A434,Entrada_Manual!$F$88:$F$187))</f>
        <v/>
      </c>
      <c r="Z434" s="463">
        <f>IF(A434="","",X434-Y434)</f>
        <v/>
      </c>
      <c r="AA434">
        <f>IF(A434="","",SUMPRODUCT((Entrada_Manual!$I$88:$I$187=A434)*1))</f>
        <v/>
      </c>
      <c r="AB434">
        <f>IF(A434="","",IF(S434&lt;=1,"",IF(AA434=0,"PENDIENTE — SIN ASIGNAR",IF(Z434=0,"RESUELTO","PARCIAL — DIFERENCIA "&amp;TEXT(Z434,"#,##0")))))</f>
        <v/>
      </c>
    </row>
    <row r="435" ht="14.25" customHeight="1" s="235">
      <c r="A435" s="47">
        <f>IF(Exogena_RAW!E444&lt;&gt;"",ROW()-5,"")</f>
        <v/>
      </c>
      <c r="B435" s="48">
        <f>IF(A435="","",444)</f>
        <v/>
      </c>
      <c r="C435" s="48">
        <f>IF(A435="","",IFERROR(Exogena_RAW!A444,""))</f>
        <v/>
      </c>
      <c r="D435" s="48">
        <f>IF(A435="","",IFERROR(Exogena_RAW!B444,""))</f>
        <v/>
      </c>
      <c r="E435" s="48">
        <f>IF(A435="","",Exogena_RAW!E444)</f>
        <v/>
      </c>
      <c r="F435" s="461">
        <f>IF(A435="","",Exogena_RAW!F444)</f>
        <v/>
      </c>
      <c r="G435" s="48">
        <f>IF(A435="","",IFERROR(Exogena_RAW!G444,""))</f>
        <v/>
      </c>
      <c r="H435" s="48">
        <f>IF(A435="","",IFERROR(Exogena_RAW!H444,""))</f>
        <v/>
      </c>
      <c r="I435" s="48">
        <f>IF(A435="","",IFERROR(IF(S435&gt;1,"VARIAS CASILLAS",IF(S435=1,IF(T435=1,"PROPUESTA DE CASILLA","REVISIÓN: CASILLA NO DIRECTA"),IF(OR(ISNUMBER(SEARCH("TOPE",UPPER(E435))),ISNUMBER(SEARCH("TOPE",UPPER(G435)))),"SOLO CONTROL",IF(ISNUMBER(SEARCH("RETEN",UPPER(E435))),"RETENCIÓN","REVISAR")))),"REVISAR"))</f>
        <v/>
      </c>
      <c r="J435" s="48">
        <f>IF(A435="","",IF(ISNUMBER(SEARCH("ingreso laboral promedio de los últimos seis meses",E435)),"",IFERROR(IF(AND(S435=1,T435=1),U435,""),"")))</f>
        <v/>
      </c>
      <c r="K435" s="216" t="n"/>
      <c r="L435" s="48">
        <f>IF(A435="","",IFERROR(IF(K435&lt;&gt;"","Casilla elegida por usuario",IF(S435&gt;1,"Varias casillas — elegir en K",IF(J435&lt;&gt;"","Sugerencia directa",IF(S435=1,"No trasladar directo — revisar",IF(OR(ISNUMBER(SEARCH("TOPE",UPPER(E435))),ISNUMBER(SEARCH("TOPE",UPPER(G435)))),"Solo control","Revisar manualmente"))))),"Revisar manualmente"))</f>
        <v/>
      </c>
      <c r="M435" s="461">
        <f>IF(A435="","",IF(IF(K435&lt;&gt;"",K435,J435)="",0,IF(COUNTIFS(Reglas!$I$5:$I$118,IF(K435&lt;&gt;"",K435,J435),Reglas!$J$5:$J$118,"Sí")=1,F435,0)))</f>
        <v/>
      </c>
      <c r="N435" s="56" t="n"/>
      <c r="O435" s="462">
        <f>IF(A435="","",IF(M435=0,"",M435))</f>
        <v/>
      </c>
      <c r="P435" s="461">
        <f>IF(A435="","",IF(O435="",0,IF(ISNUMBER(O435),O435,0)))</f>
        <v/>
      </c>
      <c r="Q435" s="48">
        <f>IF(A435="","",IF(Exogena_RAW!$C$4="","BLOQUEADO: FALTA AÑO",IF(Exogena_RAW!$K$10&lt;&gt;Reglas!$B$5,"BLOQUEADO: AÑO",IF(IF(K435&lt;&gt;"",K435,J435)="",IF(S435&gt;1,"REQUIERE ASIGNACIÓN MANUAL (VARIAS CASILLAS)","INFORMATIVO (sin casilla — no se declara)"),IF(COUNTIFS(Reglas!$I$5:$I$118,IF(K435&lt;&gt;"",K435,J435),Reglas!$J$5:$J$118,"Sí")=0,"BLOQUEADO: CASILLA NO DIRECTA",IF(O435="","EXCLUIDO (valor borrado por el usuario)",IF(_xlfn.ISFORMULA(O435),IF(W435&lt;&gt;"","BORRADOR — VALOR SUGERIDO DIAN ⚠ VER ALERTA","BORRADOR — VALOR SUGERIDO DIAN"),IF(W435&lt;&gt;"","ACEPTADO ⚠ VER ALERTA","ACEPTADO"))))))))</f>
        <v/>
      </c>
      <c r="R435" s="218" t="n"/>
      <c r="S435" s="58">
        <f>IF(A435="","",IFERROR(--ISNUMBER(SEARCH("R28",G435)),0)+IFERROR(--ISNUMBER(SEARCH("R29",G435)),0)+IFERROR(--ISNUMBER(SEARCH("R30",G435)),0)+IFERROR(--ISNUMBER(SEARCH("R31",G435)),0)+IFERROR(--ISNUMBER(SEARCH("R32",G435)),0)+IFERROR(--ISNUMBER(SEARCH("R33",G435)),0)+IFERROR(--ISNUMBER(SEARCH("R34",G435)),0)+IFERROR(--ISNUMBER(SEARCH("R35",G435)),0)+IFERROR(--ISNUMBER(SEARCH("R36",G435)),0)+IFERROR(--ISNUMBER(SEARCH("R37",G435)),0)+IFERROR(--ISNUMBER(SEARCH("R38",G435)),0)+IFERROR(--ISNUMBER(SEARCH("R39",G435)),0)+IFERROR(--ISNUMBER(SEARCH("R40",G435)),0)+IFERROR(--ISNUMBER(SEARCH("R41",G435)),0)+IFERROR(--ISNUMBER(SEARCH("R42",G435)),0)+IFERROR(--ISNUMBER(SEARCH("R43",G435)),0)+IFERROR(--ISNUMBER(SEARCH("R44",G435)),0)+IFERROR(--ISNUMBER(SEARCH("R45",G435)),0)+IFERROR(--ISNUMBER(SEARCH("R46",G435)),0)+IFERROR(--ISNUMBER(SEARCH("R47",G435)),0)+IFERROR(--ISNUMBER(SEARCH("R48",G435)),0)+IFERROR(--ISNUMBER(SEARCH("R49",G435)),0)+IFERROR(--ISNUMBER(SEARCH("R50",G435)),0)+IFERROR(--ISNUMBER(SEARCH("R51",G435)),0)+IFERROR(--ISNUMBER(SEARCH("R52",G435)),0)+IFERROR(--ISNUMBER(SEARCH("R53",G435)),0)+IFERROR(--ISNUMBER(SEARCH("R54",G435)),0)+IFERROR(--ISNUMBER(SEARCH("R55",G435)),0)+IFERROR(--ISNUMBER(SEARCH("R56",G435)),0)+IFERROR(--ISNUMBER(SEARCH("R57",G435)),0)+IFERROR(--ISNUMBER(SEARCH("R58",G435)),0)+IFERROR(--ISNUMBER(SEARCH("R59",G435)),0)+IFERROR(--ISNUMBER(SEARCH("R60",G435)),0)+IFERROR(--ISNUMBER(SEARCH("R61",G435)),0)+IFERROR(--ISNUMBER(SEARCH("R62",G435)),0)+IFERROR(--ISNUMBER(SEARCH("R63",G435)),0)+IFERROR(--ISNUMBER(SEARCH("R64",G435)),0)+IFERROR(--ISNUMBER(SEARCH("R65",G435)),0)+IFERROR(--ISNUMBER(SEARCH("R66",G435)),0)+IFERROR(--ISNUMBER(SEARCH("R67",G435)),0)+IFERROR(--ISNUMBER(SEARCH("R68",G435)),0)+IFERROR(--ISNUMBER(SEARCH("R69",G435)),0)+IFERROR(--ISNUMBER(SEARCH("R70",G435)),0)+IFERROR(--ISNUMBER(SEARCH("R71",G435)),0)+IFERROR(--ISNUMBER(SEARCH("R72",G435)),0)+IFERROR(--ISNUMBER(SEARCH("R73",G435)),0)+IFERROR(--ISNUMBER(SEARCH("R74",G435)),0)+IFERROR(--ISNUMBER(SEARCH("R75",G435)),0)+IFERROR(--ISNUMBER(SEARCH("R76",G435)),0)+IFERROR(--ISNUMBER(SEARCH("R77",G435)),0)+IFERROR(--ISNUMBER(SEARCH("R78",G435)),0)+IFERROR(--ISNUMBER(SEARCH("R79",G435)),0)+IFERROR(--ISNUMBER(SEARCH("R80",G435)),0)+IFERROR(--ISNUMBER(SEARCH("R81",G435)),0)+IFERROR(--ISNUMBER(SEARCH("R82",G435)),0)+IFERROR(--ISNUMBER(SEARCH("R83",G435)),0)+IFERROR(--ISNUMBER(SEARCH("R84",G435)),0)+IFERROR(--ISNUMBER(SEARCH("R85",G435)),0)+IFERROR(--ISNUMBER(SEARCH("R86",G435)),0)+IFERROR(--ISNUMBER(SEARCH("R87",G435)),0)+IFERROR(--ISNUMBER(SEARCH("R88",G435)),0)+IFERROR(--ISNUMBER(SEARCH("R89",G435)),0)+IFERROR(--ISNUMBER(SEARCH("R90",G435)),0)+IFERROR(--ISNUMBER(SEARCH("R91",G435)),0)+IFERROR(--ISNUMBER(SEARCH("R92",G435)),0)+IFERROR(--ISNUMBER(SEARCH("R93",G435)),0)+IFERROR(--ISNUMBER(SEARCH("R94",G435)),0)+IFERROR(--ISNUMBER(SEARCH("R95",G435)),0)+IFERROR(--ISNUMBER(SEARCH("R96",G435)),0)+IFERROR(--ISNUMBER(SEARCH("R97",G435)),0)+IFERROR(--ISNUMBER(SEARCH("R98",G435)),0)+IFERROR(--ISNUMBER(SEARCH("R99",G435)),0)+IFERROR(--ISNUMBER(SEARCH("R100",G435)),0)+IFERROR(--ISNUMBER(SEARCH("R101",G435)),0)+IFERROR(--ISNUMBER(SEARCH("R102",G435)),0)+IFERROR(--ISNUMBER(SEARCH("R103",G435)),0)+IFERROR(--ISNUMBER(SEARCH("R104",G435)),0)+IFERROR(--ISNUMBER(SEARCH("R105",G435)),0)+IFERROR(--ISNUMBER(SEARCH("R106",G435)),0)+IFERROR(--ISNUMBER(SEARCH("R107",G435)),0)+IFERROR(--ISNUMBER(SEARCH("R108",G435)),0)+IFERROR(--ISNUMBER(SEARCH("R109",G435)),0)+IFERROR(--ISNUMBER(SEARCH("R110",G435)),0)+IFERROR(--ISNUMBER(SEARCH("R111",G435)),0)+IFERROR(--ISNUMBER(SEARCH("R112",G435)),0)+IFERROR(--ISNUMBER(SEARCH("R113",G435)),0)+IFERROR(--ISNUMBER(SEARCH("R114",G435)),0)+IFERROR(--ISNUMBER(SEARCH("R115",G435)),0)+IFERROR(--ISNUMBER(SEARCH("R116",G435)),0)+IFERROR(--ISNUMBER(SEARCH("R117",G435)),0)+IFERROR(--ISNUMBER(SEARCH("R118",G435)),0)+IFERROR(--ISNUMBER(SEARCH("R119",G435)),0)+IFERROR(--ISNUMBER(SEARCH("R120",G435)),0)+IFERROR(--ISNUMBER(SEARCH("R121",G435)),0)+IFERROR(--ISNUMBER(SEARCH("R122",G435)),0)+IFERROR(--ISNUMBER(SEARCH("R123",G435)),0)+IFERROR(--ISNUMBER(SEARCH("R124",G435)),0)+IFERROR(--ISNUMBER(SEARCH("R125",G435)),0)+IFERROR(--ISNUMBER(SEARCH("R126",G435)),0)+IFERROR(--ISNUMBER(SEARCH("R127",G435)),0)+IFERROR(--ISNUMBER(SEARCH("R128",G435)),0)+IFERROR(--ISNUMBER(SEARCH("R129",G435)),0)+IFERROR(--ISNUMBER(SEARCH("R130",G435)),0)+IFERROR(--ISNUMBER(SEARCH("R131",G435)),0)+IFERROR(--ISNUMBER(SEARCH("R132",G435)),0)+IFERROR(--ISNUMBER(SEARCH("R133",G435)),0)+IFERROR(--ISNUMBER(SEARCH("R134",G435)),0)+IFERROR(--ISNUMBER(SEARCH("R135",G435)),0)+IFERROR(--ISNUMBER(SEARCH("R136",G435)),0)+IFERROR(--ISNUMBER(SEARCH("R137",G435)),0)+IFERROR(--ISNUMBER(SEARCH("R138",G435)),0)+IFERROR(--ISNUMBER(SEARCH("R139",G435)),0)+IFERROR(--ISNUMBER(SEARCH("R140",G435)),0)+IFERROR(--ISNUMBER(SEARCH("R141",G435)),0))</f>
        <v/>
      </c>
      <c r="T435" s="58">
        <f>IF(A435="","",IFERROR(--ISNUMBER(SEARCH("R28",G435)),0)+IFERROR(--ISNUMBER(SEARCH("R29",G435)),0)+IFERROR(--ISNUMBER(SEARCH("R30",G435)),0)+IFERROR(--ISNUMBER(SEARCH("R32",G435)),0)+IFERROR(--ISNUMBER(SEARCH("R33",G435)),0)+IFERROR(--ISNUMBER(SEARCH("R35",G435)),0)+IFERROR(--ISNUMBER(SEARCH("R36",G435)),0)+IFERROR(--ISNUMBER(SEARCH("R38",G435)),0)+IFERROR(--ISNUMBER(SEARCH("R39",G435)),0)+IFERROR(--ISNUMBER(SEARCH("R43",G435)),0)+IFERROR(--ISNUMBER(SEARCH("R44",G435)),0)+IFERROR(--ISNUMBER(SEARCH("R45",G435)),0)+IFERROR(--ISNUMBER(SEARCH("R47",G435)),0)+IFERROR(--ISNUMBER(SEARCH("R48",G435)),0)+IFERROR(--ISNUMBER(SEARCH("R50",G435)),0)+IFERROR(--ISNUMBER(SEARCH("R51",G435)),0)+IFERROR(--ISNUMBER(SEARCH("R56",G435)),0)+IFERROR(--ISNUMBER(SEARCH("R58",G435)),0)+IFERROR(--ISNUMBER(SEARCH("R59",G435)),0)+IFERROR(--ISNUMBER(SEARCH("R60",G435)),0)+IFERROR(--ISNUMBER(SEARCH("R62",G435)),0)+IFERROR(--ISNUMBER(SEARCH("R63",G435)),0)+IFERROR(--ISNUMBER(SEARCH("R64",G435)),0)+IFERROR(--ISNUMBER(SEARCH("R66",G435)),0)+IFERROR(--ISNUMBER(SEARCH("R67",G435)),0)+IFERROR(--ISNUMBER(SEARCH("R72",G435)),0)+IFERROR(--ISNUMBER(SEARCH("R74",G435)),0)+IFERROR(--ISNUMBER(SEARCH("R75",G435)),0)+IFERROR(--ISNUMBER(SEARCH("R76",G435)),0)+IFERROR(--ISNUMBER(SEARCH("R77",G435)),0)+IFERROR(--ISNUMBER(SEARCH("R79",G435)),0)+IFERROR(--ISNUMBER(SEARCH("R80",G435)),0)+IFERROR(--ISNUMBER(SEARCH("R81",G435)),0)+IFERROR(--ISNUMBER(SEARCH("R83",G435)),0)+IFERROR(--ISNUMBER(SEARCH("R84",G435)),0)+IFERROR(--ISNUMBER(SEARCH("R89",G435)),0)+IFERROR(--ISNUMBER(SEARCH("R94",G435)),0)+IFERROR(--ISNUMBER(SEARCH("R95",G435)),0)+IFERROR(--ISNUMBER(SEARCH("R96",G435)),0)+IFERROR(--ISNUMBER(SEARCH("R98",G435)),0)+IFERROR(--ISNUMBER(SEARCH("R99",G435)),0)+IFERROR(--ISNUMBER(SEARCH("R100",G435)),0)+IFERROR(--ISNUMBER(SEARCH("R104",G435)),0)+IFERROR(--ISNUMBER(SEARCH("R105",G435)),0)+IFERROR(--ISNUMBER(SEARCH("R107",G435)),0)+IFERROR(--ISNUMBER(SEARCH("R108",G435)),0)+IFERROR(--ISNUMBER(SEARCH("R109",G435)),0)+IFERROR(--ISNUMBER(SEARCH("R110",G435)),0)+IFERROR(--ISNUMBER(SEARCH("R112",G435)),0)+IFERROR(--ISNUMBER(SEARCH("R113",G435)),0)+IFERROR(--ISNUMBER(SEARCH("R114",G435)),0)+IFERROR(--ISNUMBER(SEARCH("R118",G435)),0)+IFERROR(--ISNUMBER(SEARCH("R119",G435)),0)+IFERROR(--ISNUMBER(SEARCH("R120",G435)),0)+IFERROR(--ISNUMBER(SEARCH("R122",G435)),0)+IFERROR(--ISNUMBER(SEARCH("R123",G435)),0)+IFERROR(--ISNUMBER(SEARCH("R124",G435)),0)+IFERROR(--ISNUMBER(SEARCH("R128",G435)),0)+IFERROR(--ISNUMBER(SEARCH("R130",G435)),0)+IFERROR(--ISNUMBER(SEARCH("R131",G435)),0)+IFERROR(--ISNUMBER(SEARCH("R132",G435)),0)+IFERROR(--ISNUMBER(SEARCH("R135",G435)),0)+IFERROR(--ISNUMBER(SEARCH("R138",G435)),0)+IFERROR(--ISNUMBER(SEARCH("R141",G435)),0))</f>
        <v/>
      </c>
      <c r="U435" s="58">
        <f>IF(A435="","",IFERROR(--ISNUMBER(SEARCH("R28",G435))*28,0)+IFERROR(--ISNUMBER(SEARCH("R29",G435))*29,0)+IFERROR(--ISNUMBER(SEARCH("R30",G435))*30,0)+IFERROR(--ISNUMBER(SEARCH("R31",G435))*31,0)+IFERROR(--ISNUMBER(SEARCH("R32",G435))*32,0)+IFERROR(--ISNUMBER(SEARCH("R33",G435))*33,0)+IFERROR(--ISNUMBER(SEARCH("R34",G435))*34,0)+IFERROR(--ISNUMBER(SEARCH("R35",G435))*35,0)+IFERROR(--ISNUMBER(SEARCH("R36",G435))*36,0)+IFERROR(--ISNUMBER(SEARCH("R37",G435))*37,0)+IFERROR(--ISNUMBER(SEARCH("R38",G435))*38,0)+IFERROR(--ISNUMBER(SEARCH("R39",G435))*39,0)+IFERROR(--ISNUMBER(SEARCH("R40",G435))*40,0)+IFERROR(--ISNUMBER(SEARCH("R41",G435))*41,0)+IFERROR(--ISNUMBER(SEARCH("R42",G435))*42,0)+IFERROR(--ISNUMBER(SEARCH("R43",G435))*43,0)+IFERROR(--ISNUMBER(SEARCH("R44",G435))*44,0)+IFERROR(--ISNUMBER(SEARCH("R45",G435))*45,0)+IFERROR(--ISNUMBER(SEARCH("R46",G435))*46,0)+IFERROR(--ISNUMBER(SEARCH("R47",G435))*47,0)+IFERROR(--ISNUMBER(SEARCH("R48",G435))*48,0)+IFERROR(--ISNUMBER(SEARCH("R49",G435))*49,0)+IFERROR(--ISNUMBER(SEARCH("R50",G435))*50,0)+IFERROR(--ISNUMBER(SEARCH("R51",G435))*51,0)+IFERROR(--ISNUMBER(SEARCH("R52",G435))*52,0)+IFERROR(--ISNUMBER(SEARCH("R53",G435))*53,0)+IFERROR(--ISNUMBER(SEARCH("R54",G435))*54,0)+IFERROR(--ISNUMBER(SEARCH("R55",G435))*55,0)+IFERROR(--ISNUMBER(SEARCH("R56",G435))*56,0)+IFERROR(--ISNUMBER(SEARCH("R57",G435))*57,0)+IFERROR(--ISNUMBER(SEARCH("R58",G435))*58,0)+IFERROR(--ISNUMBER(SEARCH("R59",G435))*59,0)+IFERROR(--ISNUMBER(SEARCH("R60",G435))*60,0)+IFERROR(--ISNUMBER(SEARCH("R61",G435))*61,0)+IFERROR(--ISNUMBER(SEARCH("R62",G435))*62,0)+IFERROR(--ISNUMBER(SEARCH("R63",G435))*63,0)+IFERROR(--ISNUMBER(SEARCH("R64",G435))*64,0)+IFERROR(--ISNUMBER(SEARCH("R65",G435))*65,0)+IFERROR(--ISNUMBER(SEARCH("R66",G435))*66,0)+IFERROR(--ISNUMBER(SEARCH("R67",G435))*67,0)+IFERROR(--ISNUMBER(SEARCH("R68",G435))*68,0)+IFERROR(--ISNUMBER(SEARCH("R69",G435))*69,0)+IFERROR(--ISNUMBER(SEARCH("R70",G435))*70,0)+IFERROR(--ISNUMBER(SEARCH("R71",G435))*71,0)+IFERROR(--ISNUMBER(SEARCH("R72",G435))*72,0)+IFERROR(--ISNUMBER(SEARCH("R73",G435))*73,0)+IFERROR(--ISNUMBER(SEARCH("R74",G435))*74,0)+IFERROR(--ISNUMBER(SEARCH("R75",G435))*75,0)+IFERROR(--ISNUMBER(SEARCH("R76",G435))*76,0)+IFERROR(--ISNUMBER(SEARCH("R77",G435))*77,0)+IFERROR(--ISNUMBER(SEARCH("R78",G435))*78,0)+IFERROR(--ISNUMBER(SEARCH("R79",G435))*79,0)+IFERROR(--ISNUMBER(SEARCH("R80",G435))*80,0)+IFERROR(--ISNUMBER(SEARCH("R81",G435))*81,0)+IFERROR(--ISNUMBER(SEARCH("R82",G435))*82,0)+IFERROR(--ISNUMBER(SEARCH("R83",G435))*83,0)+IFERROR(--ISNUMBER(SEARCH("R84",G435))*84,0)+IFERROR(--ISNUMBER(SEARCH("R85",G435))*85,0)+IFERROR(--ISNUMBER(SEARCH("R86",G435))*86,0)+IFERROR(--ISNUMBER(SEARCH("R87",G435))*87,0)+IFERROR(--ISNUMBER(SEARCH("R88",G435))*88,0)+IFERROR(--ISNUMBER(SEARCH("R89",G435))*89,0)+IFERROR(--ISNUMBER(SEARCH("R90",G435))*90,0)+IFERROR(--ISNUMBER(SEARCH("R91",G435))*91,0)+IFERROR(--ISNUMBER(SEARCH("R92",G435))*92,0)+IFERROR(--ISNUMBER(SEARCH("R93",G435))*93,0)+IFERROR(--ISNUMBER(SEARCH("R94",G435))*94,0)+IFERROR(--ISNUMBER(SEARCH("R95",G435))*95,0)+IFERROR(--ISNUMBER(SEARCH("R96",G435))*96,0)+IFERROR(--ISNUMBER(SEARCH("R97",G435))*97,0)+IFERROR(--ISNUMBER(SEARCH("R98",G435))*98,0)+IFERROR(--ISNUMBER(SEARCH("R99",G435))*99,0)+IFERROR(--ISNUMBER(SEARCH("R100",G435))*100,0)+IFERROR(--ISNUMBER(SEARCH("R101",G435))*101,0)+IFERROR(--ISNUMBER(SEARCH("R102",G435))*102,0)+IFERROR(--ISNUMBER(SEARCH("R103",G435))*103,0)+IFERROR(--ISNUMBER(SEARCH("R104",G435))*104,0)+IFERROR(--ISNUMBER(SEARCH("R105",G435))*105,0)+IFERROR(--ISNUMBER(SEARCH("R106",G435))*106,0)+IFERROR(--ISNUMBER(SEARCH("R107",G435))*107,0)+IFERROR(--ISNUMBER(SEARCH("R108",G435))*108,0)+IFERROR(--ISNUMBER(SEARCH("R109",G435))*109,0)+IFERROR(--ISNUMBER(SEARCH("R110",G435))*110,0)+IFERROR(--ISNUMBER(SEARCH("R111",G435))*111,0)+IFERROR(--ISNUMBER(SEARCH("R112",G435))*112,0)+IFERROR(--ISNUMBER(SEARCH("R113",G435))*113,0)+IFERROR(--ISNUMBER(SEARCH("R114",G435))*114,0)+IFERROR(--ISNUMBER(SEARCH("R115",G435))*115,0)+IFERROR(--ISNUMBER(SEARCH("R116",G435))*116,0)+IFERROR(--ISNUMBER(SEARCH("R117",G435))*117,0)+IFERROR(--ISNUMBER(SEARCH("R118",G435))*118,0)+IFERROR(--ISNUMBER(SEARCH("R119",G435))*119,0)+IFERROR(--ISNUMBER(SEARCH("R120",G435))*120,0)+IFERROR(--ISNUMBER(SEARCH("R121",G435))*121,0)+IFERROR(--ISNUMBER(SEARCH("R122",G435))*122,0)+IFERROR(--ISNUMBER(SEARCH("R123",G435))*123,0)+IFERROR(--ISNUMBER(SEARCH("R124",G435))*124,0)+IFERROR(--ISNUMBER(SEARCH("R125",G435))*125,0)+IFERROR(--ISNUMBER(SEARCH("R126",G435))*126,0)+IFERROR(--ISNUMBER(SEARCH("R127",G435))*127,0)+IFERROR(--ISNUMBER(SEARCH("R128",G435))*128,0)+IFERROR(--ISNUMBER(SEARCH("R129",G435))*129,0)+IFERROR(--ISNUMBER(SEARCH("R130",G435))*130,0)+IFERROR(--ISNUMBER(SEARCH("R131",G435))*131,0)+IFERROR(--ISNUMBER(SEARCH("R132",G435))*132,0)+IFERROR(--ISNUMBER(SEARCH("R133",G435))*133,0)+IFERROR(--ISNUMBER(SEARCH("R134",G435))*134,0)+IFERROR(--ISNUMBER(SEARCH("R135",G435))*135,0)+IFERROR(--ISNUMBER(SEARCH("R136",G435))*136,0)+IFERROR(--ISNUMBER(SEARCH("R137",G435))*137,0)+IFERROR(--ISNUMBER(SEARCH("R138",G435))*138,0)+IFERROR(--ISNUMBER(SEARCH("R139",G435))*139,0)+IFERROR(--ISNUMBER(SEARCH("R140",G435))*140,0)+IFERROR(--ISNUMBER(SEARCH("R141",G435))*141,0))</f>
        <v/>
      </c>
      <c r="V435" s="59">
        <f>IF(A435="","",IF(K435&lt;&gt;"",K435,J435))</f>
        <v/>
      </c>
      <c r="W435" s="59">
        <f>IF(A435="","",IF(AND(V435=29,O435&lt;&gt;"",COUNTIFS($V$6:$V$505,29,$F$6:$F$505,F435,$C$6:$C$505,C435,$O$6:$O$505,"&lt;&gt;")&gt;1),IF(COUNTIFS($V$6:V435,29,$F$6:F435,F435,$C$6:C435,C435,$O$6:O435,"&lt;&gt;")=1,"Esta es la fila que se debe CONSERVAR (aparición 1 de "&amp;COUNTIFS($V$6:$V$505,29,$F$6:$F$505,F435,$C$6:$C$505,C435,$O$6:$O$505,"&lt;&gt;")&amp;" con el mismo tercero y valor, casilla 29). Si hay más filas iguales, bórreles el valor a ELLAS, no a esta.","DUPLICADO — ya existe otra fila con el mismo tercero y valor para casilla 29 (aparición "&amp;COUNTIFS($V$6:V435,29,$F$6:F435,F435,$C$6:C435,C435,$O$6:O435,"&lt;&gt;")&amp;" de "&amp;COUNTIFS($V$6:$V$505,29,$F$6:$F$505,F435,$C$6:$C$505,C435,$O$6:$O$505,"&lt;&gt;")&amp;"). Para resolverlo: seleccione la celda O"&amp;ROW()&amp;" (columna Valor a declarar de ESTA fila) y presione Supr."),""))</f>
        <v/>
      </c>
      <c r="X435" s="463">
        <f>IF(A435="","",F435)</f>
        <v/>
      </c>
      <c r="Y435" s="463">
        <f>IF(A435="","",SUMIF(Entrada_Manual!$I$88:$I$187,A435,Entrada_Manual!$F$88:$F$187))</f>
        <v/>
      </c>
      <c r="Z435" s="463">
        <f>IF(A435="","",X435-Y435)</f>
        <v/>
      </c>
      <c r="AA435">
        <f>IF(A435="","",SUMPRODUCT((Entrada_Manual!$I$88:$I$187=A435)*1))</f>
        <v/>
      </c>
      <c r="AB435">
        <f>IF(A435="","",IF(S435&lt;=1,"",IF(AA435=0,"PENDIENTE — SIN ASIGNAR",IF(Z435=0,"RESUELTO","PARCIAL — DIFERENCIA "&amp;TEXT(Z435,"#,##0")))))</f>
        <v/>
      </c>
    </row>
    <row r="436" ht="14.25" customHeight="1" s="235">
      <c r="A436" s="47">
        <f>IF(Exogena_RAW!E445&lt;&gt;"",ROW()-5,"")</f>
        <v/>
      </c>
      <c r="B436" s="48">
        <f>IF(A436="","",445)</f>
        <v/>
      </c>
      <c r="C436" s="48">
        <f>IF(A436="","",IFERROR(Exogena_RAW!A445,""))</f>
        <v/>
      </c>
      <c r="D436" s="48">
        <f>IF(A436="","",IFERROR(Exogena_RAW!B445,""))</f>
        <v/>
      </c>
      <c r="E436" s="48">
        <f>IF(A436="","",Exogena_RAW!E445)</f>
        <v/>
      </c>
      <c r="F436" s="461">
        <f>IF(A436="","",Exogena_RAW!F445)</f>
        <v/>
      </c>
      <c r="G436" s="48">
        <f>IF(A436="","",IFERROR(Exogena_RAW!G445,""))</f>
        <v/>
      </c>
      <c r="H436" s="48">
        <f>IF(A436="","",IFERROR(Exogena_RAW!H445,""))</f>
        <v/>
      </c>
      <c r="I436" s="48">
        <f>IF(A436="","",IFERROR(IF(S436&gt;1,"VARIAS CASILLAS",IF(S436=1,IF(T436=1,"PROPUESTA DE CASILLA","REVISIÓN: CASILLA NO DIRECTA"),IF(OR(ISNUMBER(SEARCH("TOPE",UPPER(E436))),ISNUMBER(SEARCH("TOPE",UPPER(G436)))),"SOLO CONTROL",IF(ISNUMBER(SEARCH("RETEN",UPPER(E436))),"RETENCIÓN","REVISAR")))),"REVISAR"))</f>
        <v/>
      </c>
      <c r="J436" s="48">
        <f>IF(A436="","",IF(ISNUMBER(SEARCH("ingreso laboral promedio de los últimos seis meses",E436)),"",IFERROR(IF(AND(S436=1,T436=1),U436,""),"")))</f>
        <v/>
      </c>
      <c r="K436" s="216" t="n"/>
      <c r="L436" s="48">
        <f>IF(A436="","",IFERROR(IF(K436&lt;&gt;"","Casilla elegida por usuario",IF(S436&gt;1,"Varias casillas — elegir en K",IF(J436&lt;&gt;"","Sugerencia directa",IF(S436=1,"No trasladar directo — revisar",IF(OR(ISNUMBER(SEARCH("TOPE",UPPER(E436))),ISNUMBER(SEARCH("TOPE",UPPER(G436)))),"Solo control","Revisar manualmente"))))),"Revisar manualmente"))</f>
        <v/>
      </c>
      <c r="M436" s="461">
        <f>IF(A436="","",IF(IF(K436&lt;&gt;"",K436,J436)="",0,IF(COUNTIFS(Reglas!$I$5:$I$118,IF(K436&lt;&gt;"",K436,J436),Reglas!$J$5:$J$118,"Sí")=1,F436,0)))</f>
        <v/>
      </c>
      <c r="N436" s="56" t="n"/>
      <c r="O436" s="462">
        <f>IF(A436="","",IF(M436=0,"",M436))</f>
        <v/>
      </c>
      <c r="P436" s="461">
        <f>IF(A436="","",IF(O436="",0,IF(ISNUMBER(O436),O436,0)))</f>
        <v/>
      </c>
      <c r="Q436" s="48">
        <f>IF(A436="","",IF(Exogena_RAW!$C$4="","BLOQUEADO: FALTA AÑO",IF(Exogena_RAW!$K$10&lt;&gt;Reglas!$B$5,"BLOQUEADO: AÑO",IF(IF(K436&lt;&gt;"",K436,J436)="",IF(S436&gt;1,"REQUIERE ASIGNACIÓN MANUAL (VARIAS CASILLAS)","INFORMATIVO (sin casilla — no se declara)"),IF(COUNTIFS(Reglas!$I$5:$I$118,IF(K436&lt;&gt;"",K436,J436),Reglas!$J$5:$J$118,"Sí")=0,"BLOQUEADO: CASILLA NO DIRECTA",IF(O436="","EXCLUIDO (valor borrado por el usuario)",IF(_xlfn.ISFORMULA(O436),IF(W436&lt;&gt;"","BORRADOR — VALOR SUGERIDO DIAN ⚠ VER ALERTA","BORRADOR — VALOR SUGERIDO DIAN"),IF(W436&lt;&gt;"","ACEPTADO ⚠ VER ALERTA","ACEPTADO"))))))))</f>
        <v/>
      </c>
      <c r="R436" s="218" t="n"/>
      <c r="S436" s="58">
        <f>IF(A436="","",IFERROR(--ISNUMBER(SEARCH("R28",G436)),0)+IFERROR(--ISNUMBER(SEARCH("R29",G436)),0)+IFERROR(--ISNUMBER(SEARCH("R30",G436)),0)+IFERROR(--ISNUMBER(SEARCH("R31",G436)),0)+IFERROR(--ISNUMBER(SEARCH("R32",G436)),0)+IFERROR(--ISNUMBER(SEARCH("R33",G436)),0)+IFERROR(--ISNUMBER(SEARCH("R34",G436)),0)+IFERROR(--ISNUMBER(SEARCH("R35",G436)),0)+IFERROR(--ISNUMBER(SEARCH("R36",G436)),0)+IFERROR(--ISNUMBER(SEARCH("R37",G436)),0)+IFERROR(--ISNUMBER(SEARCH("R38",G436)),0)+IFERROR(--ISNUMBER(SEARCH("R39",G436)),0)+IFERROR(--ISNUMBER(SEARCH("R40",G436)),0)+IFERROR(--ISNUMBER(SEARCH("R41",G436)),0)+IFERROR(--ISNUMBER(SEARCH("R42",G436)),0)+IFERROR(--ISNUMBER(SEARCH("R43",G436)),0)+IFERROR(--ISNUMBER(SEARCH("R44",G436)),0)+IFERROR(--ISNUMBER(SEARCH("R45",G436)),0)+IFERROR(--ISNUMBER(SEARCH("R46",G436)),0)+IFERROR(--ISNUMBER(SEARCH("R47",G436)),0)+IFERROR(--ISNUMBER(SEARCH("R48",G436)),0)+IFERROR(--ISNUMBER(SEARCH("R49",G436)),0)+IFERROR(--ISNUMBER(SEARCH("R50",G436)),0)+IFERROR(--ISNUMBER(SEARCH("R51",G436)),0)+IFERROR(--ISNUMBER(SEARCH("R52",G436)),0)+IFERROR(--ISNUMBER(SEARCH("R53",G436)),0)+IFERROR(--ISNUMBER(SEARCH("R54",G436)),0)+IFERROR(--ISNUMBER(SEARCH("R55",G436)),0)+IFERROR(--ISNUMBER(SEARCH("R56",G436)),0)+IFERROR(--ISNUMBER(SEARCH("R57",G436)),0)+IFERROR(--ISNUMBER(SEARCH("R58",G436)),0)+IFERROR(--ISNUMBER(SEARCH("R59",G436)),0)+IFERROR(--ISNUMBER(SEARCH("R60",G436)),0)+IFERROR(--ISNUMBER(SEARCH("R61",G436)),0)+IFERROR(--ISNUMBER(SEARCH("R62",G436)),0)+IFERROR(--ISNUMBER(SEARCH("R63",G436)),0)+IFERROR(--ISNUMBER(SEARCH("R64",G436)),0)+IFERROR(--ISNUMBER(SEARCH("R65",G436)),0)+IFERROR(--ISNUMBER(SEARCH("R66",G436)),0)+IFERROR(--ISNUMBER(SEARCH("R67",G436)),0)+IFERROR(--ISNUMBER(SEARCH("R68",G436)),0)+IFERROR(--ISNUMBER(SEARCH("R69",G436)),0)+IFERROR(--ISNUMBER(SEARCH("R70",G436)),0)+IFERROR(--ISNUMBER(SEARCH("R71",G436)),0)+IFERROR(--ISNUMBER(SEARCH("R72",G436)),0)+IFERROR(--ISNUMBER(SEARCH("R73",G436)),0)+IFERROR(--ISNUMBER(SEARCH("R74",G436)),0)+IFERROR(--ISNUMBER(SEARCH("R75",G436)),0)+IFERROR(--ISNUMBER(SEARCH("R76",G436)),0)+IFERROR(--ISNUMBER(SEARCH("R77",G436)),0)+IFERROR(--ISNUMBER(SEARCH("R78",G436)),0)+IFERROR(--ISNUMBER(SEARCH("R79",G436)),0)+IFERROR(--ISNUMBER(SEARCH("R80",G436)),0)+IFERROR(--ISNUMBER(SEARCH("R81",G436)),0)+IFERROR(--ISNUMBER(SEARCH("R82",G436)),0)+IFERROR(--ISNUMBER(SEARCH("R83",G436)),0)+IFERROR(--ISNUMBER(SEARCH("R84",G436)),0)+IFERROR(--ISNUMBER(SEARCH("R85",G436)),0)+IFERROR(--ISNUMBER(SEARCH("R86",G436)),0)+IFERROR(--ISNUMBER(SEARCH("R87",G436)),0)+IFERROR(--ISNUMBER(SEARCH("R88",G436)),0)+IFERROR(--ISNUMBER(SEARCH("R89",G436)),0)+IFERROR(--ISNUMBER(SEARCH("R90",G436)),0)+IFERROR(--ISNUMBER(SEARCH("R91",G436)),0)+IFERROR(--ISNUMBER(SEARCH("R92",G436)),0)+IFERROR(--ISNUMBER(SEARCH("R93",G436)),0)+IFERROR(--ISNUMBER(SEARCH("R94",G436)),0)+IFERROR(--ISNUMBER(SEARCH("R95",G436)),0)+IFERROR(--ISNUMBER(SEARCH("R96",G436)),0)+IFERROR(--ISNUMBER(SEARCH("R97",G436)),0)+IFERROR(--ISNUMBER(SEARCH("R98",G436)),0)+IFERROR(--ISNUMBER(SEARCH("R99",G436)),0)+IFERROR(--ISNUMBER(SEARCH("R100",G436)),0)+IFERROR(--ISNUMBER(SEARCH("R101",G436)),0)+IFERROR(--ISNUMBER(SEARCH("R102",G436)),0)+IFERROR(--ISNUMBER(SEARCH("R103",G436)),0)+IFERROR(--ISNUMBER(SEARCH("R104",G436)),0)+IFERROR(--ISNUMBER(SEARCH("R105",G436)),0)+IFERROR(--ISNUMBER(SEARCH("R106",G436)),0)+IFERROR(--ISNUMBER(SEARCH("R107",G436)),0)+IFERROR(--ISNUMBER(SEARCH("R108",G436)),0)+IFERROR(--ISNUMBER(SEARCH("R109",G436)),0)+IFERROR(--ISNUMBER(SEARCH("R110",G436)),0)+IFERROR(--ISNUMBER(SEARCH("R111",G436)),0)+IFERROR(--ISNUMBER(SEARCH("R112",G436)),0)+IFERROR(--ISNUMBER(SEARCH("R113",G436)),0)+IFERROR(--ISNUMBER(SEARCH("R114",G436)),0)+IFERROR(--ISNUMBER(SEARCH("R115",G436)),0)+IFERROR(--ISNUMBER(SEARCH("R116",G436)),0)+IFERROR(--ISNUMBER(SEARCH("R117",G436)),0)+IFERROR(--ISNUMBER(SEARCH("R118",G436)),0)+IFERROR(--ISNUMBER(SEARCH("R119",G436)),0)+IFERROR(--ISNUMBER(SEARCH("R120",G436)),0)+IFERROR(--ISNUMBER(SEARCH("R121",G436)),0)+IFERROR(--ISNUMBER(SEARCH("R122",G436)),0)+IFERROR(--ISNUMBER(SEARCH("R123",G436)),0)+IFERROR(--ISNUMBER(SEARCH("R124",G436)),0)+IFERROR(--ISNUMBER(SEARCH("R125",G436)),0)+IFERROR(--ISNUMBER(SEARCH("R126",G436)),0)+IFERROR(--ISNUMBER(SEARCH("R127",G436)),0)+IFERROR(--ISNUMBER(SEARCH("R128",G436)),0)+IFERROR(--ISNUMBER(SEARCH("R129",G436)),0)+IFERROR(--ISNUMBER(SEARCH("R130",G436)),0)+IFERROR(--ISNUMBER(SEARCH("R131",G436)),0)+IFERROR(--ISNUMBER(SEARCH("R132",G436)),0)+IFERROR(--ISNUMBER(SEARCH("R133",G436)),0)+IFERROR(--ISNUMBER(SEARCH("R134",G436)),0)+IFERROR(--ISNUMBER(SEARCH("R135",G436)),0)+IFERROR(--ISNUMBER(SEARCH("R136",G436)),0)+IFERROR(--ISNUMBER(SEARCH("R137",G436)),0)+IFERROR(--ISNUMBER(SEARCH("R138",G436)),0)+IFERROR(--ISNUMBER(SEARCH("R139",G436)),0)+IFERROR(--ISNUMBER(SEARCH("R140",G436)),0)+IFERROR(--ISNUMBER(SEARCH("R141",G436)),0))</f>
        <v/>
      </c>
      <c r="T436" s="58">
        <f>IF(A436="","",IFERROR(--ISNUMBER(SEARCH("R28",G436)),0)+IFERROR(--ISNUMBER(SEARCH("R29",G436)),0)+IFERROR(--ISNUMBER(SEARCH("R30",G436)),0)+IFERROR(--ISNUMBER(SEARCH("R32",G436)),0)+IFERROR(--ISNUMBER(SEARCH("R33",G436)),0)+IFERROR(--ISNUMBER(SEARCH("R35",G436)),0)+IFERROR(--ISNUMBER(SEARCH("R36",G436)),0)+IFERROR(--ISNUMBER(SEARCH("R38",G436)),0)+IFERROR(--ISNUMBER(SEARCH("R39",G436)),0)+IFERROR(--ISNUMBER(SEARCH("R43",G436)),0)+IFERROR(--ISNUMBER(SEARCH("R44",G436)),0)+IFERROR(--ISNUMBER(SEARCH("R45",G436)),0)+IFERROR(--ISNUMBER(SEARCH("R47",G436)),0)+IFERROR(--ISNUMBER(SEARCH("R48",G436)),0)+IFERROR(--ISNUMBER(SEARCH("R50",G436)),0)+IFERROR(--ISNUMBER(SEARCH("R51",G436)),0)+IFERROR(--ISNUMBER(SEARCH("R56",G436)),0)+IFERROR(--ISNUMBER(SEARCH("R58",G436)),0)+IFERROR(--ISNUMBER(SEARCH("R59",G436)),0)+IFERROR(--ISNUMBER(SEARCH("R60",G436)),0)+IFERROR(--ISNUMBER(SEARCH("R62",G436)),0)+IFERROR(--ISNUMBER(SEARCH("R63",G436)),0)+IFERROR(--ISNUMBER(SEARCH("R64",G436)),0)+IFERROR(--ISNUMBER(SEARCH("R66",G436)),0)+IFERROR(--ISNUMBER(SEARCH("R67",G436)),0)+IFERROR(--ISNUMBER(SEARCH("R72",G436)),0)+IFERROR(--ISNUMBER(SEARCH("R74",G436)),0)+IFERROR(--ISNUMBER(SEARCH("R75",G436)),0)+IFERROR(--ISNUMBER(SEARCH("R76",G436)),0)+IFERROR(--ISNUMBER(SEARCH("R77",G436)),0)+IFERROR(--ISNUMBER(SEARCH("R79",G436)),0)+IFERROR(--ISNUMBER(SEARCH("R80",G436)),0)+IFERROR(--ISNUMBER(SEARCH("R81",G436)),0)+IFERROR(--ISNUMBER(SEARCH("R83",G436)),0)+IFERROR(--ISNUMBER(SEARCH("R84",G436)),0)+IFERROR(--ISNUMBER(SEARCH("R89",G436)),0)+IFERROR(--ISNUMBER(SEARCH("R94",G436)),0)+IFERROR(--ISNUMBER(SEARCH("R95",G436)),0)+IFERROR(--ISNUMBER(SEARCH("R96",G436)),0)+IFERROR(--ISNUMBER(SEARCH("R98",G436)),0)+IFERROR(--ISNUMBER(SEARCH("R99",G436)),0)+IFERROR(--ISNUMBER(SEARCH("R100",G436)),0)+IFERROR(--ISNUMBER(SEARCH("R104",G436)),0)+IFERROR(--ISNUMBER(SEARCH("R105",G436)),0)+IFERROR(--ISNUMBER(SEARCH("R107",G436)),0)+IFERROR(--ISNUMBER(SEARCH("R108",G436)),0)+IFERROR(--ISNUMBER(SEARCH("R109",G436)),0)+IFERROR(--ISNUMBER(SEARCH("R110",G436)),0)+IFERROR(--ISNUMBER(SEARCH("R112",G436)),0)+IFERROR(--ISNUMBER(SEARCH("R113",G436)),0)+IFERROR(--ISNUMBER(SEARCH("R114",G436)),0)+IFERROR(--ISNUMBER(SEARCH("R118",G436)),0)+IFERROR(--ISNUMBER(SEARCH("R119",G436)),0)+IFERROR(--ISNUMBER(SEARCH("R120",G436)),0)+IFERROR(--ISNUMBER(SEARCH("R122",G436)),0)+IFERROR(--ISNUMBER(SEARCH("R123",G436)),0)+IFERROR(--ISNUMBER(SEARCH("R124",G436)),0)+IFERROR(--ISNUMBER(SEARCH("R128",G436)),0)+IFERROR(--ISNUMBER(SEARCH("R130",G436)),0)+IFERROR(--ISNUMBER(SEARCH("R131",G436)),0)+IFERROR(--ISNUMBER(SEARCH("R132",G436)),0)+IFERROR(--ISNUMBER(SEARCH("R135",G436)),0)+IFERROR(--ISNUMBER(SEARCH("R138",G436)),0)+IFERROR(--ISNUMBER(SEARCH("R141",G436)),0))</f>
        <v/>
      </c>
      <c r="U436" s="58">
        <f>IF(A436="","",IFERROR(--ISNUMBER(SEARCH("R28",G436))*28,0)+IFERROR(--ISNUMBER(SEARCH("R29",G436))*29,0)+IFERROR(--ISNUMBER(SEARCH("R30",G436))*30,0)+IFERROR(--ISNUMBER(SEARCH("R31",G436))*31,0)+IFERROR(--ISNUMBER(SEARCH("R32",G436))*32,0)+IFERROR(--ISNUMBER(SEARCH("R33",G436))*33,0)+IFERROR(--ISNUMBER(SEARCH("R34",G436))*34,0)+IFERROR(--ISNUMBER(SEARCH("R35",G436))*35,0)+IFERROR(--ISNUMBER(SEARCH("R36",G436))*36,0)+IFERROR(--ISNUMBER(SEARCH("R37",G436))*37,0)+IFERROR(--ISNUMBER(SEARCH("R38",G436))*38,0)+IFERROR(--ISNUMBER(SEARCH("R39",G436))*39,0)+IFERROR(--ISNUMBER(SEARCH("R40",G436))*40,0)+IFERROR(--ISNUMBER(SEARCH("R41",G436))*41,0)+IFERROR(--ISNUMBER(SEARCH("R42",G436))*42,0)+IFERROR(--ISNUMBER(SEARCH("R43",G436))*43,0)+IFERROR(--ISNUMBER(SEARCH("R44",G436))*44,0)+IFERROR(--ISNUMBER(SEARCH("R45",G436))*45,0)+IFERROR(--ISNUMBER(SEARCH("R46",G436))*46,0)+IFERROR(--ISNUMBER(SEARCH("R47",G436))*47,0)+IFERROR(--ISNUMBER(SEARCH("R48",G436))*48,0)+IFERROR(--ISNUMBER(SEARCH("R49",G436))*49,0)+IFERROR(--ISNUMBER(SEARCH("R50",G436))*50,0)+IFERROR(--ISNUMBER(SEARCH("R51",G436))*51,0)+IFERROR(--ISNUMBER(SEARCH("R52",G436))*52,0)+IFERROR(--ISNUMBER(SEARCH("R53",G436))*53,0)+IFERROR(--ISNUMBER(SEARCH("R54",G436))*54,0)+IFERROR(--ISNUMBER(SEARCH("R55",G436))*55,0)+IFERROR(--ISNUMBER(SEARCH("R56",G436))*56,0)+IFERROR(--ISNUMBER(SEARCH("R57",G436))*57,0)+IFERROR(--ISNUMBER(SEARCH("R58",G436))*58,0)+IFERROR(--ISNUMBER(SEARCH("R59",G436))*59,0)+IFERROR(--ISNUMBER(SEARCH("R60",G436))*60,0)+IFERROR(--ISNUMBER(SEARCH("R61",G436))*61,0)+IFERROR(--ISNUMBER(SEARCH("R62",G436))*62,0)+IFERROR(--ISNUMBER(SEARCH("R63",G436))*63,0)+IFERROR(--ISNUMBER(SEARCH("R64",G436))*64,0)+IFERROR(--ISNUMBER(SEARCH("R65",G436))*65,0)+IFERROR(--ISNUMBER(SEARCH("R66",G436))*66,0)+IFERROR(--ISNUMBER(SEARCH("R67",G436))*67,0)+IFERROR(--ISNUMBER(SEARCH("R68",G436))*68,0)+IFERROR(--ISNUMBER(SEARCH("R69",G436))*69,0)+IFERROR(--ISNUMBER(SEARCH("R70",G436))*70,0)+IFERROR(--ISNUMBER(SEARCH("R71",G436))*71,0)+IFERROR(--ISNUMBER(SEARCH("R72",G436))*72,0)+IFERROR(--ISNUMBER(SEARCH("R73",G436))*73,0)+IFERROR(--ISNUMBER(SEARCH("R74",G436))*74,0)+IFERROR(--ISNUMBER(SEARCH("R75",G436))*75,0)+IFERROR(--ISNUMBER(SEARCH("R76",G436))*76,0)+IFERROR(--ISNUMBER(SEARCH("R77",G436))*77,0)+IFERROR(--ISNUMBER(SEARCH("R78",G436))*78,0)+IFERROR(--ISNUMBER(SEARCH("R79",G436))*79,0)+IFERROR(--ISNUMBER(SEARCH("R80",G436))*80,0)+IFERROR(--ISNUMBER(SEARCH("R81",G436))*81,0)+IFERROR(--ISNUMBER(SEARCH("R82",G436))*82,0)+IFERROR(--ISNUMBER(SEARCH("R83",G436))*83,0)+IFERROR(--ISNUMBER(SEARCH("R84",G436))*84,0)+IFERROR(--ISNUMBER(SEARCH("R85",G436))*85,0)+IFERROR(--ISNUMBER(SEARCH("R86",G436))*86,0)+IFERROR(--ISNUMBER(SEARCH("R87",G436))*87,0)+IFERROR(--ISNUMBER(SEARCH("R88",G436))*88,0)+IFERROR(--ISNUMBER(SEARCH("R89",G436))*89,0)+IFERROR(--ISNUMBER(SEARCH("R90",G436))*90,0)+IFERROR(--ISNUMBER(SEARCH("R91",G436))*91,0)+IFERROR(--ISNUMBER(SEARCH("R92",G436))*92,0)+IFERROR(--ISNUMBER(SEARCH("R93",G436))*93,0)+IFERROR(--ISNUMBER(SEARCH("R94",G436))*94,0)+IFERROR(--ISNUMBER(SEARCH("R95",G436))*95,0)+IFERROR(--ISNUMBER(SEARCH("R96",G436))*96,0)+IFERROR(--ISNUMBER(SEARCH("R97",G436))*97,0)+IFERROR(--ISNUMBER(SEARCH("R98",G436))*98,0)+IFERROR(--ISNUMBER(SEARCH("R99",G436))*99,0)+IFERROR(--ISNUMBER(SEARCH("R100",G436))*100,0)+IFERROR(--ISNUMBER(SEARCH("R101",G436))*101,0)+IFERROR(--ISNUMBER(SEARCH("R102",G436))*102,0)+IFERROR(--ISNUMBER(SEARCH("R103",G436))*103,0)+IFERROR(--ISNUMBER(SEARCH("R104",G436))*104,0)+IFERROR(--ISNUMBER(SEARCH("R105",G436))*105,0)+IFERROR(--ISNUMBER(SEARCH("R106",G436))*106,0)+IFERROR(--ISNUMBER(SEARCH("R107",G436))*107,0)+IFERROR(--ISNUMBER(SEARCH("R108",G436))*108,0)+IFERROR(--ISNUMBER(SEARCH("R109",G436))*109,0)+IFERROR(--ISNUMBER(SEARCH("R110",G436))*110,0)+IFERROR(--ISNUMBER(SEARCH("R111",G436))*111,0)+IFERROR(--ISNUMBER(SEARCH("R112",G436))*112,0)+IFERROR(--ISNUMBER(SEARCH("R113",G436))*113,0)+IFERROR(--ISNUMBER(SEARCH("R114",G436))*114,0)+IFERROR(--ISNUMBER(SEARCH("R115",G436))*115,0)+IFERROR(--ISNUMBER(SEARCH("R116",G436))*116,0)+IFERROR(--ISNUMBER(SEARCH("R117",G436))*117,0)+IFERROR(--ISNUMBER(SEARCH("R118",G436))*118,0)+IFERROR(--ISNUMBER(SEARCH("R119",G436))*119,0)+IFERROR(--ISNUMBER(SEARCH("R120",G436))*120,0)+IFERROR(--ISNUMBER(SEARCH("R121",G436))*121,0)+IFERROR(--ISNUMBER(SEARCH("R122",G436))*122,0)+IFERROR(--ISNUMBER(SEARCH("R123",G436))*123,0)+IFERROR(--ISNUMBER(SEARCH("R124",G436))*124,0)+IFERROR(--ISNUMBER(SEARCH("R125",G436))*125,0)+IFERROR(--ISNUMBER(SEARCH("R126",G436))*126,0)+IFERROR(--ISNUMBER(SEARCH("R127",G436))*127,0)+IFERROR(--ISNUMBER(SEARCH("R128",G436))*128,0)+IFERROR(--ISNUMBER(SEARCH("R129",G436))*129,0)+IFERROR(--ISNUMBER(SEARCH("R130",G436))*130,0)+IFERROR(--ISNUMBER(SEARCH("R131",G436))*131,0)+IFERROR(--ISNUMBER(SEARCH("R132",G436))*132,0)+IFERROR(--ISNUMBER(SEARCH("R133",G436))*133,0)+IFERROR(--ISNUMBER(SEARCH("R134",G436))*134,0)+IFERROR(--ISNUMBER(SEARCH("R135",G436))*135,0)+IFERROR(--ISNUMBER(SEARCH("R136",G436))*136,0)+IFERROR(--ISNUMBER(SEARCH("R137",G436))*137,0)+IFERROR(--ISNUMBER(SEARCH("R138",G436))*138,0)+IFERROR(--ISNUMBER(SEARCH("R139",G436))*139,0)+IFERROR(--ISNUMBER(SEARCH("R140",G436))*140,0)+IFERROR(--ISNUMBER(SEARCH("R141",G436))*141,0))</f>
        <v/>
      </c>
      <c r="V436" s="59">
        <f>IF(A436="","",IF(K436&lt;&gt;"",K436,J436))</f>
        <v/>
      </c>
      <c r="W436" s="59">
        <f>IF(A436="","",IF(AND(V436=29,O436&lt;&gt;"",COUNTIFS($V$6:$V$505,29,$F$6:$F$505,F436,$C$6:$C$505,C436,$O$6:$O$505,"&lt;&gt;")&gt;1),IF(COUNTIFS($V$6:V436,29,$F$6:F436,F436,$C$6:C436,C436,$O$6:O436,"&lt;&gt;")=1,"Esta es la fila que se debe CONSERVAR (aparición 1 de "&amp;COUNTIFS($V$6:$V$505,29,$F$6:$F$505,F436,$C$6:$C$505,C436,$O$6:$O$505,"&lt;&gt;")&amp;" con el mismo tercero y valor, casilla 29). Si hay más filas iguales, bórreles el valor a ELLAS, no a esta.","DUPLICADO — ya existe otra fila con el mismo tercero y valor para casilla 29 (aparición "&amp;COUNTIFS($V$6:V436,29,$F$6:F436,F436,$C$6:C436,C436,$O$6:O436,"&lt;&gt;")&amp;" de "&amp;COUNTIFS($V$6:$V$505,29,$F$6:$F$505,F436,$C$6:$C$505,C436,$O$6:$O$505,"&lt;&gt;")&amp;"). Para resolverlo: seleccione la celda O"&amp;ROW()&amp;" (columna Valor a declarar de ESTA fila) y presione Supr."),""))</f>
        <v/>
      </c>
      <c r="X436" s="463">
        <f>IF(A436="","",F436)</f>
        <v/>
      </c>
      <c r="Y436" s="463">
        <f>IF(A436="","",SUMIF(Entrada_Manual!$I$88:$I$187,A436,Entrada_Manual!$F$88:$F$187))</f>
        <v/>
      </c>
      <c r="Z436" s="463">
        <f>IF(A436="","",X436-Y436)</f>
        <v/>
      </c>
      <c r="AA436">
        <f>IF(A436="","",SUMPRODUCT((Entrada_Manual!$I$88:$I$187=A436)*1))</f>
        <v/>
      </c>
      <c r="AB436">
        <f>IF(A436="","",IF(S436&lt;=1,"",IF(AA436=0,"PENDIENTE — SIN ASIGNAR",IF(Z436=0,"RESUELTO","PARCIAL — DIFERENCIA "&amp;TEXT(Z436,"#,##0")))))</f>
        <v/>
      </c>
    </row>
    <row r="437" ht="14.25" customHeight="1" s="235">
      <c r="A437" s="47">
        <f>IF(Exogena_RAW!E446&lt;&gt;"",ROW()-5,"")</f>
        <v/>
      </c>
      <c r="B437" s="48">
        <f>IF(A437="","",446)</f>
        <v/>
      </c>
      <c r="C437" s="48">
        <f>IF(A437="","",IFERROR(Exogena_RAW!A446,""))</f>
        <v/>
      </c>
      <c r="D437" s="48">
        <f>IF(A437="","",IFERROR(Exogena_RAW!B446,""))</f>
        <v/>
      </c>
      <c r="E437" s="48">
        <f>IF(A437="","",Exogena_RAW!E446)</f>
        <v/>
      </c>
      <c r="F437" s="461">
        <f>IF(A437="","",Exogena_RAW!F446)</f>
        <v/>
      </c>
      <c r="G437" s="48">
        <f>IF(A437="","",IFERROR(Exogena_RAW!G446,""))</f>
        <v/>
      </c>
      <c r="H437" s="48">
        <f>IF(A437="","",IFERROR(Exogena_RAW!H446,""))</f>
        <v/>
      </c>
      <c r="I437" s="48">
        <f>IF(A437="","",IFERROR(IF(S437&gt;1,"VARIAS CASILLAS",IF(S437=1,IF(T437=1,"PROPUESTA DE CASILLA","REVISIÓN: CASILLA NO DIRECTA"),IF(OR(ISNUMBER(SEARCH("TOPE",UPPER(E437))),ISNUMBER(SEARCH("TOPE",UPPER(G437)))),"SOLO CONTROL",IF(ISNUMBER(SEARCH("RETEN",UPPER(E437))),"RETENCIÓN","REVISAR")))),"REVISAR"))</f>
        <v/>
      </c>
      <c r="J437" s="48">
        <f>IF(A437="","",IF(ISNUMBER(SEARCH("ingreso laboral promedio de los últimos seis meses",E437)),"",IFERROR(IF(AND(S437=1,T437=1),U437,""),"")))</f>
        <v/>
      </c>
      <c r="K437" s="216" t="n"/>
      <c r="L437" s="48">
        <f>IF(A437="","",IFERROR(IF(K437&lt;&gt;"","Casilla elegida por usuario",IF(S437&gt;1,"Varias casillas — elegir en K",IF(J437&lt;&gt;"","Sugerencia directa",IF(S437=1,"No trasladar directo — revisar",IF(OR(ISNUMBER(SEARCH("TOPE",UPPER(E437))),ISNUMBER(SEARCH("TOPE",UPPER(G437)))),"Solo control","Revisar manualmente"))))),"Revisar manualmente"))</f>
        <v/>
      </c>
      <c r="M437" s="461">
        <f>IF(A437="","",IF(IF(K437&lt;&gt;"",K437,J437)="",0,IF(COUNTIFS(Reglas!$I$5:$I$118,IF(K437&lt;&gt;"",K437,J437),Reglas!$J$5:$J$118,"Sí")=1,F437,0)))</f>
        <v/>
      </c>
      <c r="N437" s="56" t="n"/>
      <c r="O437" s="462">
        <f>IF(A437="","",IF(M437=0,"",M437))</f>
        <v/>
      </c>
      <c r="P437" s="461">
        <f>IF(A437="","",IF(O437="",0,IF(ISNUMBER(O437),O437,0)))</f>
        <v/>
      </c>
      <c r="Q437" s="48">
        <f>IF(A437="","",IF(Exogena_RAW!$C$4="","BLOQUEADO: FALTA AÑO",IF(Exogena_RAW!$K$10&lt;&gt;Reglas!$B$5,"BLOQUEADO: AÑO",IF(IF(K437&lt;&gt;"",K437,J437)="",IF(S437&gt;1,"REQUIERE ASIGNACIÓN MANUAL (VARIAS CASILLAS)","INFORMATIVO (sin casilla — no se declara)"),IF(COUNTIFS(Reglas!$I$5:$I$118,IF(K437&lt;&gt;"",K437,J437),Reglas!$J$5:$J$118,"Sí")=0,"BLOQUEADO: CASILLA NO DIRECTA",IF(O437="","EXCLUIDO (valor borrado por el usuario)",IF(_xlfn.ISFORMULA(O437),IF(W437&lt;&gt;"","BORRADOR — VALOR SUGERIDO DIAN ⚠ VER ALERTA","BORRADOR — VALOR SUGERIDO DIAN"),IF(W437&lt;&gt;"","ACEPTADO ⚠ VER ALERTA","ACEPTADO"))))))))</f>
        <v/>
      </c>
      <c r="R437" s="218" t="n"/>
      <c r="S437" s="58">
        <f>IF(A437="","",IFERROR(--ISNUMBER(SEARCH("R28",G437)),0)+IFERROR(--ISNUMBER(SEARCH("R29",G437)),0)+IFERROR(--ISNUMBER(SEARCH("R30",G437)),0)+IFERROR(--ISNUMBER(SEARCH("R31",G437)),0)+IFERROR(--ISNUMBER(SEARCH("R32",G437)),0)+IFERROR(--ISNUMBER(SEARCH("R33",G437)),0)+IFERROR(--ISNUMBER(SEARCH("R34",G437)),0)+IFERROR(--ISNUMBER(SEARCH("R35",G437)),0)+IFERROR(--ISNUMBER(SEARCH("R36",G437)),0)+IFERROR(--ISNUMBER(SEARCH("R37",G437)),0)+IFERROR(--ISNUMBER(SEARCH("R38",G437)),0)+IFERROR(--ISNUMBER(SEARCH("R39",G437)),0)+IFERROR(--ISNUMBER(SEARCH("R40",G437)),0)+IFERROR(--ISNUMBER(SEARCH("R41",G437)),0)+IFERROR(--ISNUMBER(SEARCH("R42",G437)),0)+IFERROR(--ISNUMBER(SEARCH("R43",G437)),0)+IFERROR(--ISNUMBER(SEARCH("R44",G437)),0)+IFERROR(--ISNUMBER(SEARCH("R45",G437)),0)+IFERROR(--ISNUMBER(SEARCH("R46",G437)),0)+IFERROR(--ISNUMBER(SEARCH("R47",G437)),0)+IFERROR(--ISNUMBER(SEARCH("R48",G437)),0)+IFERROR(--ISNUMBER(SEARCH("R49",G437)),0)+IFERROR(--ISNUMBER(SEARCH("R50",G437)),0)+IFERROR(--ISNUMBER(SEARCH("R51",G437)),0)+IFERROR(--ISNUMBER(SEARCH("R52",G437)),0)+IFERROR(--ISNUMBER(SEARCH("R53",G437)),0)+IFERROR(--ISNUMBER(SEARCH("R54",G437)),0)+IFERROR(--ISNUMBER(SEARCH("R55",G437)),0)+IFERROR(--ISNUMBER(SEARCH("R56",G437)),0)+IFERROR(--ISNUMBER(SEARCH("R57",G437)),0)+IFERROR(--ISNUMBER(SEARCH("R58",G437)),0)+IFERROR(--ISNUMBER(SEARCH("R59",G437)),0)+IFERROR(--ISNUMBER(SEARCH("R60",G437)),0)+IFERROR(--ISNUMBER(SEARCH("R61",G437)),0)+IFERROR(--ISNUMBER(SEARCH("R62",G437)),0)+IFERROR(--ISNUMBER(SEARCH("R63",G437)),0)+IFERROR(--ISNUMBER(SEARCH("R64",G437)),0)+IFERROR(--ISNUMBER(SEARCH("R65",G437)),0)+IFERROR(--ISNUMBER(SEARCH("R66",G437)),0)+IFERROR(--ISNUMBER(SEARCH("R67",G437)),0)+IFERROR(--ISNUMBER(SEARCH("R68",G437)),0)+IFERROR(--ISNUMBER(SEARCH("R69",G437)),0)+IFERROR(--ISNUMBER(SEARCH("R70",G437)),0)+IFERROR(--ISNUMBER(SEARCH("R71",G437)),0)+IFERROR(--ISNUMBER(SEARCH("R72",G437)),0)+IFERROR(--ISNUMBER(SEARCH("R73",G437)),0)+IFERROR(--ISNUMBER(SEARCH("R74",G437)),0)+IFERROR(--ISNUMBER(SEARCH("R75",G437)),0)+IFERROR(--ISNUMBER(SEARCH("R76",G437)),0)+IFERROR(--ISNUMBER(SEARCH("R77",G437)),0)+IFERROR(--ISNUMBER(SEARCH("R78",G437)),0)+IFERROR(--ISNUMBER(SEARCH("R79",G437)),0)+IFERROR(--ISNUMBER(SEARCH("R80",G437)),0)+IFERROR(--ISNUMBER(SEARCH("R81",G437)),0)+IFERROR(--ISNUMBER(SEARCH("R82",G437)),0)+IFERROR(--ISNUMBER(SEARCH("R83",G437)),0)+IFERROR(--ISNUMBER(SEARCH("R84",G437)),0)+IFERROR(--ISNUMBER(SEARCH("R85",G437)),0)+IFERROR(--ISNUMBER(SEARCH("R86",G437)),0)+IFERROR(--ISNUMBER(SEARCH("R87",G437)),0)+IFERROR(--ISNUMBER(SEARCH("R88",G437)),0)+IFERROR(--ISNUMBER(SEARCH("R89",G437)),0)+IFERROR(--ISNUMBER(SEARCH("R90",G437)),0)+IFERROR(--ISNUMBER(SEARCH("R91",G437)),0)+IFERROR(--ISNUMBER(SEARCH("R92",G437)),0)+IFERROR(--ISNUMBER(SEARCH("R93",G437)),0)+IFERROR(--ISNUMBER(SEARCH("R94",G437)),0)+IFERROR(--ISNUMBER(SEARCH("R95",G437)),0)+IFERROR(--ISNUMBER(SEARCH("R96",G437)),0)+IFERROR(--ISNUMBER(SEARCH("R97",G437)),0)+IFERROR(--ISNUMBER(SEARCH("R98",G437)),0)+IFERROR(--ISNUMBER(SEARCH("R99",G437)),0)+IFERROR(--ISNUMBER(SEARCH("R100",G437)),0)+IFERROR(--ISNUMBER(SEARCH("R101",G437)),0)+IFERROR(--ISNUMBER(SEARCH("R102",G437)),0)+IFERROR(--ISNUMBER(SEARCH("R103",G437)),0)+IFERROR(--ISNUMBER(SEARCH("R104",G437)),0)+IFERROR(--ISNUMBER(SEARCH("R105",G437)),0)+IFERROR(--ISNUMBER(SEARCH("R106",G437)),0)+IFERROR(--ISNUMBER(SEARCH("R107",G437)),0)+IFERROR(--ISNUMBER(SEARCH("R108",G437)),0)+IFERROR(--ISNUMBER(SEARCH("R109",G437)),0)+IFERROR(--ISNUMBER(SEARCH("R110",G437)),0)+IFERROR(--ISNUMBER(SEARCH("R111",G437)),0)+IFERROR(--ISNUMBER(SEARCH("R112",G437)),0)+IFERROR(--ISNUMBER(SEARCH("R113",G437)),0)+IFERROR(--ISNUMBER(SEARCH("R114",G437)),0)+IFERROR(--ISNUMBER(SEARCH("R115",G437)),0)+IFERROR(--ISNUMBER(SEARCH("R116",G437)),0)+IFERROR(--ISNUMBER(SEARCH("R117",G437)),0)+IFERROR(--ISNUMBER(SEARCH("R118",G437)),0)+IFERROR(--ISNUMBER(SEARCH("R119",G437)),0)+IFERROR(--ISNUMBER(SEARCH("R120",G437)),0)+IFERROR(--ISNUMBER(SEARCH("R121",G437)),0)+IFERROR(--ISNUMBER(SEARCH("R122",G437)),0)+IFERROR(--ISNUMBER(SEARCH("R123",G437)),0)+IFERROR(--ISNUMBER(SEARCH("R124",G437)),0)+IFERROR(--ISNUMBER(SEARCH("R125",G437)),0)+IFERROR(--ISNUMBER(SEARCH("R126",G437)),0)+IFERROR(--ISNUMBER(SEARCH("R127",G437)),0)+IFERROR(--ISNUMBER(SEARCH("R128",G437)),0)+IFERROR(--ISNUMBER(SEARCH("R129",G437)),0)+IFERROR(--ISNUMBER(SEARCH("R130",G437)),0)+IFERROR(--ISNUMBER(SEARCH("R131",G437)),0)+IFERROR(--ISNUMBER(SEARCH("R132",G437)),0)+IFERROR(--ISNUMBER(SEARCH("R133",G437)),0)+IFERROR(--ISNUMBER(SEARCH("R134",G437)),0)+IFERROR(--ISNUMBER(SEARCH("R135",G437)),0)+IFERROR(--ISNUMBER(SEARCH("R136",G437)),0)+IFERROR(--ISNUMBER(SEARCH("R137",G437)),0)+IFERROR(--ISNUMBER(SEARCH("R138",G437)),0)+IFERROR(--ISNUMBER(SEARCH("R139",G437)),0)+IFERROR(--ISNUMBER(SEARCH("R140",G437)),0)+IFERROR(--ISNUMBER(SEARCH("R141",G437)),0))</f>
        <v/>
      </c>
      <c r="T437" s="58">
        <f>IF(A437="","",IFERROR(--ISNUMBER(SEARCH("R28",G437)),0)+IFERROR(--ISNUMBER(SEARCH("R29",G437)),0)+IFERROR(--ISNUMBER(SEARCH("R30",G437)),0)+IFERROR(--ISNUMBER(SEARCH("R32",G437)),0)+IFERROR(--ISNUMBER(SEARCH("R33",G437)),0)+IFERROR(--ISNUMBER(SEARCH("R35",G437)),0)+IFERROR(--ISNUMBER(SEARCH("R36",G437)),0)+IFERROR(--ISNUMBER(SEARCH("R38",G437)),0)+IFERROR(--ISNUMBER(SEARCH("R39",G437)),0)+IFERROR(--ISNUMBER(SEARCH("R43",G437)),0)+IFERROR(--ISNUMBER(SEARCH("R44",G437)),0)+IFERROR(--ISNUMBER(SEARCH("R45",G437)),0)+IFERROR(--ISNUMBER(SEARCH("R47",G437)),0)+IFERROR(--ISNUMBER(SEARCH("R48",G437)),0)+IFERROR(--ISNUMBER(SEARCH("R50",G437)),0)+IFERROR(--ISNUMBER(SEARCH("R51",G437)),0)+IFERROR(--ISNUMBER(SEARCH("R56",G437)),0)+IFERROR(--ISNUMBER(SEARCH("R58",G437)),0)+IFERROR(--ISNUMBER(SEARCH("R59",G437)),0)+IFERROR(--ISNUMBER(SEARCH("R60",G437)),0)+IFERROR(--ISNUMBER(SEARCH("R62",G437)),0)+IFERROR(--ISNUMBER(SEARCH("R63",G437)),0)+IFERROR(--ISNUMBER(SEARCH("R64",G437)),0)+IFERROR(--ISNUMBER(SEARCH("R66",G437)),0)+IFERROR(--ISNUMBER(SEARCH("R67",G437)),0)+IFERROR(--ISNUMBER(SEARCH("R72",G437)),0)+IFERROR(--ISNUMBER(SEARCH("R74",G437)),0)+IFERROR(--ISNUMBER(SEARCH("R75",G437)),0)+IFERROR(--ISNUMBER(SEARCH("R76",G437)),0)+IFERROR(--ISNUMBER(SEARCH("R77",G437)),0)+IFERROR(--ISNUMBER(SEARCH("R79",G437)),0)+IFERROR(--ISNUMBER(SEARCH("R80",G437)),0)+IFERROR(--ISNUMBER(SEARCH("R81",G437)),0)+IFERROR(--ISNUMBER(SEARCH("R83",G437)),0)+IFERROR(--ISNUMBER(SEARCH("R84",G437)),0)+IFERROR(--ISNUMBER(SEARCH("R89",G437)),0)+IFERROR(--ISNUMBER(SEARCH("R94",G437)),0)+IFERROR(--ISNUMBER(SEARCH("R95",G437)),0)+IFERROR(--ISNUMBER(SEARCH("R96",G437)),0)+IFERROR(--ISNUMBER(SEARCH("R98",G437)),0)+IFERROR(--ISNUMBER(SEARCH("R99",G437)),0)+IFERROR(--ISNUMBER(SEARCH("R100",G437)),0)+IFERROR(--ISNUMBER(SEARCH("R104",G437)),0)+IFERROR(--ISNUMBER(SEARCH("R105",G437)),0)+IFERROR(--ISNUMBER(SEARCH("R107",G437)),0)+IFERROR(--ISNUMBER(SEARCH("R108",G437)),0)+IFERROR(--ISNUMBER(SEARCH("R109",G437)),0)+IFERROR(--ISNUMBER(SEARCH("R110",G437)),0)+IFERROR(--ISNUMBER(SEARCH("R112",G437)),0)+IFERROR(--ISNUMBER(SEARCH("R113",G437)),0)+IFERROR(--ISNUMBER(SEARCH("R114",G437)),0)+IFERROR(--ISNUMBER(SEARCH("R118",G437)),0)+IFERROR(--ISNUMBER(SEARCH("R119",G437)),0)+IFERROR(--ISNUMBER(SEARCH("R120",G437)),0)+IFERROR(--ISNUMBER(SEARCH("R122",G437)),0)+IFERROR(--ISNUMBER(SEARCH("R123",G437)),0)+IFERROR(--ISNUMBER(SEARCH("R124",G437)),0)+IFERROR(--ISNUMBER(SEARCH("R128",G437)),0)+IFERROR(--ISNUMBER(SEARCH("R130",G437)),0)+IFERROR(--ISNUMBER(SEARCH("R131",G437)),0)+IFERROR(--ISNUMBER(SEARCH("R132",G437)),0)+IFERROR(--ISNUMBER(SEARCH("R135",G437)),0)+IFERROR(--ISNUMBER(SEARCH("R138",G437)),0)+IFERROR(--ISNUMBER(SEARCH("R141",G437)),0))</f>
        <v/>
      </c>
      <c r="U437" s="58">
        <f>IF(A437="","",IFERROR(--ISNUMBER(SEARCH("R28",G437))*28,0)+IFERROR(--ISNUMBER(SEARCH("R29",G437))*29,0)+IFERROR(--ISNUMBER(SEARCH("R30",G437))*30,0)+IFERROR(--ISNUMBER(SEARCH("R31",G437))*31,0)+IFERROR(--ISNUMBER(SEARCH("R32",G437))*32,0)+IFERROR(--ISNUMBER(SEARCH("R33",G437))*33,0)+IFERROR(--ISNUMBER(SEARCH("R34",G437))*34,0)+IFERROR(--ISNUMBER(SEARCH("R35",G437))*35,0)+IFERROR(--ISNUMBER(SEARCH("R36",G437))*36,0)+IFERROR(--ISNUMBER(SEARCH("R37",G437))*37,0)+IFERROR(--ISNUMBER(SEARCH("R38",G437))*38,0)+IFERROR(--ISNUMBER(SEARCH("R39",G437))*39,0)+IFERROR(--ISNUMBER(SEARCH("R40",G437))*40,0)+IFERROR(--ISNUMBER(SEARCH("R41",G437))*41,0)+IFERROR(--ISNUMBER(SEARCH("R42",G437))*42,0)+IFERROR(--ISNUMBER(SEARCH("R43",G437))*43,0)+IFERROR(--ISNUMBER(SEARCH("R44",G437))*44,0)+IFERROR(--ISNUMBER(SEARCH("R45",G437))*45,0)+IFERROR(--ISNUMBER(SEARCH("R46",G437))*46,0)+IFERROR(--ISNUMBER(SEARCH("R47",G437))*47,0)+IFERROR(--ISNUMBER(SEARCH("R48",G437))*48,0)+IFERROR(--ISNUMBER(SEARCH("R49",G437))*49,0)+IFERROR(--ISNUMBER(SEARCH("R50",G437))*50,0)+IFERROR(--ISNUMBER(SEARCH("R51",G437))*51,0)+IFERROR(--ISNUMBER(SEARCH("R52",G437))*52,0)+IFERROR(--ISNUMBER(SEARCH("R53",G437))*53,0)+IFERROR(--ISNUMBER(SEARCH("R54",G437))*54,0)+IFERROR(--ISNUMBER(SEARCH("R55",G437))*55,0)+IFERROR(--ISNUMBER(SEARCH("R56",G437))*56,0)+IFERROR(--ISNUMBER(SEARCH("R57",G437))*57,0)+IFERROR(--ISNUMBER(SEARCH("R58",G437))*58,0)+IFERROR(--ISNUMBER(SEARCH("R59",G437))*59,0)+IFERROR(--ISNUMBER(SEARCH("R60",G437))*60,0)+IFERROR(--ISNUMBER(SEARCH("R61",G437))*61,0)+IFERROR(--ISNUMBER(SEARCH("R62",G437))*62,0)+IFERROR(--ISNUMBER(SEARCH("R63",G437))*63,0)+IFERROR(--ISNUMBER(SEARCH("R64",G437))*64,0)+IFERROR(--ISNUMBER(SEARCH("R65",G437))*65,0)+IFERROR(--ISNUMBER(SEARCH("R66",G437))*66,0)+IFERROR(--ISNUMBER(SEARCH("R67",G437))*67,0)+IFERROR(--ISNUMBER(SEARCH("R68",G437))*68,0)+IFERROR(--ISNUMBER(SEARCH("R69",G437))*69,0)+IFERROR(--ISNUMBER(SEARCH("R70",G437))*70,0)+IFERROR(--ISNUMBER(SEARCH("R71",G437))*71,0)+IFERROR(--ISNUMBER(SEARCH("R72",G437))*72,0)+IFERROR(--ISNUMBER(SEARCH("R73",G437))*73,0)+IFERROR(--ISNUMBER(SEARCH("R74",G437))*74,0)+IFERROR(--ISNUMBER(SEARCH("R75",G437))*75,0)+IFERROR(--ISNUMBER(SEARCH("R76",G437))*76,0)+IFERROR(--ISNUMBER(SEARCH("R77",G437))*77,0)+IFERROR(--ISNUMBER(SEARCH("R78",G437))*78,0)+IFERROR(--ISNUMBER(SEARCH("R79",G437))*79,0)+IFERROR(--ISNUMBER(SEARCH("R80",G437))*80,0)+IFERROR(--ISNUMBER(SEARCH("R81",G437))*81,0)+IFERROR(--ISNUMBER(SEARCH("R82",G437))*82,0)+IFERROR(--ISNUMBER(SEARCH("R83",G437))*83,0)+IFERROR(--ISNUMBER(SEARCH("R84",G437))*84,0)+IFERROR(--ISNUMBER(SEARCH("R85",G437))*85,0)+IFERROR(--ISNUMBER(SEARCH("R86",G437))*86,0)+IFERROR(--ISNUMBER(SEARCH("R87",G437))*87,0)+IFERROR(--ISNUMBER(SEARCH("R88",G437))*88,0)+IFERROR(--ISNUMBER(SEARCH("R89",G437))*89,0)+IFERROR(--ISNUMBER(SEARCH("R90",G437))*90,0)+IFERROR(--ISNUMBER(SEARCH("R91",G437))*91,0)+IFERROR(--ISNUMBER(SEARCH("R92",G437))*92,0)+IFERROR(--ISNUMBER(SEARCH("R93",G437))*93,0)+IFERROR(--ISNUMBER(SEARCH("R94",G437))*94,0)+IFERROR(--ISNUMBER(SEARCH("R95",G437))*95,0)+IFERROR(--ISNUMBER(SEARCH("R96",G437))*96,0)+IFERROR(--ISNUMBER(SEARCH("R97",G437))*97,0)+IFERROR(--ISNUMBER(SEARCH("R98",G437))*98,0)+IFERROR(--ISNUMBER(SEARCH("R99",G437))*99,0)+IFERROR(--ISNUMBER(SEARCH("R100",G437))*100,0)+IFERROR(--ISNUMBER(SEARCH("R101",G437))*101,0)+IFERROR(--ISNUMBER(SEARCH("R102",G437))*102,0)+IFERROR(--ISNUMBER(SEARCH("R103",G437))*103,0)+IFERROR(--ISNUMBER(SEARCH("R104",G437))*104,0)+IFERROR(--ISNUMBER(SEARCH("R105",G437))*105,0)+IFERROR(--ISNUMBER(SEARCH("R106",G437))*106,0)+IFERROR(--ISNUMBER(SEARCH("R107",G437))*107,0)+IFERROR(--ISNUMBER(SEARCH("R108",G437))*108,0)+IFERROR(--ISNUMBER(SEARCH("R109",G437))*109,0)+IFERROR(--ISNUMBER(SEARCH("R110",G437))*110,0)+IFERROR(--ISNUMBER(SEARCH("R111",G437))*111,0)+IFERROR(--ISNUMBER(SEARCH("R112",G437))*112,0)+IFERROR(--ISNUMBER(SEARCH("R113",G437))*113,0)+IFERROR(--ISNUMBER(SEARCH("R114",G437))*114,0)+IFERROR(--ISNUMBER(SEARCH("R115",G437))*115,0)+IFERROR(--ISNUMBER(SEARCH("R116",G437))*116,0)+IFERROR(--ISNUMBER(SEARCH("R117",G437))*117,0)+IFERROR(--ISNUMBER(SEARCH("R118",G437))*118,0)+IFERROR(--ISNUMBER(SEARCH("R119",G437))*119,0)+IFERROR(--ISNUMBER(SEARCH("R120",G437))*120,0)+IFERROR(--ISNUMBER(SEARCH("R121",G437))*121,0)+IFERROR(--ISNUMBER(SEARCH("R122",G437))*122,0)+IFERROR(--ISNUMBER(SEARCH("R123",G437))*123,0)+IFERROR(--ISNUMBER(SEARCH("R124",G437))*124,0)+IFERROR(--ISNUMBER(SEARCH("R125",G437))*125,0)+IFERROR(--ISNUMBER(SEARCH("R126",G437))*126,0)+IFERROR(--ISNUMBER(SEARCH("R127",G437))*127,0)+IFERROR(--ISNUMBER(SEARCH("R128",G437))*128,0)+IFERROR(--ISNUMBER(SEARCH("R129",G437))*129,0)+IFERROR(--ISNUMBER(SEARCH("R130",G437))*130,0)+IFERROR(--ISNUMBER(SEARCH("R131",G437))*131,0)+IFERROR(--ISNUMBER(SEARCH("R132",G437))*132,0)+IFERROR(--ISNUMBER(SEARCH("R133",G437))*133,0)+IFERROR(--ISNUMBER(SEARCH("R134",G437))*134,0)+IFERROR(--ISNUMBER(SEARCH("R135",G437))*135,0)+IFERROR(--ISNUMBER(SEARCH("R136",G437))*136,0)+IFERROR(--ISNUMBER(SEARCH("R137",G437))*137,0)+IFERROR(--ISNUMBER(SEARCH("R138",G437))*138,0)+IFERROR(--ISNUMBER(SEARCH("R139",G437))*139,0)+IFERROR(--ISNUMBER(SEARCH("R140",G437))*140,0)+IFERROR(--ISNUMBER(SEARCH("R141",G437))*141,0))</f>
        <v/>
      </c>
      <c r="V437" s="59">
        <f>IF(A437="","",IF(K437&lt;&gt;"",K437,J437))</f>
        <v/>
      </c>
      <c r="W437" s="59">
        <f>IF(A437="","",IF(AND(V437=29,O437&lt;&gt;"",COUNTIFS($V$6:$V$505,29,$F$6:$F$505,F437,$C$6:$C$505,C437,$O$6:$O$505,"&lt;&gt;")&gt;1),IF(COUNTIFS($V$6:V437,29,$F$6:F437,F437,$C$6:C437,C437,$O$6:O437,"&lt;&gt;")=1,"Esta es la fila que se debe CONSERVAR (aparición 1 de "&amp;COUNTIFS($V$6:$V$505,29,$F$6:$F$505,F437,$C$6:$C$505,C437,$O$6:$O$505,"&lt;&gt;")&amp;" con el mismo tercero y valor, casilla 29). Si hay más filas iguales, bórreles el valor a ELLAS, no a esta.","DUPLICADO — ya existe otra fila con el mismo tercero y valor para casilla 29 (aparición "&amp;COUNTIFS($V$6:V437,29,$F$6:F437,F437,$C$6:C437,C437,$O$6:O437,"&lt;&gt;")&amp;" de "&amp;COUNTIFS($V$6:$V$505,29,$F$6:$F$505,F437,$C$6:$C$505,C437,$O$6:$O$505,"&lt;&gt;")&amp;"). Para resolverlo: seleccione la celda O"&amp;ROW()&amp;" (columna Valor a declarar de ESTA fila) y presione Supr."),""))</f>
        <v/>
      </c>
      <c r="X437" s="463">
        <f>IF(A437="","",F437)</f>
        <v/>
      </c>
      <c r="Y437" s="463">
        <f>IF(A437="","",SUMIF(Entrada_Manual!$I$88:$I$187,A437,Entrada_Manual!$F$88:$F$187))</f>
        <v/>
      </c>
      <c r="Z437" s="463">
        <f>IF(A437="","",X437-Y437)</f>
        <v/>
      </c>
      <c r="AA437">
        <f>IF(A437="","",SUMPRODUCT((Entrada_Manual!$I$88:$I$187=A437)*1))</f>
        <v/>
      </c>
      <c r="AB437">
        <f>IF(A437="","",IF(S437&lt;=1,"",IF(AA437=0,"PENDIENTE — SIN ASIGNAR",IF(Z437=0,"RESUELTO","PARCIAL — DIFERENCIA "&amp;TEXT(Z437,"#,##0")))))</f>
        <v/>
      </c>
    </row>
    <row r="438" ht="14.25" customHeight="1" s="235">
      <c r="A438" s="47">
        <f>IF(Exogena_RAW!E447&lt;&gt;"",ROW()-5,"")</f>
        <v/>
      </c>
      <c r="B438" s="48">
        <f>IF(A438="","",447)</f>
        <v/>
      </c>
      <c r="C438" s="48">
        <f>IF(A438="","",IFERROR(Exogena_RAW!A447,""))</f>
        <v/>
      </c>
      <c r="D438" s="48">
        <f>IF(A438="","",IFERROR(Exogena_RAW!B447,""))</f>
        <v/>
      </c>
      <c r="E438" s="48">
        <f>IF(A438="","",Exogena_RAW!E447)</f>
        <v/>
      </c>
      <c r="F438" s="461">
        <f>IF(A438="","",Exogena_RAW!F447)</f>
        <v/>
      </c>
      <c r="G438" s="48">
        <f>IF(A438="","",IFERROR(Exogena_RAW!G447,""))</f>
        <v/>
      </c>
      <c r="H438" s="48">
        <f>IF(A438="","",IFERROR(Exogena_RAW!H447,""))</f>
        <v/>
      </c>
      <c r="I438" s="48">
        <f>IF(A438="","",IFERROR(IF(S438&gt;1,"VARIAS CASILLAS",IF(S438=1,IF(T438=1,"PROPUESTA DE CASILLA","REVISIÓN: CASILLA NO DIRECTA"),IF(OR(ISNUMBER(SEARCH("TOPE",UPPER(E438))),ISNUMBER(SEARCH("TOPE",UPPER(G438)))),"SOLO CONTROL",IF(ISNUMBER(SEARCH("RETEN",UPPER(E438))),"RETENCIÓN","REVISAR")))),"REVISAR"))</f>
        <v/>
      </c>
      <c r="J438" s="48">
        <f>IF(A438="","",IF(ISNUMBER(SEARCH("ingreso laboral promedio de los últimos seis meses",E438)),"",IFERROR(IF(AND(S438=1,T438=1),U438,""),"")))</f>
        <v/>
      </c>
      <c r="K438" s="216" t="n"/>
      <c r="L438" s="48">
        <f>IF(A438="","",IFERROR(IF(K438&lt;&gt;"","Casilla elegida por usuario",IF(S438&gt;1,"Varias casillas — elegir en K",IF(J438&lt;&gt;"","Sugerencia directa",IF(S438=1,"No trasladar directo — revisar",IF(OR(ISNUMBER(SEARCH("TOPE",UPPER(E438))),ISNUMBER(SEARCH("TOPE",UPPER(G438)))),"Solo control","Revisar manualmente"))))),"Revisar manualmente"))</f>
        <v/>
      </c>
      <c r="M438" s="461">
        <f>IF(A438="","",IF(IF(K438&lt;&gt;"",K438,J438)="",0,IF(COUNTIFS(Reglas!$I$5:$I$118,IF(K438&lt;&gt;"",K438,J438),Reglas!$J$5:$J$118,"Sí")=1,F438,0)))</f>
        <v/>
      </c>
      <c r="N438" s="56" t="n"/>
      <c r="O438" s="462">
        <f>IF(A438="","",IF(M438=0,"",M438))</f>
        <v/>
      </c>
      <c r="P438" s="461">
        <f>IF(A438="","",IF(O438="",0,IF(ISNUMBER(O438),O438,0)))</f>
        <v/>
      </c>
      <c r="Q438" s="48">
        <f>IF(A438="","",IF(Exogena_RAW!$C$4="","BLOQUEADO: FALTA AÑO",IF(Exogena_RAW!$K$10&lt;&gt;Reglas!$B$5,"BLOQUEADO: AÑO",IF(IF(K438&lt;&gt;"",K438,J438)="",IF(S438&gt;1,"REQUIERE ASIGNACIÓN MANUAL (VARIAS CASILLAS)","INFORMATIVO (sin casilla — no se declara)"),IF(COUNTIFS(Reglas!$I$5:$I$118,IF(K438&lt;&gt;"",K438,J438),Reglas!$J$5:$J$118,"Sí")=0,"BLOQUEADO: CASILLA NO DIRECTA",IF(O438="","EXCLUIDO (valor borrado por el usuario)",IF(_xlfn.ISFORMULA(O438),IF(W438&lt;&gt;"","BORRADOR — VALOR SUGERIDO DIAN ⚠ VER ALERTA","BORRADOR — VALOR SUGERIDO DIAN"),IF(W438&lt;&gt;"","ACEPTADO ⚠ VER ALERTA","ACEPTADO"))))))))</f>
        <v/>
      </c>
      <c r="R438" s="218" t="n"/>
      <c r="S438" s="58">
        <f>IF(A438="","",IFERROR(--ISNUMBER(SEARCH("R28",G438)),0)+IFERROR(--ISNUMBER(SEARCH("R29",G438)),0)+IFERROR(--ISNUMBER(SEARCH("R30",G438)),0)+IFERROR(--ISNUMBER(SEARCH("R31",G438)),0)+IFERROR(--ISNUMBER(SEARCH("R32",G438)),0)+IFERROR(--ISNUMBER(SEARCH("R33",G438)),0)+IFERROR(--ISNUMBER(SEARCH("R34",G438)),0)+IFERROR(--ISNUMBER(SEARCH("R35",G438)),0)+IFERROR(--ISNUMBER(SEARCH("R36",G438)),0)+IFERROR(--ISNUMBER(SEARCH("R37",G438)),0)+IFERROR(--ISNUMBER(SEARCH("R38",G438)),0)+IFERROR(--ISNUMBER(SEARCH("R39",G438)),0)+IFERROR(--ISNUMBER(SEARCH("R40",G438)),0)+IFERROR(--ISNUMBER(SEARCH("R41",G438)),0)+IFERROR(--ISNUMBER(SEARCH("R42",G438)),0)+IFERROR(--ISNUMBER(SEARCH("R43",G438)),0)+IFERROR(--ISNUMBER(SEARCH("R44",G438)),0)+IFERROR(--ISNUMBER(SEARCH("R45",G438)),0)+IFERROR(--ISNUMBER(SEARCH("R46",G438)),0)+IFERROR(--ISNUMBER(SEARCH("R47",G438)),0)+IFERROR(--ISNUMBER(SEARCH("R48",G438)),0)+IFERROR(--ISNUMBER(SEARCH("R49",G438)),0)+IFERROR(--ISNUMBER(SEARCH("R50",G438)),0)+IFERROR(--ISNUMBER(SEARCH("R51",G438)),0)+IFERROR(--ISNUMBER(SEARCH("R52",G438)),0)+IFERROR(--ISNUMBER(SEARCH("R53",G438)),0)+IFERROR(--ISNUMBER(SEARCH("R54",G438)),0)+IFERROR(--ISNUMBER(SEARCH("R55",G438)),0)+IFERROR(--ISNUMBER(SEARCH("R56",G438)),0)+IFERROR(--ISNUMBER(SEARCH("R57",G438)),0)+IFERROR(--ISNUMBER(SEARCH("R58",G438)),0)+IFERROR(--ISNUMBER(SEARCH("R59",G438)),0)+IFERROR(--ISNUMBER(SEARCH("R60",G438)),0)+IFERROR(--ISNUMBER(SEARCH("R61",G438)),0)+IFERROR(--ISNUMBER(SEARCH("R62",G438)),0)+IFERROR(--ISNUMBER(SEARCH("R63",G438)),0)+IFERROR(--ISNUMBER(SEARCH("R64",G438)),0)+IFERROR(--ISNUMBER(SEARCH("R65",G438)),0)+IFERROR(--ISNUMBER(SEARCH("R66",G438)),0)+IFERROR(--ISNUMBER(SEARCH("R67",G438)),0)+IFERROR(--ISNUMBER(SEARCH("R68",G438)),0)+IFERROR(--ISNUMBER(SEARCH("R69",G438)),0)+IFERROR(--ISNUMBER(SEARCH("R70",G438)),0)+IFERROR(--ISNUMBER(SEARCH("R71",G438)),0)+IFERROR(--ISNUMBER(SEARCH("R72",G438)),0)+IFERROR(--ISNUMBER(SEARCH("R73",G438)),0)+IFERROR(--ISNUMBER(SEARCH("R74",G438)),0)+IFERROR(--ISNUMBER(SEARCH("R75",G438)),0)+IFERROR(--ISNUMBER(SEARCH("R76",G438)),0)+IFERROR(--ISNUMBER(SEARCH("R77",G438)),0)+IFERROR(--ISNUMBER(SEARCH("R78",G438)),0)+IFERROR(--ISNUMBER(SEARCH("R79",G438)),0)+IFERROR(--ISNUMBER(SEARCH("R80",G438)),0)+IFERROR(--ISNUMBER(SEARCH("R81",G438)),0)+IFERROR(--ISNUMBER(SEARCH("R82",G438)),0)+IFERROR(--ISNUMBER(SEARCH("R83",G438)),0)+IFERROR(--ISNUMBER(SEARCH("R84",G438)),0)+IFERROR(--ISNUMBER(SEARCH("R85",G438)),0)+IFERROR(--ISNUMBER(SEARCH("R86",G438)),0)+IFERROR(--ISNUMBER(SEARCH("R87",G438)),0)+IFERROR(--ISNUMBER(SEARCH("R88",G438)),0)+IFERROR(--ISNUMBER(SEARCH("R89",G438)),0)+IFERROR(--ISNUMBER(SEARCH("R90",G438)),0)+IFERROR(--ISNUMBER(SEARCH("R91",G438)),0)+IFERROR(--ISNUMBER(SEARCH("R92",G438)),0)+IFERROR(--ISNUMBER(SEARCH("R93",G438)),0)+IFERROR(--ISNUMBER(SEARCH("R94",G438)),0)+IFERROR(--ISNUMBER(SEARCH("R95",G438)),0)+IFERROR(--ISNUMBER(SEARCH("R96",G438)),0)+IFERROR(--ISNUMBER(SEARCH("R97",G438)),0)+IFERROR(--ISNUMBER(SEARCH("R98",G438)),0)+IFERROR(--ISNUMBER(SEARCH("R99",G438)),0)+IFERROR(--ISNUMBER(SEARCH("R100",G438)),0)+IFERROR(--ISNUMBER(SEARCH("R101",G438)),0)+IFERROR(--ISNUMBER(SEARCH("R102",G438)),0)+IFERROR(--ISNUMBER(SEARCH("R103",G438)),0)+IFERROR(--ISNUMBER(SEARCH("R104",G438)),0)+IFERROR(--ISNUMBER(SEARCH("R105",G438)),0)+IFERROR(--ISNUMBER(SEARCH("R106",G438)),0)+IFERROR(--ISNUMBER(SEARCH("R107",G438)),0)+IFERROR(--ISNUMBER(SEARCH("R108",G438)),0)+IFERROR(--ISNUMBER(SEARCH("R109",G438)),0)+IFERROR(--ISNUMBER(SEARCH("R110",G438)),0)+IFERROR(--ISNUMBER(SEARCH("R111",G438)),0)+IFERROR(--ISNUMBER(SEARCH("R112",G438)),0)+IFERROR(--ISNUMBER(SEARCH("R113",G438)),0)+IFERROR(--ISNUMBER(SEARCH("R114",G438)),0)+IFERROR(--ISNUMBER(SEARCH("R115",G438)),0)+IFERROR(--ISNUMBER(SEARCH("R116",G438)),0)+IFERROR(--ISNUMBER(SEARCH("R117",G438)),0)+IFERROR(--ISNUMBER(SEARCH("R118",G438)),0)+IFERROR(--ISNUMBER(SEARCH("R119",G438)),0)+IFERROR(--ISNUMBER(SEARCH("R120",G438)),0)+IFERROR(--ISNUMBER(SEARCH("R121",G438)),0)+IFERROR(--ISNUMBER(SEARCH("R122",G438)),0)+IFERROR(--ISNUMBER(SEARCH("R123",G438)),0)+IFERROR(--ISNUMBER(SEARCH("R124",G438)),0)+IFERROR(--ISNUMBER(SEARCH("R125",G438)),0)+IFERROR(--ISNUMBER(SEARCH("R126",G438)),0)+IFERROR(--ISNUMBER(SEARCH("R127",G438)),0)+IFERROR(--ISNUMBER(SEARCH("R128",G438)),0)+IFERROR(--ISNUMBER(SEARCH("R129",G438)),0)+IFERROR(--ISNUMBER(SEARCH("R130",G438)),0)+IFERROR(--ISNUMBER(SEARCH("R131",G438)),0)+IFERROR(--ISNUMBER(SEARCH("R132",G438)),0)+IFERROR(--ISNUMBER(SEARCH("R133",G438)),0)+IFERROR(--ISNUMBER(SEARCH("R134",G438)),0)+IFERROR(--ISNUMBER(SEARCH("R135",G438)),0)+IFERROR(--ISNUMBER(SEARCH("R136",G438)),0)+IFERROR(--ISNUMBER(SEARCH("R137",G438)),0)+IFERROR(--ISNUMBER(SEARCH("R138",G438)),0)+IFERROR(--ISNUMBER(SEARCH("R139",G438)),0)+IFERROR(--ISNUMBER(SEARCH("R140",G438)),0)+IFERROR(--ISNUMBER(SEARCH("R141",G438)),0))</f>
        <v/>
      </c>
      <c r="T438" s="58">
        <f>IF(A438="","",IFERROR(--ISNUMBER(SEARCH("R28",G438)),0)+IFERROR(--ISNUMBER(SEARCH("R29",G438)),0)+IFERROR(--ISNUMBER(SEARCH("R30",G438)),0)+IFERROR(--ISNUMBER(SEARCH("R32",G438)),0)+IFERROR(--ISNUMBER(SEARCH("R33",G438)),0)+IFERROR(--ISNUMBER(SEARCH("R35",G438)),0)+IFERROR(--ISNUMBER(SEARCH("R36",G438)),0)+IFERROR(--ISNUMBER(SEARCH("R38",G438)),0)+IFERROR(--ISNUMBER(SEARCH("R39",G438)),0)+IFERROR(--ISNUMBER(SEARCH("R43",G438)),0)+IFERROR(--ISNUMBER(SEARCH("R44",G438)),0)+IFERROR(--ISNUMBER(SEARCH("R45",G438)),0)+IFERROR(--ISNUMBER(SEARCH("R47",G438)),0)+IFERROR(--ISNUMBER(SEARCH("R48",G438)),0)+IFERROR(--ISNUMBER(SEARCH("R50",G438)),0)+IFERROR(--ISNUMBER(SEARCH("R51",G438)),0)+IFERROR(--ISNUMBER(SEARCH("R56",G438)),0)+IFERROR(--ISNUMBER(SEARCH("R58",G438)),0)+IFERROR(--ISNUMBER(SEARCH("R59",G438)),0)+IFERROR(--ISNUMBER(SEARCH("R60",G438)),0)+IFERROR(--ISNUMBER(SEARCH("R62",G438)),0)+IFERROR(--ISNUMBER(SEARCH("R63",G438)),0)+IFERROR(--ISNUMBER(SEARCH("R64",G438)),0)+IFERROR(--ISNUMBER(SEARCH("R66",G438)),0)+IFERROR(--ISNUMBER(SEARCH("R67",G438)),0)+IFERROR(--ISNUMBER(SEARCH("R72",G438)),0)+IFERROR(--ISNUMBER(SEARCH("R74",G438)),0)+IFERROR(--ISNUMBER(SEARCH("R75",G438)),0)+IFERROR(--ISNUMBER(SEARCH("R76",G438)),0)+IFERROR(--ISNUMBER(SEARCH("R77",G438)),0)+IFERROR(--ISNUMBER(SEARCH("R79",G438)),0)+IFERROR(--ISNUMBER(SEARCH("R80",G438)),0)+IFERROR(--ISNUMBER(SEARCH("R81",G438)),0)+IFERROR(--ISNUMBER(SEARCH("R83",G438)),0)+IFERROR(--ISNUMBER(SEARCH("R84",G438)),0)+IFERROR(--ISNUMBER(SEARCH("R89",G438)),0)+IFERROR(--ISNUMBER(SEARCH("R94",G438)),0)+IFERROR(--ISNUMBER(SEARCH("R95",G438)),0)+IFERROR(--ISNUMBER(SEARCH("R96",G438)),0)+IFERROR(--ISNUMBER(SEARCH("R98",G438)),0)+IFERROR(--ISNUMBER(SEARCH("R99",G438)),0)+IFERROR(--ISNUMBER(SEARCH("R100",G438)),0)+IFERROR(--ISNUMBER(SEARCH("R104",G438)),0)+IFERROR(--ISNUMBER(SEARCH("R105",G438)),0)+IFERROR(--ISNUMBER(SEARCH("R107",G438)),0)+IFERROR(--ISNUMBER(SEARCH("R108",G438)),0)+IFERROR(--ISNUMBER(SEARCH("R109",G438)),0)+IFERROR(--ISNUMBER(SEARCH("R110",G438)),0)+IFERROR(--ISNUMBER(SEARCH("R112",G438)),0)+IFERROR(--ISNUMBER(SEARCH("R113",G438)),0)+IFERROR(--ISNUMBER(SEARCH("R114",G438)),0)+IFERROR(--ISNUMBER(SEARCH("R118",G438)),0)+IFERROR(--ISNUMBER(SEARCH("R119",G438)),0)+IFERROR(--ISNUMBER(SEARCH("R120",G438)),0)+IFERROR(--ISNUMBER(SEARCH("R122",G438)),0)+IFERROR(--ISNUMBER(SEARCH("R123",G438)),0)+IFERROR(--ISNUMBER(SEARCH("R124",G438)),0)+IFERROR(--ISNUMBER(SEARCH("R128",G438)),0)+IFERROR(--ISNUMBER(SEARCH("R130",G438)),0)+IFERROR(--ISNUMBER(SEARCH("R131",G438)),0)+IFERROR(--ISNUMBER(SEARCH("R132",G438)),0)+IFERROR(--ISNUMBER(SEARCH("R135",G438)),0)+IFERROR(--ISNUMBER(SEARCH("R138",G438)),0)+IFERROR(--ISNUMBER(SEARCH("R141",G438)),0))</f>
        <v/>
      </c>
      <c r="U438" s="58">
        <f>IF(A438="","",IFERROR(--ISNUMBER(SEARCH("R28",G438))*28,0)+IFERROR(--ISNUMBER(SEARCH("R29",G438))*29,0)+IFERROR(--ISNUMBER(SEARCH("R30",G438))*30,0)+IFERROR(--ISNUMBER(SEARCH("R31",G438))*31,0)+IFERROR(--ISNUMBER(SEARCH("R32",G438))*32,0)+IFERROR(--ISNUMBER(SEARCH("R33",G438))*33,0)+IFERROR(--ISNUMBER(SEARCH("R34",G438))*34,0)+IFERROR(--ISNUMBER(SEARCH("R35",G438))*35,0)+IFERROR(--ISNUMBER(SEARCH("R36",G438))*36,0)+IFERROR(--ISNUMBER(SEARCH("R37",G438))*37,0)+IFERROR(--ISNUMBER(SEARCH("R38",G438))*38,0)+IFERROR(--ISNUMBER(SEARCH("R39",G438))*39,0)+IFERROR(--ISNUMBER(SEARCH("R40",G438))*40,0)+IFERROR(--ISNUMBER(SEARCH("R41",G438))*41,0)+IFERROR(--ISNUMBER(SEARCH("R42",G438))*42,0)+IFERROR(--ISNUMBER(SEARCH("R43",G438))*43,0)+IFERROR(--ISNUMBER(SEARCH("R44",G438))*44,0)+IFERROR(--ISNUMBER(SEARCH("R45",G438))*45,0)+IFERROR(--ISNUMBER(SEARCH("R46",G438))*46,0)+IFERROR(--ISNUMBER(SEARCH("R47",G438))*47,0)+IFERROR(--ISNUMBER(SEARCH("R48",G438))*48,0)+IFERROR(--ISNUMBER(SEARCH("R49",G438))*49,0)+IFERROR(--ISNUMBER(SEARCH("R50",G438))*50,0)+IFERROR(--ISNUMBER(SEARCH("R51",G438))*51,0)+IFERROR(--ISNUMBER(SEARCH("R52",G438))*52,0)+IFERROR(--ISNUMBER(SEARCH("R53",G438))*53,0)+IFERROR(--ISNUMBER(SEARCH("R54",G438))*54,0)+IFERROR(--ISNUMBER(SEARCH("R55",G438))*55,0)+IFERROR(--ISNUMBER(SEARCH("R56",G438))*56,0)+IFERROR(--ISNUMBER(SEARCH("R57",G438))*57,0)+IFERROR(--ISNUMBER(SEARCH("R58",G438))*58,0)+IFERROR(--ISNUMBER(SEARCH("R59",G438))*59,0)+IFERROR(--ISNUMBER(SEARCH("R60",G438))*60,0)+IFERROR(--ISNUMBER(SEARCH("R61",G438))*61,0)+IFERROR(--ISNUMBER(SEARCH("R62",G438))*62,0)+IFERROR(--ISNUMBER(SEARCH("R63",G438))*63,0)+IFERROR(--ISNUMBER(SEARCH("R64",G438))*64,0)+IFERROR(--ISNUMBER(SEARCH("R65",G438))*65,0)+IFERROR(--ISNUMBER(SEARCH("R66",G438))*66,0)+IFERROR(--ISNUMBER(SEARCH("R67",G438))*67,0)+IFERROR(--ISNUMBER(SEARCH("R68",G438))*68,0)+IFERROR(--ISNUMBER(SEARCH("R69",G438))*69,0)+IFERROR(--ISNUMBER(SEARCH("R70",G438))*70,0)+IFERROR(--ISNUMBER(SEARCH("R71",G438))*71,0)+IFERROR(--ISNUMBER(SEARCH("R72",G438))*72,0)+IFERROR(--ISNUMBER(SEARCH("R73",G438))*73,0)+IFERROR(--ISNUMBER(SEARCH("R74",G438))*74,0)+IFERROR(--ISNUMBER(SEARCH("R75",G438))*75,0)+IFERROR(--ISNUMBER(SEARCH("R76",G438))*76,0)+IFERROR(--ISNUMBER(SEARCH("R77",G438))*77,0)+IFERROR(--ISNUMBER(SEARCH("R78",G438))*78,0)+IFERROR(--ISNUMBER(SEARCH("R79",G438))*79,0)+IFERROR(--ISNUMBER(SEARCH("R80",G438))*80,0)+IFERROR(--ISNUMBER(SEARCH("R81",G438))*81,0)+IFERROR(--ISNUMBER(SEARCH("R82",G438))*82,0)+IFERROR(--ISNUMBER(SEARCH("R83",G438))*83,0)+IFERROR(--ISNUMBER(SEARCH("R84",G438))*84,0)+IFERROR(--ISNUMBER(SEARCH("R85",G438))*85,0)+IFERROR(--ISNUMBER(SEARCH("R86",G438))*86,0)+IFERROR(--ISNUMBER(SEARCH("R87",G438))*87,0)+IFERROR(--ISNUMBER(SEARCH("R88",G438))*88,0)+IFERROR(--ISNUMBER(SEARCH("R89",G438))*89,0)+IFERROR(--ISNUMBER(SEARCH("R90",G438))*90,0)+IFERROR(--ISNUMBER(SEARCH("R91",G438))*91,0)+IFERROR(--ISNUMBER(SEARCH("R92",G438))*92,0)+IFERROR(--ISNUMBER(SEARCH("R93",G438))*93,0)+IFERROR(--ISNUMBER(SEARCH("R94",G438))*94,0)+IFERROR(--ISNUMBER(SEARCH("R95",G438))*95,0)+IFERROR(--ISNUMBER(SEARCH("R96",G438))*96,0)+IFERROR(--ISNUMBER(SEARCH("R97",G438))*97,0)+IFERROR(--ISNUMBER(SEARCH("R98",G438))*98,0)+IFERROR(--ISNUMBER(SEARCH("R99",G438))*99,0)+IFERROR(--ISNUMBER(SEARCH("R100",G438))*100,0)+IFERROR(--ISNUMBER(SEARCH("R101",G438))*101,0)+IFERROR(--ISNUMBER(SEARCH("R102",G438))*102,0)+IFERROR(--ISNUMBER(SEARCH("R103",G438))*103,0)+IFERROR(--ISNUMBER(SEARCH("R104",G438))*104,0)+IFERROR(--ISNUMBER(SEARCH("R105",G438))*105,0)+IFERROR(--ISNUMBER(SEARCH("R106",G438))*106,0)+IFERROR(--ISNUMBER(SEARCH("R107",G438))*107,0)+IFERROR(--ISNUMBER(SEARCH("R108",G438))*108,0)+IFERROR(--ISNUMBER(SEARCH("R109",G438))*109,0)+IFERROR(--ISNUMBER(SEARCH("R110",G438))*110,0)+IFERROR(--ISNUMBER(SEARCH("R111",G438))*111,0)+IFERROR(--ISNUMBER(SEARCH("R112",G438))*112,0)+IFERROR(--ISNUMBER(SEARCH("R113",G438))*113,0)+IFERROR(--ISNUMBER(SEARCH("R114",G438))*114,0)+IFERROR(--ISNUMBER(SEARCH("R115",G438))*115,0)+IFERROR(--ISNUMBER(SEARCH("R116",G438))*116,0)+IFERROR(--ISNUMBER(SEARCH("R117",G438))*117,0)+IFERROR(--ISNUMBER(SEARCH("R118",G438))*118,0)+IFERROR(--ISNUMBER(SEARCH("R119",G438))*119,0)+IFERROR(--ISNUMBER(SEARCH("R120",G438))*120,0)+IFERROR(--ISNUMBER(SEARCH("R121",G438))*121,0)+IFERROR(--ISNUMBER(SEARCH("R122",G438))*122,0)+IFERROR(--ISNUMBER(SEARCH("R123",G438))*123,0)+IFERROR(--ISNUMBER(SEARCH("R124",G438))*124,0)+IFERROR(--ISNUMBER(SEARCH("R125",G438))*125,0)+IFERROR(--ISNUMBER(SEARCH("R126",G438))*126,0)+IFERROR(--ISNUMBER(SEARCH("R127",G438))*127,0)+IFERROR(--ISNUMBER(SEARCH("R128",G438))*128,0)+IFERROR(--ISNUMBER(SEARCH("R129",G438))*129,0)+IFERROR(--ISNUMBER(SEARCH("R130",G438))*130,0)+IFERROR(--ISNUMBER(SEARCH("R131",G438))*131,0)+IFERROR(--ISNUMBER(SEARCH("R132",G438))*132,0)+IFERROR(--ISNUMBER(SEARCH("R133",G438))*133,0)+IFERROR(--ISNUMBER(SEARCH("R134",G438))*134,0)+IFERROR(--ISNUMBER(SEARCH("R135",G438))*135,0)+IFERROR(--ISNUMBER(SEARCH("R136",G438))*136,0)+IFERROR(--ISNUMBER(SEARCH("R137",G438))*137,0)+IFERROR(--ISNUMBER(SEARCH("R138",G438))*138,0)+IFERROR(--ISNUMBER(SEARCH("R139",G438))*139,0)+IFERROR(--ISNUMBER(SEARCH("R140",G438))*140,0)+IFERROR(--ISNUMBER(SEARCH("R141",G438))*141,0))</f>
        <v/>
      </c>
      <c r="V438" s="59">
        <f>IF(A438="","",IF(K438&lt;&gt;"",K438,J438))</f>
        <v/>
      </c>
      <c r="W438" s="59">
        <f>IF(A438="","",IF(AND(V438=29,O438&lt;&gt;"",COUNTIFS($V$6:$V$505,29,$F$6:$F$505,F438,$C$6:$C$505,C438,$O$6:$O$505,"&lt;&gt;")&gt;1),IF(COUNTIFS($V$6:V438,29,$F$6:F438,F438,$C$6:C438,C438,$O$6:O438,"&lt;&gt;")=1,"Esta es la fila que se debe CONSERVAR (aparición 1 de "&amp;COUNTIFS($V$6:$V$505,29,$F$6:$F$505,F438,$C$6:$C$505,C438,$O$6:$O$505,"&lt;&gt;")&amp;" con el mismo tercero y valor, casilla 29). Si hay más filas iguales, bórreles el valor a ELLAS, no a esta.","DUPLICADO — ya existe otra fila con el mismo tercero y valor para casilla 29 (aparición "&amp;COUNTIFS($V$6:V438,29,$F$6:F438,F438,$C$6:C438,C438,$O$6:O438,"&lt;&gt;")&amp;" de "&amp;COUNTIFS($V$6:$V$505,29,$F$6:$F$505,F438,$C$6:$C$505,C438,$O$6:$O$505,"&lt;&gt;")&amp;"). Para resolverlo: seleccione la celda O"&amp;ROW()&amp;" (columna Valor a declarar de ESTA fila) y presione Supr."),""))</f>
        <v/>
      </c>
      <c r="X438" s="463">
        <f>IF(A438="","",F438)</f>
        <v/>
      </c>
      <c r="Y438" s="463">
        <f>IF(A438="","",SUMIF(Entrada_Manual!$I$88:$I$187,A438,Entrada_Manual!$F$88:$F$187))</f>
        <v/>
      </c>
      <c r="Z438" s="463">
        <f>IF(A438="","",X438-Y438)</f>
        <v/>
      </c>
      <c r="AA438">
        <f>IF(A438="","",SUMPRODUCT((Entrada_Manual!$I$88:$I$187=A438)*1))</f>
        <v/>
      </c>
      <c r="AB438">
        <f>IF(A438="","",IF(S438&lt;=1,"",IF(AA438=0,"PENDIENTE — SIN ASIGNAR",IF(Z438=0,"RESUELTO","PARCIAL — DIFERENCIA "&amp;TEXT(Z438,"#,##0")))))</f>
        <v/>
      </c>
    </row>
    <row r="439" ht="14.25" customHeight="1" s="235">
      <c r="A439" s="47">
        <f>IF(Exogena_RAW!E448&lt;&gt;"",ROW()-5,"")</f>
        <v/>
      </c>
      <c r="B439" s="48">
        <f>IF(A439="","",448)</f>
        <v/>
      </c>
      <c r="C439" s="48">
        <f>IF(A439="","",IFERROR(Exogena_RAW!A448,""))</f>
        <v/>
      </c>
      <c r="D439" s="48">
        <f>IF(A439="","",IFERROR(Exogena_RAW!B448,""))</f>
        <v/>
      </c>
      <c r="E439" s="48">
        <f>IF(A439="","",Exogena_RAW!E448)</f>
        <v/>
      </c>
      <c r="F439" s="461">
        <f>IF(A439="","",Exogena_RAW!F448)</f>
        <v/>
      </c>
      <c r="G439" s="48">
        <f>IF(A439="","",IFERROR(Exogena_RAW!G448,""))</f>
        <v/>
      </c>
      <c r="H439" s="48">
        <f>IF(A439="","",IFERROR(Exogena_RAW!H448,""))</f>
        <v/>
      </c>
      <c r="I439" s="48">
        <f>IF(A439="","",IFERROR(IF(S439&gt;1,"VARIAS CASILLAS",IF(S439=1,IF(T439=1,"PROPUESTA DE CASILLA","REVISIÓN: CASILLA NO DIRECTA"),IF(OR(ISNUMBER(SEARCH("TOPE",UPPER(E439))),ISNUMBER(SEARCH("TOPE",UPPER(G439)))),"SOLO CONTROL",IF(ISNUMBER(SEARCH("RETEN",UPPER(E439))),"RETENCIÓN","REVISAR")))),"REVISAR"))</f>
        <v/>
      </c>
      <c r="J439" s="48">
        <f>IF(A439="","",IF(ISNUMBER(SEARCH("ingreso laboral promedio de los últimos seis meses",E439)),"",IFERROR(IF(AND(S439=1,T439=1),U439,""),"")))</f>
        <v/>
      </c>
      <c r="K439" s="216" t="n"/>
      <c r="L439" s="48">
        <f>IF(A439="","",IFERROR(IF(K439&lt;&gt;"","Casilla elegida por usuario",IF(S439&gt;1,"Varias casillas — elegir en K",IF(J439&lt;&gt;"","Sugerencia directa",IF(S439=1,"No trasladar directo — revisar",IF(OR(ISNUMBER(SEARCH("TOPE",UPPER(E439))),ISNUMBER(SEARCH("TOPE",UPPER(G439)))),"Solo control","Revisar manualmente"))))),"Revisar manualmente"))</f>
        <v/>
      </c>
      <c r="M439" s="461">
        <f>IF(A439="","",IF(IF(K439&lt;&gt;"",K439,J439)="",0,IF(COUNTIFS(Reglas!$I$5:$I$118,IF(K439&lt;&gt;"",K439,J439),Reglas!$J$5:$J$118,"Sí")=1,F439,0)))</f>
        <v/>
      </c>
      <c r="N439" s="56" t="n"/>
      <c r="O439" s="462">
        <f>IF(A439="","",IF(M439=0,"",M439))</f>
        <v/>
      </c>
      <c r="P439" s="461">
        <f>IF(A439="","",IF(O439="",0,IF(ISNUMBER(O439),O439,0)))</f>
        <v/>
      </c>
      <c r="Q439" s="48">
        <f>IF(A439="","",IF(Exogena_RAW!$C$4="","BLOQUEADO: FALTA AÑO",IF(Exogena_RAW!$K$10&lt;&gt;Reglas!$B$5,"BLOQUEADO: AÑO",IF(IF(K439&lt;&gt;"",K439,J439)="",IF(S439&gt;1,"REQUIERE ASIGNACIÓN MANUAL (VARIAS CASILLAS)","INFORMATIVO (sin casilla — no se declara)"),IF(COUNTIFS(Reglas!$I$5:$I$118,IF(K439&lt;&gt;"",K439,J439),Reglas!$J$5:$J$118,"Sí")=0,"BLOQUEADO: CASILLA NO DIRECTA",IF(O439="","EXCLUIDO (valor borrado por el usuario)",IF(_xlfn.ISFORMULA(O439),IF(W439&lt;&gt;"","BORRADOR — VALOR SUGERIDO DIAN ⚠ VER ALERTA","BORRADOR — VALOR SUGERIDO DIAN"),IF(W439&lt;&gt;"","ACEPTADO ⚠ VER ALERTA","ACEPTADO"))))))))</f>
        <v/>
      </c>
      <c r="R439" s="218" t="n"/>
      <c r="S439" s="58">
        <f>IF(A439="","",IFERROR(--ISNUMBER(SEARCH("R28",G439)),0)+IFERROR(--ISNUMBER(SEARCH("R29",G439)),0)+IFERROR(--ISNUMBER(SEARCH("R30",G439)),0)+IFERROR(--ISNUMBER(SEARCH("R31",G439)),0)+IFERROR(--ISNUMBER(SEARCH("R32",G439)),0)+IFERROR(--ISNUMBER(SEARCH("R33",G439)),0)+IFERROR(--ISNUMBER(SEARCH("R34",G439)),0)+IFERROR(--ISNUMBER(SEARCH("R35",G439)),0)+IFERROR(--ISNUMBER(SEARCH("R36",G439)),0)+IFERROR(--ISNUMBER(SEARCH("R37",G439)),0)+IFERROR(--ISNUMBER(SEARCH("R38",G439)),0)+IFERROR(--ISNUMBER(SEARCH("R39",G439)),0)+IFERROR(--ISNUMBER(SEARCH("R40",G439)),0)+IFERROR(--ISNUMBER(SEARCH("R41",G439)),0)+IFERROR(--ISNUMBER(SEARCH("R42",G439)),0)+IFERROR(--ISNUMBER(SEARCH("R43",G439)),0)+IFERROR(--ISNUMBER(SEARCH("R44",G439)),0)+IFERROR(--ISNUMBER(SEARCH("R45",G439)),0)+IFERROR(--ISNUMBER(SEARCH("R46",G439)),0)+IFERROR(--ISNUMBER(SEARCH("R47",G439)),0)+IFERROR(--ISNUMBER(SEARCH("R48",G439)),0)+IFERROR(--ISNUMBER(SEARCH("R49",G439)),0)+IFERROR(--ISNUMBER(SEARCH("R50",G439)),0)+IFERROR(--ISNUMBER(SEARCH("R51",G439)),0)+IFERROR(--ISNUMBER(SEARCH("R52",G439)),0)+IFERROR(--ISNUMBER(SEARCH("R53",G439)),0)+IFERROR(--ISNUMBER(SEARCH("R54",G439)),0)+IFERROR(--ISNUMBER(SEARCH("R55",G439)),0)+IFERROR(--ISNUMBER(SEARCH("R56",G439)),0)+IFERROR(--ISNUMBER(SEARCH("R57",G439)),0)+IFERROR(--ISNUMBER(SEARCH("R58",G439)),0)+IFERROR(--ISNUMBER(SEARCH("R59",G439)),0)+IFERROR(--ISNUMBER(SEARCH("R60",G439)),0)+IFERROR(--ISNUMBER(SEARCH("R61",G439)),0)+IFERROR(--ISNUMBER(SEARCH("R62",G439)),0)+IFERROR(--ISNUMBER(SEARCH("R63",G439)),0)+IFERROR(--ISNUMBER(SEARCH("R64",G439)),0)+IFERROR(--ISNUMBER(SEARCH("R65",G439)),0)+IFERROR(--ISNUMBER(SEARCH("R66",G439)),0)+IFERROR(--ISNUMBER(SEARCH("R67",G439)),0)+IFERROR(--ISNUMBER(SEARCH("R68",G439)),0)+IFERROR(--ISNUMBER(SEARCH("R69",G439)),0)+IFERROR(--ISNUMBER(SEARCH("R70",G439)),0)+IFERROR(--ISNUMBER(SEARCH("R71",G439)),0)+IFERROR(--ISNUMBER(SEARCH("R72",G439)),0)+IFERROR(--ISNUMBER(SEARCH("R73",G439)),0)+IFERROR(--ISNUMBER(SEARCH("R74",G439)),0)+IFERROR(--ISNUMBER(SEARCH("R75",G439)),0)+IFERROR(--ISNUMBER(SEARCH("R76",G439)),0)+IFERROR(--ISNUMBER(SEARCH("R77",G439)),0)+IFERROR(--ISNUMBER(SEARCH("R78",G439)),0)+IFERROR(--ISNUMBER(SEARCH("R79",G439)),0)+IFERROR(--ISNUMBER(SEARCH("R80",G439)),0)+IFERROR(--ISNUMBER(SEARCH("R81",G439)),0)+IFERROR(--ISNUMBER(SEARCH("R82",G439)),0)+IFERROR(--ISNUMBER(SEARCH("R83",G439)),0)+IFERROR(--ISNUMBER(SEARCH("R84",G439)),0)+IFERROR(--ISNUMBER(SEARCH("R85",G439)),0)+IFERROR(--ISNUMBER(SEARCH("R86",G439)),0)+IFERROR(--ISNUMBER(SEARCH("R87",G439)),0)+IFERROR(--ISNUMBER(SEARCH("R88",G439)),0)+IFERROR(--ISNUMBER(SEARCH("R89",G439)),0)+IFERROR(--ISNUMBER(SEARCH("R90",G439)),0)+IFERROR(--ISNUMBER(SEARCH("R91",G439)),0)+IFERROR(--ISNUMBER(SEARCH("R92",G439)),0)+IFERROR(--ISNUMBER(SEARCH("R93",G439)),0)+IFERROR(--ISNUMBER(SEARCH("R94",G439)),0)+IFERROR(--ISNUMBER(SEARCH("R95",G439)),0)+IFERROR(--ISNUMBER(SEARCH("R96",G439)),0)+IFERROR(--ISNUMBER(SEARCH("R97",G439)),0)+IFERROR(--ISNUMBER(SEARCH("R98",G439)),0)+IFERROR(--ISNUMBER(SEARCH("R99",G439)),0)+IFERROR(--ISNUMBER(SEARCH("R100",G439)),0)+IFERROR(--ISNUMBER(SEARCH("R101",G439)),0)+IFERROR(--ISNUMBER(SEARCH("R102",G439)),0)+IFERROR(--ISNUMBER(SEARCH("R103",G439)),0)+IFERROR(--ISNUMBER(SEARCH("R104",G439)),0)+IFERROR(--ISNUMBER(SEARCH("R105",G439)),0)+IFERROR(--ISNUMBER(SEARCH("R106",G439)),0)+IFERROR(--ISNUMBER(SEARCH("R107",G439)),0)+IFERROR(--ISNUMBER(SEARCH("R108",G439)),0)+IFERROR(--ISNUMBER(SEARCH("R109",G439)),0)+IFERROR(--ISNUMBER(SEARCH("R110",G439)),0)+IFERROR(--ISNUMBER(SEARCH("R111",G439)),0)+IFERROR(--ISNUMBER(SEARCH("R112",G439)),0)+IFERROR(--ISNUMBER(SEARCH("R113",G439)),0)+IFERROR(--ISNUMBER(SEARCH("R114",G439)),0)+IFERROR(--ISNUMBER(SEARCH("R115",G439)),0)+IFERROR(--ISNUMBER(SEARCH("R116",G439)),0)+IFERROR(--ISNUMBER(SEARCH("R117",G439)),0)+IFERROR(--ISNUMBER(SEARCH("R118",G439)),0)+IFERROR(--ISNUMBER(SEARCH("R119",G439)),0)+IFERROR(--ISNUMBER(SEARCH("R120",G439)),0)+IFERROR(--ISNUMBER(SEARCH("R121",G439)),0)+IFERROR(--ISNUMBER(SEARCH("R122",G439)),0)+IFERROR(--ISNUMBER(SEARCH("R123",G439)),0)+IFERROR(--ISNUMBER(SEARCH("R124",G439)),0)+IFERROR(--ISNUMBER(SEARCH("R125",G439)),0)+IFERROR(--ISNUMBER(SEARCH("R126",G439)),0)+IFERROR(--ISNUMBER(SEARCH("R127",G439)),0)+IFERROR(--ISNUMBER(SEARCH("R128",G439)),0)+IFERROR(--ISNUMBER(SEARCH("R129",G439)),0)+IFERROR(--ISNUMBER(SEARCH("R130",G439)),0)+IFERROR(--ISNUMBER(SEARCH("R131",G439)),0)+IFERROR(--ISNUMBER(SEARCH("R132",G439)),0)+IFERROR(--ISNUMBER(SEARCH("R133",G439)),0)+IFERROR(--ISNUMBER(SEARCH("R134",G439)),0)+IFERROR(--ISNUMBER(SEARCH("R135",G439)),0)+IFERROR(--ISNUMBER(SEARCH("R136",G439)),0)+IFERROR(--ISNUMBER(SEARCH("R137",G439)),0)+IFERROR(--ISNUMBER(SEARCH("R138",G439)),0)+IFERROR(--ISNUMBER(SEARCH("R139",G439)),0)+IFERROR(--ISNUMBER(SEARCH("R140",G439)),0)+IFERROR(--ISNUMBER(SEARCH("R141",G439)),0))</f>
        <v/>
      </c>
      <c r="T439" s="58">
        <f>IF(A439="","",IFERROR(--ISNUMBER(SEARCH("R28",G439)),0)+IFERROR(--ISNUMBER(SEARCH("R29",G439)),0)+IFERROR(--ISNUMBER(SEARCH("R30",G439)),0)+IFERROR(--ISNUMBER(SEARCH("R32",G439)),0)+IFERROR(--ISNUMBER(SEARCH("R33",G439)),0)+IFERROR(--ISNUMBER(SEARCH("R35",G439)),0)+IFERROR(--ISNUMBER(SEARCH("R36",G439)),0)+IFERROR(--ISNUMBER(SEARCH("R38",G439)),0)+IFERROR(--ISNUMBER(SEARCH("R39",G439)),0)+IFERROR(--ISNUMBER(SEARCH("R43",G439)),0)+IFERROR(--ISNUMBER(SEARCH("R44",G439)),0)+IFERROR(--ISNUMBER(SEARCH("R45",G439)),0)+IFERROR(--ISNUMBER(SEARCH("R47",G439)),0)+IFERROR(--ISNUMBER(SEARCH("R48",G439)),0)+IFERROR(--ISNUMBER(SEARCH("R50",G439)),0)+IFERROR(--ISNUMBER(SEARCH("R51",G439)),0)+IFERROR(--ISNUMBER(SEARCH("R56",G439)),0)+IFERROR(--ISNUMBER(SEARCH("R58",G439)),0)+IFERROR(--ISNUMBER(SEARCH("R59",G439)),0)+IFERROR(--ISNUMBER(SEARCH("R60",G439)),0)+IFERROR(--ISNUMBER(SEARCH("R62",G439)),0)+IFERROR(--ISNUMBER(SEARCH("R63",G439)),0)+IFERROR(--ISNUMBER(SEARCH("R64",G439)),0)+IFERROR(--ISNUMBER(SEARCH("R66",G439)),0)+IFERROR(--ISNUMBER(SEARCH("R67",G439)),0)+IFERROR(--ISNUMBER(SEARCH("R72",G439)),0)+IFERROR(--ISNUMBER(SEARCH("R74",G439)),0)+IFERROR(--ISNUMBER(SEARCH("R75",G439)),0)+IFERROR(--ISNUMBER(SEARCH("R76",G439)),0)+IFERROR(--ISNUMBER(SEARCH("R77",G439)),0)+IFERROR(--ISNUMBER(SEARCH("R79",G439)),0)+IFERROR(--ISNUMBER(SEARCH("R80",G439)),0)+IFERROR(--ISNUMBER(SEARCH("R81",G439)),0)+IFERROR(--ISNUMBER(SEARCH("R83",G439)),0)+IFERROR(--ISNUMBER(SEARCH("R84",G439)),0)+IFERROR(--ISNUMBER(SEARCH("R89",G439)),0)+IFERROR(--ISNUMBER(SEARCH("R94",G439)),0)+IFERROR(--ISNUMBER(SEARCH("R95",G439)),0)+IFERROR(--ISNUMBER(SEARCH("R96",G439)),0)+IFERROR(--ISNUMBER(SEARCH("R98",G439)),0)+IFERROR(--ISNUMBER(SEARCH("R99",G439)),0)+IFERROR(--ISNUMBER(SEARCH("R100",G439)),0)+IFERROR(--ISNUMBER(SEARCH("R104",G439)),0)+IFERROR(--ISNUMBER(SEARCH("R105",G439)),0)+IFERROR(--ISNUMBER(SEARCH("R107",G439)),0)+IFERROR(--ISNUMBER(SEARCH("R108",G439)),0)+IFERROR(--ISNUMBER(SEARCH("R109",G439)),0)+IFERROR(--ISNUMBER(SEARCH("R110",G439)),0)+IFERROR(--ISNUMBER(SEARCH("R112",G439)),0)+IFERROR(--ISNUMBER(SEARCH("R113",G439)),0)+IFERROR(--ISNUMBER(SEARCH("R114",G439)),0)+IFERROR(--ISNUMBER(SEARCH("R118",G439)),0)+IFERROR(--ISNUMBER(SEARCH("R119",G439)),0)+IFERROR(--ISNUMBER(SEARCH("R120",G439)),0)+IFERROR(--ISNUMBER(SEARCH("R122",G439)),0)+IFERROR(--ISNUMBER(SEARCH("R123",G439)),0)+IFERROR(--ISNUMBER(SEARCH("R124",G439)),0)+IFERROR(--ISNUMBER(SEARCH("R128",G439)),0)+IFERROR(--ISNUMBER(SEARCH("R130",G439)),0)+IFERROR(--ISNUMBER(SEARCH("R131",G439)),0)+IFERROR(--ISNUMBER(SEARCH("R132",G439)),0)+IFERROR(--ISNUMBER(SEARCH("R135",G439)),0)+IFERROR(--ISNUMBER(SEARCH("R138",G439)),0)+IFERROR(--ISNUMBER(SEARCH("R141",G439)),0))</f>
        <v/>
      </c>
      <c r="U439" s="58">
        <f>IF(A439="","",IFERROR(--ISNUMBER(SEARCH("R28",G439))*28,0)+IFERROR(--ISNUMBER(SEARCH("R29",G439))*29,0)+IFERROR(--ISNUMBER(SEARCH("R30",G439))*30,0)+IFERROR(--ISNUMBER(SEARCH("R31",G439))*31,0)+IFERROR(--ISNUMBER(SEARCH("R32",G439))*32,0)+IFERROR(--ISNUMBER(SEARCH("R33",G439))*33,0)+IFERROR(--ISNUMBER(SEARCH("R34",G439))*34,0)+IFERROR(--ISNUMBER(SEARCH("R35",G439))*35,0)+IFERROR(--ISNUMBER(SEARCH("R36",G439))*36,0)+IFERROR(--ISNUMBER(SEARCH("R37",G439))*37,0)+IFERROR(--ISNUMBER(SEARCH("R38",G439))*38,0)+IFERROR(--ISNUMBER(SEARCH("R39",G439))*39,0)+IFERROR(--ISNUMBER(SEARCH("R40",G439))*40,0)+IFERROR(--ISNUMBER(SEARCH("R41",G439))*41,0)+IFERROR(--ISNUMBER(SEARCH("R42",G439))*42,0)+IFERROR(--ISNUMBER(SEARCH("R43",G439))*43,0)+IFERROR(--ISNUMBER(SEARCH("R44",G439))*44,0)+IFERROR(--ISNUMBER(SEARCH("R45",G439))*45,0)+IFERROR(--ISNUMBER(SEARCH("R46",G439))*46,0)+IFERROR(--ISNUMBER(SEARCH("R47",G439))*47,0)+IFERROR(--ISNUMBER(SEARCH("R48",G439))*48,0)+IFERROR(--ISNUMBER(SEARCH("R49",G439))*49,0)+IFERROR(--ISNUMBER(SEARCH("R50",G439))*50,0)+IFERROR(--ISNUMBER(SEARCH("R51",G439))*51,0)+IFERROR(--ISNUMBER(SEARCH("R52",G439))*52,0)+IFERROR(--ISNUMBER(SEARCH("R53",G439))*53,0)+IFERROR(--ISNUMBER(SEARCH("R54",G439))*54,0)+IFERROR(--ISNUMBER(SEARCH("R55",G439))*55,0)+IFERROR(--ISNUMBER(SEARCH("R56",G439))*56,0)+IFERROR(--ISNUMBER(SEARCH("R57",G439))*57,0)+IFERROR(--ISNUMBER(SEARCH("R58",G439))*58,0)+IFERROR(--ISNUMBER(SEARCH("R59",G439))*59,0)+IFERROR(--ISNUMBER(SEARCH("R60",G439))*60,0)+IFERROR(--ISNUMBER(SEARCH("R61",G439))*61,0)+IFERROR(--ISNUMBER(SEARCH("R62",G439))*62,0)+IFERROR(--ISNUMBER(SEARCH("R63",G439))*63,0)+IFERROR(--ISNUMBER(SEARCH("R64",G439))*64,0)+IFERROR(--ISNUMBER(SEARCH("R65",G439))*65,0)+IFERROR(--ISNUMBER(SEARCH("R66",G439))*66,0)+IFERROR(--ISNUMBER(SEARCH("R67",G439))*67,0)+IFERROR(--ISNUMBER(SEARCH("R68",G439))*68,0)+IFERROR(--ISNUMBER(SEARCH("R69",G439))*69,0)+IFERROR(--ISNUMBER(SEARCH("R70",G439))*70,0)+IFERROR(--ISNUMBER(SEARCH("R71",G439))*71,0)+IFERROR(--ISNUMBER(SEARCH("R72",G439))*72,0)+IFERROR(--ISNUMBER(SEARCH("R73",G439))*73,0)+IFERROR(--ISNUMBER(SEARCH("R74",G439))*74,0)+IFERROR(--ISNUMBER(SEARCH("R75",G439))*75,0)+IFERROR(--ISNUMBER(SEARCH("R76",G439))*76,0)+IFERROR(--ISNUMBER(SEARCH("R77",G439))*77,0)+IFERROR(--ISNUMBER(SEARCH("R78",G439))*78,0)+IFERROR(--ISNUMBER(SEARCH("R79",G439))*79,0)+IFERROR(--ISNUMBER(SEARCH("R80",G439))*80,0)+IFERROR(--ISNUMBER(SEARCH("R81",G439))*81,0)+IFERROR(--ISNUMBER(SEARCH("R82",G439))*82,0)+IFERROR(--ISNUMBER(SEARCH("R83",G439))*83,0)+IFERROR(--ISNUMBER(SEARCH("R84",G439))*84,0)+IFERROR(--ISNUMBER(SEARCH("R85",G439))*85,0)+IFERROR(--ISNUMBER(SEARCH("R86",G439))*86,0)+IFERROR(--ISNUMBER(SEARCH("R87",G439))*87,0)+IFERROR(--ISNUMBER(SEARCH("R88",G439))*88,0)+IFERROR(--ISNUMBER(SEARCH("R89",G439))*89,0)+IFERROR(--ISNUMBER(SEARCH("R90",G439))*90,0)+IFERROR(--ISNUMBER(SEARCH("R91",G439))*91,0)+IFERROR(--ISNUMBER(SEARCH("R92",G439))*92,0)+IFERROR(--ISNUMBER(SEARCH("R93",G439))*93,0)+IFERROR(--ISNUMBER(SEARCH("R94",G439))*94,0)+IFERROR(--ISNUMBER(SEARCH("R95",G439))*95,0)+IFERROR(--ISNUMBER(SEARCH("R96",G439))*96,0)+IFERROR(--ISNUMBER(SEARCH("R97",G439))*97,0)+IFERROR(--ISNUMBER(SEARCH("R98",G439))*98,0)+IFERROR(--ISNUMBER(SEARCH("R99",G439))*99,0)+IFERROR(--ISNUMBER(SEARCH("R100",G439))*100,0)+IFERROR(--ISNUMBER(SEARCH("R101",G439))*101,0)+IFERROR(--ISNUMBER(SEARCH("R102",G439))*102,0)+IFERROR(--ISNUMBER(SEARCH("R103",G439))*103,0)+IFERROR(--ISNUMBER(SEARCH("R104",G439))*104,0)+IFERROR(--ISNUMBER(SEARCH("R105",G439))*105,0)+IFERROR(--ISNUMBER(SEARCH("R106",G439))*106,0)+IFERROR(--ISNUMBER(SEARCH("R107",G439))*107,0)+IFERROR(--ISNUMBER(SEARCH("R108",G439))*108,0)+IFERROR(--ISNUMBER(SEARCH("R109",G439))*109,0)+IFERROR(--ISNUMBER(SEARCH("R110",G439))*110,0)+IFERROR(--ISNUMBER(SEARCH("R111",G439))*111,0)+IFERROR(--ISNUMBER(SEARCH("R112",G439))*112,0)+IFERROR(--ISNUMBER(SEARCH("R113",G439))*113,0)+IFERROR(--ISNUMBER(SEARCH("R114",G439))*114,0)+IFERROR(--ISNUMBER(SEARCH("R115",G439))*115,0)+IFERROR(--ISNUMBER(SEARCH("R116",G439))*116,0)+IFERROR(--ISNUMBER(SEARCH("R117",G439))*117,0)+IFERROR(--ISNUMBER(SEARCH("R118",G439))*118,0)+IFERROR(--ISNUMBER(SEARCH("R119",G439))*119,0)+IFERROR(--ISNUMBER(SEARCH("R120",G439))*120,0)+IFERROR(--ISNUMBER(SEARCH("R121",G439))*121,0)+IFERROR(--ISNUMBER(SEARCH("R122",G439))*122,0)+IFERROR(--ISNUMBER(SEARCH("R123",G439))*123,0)+IFERROR(--ISNUMBER(SEARCH("R124",G439))*124,0)+IFERROR(--ISNUMBER(SEARCH("R125",G439))*125,0)+IFERROR(--ISNUMBER(SEARCH("R126",G439))*126,0)+IFERROR(--ISNUMBER(SEARCH("R127",G439))*127,0)+IFERROR(--ISNUMBER(SEARCH("R128",G439))*128,0)+IFERROR(--ISNUMBER(SEARCH("R129",G439))*129,0)+IFERROR(--ISNUMBER(SEARCH("R130",G439))*130,0)+IFERROR(--ISNUMBER(SEARCH("R131",G439))*131,0)+IFERROR(--ISNUMBER(SEARCH("R132",G439))*132,0)+IFERROR(--ISNUMBER(SEARCH("R133",G439))*133,0)+IFERROR(--ISNUMBER(SEARCH("R134",G439))*134,0)+IFERROR(--ISNUMBER(SEARCH("R135",G439))*135,0)+IFERROR(--ISNUMBER(SEARCH("R136",G439))*136,0)+IFERROR(--ISNUMBER(SEARCH("R137",G439))*137,0)+IFERROR(--ISNUMBER(SEARCH("R138",G439))*138,0)+IFERROR(--ISNUMBER(SEARCH("R139",G439))*139,0)+IFERROR(--ISNUMBER(SEARCH("R140",G439))*140,0)+IFERROR(--ISNUMBER(SEARCH("R141",G439))*141,0))</f>
        <v/>
      </c>
      <c r="V439" s="59">
        <f>IF(A439="","",IF(K439&lt;&gt;"",K439,J439))</f>
        <v/>
      </c>
      <c r="W439" s="59">
        <f>IF(A439="","",IF(AND(V439=29,O439&lt;&gt;"",COUNTIFS($V$6:$V$505,29,$F$6:$F$505,F439,$C$6:$C$505,C439,$O$6:$O$505,"&lt;&gt;")&gt;1),IF(COUNTIFS($V$6:V439,29,$F$6:F439,F439,$C$6:C439,C439,$O$6:O439,"&lt;&gt;")=1,"Esta es la fila que se debe CONSERVAR (aparición 1 de "&amp;COUNTIFS($V$6:$V$505,29,$F$6:$F$505,F439,$C$6:$C$505,C439,$O$6:$O$505,"&lt;&gt;")&amp;" con el mismo tercero y valor, casilla 29). Si hay más filas iguales, bórreles el valor a ELLAS, no a esta.","DUPLICADO — ya existe otra fila con el mismo tercero y valor para casilla 29 (aparición "&amp;COUNTIFS($V$6:V439,29,$F$6:F439,F439,$C$6:C439,C439,$O$6:O439,"&lt;&gt;")&amp;" de "&amp;COUNTIFS($V$6:$V$505,29,$F$6:$F$505,F439,$C$6:$C$505,C439,$O$6:$O$505,"&lt;&gt;")&amp;"). Para resolverlo: seleccione la celda O"&amp;ROW()&amp;" (columna Valor a declarar de ESTA fila) y presione Supr."),""))</f>
        <v/>
      </c>
      <c r="X439" s="463">
        <f>IF(A439="","",F439)</f>
        <v/>
      </c>
      <c r="Y439" s="463">
        <f>IF(A439="","",SUMIF(Entrada_Manual!$I$88:$I$187,A439,Entrada_Manual!$F$88:$F$187))</f>
        <v/>
      </c>
      <c r="Z439" s="463">
        <f>IF(A439="","",X439-Y439)</f>
        <v/>
      </c>
      <c r="AA439">
        <f>IF(A439="","",SUMPRODUCT((Entrada_Manual!$I$88:$I$187=A439)*1))</f>
        <v/>
      </c>
      <c r="AB439">
        <f>IF(A439="","",IF(S439&lt;=1,"",IF(AA439=0,"PENDIENTE — SIN ASIGNAR",IF(Z439=0,"RESUELTO","PARCIAL — DIFERENCIA "&amp;TEXT(Z439,"#,##0")))))</f>
        <v/>
      </c>
    </row>
    <row r="440" ht="14.25" customHeight="1" s="235">
      <c r="A440" s="47">
        <f>IF(Exogena_RAW!E449&lt;&gt;"",ROW()-5,"")</f>
        <v/>
      </c>
      <c r="B440" s="48">
        <f>IF(A440="","",449)</f>
        <v/>
      </c>
      <c r="C440" s="48">
        <f>IF(A440="","",IFERROR(Exogena_RAW!A449,""))</f>
        <v/>
      </c>
      <c r="D440" s="48">
        <f>IF(A440="","",IFERROR(Exogena_RAW!B449,""))</f>
        <v/>
      </c>
      <c r="E440" s="48">
        <f>IF(A440="","",Exogena_RAW!E449)</f>
        <v/>
      </c>
      <c r="F440" s="461">
        <f>IF(A440="","",Exogena_RAW!F449)</f>
        <v/>
      </c>
      <c r="G440" s="48">
        <f>IF(A440="","",IFERROR(Exogena_RAW!G449,""))</f>
        <v/>
      </c>
      <c r="H440" s="48">
        <f>IF(A440="","",IFERROR(Exogena_RAW!H449,""))</f>
        <v/>
      </c>
      <c r="I440" s="48">
        <f>IF(A440="","",IFERROR(IF(S440&gt;1,"VARIAS CASILLAS",IF(S440=1,IF(T440=1,"PROPUESTA DE CASILLA","REVISIÓN: CASILLA NO DIRECTA"),IF(OR(ISNUMBER(SEARCH("TOPE",UPPER(E440))),ISNUMBER(SEARCH("TOPE",UPPER(G440)))),"SOLO CONTROL",IF(ISNUMBER(SEARCH("RETEN",UPPER(E440))),"RETENCIÓN","REVISAR")))),"REVISAR"))</f>
        <v/>
      </c>
      <c r="J440" s="48">
        <f>IF(A440="","",IF(ISNUMBER(SEARCH("ingreso laboral promedio de los últimos seis meses",E440)),"",IFERROR(IF(AND(S440=1,T440=1),U440,""),"")))</f>
        <v/>
      </c>
      <c r="K440" s="216" t="n"/>
      <c r="L440" s="48">
        <f>IF(A440="","",IFERROR(IF(K440&lt;&gt;"","Casilla elegida por usuario",IF(S440&gt;1,"Varias casillas — elegir en K",IF(J440&lt;&gt;"","Sugerencia directa",IF(S440=1,"No trasladar directo — revisar",IF(OR(ISNUMBER(SEARCH("TOPE",UPPER(E440))),ISNUMBER(SEARCH("TOPE",UPPER(G440)))),"Solo control","Revisar manualmente"))))),"Revisar manualmente"))</f>
        <v/>
      </c>
      <c r="M440" s="461">
        <f>IF(A440="","",IF(IF(K440&lt;&gt;"",K440,J440)="",0,IF(COUNTIFS(Reglas!$I$5:$I$118,IF(K440&lt;&gt;"",K440,J440),Reglas!$J$5:$J$118,"Sí")=1,F440,0)))</f>
        <v/>
      </c>
      <c r="N440" s="56" t="n"/>
      <c r="O440" s="462">
        <f>IF(A440="","",IF(M440=0,"",M440))</f>
        <v/>
      </c>
      <c r="P440" s="461">
        <f>IF(A440="","",IF(O440="",0,IF(ISNUMBER(O440),O440,0)))</f>
        <v/>
      </c>
      <c r="Q440" s="48">
        <f>IF(A440="","",IF(Exogena_RAW!$C$4="","BLOQUEADO: FALTA AÑO",IF(Exogena_RAW!$K$10&lt;&gt;Reglas!$B$5,"BLOQUEADO: AÑO",IF(IF(K440&lt;&gt;"",K440,J440)="",IF(S440&gt;1,"REQUIERE ASIGNACIÓN MANUAL (VARIAS CASILLAS)","INFORMATIVO (sin casilla — no se declara)"),IF(COUNTIFS(Reglas!$I$5:$I$118,IF(K440&lt;&gt;"",K440,J440),Reglas!$J$5:$J$118,"Sí")=0,"BLOQUEADO: CASILLA NO DIRECTA",IF(O440="","EXCLUIDO (valor borrado por el usuario)",IF(_xlfn.ISFORMULA(O440),IF(W440&lt;&gt;"","BORRADOR — VALOR SUGERIDO DIAN ⚠ VER ALERTA","BORRADOR — VALOR SUGERIDO DIAN"),IF(W440&lt;&gt;"","ACEPTADO ⚠ VER ALERTA","ACEPTADO"))))))))</f>
        <v/>
      </c>
      <c r="R440" s="218" t="n"/>
      <c r="S440" s="58">
        <f>IF(A440="","",IFERROR(--ISNUMBER(SEARCH("R28",G440)),0)+IFERROR(--ISNUMBER(SEARCH("R29",G440)),0)+IFERROR(--ISNUMBER(SEARCH("R30",G440)),0)+IFERROR(--ISNUMBER(SEARCH("R31",G440)),0)+IFERROR(--ISNUMBER(SEARCH("R32",G440)),0)+IFERROR(--ISNUMBER(SEARCH("R33",G440)),0)+IFERROR(--ISNUMBER(SEARCH("R34",G440)),0)+IFERROR(--ISNUMBER(SEARCH("R35",G440)),0)+IFERROR(--ISNUMBER(SEARCH("R36",G440)),0)+IFERROR(--ISNUMBER(SEARCH("R37",G440)),0)+IFERROR(--ISNUMBER(SEARCH("R38",G440)),0)+IFERROR(--ISNUMBER(SEARCH("R39",G440)),0)+IFERROR(--ISNUMBER(SEARCH("R40",G440)),0)+IFERROR(--ISNUMBER(SEARCH("R41",G440)),0)+IFERROR(--ISNUMBER(SEARCH("R42",G440)),0)+IFERROR(--ISNUMBER(SEARCH("R43",G440)),0)+IFERROR(--ISNUMBER(SEARCH("R44",G440)),0)+IFERROR(--ISNUMBER(SEARCH("R45",G440)),0)+IFERROR(--ISNUMBER(SEARCH("R46",G440)),0)+IFERROR(--ISNUMBER(SEARCH("R47",G440)),0)+IFERROR(--ISNUMBER(SEARCH("R48",G440)),0)+IFERROR(--ISNUMBER(SEARCH("R49",G440)),0)+IFERROR(--ISNUMBER(SEARCH("R50",G440)),0)+IFERROR(--ISNUMBER(SEARCH("R51",G440)),0)+IFERROR(--ISNUMBER(SEARCH("R52",G440)),0)+IFERROR(--ISNUMBER(SEARCH("R53",G440)),0)+IFERROR(--ISNUMBER(SEARCH("R54",G440)),0)+IFERROR(--ISNUMBER(SEARCH("R55",G440)),0)+IFERROR(--ISNUMBER(SEARCH("R56",G440)),0)+IFERROR(--ISNUMBER(SEARCH("R57",G440)),0)+IFERROR(--ISNUMBER(SEARCH("R58",G440)),0)+IFERROR(--ISNUMBER(SEARCH("R59",G440)),0)+IFERROR(--ISNUMBER(SEARCH("R60",G440)),0)+IFERROR(--ISNUMBER(SEARCH("R61",G440)),0)+IFERROR(--ISNUMBER(SEARCH("R62",G440)),0)+IFERROR(--ISNUMBER(SEARCH("R63",G440)),0)+IFERROR(--ISNUMBER(SEARCH("R64",G440)),0)+IFERROR(--ISNUMBER(SEARCH("R65",G440)),0)+IFERROR(--ISNUMBER(SEARCH("R66",G440)),0)+IFERROR(--ISNUMBER(SEARCH("R67",G440)),0)+IFERROR(--ISNUMBER(SEARCH("R68",G440)),0)+IFERROR(--ISNUMBER(SEARCH("R69",G440)),0)+IFERROR(--ISNUMBER(SEARCH("R70",G440)),0)+IFERROR(--ISNUMBER(SEARCH("R71",G440)),0)+IFERROR(--ISNUMBER(SEARCH("R72",G440)),0)+IFERROR(--ISNUMBER(SEARCH("R73",G440)),0)+IFERROR(--ISNUMBER(SEARCH("R74",G440)),0)+IFERROR(--ISNUMBER(SEARCH("R75",G440)),0)+IFERROR(--ISNUMBER(SEARCH("R76",G440)),0)+IFERROR(--ISNUMBER(SEARCH("R77",G440)),0)+IFERROR(--ISNUMBER(SEARCH("R78",G440)),0)+IFERROR(--ISNUMBER(SEARCH("R79",G440)),0)+IFERROR(--ISNUMBER(SEARCH("R80",G440)),0)+IFERROR(--ISNUMBER(SEARCH("R81",G440)),0)+IFERROR(--ISNUMBER(SEARCH("R82",G440)),0)+IFERROR(--ISNUMBER(SEARCH("R83",G440)),0)+IFERROR(--ISNUMBER(SEARCH("R84",G440)),0)+IFERROR(--ISNUMBER(SEARCH("R85",G440)),0)+IFERROR(--ISNUMBER(SEARCH("R86",G440)),0)+IFERROR(--ISNUMBER(SEARCH("R87",G440)),0)+IFERROR(--ISNUMBER(SEARCH("R88",G440)),0)+IFERROR(--ISNUMBER(SEARCH("R89",G440)),0)+IFERROR(--ISNUMBER(SEARCH("R90",G440)),0)+IFERROR(--ISNUMBER(SEARCH("R91",G440)),0)+IFERROR(--ISNUMBER(SEARCH("R92",G440)),0)+IFERROR(--ISNUMBER(SEARCH("R93",G440)),0)+IFERROR(--ISNUMBER(SEARCH("R94",G440)),0)+IFERROR(--ISNUMBER(SEARCH("R95",G440)),0)+IFERROR(--ISNUMBER(SEARCH("R96",G440)),0)+IFERROR(--ISNUMBER(SEARCH("R97",G440)),0)+IFERROR(--ISNUMBER(SEARCH("R98",G440)),0)+IFERROR(--ISNUMBER(SEARCH("R99",G440)),0)+IFERROR(--ISNUMBER(SEARCH("R100",G440)),0)+IFERROR(--ISNUMBER(SEARCH("R101",G440)),0)+IFERROR(--ISNUMBER(SEARCH("R102",G440)),0)+IFERROR(--ISNUMBER(SEARCH("R103",G440)),0)+IFERROR(--ISNUMBER(SEARCH("R104",G440)),0)+IFERROR(--ISNUMBER(SEARCH("R105",G440)),0)+IFERROR(--ISNUMBER(SEARCH("R106",G440)),0)+IFERROR(--ISNUMBER(SEARCH("R107",G440)),0)+IFERROR(--ISNUMBER(SEARCH("R108",G440)),0)+IFERROR(--ISNUMBER(SEARCH("R109",G440)),0)+IFERROR(--ISNUMBER(SEARCH("R110",G440)),0)+IFERROR(--ISNUMBER(SEARCH("R111",G440)),0)+IFERROR(--ISNUMBER(SEARCH("R112",G440)),0)+IFERROR(--ISNUMBER(SEARCH("R113",G440)),0)+IFERROR(--ISNUMBER(SEARCH("R114",G440)),0)+IFERROR(--ISNUMBER(SEARCH("R115",G440)),0)+IFERROR(--ISNUMBER(SEARCH("R116",G440)),0)+IFERROR(--ISNUMBER(SEARCH("R117",G440)),0)+IFERROR(--ISNUMBER(SEARCH("R118",G440)),0)+IFERROR(--ISNUMBER(SEARCH("R119",G440)),0)+IFERROR(--ISNUMBER(SEARCH("R120",G440)),0)+IFERROR(--ISNUMBER(SEARCH("R121",G440)),0)+IFERROR(--ISNUMBER(SEARCH("R122",G440)),0)+IFERROR(--ISNUMBER(SEARCH("R123",G440)),0)+IFERROR(--ISNUMBER(SEARCH("R124",G440)),0)+IFERROR(--ISNUMBER(SEARCH("R125",G440)),0)+IFERROR(--ISNUMBER(SEARCH("R126",G440)),0)+IFERROR(--ISNUMBER(SEARCH("R127",G440)),0)+IFERROR(--ISNUMBER(SEARCH("R128",G440)),0)+IFERROR(--ISNUMBER(SEARCH("R129",G440)),0)+IFERROR(--ISNUMBER(SEARCH("R130",G440)),0)+IFERROR(--ISNUMBER(SEARCH("R131",G440)),0)+IFERROR(--ISNUMBER(SEARCH("R132",G440)),0)+IFERROR(--ISNUMBER(SEARCH("R133",G440)),0)+IFERROR(--ISNUMBER(SEARCH("R134",G440)),0)+IFERROR(--ISNUMBER(SEARCH("R135",G440)),0)+IFERROR(--ISNUMBER(SEARCH("R136",G440)),0)+IFERROR(--ISNUMBER(SEARCH("R137",G440)),0)+IFERROR(--ISNUMBER(SEARCH("R138",G440)),0)+IFERROR(--ISNUMBER(SEARCH("R139",G440)),0)+IFERROR(--ISNUMBER(SEARCH("R140",G440)),0)+IFERROR(--ISNUMBER(SEARCH("R141",G440)),0))</f>
        <v/>
      </c>
      <c r="T440" s="58">
        <f>IF(A440="","",IFERROR(--ISNUMBER(SEARCH("R28",G440)),0)+IFERROR(--ISNUMBER(SEARCH("R29",G440)),0)+IFERROR(--ISNUMBER(SEARCH("R30",G440)),0)+IFERROR(--ISNUMBER(SEARCH("R32",G440)),0)+IFERROR(--ISNUMBER(SEARCH("R33",G440)),0)+IFERROR(--ISNUMBER(SEARCH("R35",G440)),0)+IFERROR(--ISNUMBER(SEARCH("R36",G440)),0)+IFERROR(--ISNUMBER(SEARCH("R38",G440)),0)+IFERROR(--ISNUMBER(SEARCH("R39",G440)),0)+IFERROR(--ISNUMBER(SEARCH("R43",G440)),0)+IFERROR(--ISNUMBER(SEARCH("R44",G440)),0)+IFERROR(--ISNUMBER(SEARCH("R45",G440)),0)+IFERROR(--ISNUMBER(SEARCH("R47",G440)),0)+IFERROR(--ISNUMBER(SEARCH("R48",G440)),0)+IFERROR(--ISNUMBER(SEARCH("R50",G440)),0)+IFERROR(--ISNUMBER(SEARCH("R51",G440)),0)+IFERROR(--ISNUMBER(SEARCH("R56",G440)),0)+IFERROR(--ISNUMBER(SEARCH("R58",G440)),0)+IFERROR(--ISNUMBER(SEARCH("R59",G440)),0)+IFERROR(--ISNUMBER(SEARCH("R60",G440)),0)+IFERROR(--ISNUMBER(SEARCH("R62",G440)),0)+IFERROR(--ISNUMBER(SEARCH("R63",G440)),0)+IFERROR(--ISNUMBER(SEARCH("R64",G440)),0)+IFERROR(--ISNUMBER(SEARCH("R66",G440)),0)+IFERROR(--ISNUMBER(SEARCH("R67",G440)),0)+IFERROR(--ISNUMBER(SEARCH("R72",G440)),0)+IFERROR(--ISNUMBER(SEARCH("R74",G440)),0)+IFERROR(--ISNUMBER(SEARCH("R75",G440)),0)+IFERROR(--ISNUMBER(SEARCH("R76",G440)),0)+IFERROR(--ISNUMBER(SEARCH("R77",G440)),0)+IFERROR(--ISNUMBER(SEARCH("R79",G440)),0)+IFERROR(--ISNUMBER(SEARCH("R80",G440)),0)+IFERROR(--ISNUMBER(SEARCH("R81",G440)),0)+IFERROR(--ISNUMBER(SEARCH("R83",G440)),0)+IFERROR(--ISNUMBER(SEARCH("R84",G440)),0)+IFERROR(--ISNUMBER(SEARCH("R89",G440)),0)+IFERROR(--ISNUMBER(SEARCH("R94",G440)),0)+IFERROR(--ISNUMBER(SEARCH("R95",G440)),0)+IFERROR(--ISNUMBER(SEARCH("R96",G440)),0)+IFERROR(--ISNUMBER(SEARCH("R98",G440)),0)+IFERROR(--ISNUMBER(SEARCH("R99",G440)),0)+IFERROR(--ISNUMBER(SEARCH("R100",G440)),0)+IFERROR(--ISNUMBER(SEARCH("R104",G440)),0)+IFERROR(--ISNUMBER(SEARCH("R105",G440)),0)+IFERROR(--ISNUMBER(SEARCH("R107",G440)),0)+IFERROR(--ISNUMBER(SEARCH("R108",G440)),0)+IFERROR(--ISNUMBER(SEARCH("R109",G440)),0)+IFERROR(--ISNUMBER(SEARCH("R110",G440)),0)+IFERROR(--ISNUMBER(SEARCH("R112",G440)),0)+IFERROR(--ISNUMBER(SEARCH("R113",G440)),0)+IFERROR(--ISNUMBER(SEARCH("R114",G440)),0)+IFERROR(--ISNUMBER(SEARCH("R118",G440)),0)+IFERROR(--ISNUMBER(SEARCH("R119",G440)),0)+IFERROR(--ISNUMBER(SEARCH("R120",G440)),0)+IFERROR(--ISNUMBER(SEARCH("R122",G440)),0)+IFERROR(--ISNUMBER(SEARCH("R123",G440)),0)+IFERROR(--ISNUMBER(SEARCH("R124",G440)),0)+IFERROR(--ISNUMBER(SEARCH("R128",G440)),0)+IFERROR(--ISNUMBER(SEARCH("R130",G440)),0)+IFERROR(--ISNUMBER(SEARCH("R131",G440)),0)+IFERROR(--ISNUMBER(SEARCH("R132",G440)),0)+IFERROR(--ISNUMBER(SEARCH("R135",G440)),0)+IFERROR(--ISNUMBER(SEARCH("R138",G440)),0)+IFERROR(--ISNUMBER(SEARCH("R141",G440)),0))</f>
        <v/>
      </c>
      <c r="U440" s="58">
        <f>IF(A440="","",IFERROR(--ISNUMBER(SEARCH("R28",G440))*28,0)+IFERROR(--ISNUMBER(SEARCH("R29",G440))*29,0)+IFERROR(--ISNUMBER(SEARCH("R30",G440))*30,0)+IFERROR(--ISNUMBER(SEARCH("R31",G440))*31,0)+IFERROR(--ISNUMBER(SEARCH("R32",G440))*32,0)+IFERROR(--ISNUMBER(SEARCH("R33",G440))*33,0)+IFERROR(--ISNUMBER(SEARCH("R34",G440))*34,0)+IFERROR(--ISNUMBER(SEARCH("R35",G440))*35,0)+IFERROR(--ISNUMBER(SEARCH("R36",G440))*36,0)+IFERROR(--ISNUMBER(SEARCH("R37",G440))*37,0)+IFERROR(--ISNUMBER(SEARCH("R38",G440))*38,0)+IFERROR(--ISNUMBER(SEARCH("R39",G440))*39,0)+IFERROR(--ISNUMBER(SEARCH("R40",G440))*40,0)+IFERROR(--ISNUMBER(SEARCH("R41",G440))*41,0)+IFERROR(--ISNUMBER(SEARCH("R42",G440))*42,0)+IFERROR(--ISNUMBER(SEARCH("R43",G440))*43,0)+IFERROR(--ISNUMBER(SEARCH("R44",G440))*44,0)+IFERROR(--ISNUMBER(SEARCH("R45",G440))*45,0)+IFERROR(--ISNUMBER(SEARCH("R46",G440))*46,0)+IFERROR(--ISNUMBER(SEARCH("R47",G440))*47,0)+IFERROR(--ISNUMBER(SEARCH("R48",G440))*48,0)+IFERROR(--ISNUMBER(SEARCH("R49",G440))*49,0)+IFERROR(--ISNUMBER(SEARCH("R50",G440))*50,0)+IFERROR(--ISNUMBER(SEARCH("R51",G440))*51,0)+IFERROR(--ISNUMBER(SEARCH("R52",G440))*52,0)+IFERROR(--ISNUMBER(SEARCH("R53",G440))*53,0)+IFERROR(--ISNUMBER(SEARCH("R54",G440))*54,0)+IFERROR(--ISNUMBER(SEARCH("R55",G440))*55,0)+IFERROR(--ISNUMBER(SEARCH("R56",G440))*56,0)+IFERROR(--ISNUMBER(SEARCH("R57",G440))*57,0)+IFERROR(--ISNUMBER(SEARCH("R58",G440))*58,0)+IFERROR(--ISNUMBER(SEARCH("R59",G440))*59,0)+IFERROR(--ISNUMBER(SEARCH("R60",G440))*60,0)+IFERROR(--ISNUMBER(SEARCH("R61",G440))*61,0)+IFERROR(--ISNUMBER(SEARCH("R62",G440))*62,0)+IFERROR(--ISNUMBER(SEARCH("R63",G440))*63,0)+IFERROR(--ISNUMBER(SEARCH("R64",G440))*64,0)+IFERROR(--ISNUMBER(SEARCH("R65",G440))*65,0)+IFERROR(--ISNUMBER(SEARCH("R66",G440))*66,0)+IFERROR(--ISNUMBER(SEARCH("R67",G440))*67,0)+IFERROR(--ISNUMBER(SEARCH("R68",G440))*68,0)+IFERROR(--ISNUMBER(SEARCH("R69",G440))*69,0)+IFERROR(--ISNUMBER(SEARCH("R70",G440))*70,0)+IFERROR(--ISNUMBER(SEARCH("R71",G440))*71,0)+IFERROR(--ISNUMBER(SEARCH("R72",G440))*72,0)+IFERROR(--ISNUMBER(SEARCH("R73",G440))*73,0)+IFERROR(--ISNUMBER(SEARCH("R74",G440))*74,0)+IFERROR(--ISNUMBER(SEARCH("R75",G440))*75,0)+IFERROR(--ISNUMBER(SEARCH("R76",G440))*76,0)+IFERROR(--ISNUMBER(SEARCH("R77",G440))*77,0)+IFERROR(--ISNUMBER(SEARCH("R78",G440))*78,0)+IFERROR(--ISNUMBER(SEARCH("R79",G440))*79,0)+IFERROR(--ISNUMBER(SEARCH("R80",G440))*80,0)+IFERROR(--ISNUMBER(SEARCH("R81",G440))*81,0)+IFERROR(--ISNUMBER(SEARCH("R82",G440))*82,0)+IFERROR(--ISNUMBER(SEARCH("R83",G440))*83,0)+IFERROR(--ISNUMBER(SEARCH("R84",G440))*84,0)+IFERROR(--ISNUMBER(SEARCH("R85",G440))*85,0)+IFERROR(--ISNUMBER(SEARCH("R86",G440))*86,0)+IFERROR(--ISNUMBER(SEARCH("R87",G440))*87,0)+IFERROR(--ISNUMBER(SEARCH("R88",G440))*88,0)+IFERROR(--ISNUMBER(SEARCH("R89",G440))*89,0)+IFERROR(--ISNUMBER(SEARCH("R90",G440))*90,0)+IFERROR(--ISNUMBER(SEARCH("R91",G440))*91,0)+IFERROR(--ISNUMBER(SEARCH("R92",G440))*92,0)+IFERROR(--ISNUMBER(SEARCH("R93",G440))*93,0)+IFERROR(--ISNUMBER(SEARCH("R94",G440))*94,0)+IFERROR(--ISNUMBER(SEARCH("R95",G440))*95,0)+IFERROR(--ISNUMBER(SEARCH("R96",G440))*96,0)+IFERROR(--ISNUMBER(SEARCH("R97",G440))*97,0)+IFERROR(--ISNUMBER(SEARCH("R98",G440))*98,0)+IFERROR(--ISNUMBER(SEARCH("R99",G440))*99,0)+IFERROR(--ISNUMBER(SEARCH("R100",G440))*100,0)+IFERROR(--ISNUMBER(SEARCH("R101",G440))*101,0)+IFERROR(--ISNUMBER(SEARCH("R102",G440))*102,0)+IFERROR(--ISNUMBER(SEARCH("R103",G440))*103,0)+IFERROR(--ISNUMBER(SEARCH("R104",G440))*104,0)+IFERROR(--ISNUMBER(SEARCH("R105",G440))*105,0)+IFERROR(--ISNUMBER(SEARCH("R106",G440))*106,0)+IFERROR(--ISNUMBER(SEARCH("R107",G440))*107,0)+IFERROR(--ISNUMBER(SEARCH("R108",G440))*108,0)+IFERROR(--ISNUMBER(SEARCH("R109",G440))*109,0)+IFERROR(--ISNUMBER(SEARCH("R110",G440))*110,0)+IFERROR(--ISNUMBER(SEARCH("R111",G440))*111,0)+IFERROR(--ISNUMBER(SEARCH("R112",G440))*112,0)+IFERROR(--ISNUMBER(SEARCH("R113",G440))*113,0)+IFERROR(--ISNUMBER(SEARCH("R114",G440))*114,0)+IFERROR(--ISNUMBER(SEARCH("R115",G440))*115,0)+IFERROR(--ISNUMBER(SEARCH("R116",G440))*116,0)+IFERROR(--ISNUMBER(SEARCH("R117",G440))*117,0)+IFERROR(--ISNUMBER(SEARCH("R118",G440))*118,0)+IFERROR(--ISNUMBER(SEARCH("R119",G440))*119,0)+IFERROR(--ISNUMBER(SEARCH("R120",G440))*120,0)+IFERROR(--ISNUMBER(SEARCH("R121",G440))*121,0)+IFERROR(--ISNUMBER(SEARCH("R122",G440))*122,0)+IFERROR(--ISNUMBER(SEARCH("R123",G440))*123,0)+IFERROR(--ISNUMBER(SEARCH("R124",G440))*124,0)+IFERROR(--ISNUMBER(SEARCH("R125",G440))*125,0)+IFERROR(--ISNUMBER(SEARCH("R126",G440))*126,0)+IFERROR(--ISNUMBER(SEARCH("R127",G440))*127,0)+IFERROR(--ISNUMBER(SEARCH("R128",G440))*128,0)+IFERROR(--ISNUMBER(SEARCH("R129",G440))*129,0)+IFERROR(--ISNUMBER(SEARCH("R130",G440))*130,0)+IFERROR(--ISNUMBER(SEARCH("R131",G440))*131,0)+IFERROR(--ISNUMBER(SEARCH("R132",G440))*132,0)+IFERROR(--ISNUMBER(SEARCH("R133",G440))*133,0)+IFERROR(--ISNUMBER(SEARCH("R134",G440))*134,0)+IFERROR(--ISNUMBER(SEARCH("R135",G440))*135,0)+IFERROR(--ISNUMBER(SEARCH("R136",G440))*136,0)+IFERROR(--ISNUMBER(SEARCH("R137",G440))*137,0)+IFERROR(--ISNUMBER(SEARCH("R138",G440))*138,0)+IFERROR(--ISNUMBER(SEARCH("R139",G440))*139,0)+IFERROR(--ISNUMBER(SEARCH("R140",G440))*140,0)+IFERROR(--ISNUMBER(SEARCH("R141",G440))*141,0))</f>
        <v/>
      </c>
      <c r="V440" s="59">
        <f>IF(A440="","",IF(K440&lt;&gt;"",K440,J440))</f>
        <v/>
      </c>
      <c r="W440" s="59">
        <f>IF(A440="","",IF(AND(V440=29,O440&lt;&gt;"",COUNTIFS($V$6:$V$505,29,$F$6:$F$505,F440,$C$6:$C$505,C440,$O$6:$O$505,"&lt;&gt;")&gt;1),IF(COUNTIFS($V$6:V440,29,$F$6:F440,F440,$C$6:C440,C440,$O$6:O440,"&lt;&gt;")=1,"Esta es la fila que se debe CONSERVAR (aparición 1 de "&amp;COUNTIFS($V$6:$V$505,29,$F$6:$F$505,F440,$C$6:$C$505,C440,$O$6:$O$505,"&lt;&gt;")&amp;" con el mismo tercero y valor, casilla 29). Si hay más filas iguales, bórreles el valor a ELLAS, no a esta.","DUPLICADO — ya existe otra fila con el mismo tercero y valor para casilla 29 (aparición "&amp;COUNTIFS($V$6:V440,29,$F$6:F440,F440,$C$6:C440,C440,$O$6:O440,"&lt;&gt;")&amp;" de "&amp;COUNTIFS($V$6:$V$505,29,$F$6:$F$505,F440,$C$6:$C$505,C440,$O$6:$O$505,"&lt;&gt;")&amp;"). Para resolverlo: seleccione la celda O"&amp;ROW()&amp;" (columna Valor a declarar de ESTA fila) y presione Supr."),""))</f>
        <v/>
      </c>
      <c r="X440" s="463">
        <f>IF(A440="","",F440)</f>
        <v/>
      </c>
      <c r="Y440" s="463">
        <f>IF(A440="","",SUMIF(Entrada_Manual!$I$88:$I$187,A440,Entrada_Manual!$F$88:$F$187))</f>
        <v/>
      </c>
      <c r="Z440" s="463">
        <f>IF(A440="","",X440-Y440)</f>
        <v/>
      </c>
      <c r="AA440">
        <f>IF(A440="","",SUMPRODUCT((Entrada_Manual!$I$88:$I$187=A440)*1))</f>
        <v/>
      </c>
      <c r="AB440">
        <f>IF(A440="","",IF(S440&lt;=1,"",IF(AA440=0,"PENDIENTE — SIN ASIGNAR",IF(Z440=0,"RESUELTO","PARCIAL — DIFERENCIA "&amp;TEXT(Z440,"#,##0")))))</f>
        <v/>
      </c>
    </row>
    <row r="441" ht="14.25" customHeight="1" s="235">
      <c r="A441" s="47">
        <f>IF(Exogena_RAW!E450&lt;&gt;"",ROW()-5,"")</f>
        <v/>
      </c>
      <c r="B441" s="48">
        <f>IF(A441="","",450)</f>
        <v/>
      </c>
      <c r="C441" s="48">
        <f>IF(A441="","",IFERROR(Exogena_RAW!A450,""))</f>
        <v/>
      </c>
      <c r="D441" s="48">
        <f>IF(A441="","",IFERROR(Exogena_RAW!B450,""))</f>
        <v/>
      </c>
      <c r="E441" s="48">
        <f>IF(A441="","",Exogena_RAW!E450)</f>
        <v/>
      </c>
      <c r="F441" s="461">
        <f>IF(A441="","",Exogena_RAW!F450)</f>
        <v/>
      </c>
      <c r="G441" s="48">
        <f>IF(A441="","",IFERROR(Exogena_RAW!G450,""))</f>
        <v/>
      </c>
      <c r="H441" s="48">
        <f>IF(A441="","",IFERROR(Exogena_RAW!H450,""))</f>
        <v/>
      </c>
      <c r="I441" s="48">
        <f>IF(A441="","",IFERROR(IF(S441&gt;1,"VARIAS CASILLAS",IF(S441=1,IF(T441=1,"PROPUESTA DE CASILLA","REVISIÓN: CASILLA NO DIRECTA"),IF(OR(ISNUMBER(SEARCH("TOPE",UPPER(E441))),ISNUMBER(SEARCH("TOPE",UPPER(G441)))),"SOLO CONTROL",IF(ISNUMBER(SEARCH("RETEN",UPPER(E441))),"RETENCIÓN","REVISAR")))),"REVISAR"))</f>
        <v/>
      </c>
      <c r="J441" s="48">
        <f>IF(A441="","",IF(ISNUMBER(SEARCH("ingreso laboral promedio de los últimos seis meses",E441)),"",IFERROR(IF(AND(S441=1,T441=1),U441,""),"")))</f>
        <v/>
      </c>
      <c r="K441" s="216" t="n"/>
      <c r="L441" s="48">
        <f>IF(A441="","",IFERROR(IF(K441&lt;&gt;"","Casilla elegida por usuario",IF(S441&gt;1,"Varias casillas — elegir en K",IF(J441&lt;&gt;"","Sugerencia directa",IF(S441=1,"No trasladar directo — revisar",IF(OR(ISNUMBER(SEARCH("TOPE",UPPER(E441))),ISNUMBER(SEARCH("TOPE",UPPER(G441)))),"Solo control","Revisar manualmente"))))),"Revisar manualmente"))</f>
        <v/>
      </c>
      <c r="M441" s="461">
        <f>IF(A441="","",IF(IF(K441&lt;&gt;"",K441,J441)="",0,IF(COUNTIFS(Reglas!$I$5:$I$118,IF(K441&lt;&gt;"",K441,J441),Reglas!$J$5:$J$118,"Sí")=1,F441,0)))</f>
        <v/>
      </c>
      <c r="N441" s="56" t="n"/>
      <c r="O441" s="462">
        <f>IF(A441="","",IF(M441=0,"",M441))</f>
        <v/>
      </c>
      <c r="P441" s="461">
        <f>IF(A441="","",IF(O441="",0,IF(ISNUMBER(O441),O441,0)))</f>
        <v/>
      </c>
      <c r="Q441" s="48">
        <f>IF(A441="","",IF(Exogena_RAW!$C$4="","BLOQUEADO: FALTA AÑO",IF(Exogena_RAW!$K$10&lt;&gt;Reglas!$B$5,"BLOQUEADO: AÑO",IF(IF(K441&lt;&gt;"",K441,J441)="",IF(S441&gt;1,"REQUIERE ASIGNACIÓN MANUAL (VARIAS CASILLAS)","INFORMATIVO (sin casilla — no se declara)"),IF(COUNTIFS(Reglas!$I$5:$I$118,IF(K441&lt;&gt;"",K441,J441),Reglas!$J$5:$J$118,"Sí")=0,"BLOQUEADO: CASILLA NO DIRECTA",IF(O441="","EXCLUIDO (valor borrado por el usuario)",IF(_xlfn.ISFORMULA(O441),IF(W441&lt;&gt;"","BORRADOR — VALOR SUGERIDO DIAN ⚠ VER ALERTA","BORRADOR — VALOR SUGERIDO DIAN"),IF(W441&lt;&gt;"","ACEPTADO ⚠ VER ALERTA","ACEPTADO"))))))))</f>
        <v/>
      </c>
      <c r="R441" s="218" t="n"/>
      <c r="S441" s="58">
        <f>IF(A441="","",IFERROR(--ISNUMBER(SEARCH("R28",G441)),0)+IFERROR(--ISNUMBER(SEARCH("R29",G441)),0)+IFERROR(--ISNUMBER(SEARCH("R30",G441)),0)+IFERROR(--ISNUMBER(SEARCH("R31",G441)),0)+IFERROR(--ISNUMBER(SEARCH("R32",G441)),0)+IFERROR(--ISNUMBER(SEARCH("R33",G441)),0)+IFERROR(--ISNUMBER(SEARCH("R34",G441)),0)+IFERROR(--ISNUMBER(SEARCH("R35",G441)),0)+IFERROR(--ISNUMBER(SEARCH("R36",G441)),0)+IFERROR(--ISNUMBER(SEARCH("R37",G441)),0)+IFERROR(--ISNUMBER(SEARCH("R38",G441)),0)+IFERROR(--ISNUMBER(SEARCH("R39",G441)),0)+IFERROR(--ISNUMBER(SEARCH("R40",G441)),0)+IFERROR(--ISNUMBER(SEARCH("R41",G441)),0)+IFERROR(--ISNUMBER(SEARCH("R42",G441)),0)+IFERROR(--ISNUMBER(SEARCH("R43",G441)),0)+IFERROR(--ISNUMBER(SEARCH("R44",G441)),0)+IFERROR(--ISNUMBER(SEARCH("R45",G441)),0)+IFERROR(--ISNUMBER(SEARCH("R46",G441)),0)+IFERROR(--ISNUMBER(SEARCH("R47",G441)),0)+IFERROR(--ISNUMBER(SEARCH("R48",G441)),0)+IFERROR(--ISNUMBER(SEARCH("R49",G441)),0)+IFERROR(--ISNUMBER(SEARCH("R50",G441)),0)+IFERROR(--ISNUMBER(SEARCH("R51",G441)),0)+IFERROR(--ISNUMBER(SEARCH("R52",G441)),0)+IFERROR(--ISNUMBER(SEARCH("R53",G441)),0)+IFERROR(--ISNUMBER(SEARCH("R54",G441)),0)+IFERROR(--ISNUMBER(SEARCH("R55",G441)),0)+IFERROR(--ISNUMBER(SEARCH("R56",G441)),0)+IFERROR(--ISNUMBER(SEARCH("R57",G441)),0)+IFERROR(--ISNUMBER(SEARCH("R58",G441)),0)+IFERROR(--ISNUMBER(SEARCH("R59",G441)),0)+IFERROR(--ISNUMBER(SEARCH("R60",G441)),0)+IFERROR(--ISNUMBER(SEARCH("R61",G441)),0)+IFERROR(--ISNUMBER(SEARCH("R62",G441)),0)+IFERROR(--ISNUMBER(SEARCH("R63",G441)),0)+IFERROR(--ISNUMBER(SEARCH("R64",G441)),0)+IFERROR(--ISNUMBER(SEARCH("R65",G441)),0)+IFERROR(--ISNUMBER(SEARCH("R66",G441)),0)+IFERROR(--ISNUMBER(SEARCH("R67",G441)),0)+IFERROR(--ISNUMBER(SEARCH("R68",G441)),0)+IFERROR(--ISNUMBER(SEARCH("R69",G441)),0)+IFERROR(--ISNUMBER(SEARCH("R70",G441)),0)+IFERROR(--ISNUMBER(SEARCH("R71",G441)),0)+IFERROR(--ISNUMBER(SEARCH("R72",G441)),0)+IFERROR(--ISNUMBER(SEARCH("R73",G441)),0)+IFERROR(--ISNUMBER(SEARCH("R74",G441)),0)+IFERROR(--ISNUMBER(SEARCH("R75",G441)),0)+IFERROR(--ISNUMBER(SEARCH("R76",G441)),0)+IFERROR(--ISNUMBER(SEARCH("R77",G441)),0)+IFERROR(--ISNUMBER(SEARCH("R78",G441)),0)+IFERROR(--ISNUMBER(SEARCH("R79",G441)),0)+IFERROR(--ISNUMBER(SEARCH("R80",G441)),0)+IFERROR(--ISNUMBER(SEARCH("R81",G441)),0)+IFERROR(--ISNUMBER(SEARCH("R82",G441)),0)+IFERROR(--ISNUMBER(SEARCH("R83",G441)),0)+IFERROR(--ISNUMBER(SEARCH("R84",G441)),0)+IFERROR(--ISNUMBER(SEARCH("R85",G441)),0)+IFERROR(--ISNUMBER(SEARCH("R86",G441)),0)+IFERROR(--ISNUMBER(SEARCH("R87",G441)),0)+IFERROR(--ISNUMBER(SEARCH("R88",G441)),0)+IFERROR(--ISNUMBER(SEARCH("R89",G441)),0)+IFERROR(--ISNUMBER(SEARCH("R90",G441)),0)+IFERROR(--ISNUMBER(SEARCH("R91",G441)),0)+IFERROR(--ISNUMBER(SEARCH("R92",G441)),0)+IFERROR(--ISNUMBER(SEARCH("R93",G441)),0)+IFERROR(--ISNUMBER(SEARCH("R94",G441)),0)+IFERROR(--ISNUMBER(SEARCH("R95",G441)),0)+IFERROR(--ISNUMBER(SEARCH("R96",G441)),0)+IFERROR(--ISNUMBER(SEARCH("R97",G441)),0)+IFERROR(--ISNUMBER(SEARCH("R98",G441)),0)+IFERROR(--ISNUMBER(SEARCH("R99",G441)),0)+IFERROR(--ISNUMBER(SEARCH("R100",G441)),0)+IFERROR(--ISNUMBER(SEARCH("R101",G441)),0)+IFERROR(--ISNUMBER(SEARCH("R102",G441)),0)+IFERROR(--ISNUMBER(SEARCH("R103",G441)),0)+IFERROR(--ISNUMBER(SEARCH("R104",G441)),0)+IFERROR(--ISNUMBER(SEARCH("R105",G441)),0)+IFERROR(--ISNUMBER(SEARCH("R106",G441)),0)+IFERROR(--ISNUMBER(SEARCH("R107",G441)),0)+IFERROR(--ISNUMBER(SEARCH("R108",G441)),0)+IFERROR(--ISNUMBER(SEARCH("R109",G441)),0)+IFERROR(--ISNUMBER(SEARCH("R110",G441)),0)+IFERROR(--ISNUMBER(SEARCH("R111",G441)),0)+IFERROR(--ISNUMBER(SEARCH("R112",G441)),0)+IFERROR(--ISNUMBER(SEARCH("R113",G441)),0)+IFERROR(--ISNUMBER(SEARCH("R114",G441)),0)+IFERROR(--ISNUMBER(SEARCH("R115",G441)),0)+IFERROR(--ISNUMBER(SEARCH("R116",G441)),0)+IFERROR(--ISNUMBER(SEARCH("R117",G441)),0)+IFERROR(--ISNUMBER(SEARCH("R118",G441)),0)+IFERROR(--ISNUMBER(SEARCH("R119",G441)),0)+IFERROR(--ISNUMBER(SEARCH("R120",G441)),0)+IFERROR(--ISNUMBER(SEARCH("R121",G441)),0)+IFERROR(--ISNUMBER(SEARCH("R122",G441)),0)+IFERROR(--ISNUMBER(SEARCH("R123",G441)),0)+IFERROR(--ISNUMBER(SEARCH("R124",G441)),0)+IFERROR(--ISNUMBER(SEARCH("R125",G441)),0)+IFERROR(--ISNUMBER(SEARCH("R126",G441)),0)+IFERROR(--ISNUMBER(SEARCH("R127",G441)),0)+IFERROR(--ISNUMBER(SEARCH("R128",G441)),0)+IFERROR(--ISNUMBER(SEARCH("R129",G441)),0)+IFERROR(--ISNUMBER(SEARCH("R130",G441)),0)+IFERROR(--ISNUMBER(SEARCH("R131",G441)),0)+IFERROR(--ISNUMBER(SEARCH("R132",G441)),0)+IFERROR(--ISNUMBER(SEARCH("R133",G441)),0)+IFERROR(--ISNUMBER(SEARCH("R134",G441)),0)+IFERROR(--ISNUMBER(SEARCH("R135",G441)),0)+IFERROR(--ISNUMBER(SEARCH("R136",G441)),0)+IFERROR(--ISNUMBER(SEARCH("R137",G441)),0)+IFERROR(--ISNUMBER(SEARCH("R138",G441)),0)+IFERROR(--ISNUMBER(SEARCH("R139",G441)),0)+IFERROR(--ISNUMBER(SEARCH("R140",G441)),0)+IFERROR(--ISNUMBER(SEARCH("R141",G441)),0))</f>
        <v/>
      </c>
      <c r="T441" s="58">
        <f>IF(A441="","",IFERROR(--ISNUMBER(SEARCH("R28",G441)),0)+IFERROR(--ISNUMBER(SEARCH("R29",G441)),0)+IFERROR(--ISNUMBER(SEARCH("R30",G441)),0)+IFERROR(--ISNUMBER(SEARCH("R32",G441)),0)+IFERROR(--ISNUMBER(SEARCH("R33",G441)),0)+IFERROR(--ISNUMBER(SEARCH("R35",G441)),0)+IFERROR(--ISNUMBER(SEARCH("R36",G441)),0)+IFERROR(--ISNUMBER(SEARCH("R38",G441)),0)+IFERROR(--ISNUMBER(SEARCH("R39",G441)),0)+IFERROR(--ISNUMBER(SEARCH("R43",G441)),0)+IFERROR(--ISNUMBER(SEARCH("R44",G441)),0)+IFERROR(--ISNUMBER(SEARCH("R45",G441)),0)+IFERROR(--ISNUMBER(SEARCH("R47",G441)),0)+IFERROR(--ISNUMBER(SEARCH("R48",G441)),0)+IFERROR(--ISNUMBER(SEARCH("R50",G441)),0)+IFERROR(--ISNUMBER(SEARCH("R51",G441)),0)+IFERROR(--ISNUMBER(SEARCH("R56",G441)),0)+IFERROR(--ISNUMBER(SEARCH("R58",G441)),0)+IFERROR(--ISNUMBER(SEARCH("R59",G441)),0)+IFERROR(--ISNUMBER(SEARCH("R60",G441)),0)+IFERROR(--ISNUMBER(SEARCH("R62",G441)),0)+IFERROR(--ISNUMBER(SEARCH("R63",G441)),0)+IFERROR(--ISNUMBER(SEARCH("R64",G441)),0)+IFERROR(--ISNUMBER(SEARCH("R66",G441)),0)+IFERROR(--ISNUMBER(SEARCH("R67",G441)),0)+IFERROR(--ISNUMBER(SEARCH("R72",G441)),0)+IFERROR(--ISNUMBER(SEARCH("R74",G441)),0)+IFERROR(--ISNUMBER(SEARCH("R75",G441)),0)+IFERROR(--ISNUMBER(SEARCH("R76",G441)),0)+IFERROR(--ISNUMBER(SEARCH("R77",G441)),0)+IFERROR(--ISNUMBER(SEARCH("R79",G441)),0)+IFERROR(--ISNUMBER(SEARCH("R80",G441)),0)+IFERROR(--ISNUMBER(SEARCH("R81",G441)),0)+IFERROR(--ISNUMBER(SEARCH("R83",G441)),0)+IFERROR(--ISNUMBER(SEARCH("R84",G441)),0)+IFERROR(--ISNUMBER(SEARCH("R89",G441)),0)+IFERROR(--ISNUMBER(SEARCH("R94",G441)),0)+IFERROR(--ISNUMBER(SEARCH("R95",G441)),0)+IFERROR(--ISNUMBER(SEARCH("R96",G441)),0)+IFERROR(--ISNUMBER(SEARCH("R98",G441)),0)+IFERROR(--ISNUMBER(SEARCH("R99",G441)),0)+IFERROR(--ISNUMBER(SEARCH("R100",G441)),0)+IFERROR(--ISNUMBER(SEARCH("R104",G441)),0)+IFERROR(--ISNUMBER(SEARCH("R105",G441)),0)+IFERROR(--ISNUMBER(SEARCH("R107",G441)),0)+IFERROR(--ISNUMBER(SEARCH("R108",G441)),0)+IFERROR(--ISNUMBER(SEARCH("R109",G441)),0)+IFERROR(--ISNUMBER(SEARCH("R110",G441)),0)+IFERROR(--ISNUMBER(SEARCH("R112",G441)),0)+IFERROR(--ISNUMBER(SEARCH("R113",G441)),0)+IFERROR(--ISNUMBER(SEARCH("R114",G441)),0)+IFERROR(--ISNUMBER(SEARCH("R118",G441)),0)+IFERROR(--ISNUMBER(SEARCH("R119",G441)),0)+IFERROR(--ISNUMBER(SEARCH("R120",G441)),0)+IFERROR(--ISNUMBER(SEARCH("R122",G441)),0)+IFERROR(--ISNUMBER(SEARCH("R123",G441)),0)+IFERROR(--ISNUMBER(SEARCH("R124",G441)),0)+IFERROR(--ISNUMBER(SEARCH("R128",G441)),0)+IFERROR(--ISNUMBER(SEARCH("R130",G441)),0)+IFERROR(--ISNUMBER(SEARCH("R131",G441)),0)+IFERROR(--ISNUMBER(SEARCH("R132",G441)),0)+IFERROR(--ISNUMBER(SEARCH("R135",G441)),0)+IFERROR(--ISNUMBER(SEARCH("R138",G441)),0)+IFERROR(--ISNUMBER(SEARCH("R141",G441)),0))</f>
        <v/>
      </c>
      <c r="U441" s="58">
        <f>IF(A441="","",IFERROR(--ISNUMBER(SEARCH("R28",G441))*28,0)+IFERROR(--ISNUMBER(SEARCH("R29",G441))*29,0)+IFERROR(--ISNUMBER(SEARCH("R30",G441))*30,0)+IFERROR(--ISNUMBER(SEARCH("R31",G441))*31,0)+IFERROR(--ISNUMBER(SEARCH("R32",G441))*32,0)+IFERROR(--ISNUMBER(SEARCH("R33",G441))*33,0)+IFERROR(--ISNUMBER(SEARCH("R34",G441))*34,0)+IFERROR(--ISNUMBER(SEARCH("R35",G441))*35,0)+IFERROR(--ISNUMBER(SEARCH("R36",G441))*36,0)+IFERROR(--ISNUMBER(SEARCH("R37",G441))*37,0)+IFERROR(--ISNUMBER(SEARCH("R38",G441))*38,0)+IFERROR(--ISNUMBER(SEARCH("R39",G441))*39,0)+IFERROR(--ISNUMBER(SEARCH("R40",G441))*40,0)+IFERROR(--ISNUMBER(SEARCH("R41",G441))*41,0)+IFERROR(--ISNUMBER(SEARCH("R42",G441))*42,0)+IFERROR(--ISNUMBER(SEARCH("R43",G441))*43,0)+IFERROR(--ISNUMBER(SEARCH("R44",G441))*44,0)+IFERROR(--ISNUMBER(SEARCH("R45",G441))*45,0)+IFERROR(--ISNUMBER(SEARCH("R46",G441))*46,0)+IFERROR(--ISNUMBER(SEARCH("R47",G441))*47,0)+IFERROR(--ISNUMBER(SEARCH("R48",G441))*48,0)+IFERROR(--ISNUMBER(SEARCH("R49",G441))*49,0)+IFERROR(--ISNUMBER(SEARCH("R50",G441))*50,0)+IFERROR(--ISNUMBER(SEARCH("R51",G441))*51,0)+IFERROR(--ISNUMBER(SEARCH("R52",G441))*52,0)+IFERROR(--ISNUMBER(SEARCH("R53",G441))*53,0)+IFERROR(--ISNUMBER(SEARCH("R54",G441))*54,0)+IFERROR(--ISNUMBER(SEARCH("R55",G441))*55,0)+IFERROR(--ISNUMBER(SEARCH("R56",G441))*56,0)+IFERROR(--ISNUMBER(SEARCH("R57",G441))*57,0)+IFERROR(--ISNUMBER(SEARCH("R58",G441))*58,0)+IFERROR(--ISNUMBER(SEARCH("R59",G441))*59,0)+IFERROR(--ISNUMBER(SEARCH("R60",G441))*60,0)+IFERROR(--ISNUMBER(SEARCH("R61",G441))*61,0)+IFERROR(--ISNUMBER(SEARCH("R62",G441))*62,0)+IFERROR(--ISNUMBER(SEARCH("R63",G441))*63,0)+IFERROR(--ISNUMBER(SEARCH("R64",G441))*64,0)+IFERROR(--ISNUMBER(SEARCH("R65",G441))*65,0)+IFERROR(--ISNUMBER(SEARCH("R66",G441))*66,0)+IFERROR(--ISNUMBER(SEARCH("R67",G441))*67,0)+IFERROR(--ISNUMBER(SEARCH("R68",G441))*68,0)+IFERROR(--ISNUMBER(SEARCH("R69",G441))*69,0)+IFERROR(--ISNUMBER(SEARCH("R70",G441))*70,0)+IFERROR(--ISNUMBER(SEARCH("R71",G441))*71,0)+IFERROR(--ISNUMBER(SEARCH("R72",G441))*72,0)+IFERROR(--ISNUMBER(SEARCH("R73",G441))*73,0)+IFERROR(--ISNUMBER(SEARCH("R74",G441))*74,0)+IFERROR(--ISNUMBER(SEARCH("R75",G441))*75,0)+IFERROR(--ISNUMBER(SEARCH("R76",G441))*76,0)+IFERROR(--ISNUMBER(SEARCH("R77",G441))*77,0)+IFERROR(--ISNUMBER(SEARCH("R78",G441))*78,0)+IFERROR(--ISNUMBER(SEARCH("R79",G441))*79,0)+IFERROR(--ISNUMBER(SEARCH("R80",G441))*80,0)+IFERROR(--ISNUMBER(SEARCH("R81",G441))*81,0)+IFERROR(--ISNUMBER(SEARCH("R82",G441))*82,0)+IFERROR(--ISNUMBER(SEARCH("R83",G441))*83,0)+IFERROR(--ISNUMBER(SEARCH("R84",G441))*84,0)+IFERROR(--ISNUMBER(SEARCH("R85",G441))*85,0)+IFERROR(--ISNUMBER(SEARCH("R86",G441))*86,0)+IFERROR(--ISNUMBER(SEARCH("R87",G441))*87,0)+IFERROR(--ISNUMBER(SEARCH("R88",G441))*88,0)+IFERROR(--ISNUMBER(SEARCH("R89",G441))*89,0)+IFERROR(--ISNUMBER(SEARCH("R90",G441))*90,0)+IFERROR(--ISNUMBER(SEARCH("R91",G441))*91,0)+IFERROR(--ISNUMBER(SEARCH("R92",G441))*92,0)+IFERROR(--ISNUMBER(SEARCH("R93",G441))*93,0)+IFERROR(--ISNUMBER(SEARCH("R94",G441))*94,0)+IFERROR(--ISNUMBER(SEARCH("R95",G441))*95,0)+IFERROR(--ISNUMBER(SEARCH("R96",G441))*96,0)+IFERROR(--ISNUMBER(SEARCH("R97",G441))*97,0)+IFERROR(--ISNUMBER(SEARCH("R98",G441))*98,0)+IFERROR(--ISNUMBER(SEARCH("R99",G441))*99,0)+IFERROR(--ISNUMBER(SEARCH("R100",G441))*100,0)+IFERROR(--ISNUMBER(SEARCH("R101",G441))*101,0)+IFERROR(--ISNUMBER(SEARCH("R102",G441))*102,0)+IFERROR(--ISNUMBER(SEARCH("R103",G441))*103,0)+IFERROR(--ISNUMBER(SEARCH("R104",G441))*104,0)+IFERROR(--ISNUMBER(SEARCH("R105",G441))*105,0)+IFERROR(--ISNUMBER(SEARCH("R106",G441))*106,0)+IFERROR(--ISNUMBER(SEARCH("R107",G441))*107,0)+IFERROR(--ISNUMBER(SEARCH("R108",G441))*108,0)+IFERROR(--ISNUMBER(SEARCH("R109",G441))*109,0)+IFERROR(--ISNUMBER(SEARCH("R110",G441))*110,0)+IFERROR(--ISNUMBER(SEARCH("R111",G441))*111,0)+IFERROR(--ISNUMBER(SEARCH("R112",G441))*112,0)+IFERROR(--ISNUMBER(SEARCH("R113",G441))*113,0)+IFERROR(--ISNUMBER(SEARCH("R114",G441))*114,0)+IFERROR(--ISNUMBER(SEARCH("R115",G441))*115,0)+IFERROR(--ISNUMBER(SEARCH("R116",G441))*116,0)+IFERROR(--ISNUMBER(SEARCH("R117",G441))*117,0)+IFERROR(--ISNUMBER(SEARCH("R118",G441))*118,0)+IFERROR(--ISNUMBER(SEARCH("R119",G441))*119,0)+IFERROR(--ISNUMBER(SEARCH("R120",G441))*120,0)+IFERROR(--ISNUMBER(SEARCH("R121",G441))*121,0)+IFERROR(--ISNUMBER(SEARCH("R122",G441))*122,0)+IFERROR(--ISNUMBER(SEARCH("R123",G441))*123,0)+IFERROR(--ISNUMBER(SEARCH("R124",G441))*124,0)+IFERROR(--ISNUMBER(SEARCH("R125",G441))*125,0)+IFERROR(--ISNUMBER(SEARCH("R126",G441))*126,0)+IFERROR(--ISNUMBER(SEARCH("R127",G441))*127,0)+IFERROR(--ISNUMBER(SEARCH("R128",G441))*128,0)+IFERROR(--ISNUMBER(SEARCH("R129",G441))*129,0)+IFERROR(--ISNUMBER(SEARCH("R130",G441))*130,0)+IFERROR(--ISNUMBER(SEARCH("R131",G441))*131,0)+IFERROR(--ISNUMBER(SEARCH("R132",G441))*132,0)+IFERROR(--ISNUMBER(SEARCH("R133",G441))*133,0)+IFERROR(--ISNUMBER(SEARCH("R134",G441))*134,0)+IFERROR(--ISNUMBER(SEARCH("R135",G441))*135,0)+IFERROR(--ISNUMBER(SEARCH("R136",G441))*136,0)+IFERROR(--ISNUMBER(SEARCH("R137",G441))*137,0)+IFERROR(--ISNUMBER(SEARCH("R138",G441))*138,0)+IFERROR(--ISNUMBER(SEARCH("R139",G441))*139,0)+IFERROR(--ISNUMBER(SEARCH("R140",G441))*140,0)+IFERROR(--ISNUMBER(SEARCH("R141",G441))*141,0))</f>
        <v/>
      </c>
      <c r="V441" s="59">
        <f>IF(A441="","",IF(K441&lt;&gt;"",K441,J441))</f>
        <v/>
      </c>
      <c r="W441" s="59">
        <f>IF(A441="","",IF(AND(V441=29,O441&lt;&gt;"",COUNTIFS($V$6:$V$505,29,$F$6:$F$505,F441,$C$6:$C$505,C441,$O$6:$O$505,"&lt;&gt;")&gt;1),IF(COUNTIFS($V$6:V441,29,$F$6:F441,F441,$C$6:C441,C441,$O$6:O441,"&lt;&gt;")=1,"Esta es la fila que se debe CONSERVAR (aparición 1 de "&amp;COUNTIFS($V$6:$V$505,29,$F$6:$F$505,F441,$C$6:$C$505,C441,$O$6:$O$505,"&lt;&gt;")&amp;" con el mismo tercero y valor, casilla 29). Si hay más filas iguales, bórreles el valor a ELLAS, no a esta.","DUPLICADO — ya existe otra fila con el mismo tercero y valor para casilla 29 (aparición "&amp;COUNTIFS($V$6:V441,29,$F$6:F441,F441,$C$6:C441,C441,$O$6:O441,"&lt;&gt;")&amp;" de "&amp;COUNTIFS($V$6:$V$505,29,$F$6:$F$505,F441,$C$6:$C$505,C441,$O$6:$O$505,"&lt;&gt;")&amp;"). Para resolverlo: seleccione la celda O"&amp;ROW()&amp;" (columna Valor a declarar de ESTA fila) y presione Supr."),""))</f>
        <v/>
      </c>
      <c r="X441" s="463">
        <f>IF(A441="","",F441)</f>
        <v/>
      </c>
      <c r="Y441" s="463">
        <f>IF(A441="","",SUMIF(Entrada_Manual!$I$88:$I$187,A441,Entrada_Manual!$F$88:$F$187))</f>
        <v/>
      </c>
      <c r="Z441" s="463">
        <f>IF(A441="","",X441-Y441)</f>
        <v/>
      </c>
      <c r="AA441">
        <f>IF(A441="","",SUMPRODUCT((Entrada_Manual!$I$88:$I$187=A441)*1))</f>
        <v/>
      </c>
      <c r="AB441">
        <f>IF(A441="","",IF(S441&lt;=1,"",IF(AA441=0,"PENDIENTE — SIN ASIGNAR",IF(Z441=0,"RESUELTO","PARCIAL — DIFERENCIA "&amp;TEXT(Z441,"#,##0")))))</f>
        <v/>
      </c>
    </row>
    <row r="442" ht="14.25" customHeight="1" s="235">
      <c r="A442" s="47">
        <f>IF(Exogena_RAW!E451&lt;&gt;"",ROW()-5,"")</f>
        <v/>
      </c>
      <c r="B442" s="48">
        <f>IF(A442="","",451)</f>
        <v/>
      </c>
      <c r="C442" s="48">
        <f>IF(A442="","",IFERROR(Exogena_RAW!A451,""))</f>
        <v/>
      </c>
      <c r="D442" s="48">
        <f>IF(A442="","",IFERROR(Exogena_RAW!B451,""))</f>
        <v/>
      </c>
      <c r="E442" s="48">
        <f>IF(A442="","",Exogena_RAW!E451)</f>
        <v/>
      </c>
      <c r="F442" s="461">
        <f>IF(A442="","",Exogena_RAW!F451)</f>
        <v/>
      </c>
      <c r="G442" s="48">
        <f>IF(A442="","",IFERROR(Exogena_RAW!G451,""))</f>
        <v/>
      </c>
      <c r="H442" s="48">
        <f>IF(A442="","",IFERROR(Exogena_RAW!H451,""))</f>
        <v/>
      </c>
      <c r="I442" s="48">
        <f>IF(A442="","",IFERROR(IF(S442&gt;1,"VARIAS CASILLAS",IF(S442=1,IF(T442=1,"PROPUESTA DE CASILLA","REVISIÓN: CASILLA NO DIRECTA"),IF(OR(ISNUMBER(SEARCH("TOPE",UPPER(E442))),ISNUMBER(SEARCH("TOPE",UPPER(G442)))),"SOLO CONTROL",IF(ISNUMBER(SEARCH("RETEN",UPPER(E442))),"RETENCIÓN","REVISAR")))),"REVISAR"))</f>
        <v/>
      </c>
      <c r="J442" s="48">
        <f>IF(A442="","",IF(ISNUMBER(SEARCH("ingreso laboral promedio de los últimos seis meses",E442)),"",IFERROR(IF(AND(S442=1,T442=1),U442,""),"")))</f>
        <v/>
      </c>
      <c r="K442" s="216" t="n"/>
      <c r="L442" s="48">
        <f>IF(A442="","",IFERROR(IF(K442&lt;&gt;"","Casilla elegida por usuario",IF(S442&gt;1,"Varias casillas — elegir en K",IF(J442&lt;&gt;"","Sugerencia directa",IF(S442=1,"No trasladar directo — revisar",IF(OR(ISNUMBER(SEARCH("TOPE",UPPER(E442))),ISNUMBER(SEARCH("TOPE",UPPER(G442)))),"Solo control","Revisar manualmente"))))),"Revisar manualmente"))</f>
        <v/>
      </c>
      <c r="M442" s="461">
        <f>IF(A442="","",IF(IF(K442&lt;&gt;"",K442,J442)="",0,IF(COUNTIFS(Reglas!$I$5:$I$118,IF(K442&lt;&gt;"",K442,J442),Reglas!$J$5:$J$118,"Sí")=1,F442,0)))</f>
        <v/>
      </c>
      <c r="N442" s="56" t="n"/>
      <c r="O442" s="462">
        <f>IF(A442="","",IF(M442=0,"",M442))</f>
        <v/>
      </c>
      <c r="P442" s="461">
        <f>IF(A442="","",IF(O442="",0,IF(ISNUMBER(O442),O442,0)))</f>
        <v/>
      </c>
      <c r="Q442" s="48">
        <f>IF(A442="","",IF(Exogena_RAW!$C$4="","BLOQUEADO: FALTA AÑO",IF(Exogena_RAW!$K$10&lt;&gt;Reglas!$B$5,"BLOQUEADO: AÑO",IF(IF(K442&lt;&gt;"",K442,J442)="",IF(S442&gt;1,"REQUIERE ASIGNACIÓN MANUAL (VARIAS CASILLAS)","INFORMATIVO (sin casilla — no se declara)"),IF(COUNTIFS(Reglas!$I$5:$I$118,IF(K442&lt;&gt;"",K442,J442),Reglas!$J$5:$J$118,"Sí")=0,"BLOQUEADO: CASILLA NO DIRECTA",IF(O442="","EXCLUIDO (valor borrado por el usuario)",IF(_xlfn.ISFORMULA(O442),IF(W442&lt;&gt;"","BORRADOR — VALOR SUGERIDO DIAN ⚠ VER ALERTA","BORRADOR — VALOR SUGERIDO DIAN"),IF(W442&lt;&gt;"","ACEPTADO ⚠ VER ALERTA","ACEPTADO"))))))))</f>
        <v/>
      </c>
      <c r="R442" s="218" t="n"/>
      <c r="S442" s="58">
        <f>IF(A442="","",IFERROR(--ISNUMBER(SEARCH("R28",G442)),0)+IFERROR(--ISNUMBER(SEARCH("R29",G442)),0)+IFERROR(--ISNUMBER(SEARCH("R30",G442)),0)+IFERROR(--ISNUMBER(SEARCH("R31",G442)),0)+IFERROR(--ISNUMBER(SEARCH("R32",G442)),0)+IFERROR(--ISNUMBER(SEARCH("R33",G442)),0)+IFERROR(--ISNUMBER(SEARCH("R34",G442)),0)+IFERROR(--ISNUMBER(SEARCH("R35",G442)),0)+IFERROR(--ISNUMBER(SEARCH("R36",G442)),0)+IFERROR(--ISNUMBER(SEARCH("R37",G442)),0)+IFERROR(--ISNUMBER(SEARCH("R38",G442)),0)+IFERROR(--ISNUMBER(SEARCH("R39",G442)),0)+IFERROR(--ISNUMBER(SEARCH("R40",G442)),0)+IFERROR(--ISNUMBER(SEARCH("R41",G442)),0)+IFERROR(--ISNUMBER(SEARCH("R42",G442)),0)+IFERROR(--ISNUMBER(SEARCH("R43",G442)),0)+IFERROR(--ISNUMBER(SEARCH("R44",G442)),0)+IFERROR(--ISNUMBER(SEARCH("R45",G442)),0)+IFERROR(--ISNUMBER(SEARCH("R46",G442)),0)+IFERROR(--ISNUMBER(SEARCH("R47",G442)),0)+IFERROR(--ISNUMBER(SEARCH("R48",G442)),0)+IFERROR(--ISNUMBER(SEARCH("R49",G442)),0)+IFERROR(--ISNUMBER(SEARCH("R50",G442)),0)+IFERROR(--ISNUMBER(SEARCH("R51",G442)),0)+IFERROR(--ISNUMBER(SEARCH("R52",G442)),0)+IFERROR(--ISNUMBER(SEARCH("R53",G442)),0)+IFERROR(--ISNUMBER(SEARCH("R54",G442)),0)+IFERROR(--ISNUMBER(SEARCH("R55",G442)),0)+IFERROR(--ISNUMBER(SEARCH("R56",G442)),0)+IFERROR(--ISNUMBER(SEARCH("R57",G442)),0)+IFERROR(--ISNUMBER(SEARCH("R58",G442)),0)+IFERROR(--ISNUMBER(SEARCH("R59",G442)),0)+IFERROR(--ISNUMBER(SEARCH("R60",G442)),0)+IFERROR(--ISNUMBER(SEARCH("R61",G442)),0)+IFERROR(--ISNUMBER(SEARCH("R62",G442)),0)+IFERROR(--ISNUMBER(SEARCH("R63",G442)),0)+IFERROR(--ISNUMBER(SEARCH("R64",G442)),0)+IFERROR(--ISNUMBER(SEARCH("R65",G442)),0)+IFERROR(--ISNUMBER(SEARCH("R66",G442)),0)+IFERROR(--ISNUMBER(SEARCH("R67",G442)),0)+IFERROR(--ISNUMBER(SEARCH("R68",G442)),0)+IFERROR(--ISNUMBER(SEARCH("R69",G442)),0)+IFERROR(--ISNUMBER(SEARCH("R70",G442)),0)+IFERROR(--ISNUMBER(SEARCH("R71",G442)),0)+IFERROR(--ISNUMBER(SEARCH("R72",G442)),0)+IFERROR(--ISNUMBER(SEARCH("R73",G442)),0)+IFERROR(--ISNUMBER(SEARCH("R74",G442)),0)+IFERROR(--ISNUMBER(SEARCH("R75",G442)),0)+IFERROR(--ISNUMBER(SEARCH("R76",G442)),0)+IFERROR(--ISNUMBER(SEARCH("R77",G442)),0)+IFERROR(--ISNUMBER(SEARCH("R78",G442)),0)+IFERROR(--ISNUMBER(SEARCH("R79",G442)),0)+IFERROR(--ISNUMBER(SEARCH("R80",G442)),0)+IFERROR(--ISNUMBER(SEARCH("R81",G442)),0)+IFERROR(--ISNUMBER(SEARCH("R82",G442)),0)+IFERROR(--ISNUMBER(SEARCH("R83",G442)),0)+IFERROR(--ISNUMBER(SEARCH("R84",G442)),0)+IFERROR(--ISNUMBER(SEARCH("R85",G442)),0)+IFERROR(--ISNUMBER(SEARCH("R86",G442)),0)+IFERROR(--ISNUMBER(SEARCH("R87",G442)),0)+IFERROR(--ISNUMBER(SEARCH("R88",G442)),0)+IFERROR(--ISNUMBER(SEARCH("R89",G442)),0)+IFERROR(--ISNUMBER(SEARCH("R90",G442)),0)+IFERROR(--ISNUMBER(SEARCH("R91",G442)),0)+IFERROR(--ISNUMBER(SEARCH("R92",G442)),0)+IFERROR(--ISNUMBER(SEARCH("R93",G442)),0)+IFERROR(--ISNUMBER(SEARCH("R94",G442)),0)+IFERROR(--ISNUMBER(SEARCH("R95",G442)),0)+IFERROR(--ISNUMBER(SEARCH("R96",G442)),0)+IFERROR(--ISNUMBER(SEARCH("R97",G442)),0)+IFERROR(--ISNUMBER(SEARCH("R98",G442)),0)+IFERROR(--ISNUMBER(SEARCH("R99",G442)),0)+IFERROR(--ISNUMBER(SEARCH("R100",G442)),0)+IFERROR(--ISNUMBER(SEARCH("R101",G442)),0)+IFERROR(--ISNUMBER(SEARCH("R102",G442)),0)+IFERROR(--ISNUMBER(SEARCH("R103",G442)),0)+IFERROR(--ISNUMBER(SEARCH("R104",G442)),0)+IFERROR(--ISNUMBER(SEARCH("R105",G442)),0)+IFERROR(--ISNUMBER(SEARCH("R106",G442)),0)+IFERROR(--ISNUMBER(SEARCH("R107",G442)),0)+IFERROR(--ISNUMBER(SEARCH("R108",G442)),0)+IFERROR(--ISNUMBER(SEARCH("R109",G442)),0)+IFERROR(--ISNUMBER(SEARCH("R110",G442)),0)+IFERROR(--ISNUMBER(SEARCH("R111",G442)),0)+IFERROR(--ISNUMBER(SEARCH("R112",G442)),0)+IFERROR(--ISNUMBER(SEARCH("R113",G442)),0)+IFERROR(--ISNUMBER(SEARCH("R114",G442)),0)+IFERROR(--ISNUMBER(SEARCH("R115",G442)),0)+IFERROR(--ISNUMBER(SEARCH("R116",G442)),0)+IFERROR(--ISNUMBER(SEARCH("R117",G442)),0)+IFERROR(--ISNUMBER(SEARCH("R118",G442)),0)+IFERROR(--ISNUMBER(SEARCH("R119",G442)),0)+IFERROR(--ISNUMBER(SEARCH("R120",G442)),0)+IFERROR(--ISNUMBER(SEARCH("R121",G442)),0)+IFERROR(--ISNUMBER(SEARCH("R122",G442)),0)+IFERROR(--ISNUMBER(SEARCH("R123",G442)),0)+IFERROR(--ISNUMBER(SEARCH("R124",G442)),0)+IFERROR(--ISNUMBER(SEARCH("R125",G442)),0)+IFERROR(--ISNUMBER(SEARCH("R126",G442)),0)+IFERROR(--ISNUMBER(SEARCH("R127",G442)),0)+IFERROR(--ISNUMBER(SEARCH("R128",G442)),0)+IFERROR(--ISNUMBER(SEARCH("R129",G442)),0)+IFERROR(--ISNUMBER(SEARCH("R130",G442)),0)+IFERROR(--ISNUMBER(SEARCH("R131",G442)),0)+IFERROR(--ISNUMBER(SEARCH("R132",G442)),0)+IFERROR(--ISNUMBER(SEARCH("R133",G442)),0)+IFERROR(--ISNUMBER(SEARCH("R134",G442)),0)+IFERROR(--ISNUMBER(SEARCH("R135",G442)),0)+IFERROR(--ISNUMBER(SEARCH("R136",G442)),0)+IFERROR(--ISNUMBER(SEARCH("R137",G442)),0)+IFERROR(--ISNUMBER(SEARCH("R138",G442)),0)+IFERROR(--ISNUMBER(SEARCH("R139",G442)),0)+IFERROR(--ISNUMBER(SEARCH("R140",G442)),0)+IFERROR(--ISNUMBER(SEARCH("R141",G442)),0))</f>
        <v/>
      </c>
      <c r="T442" s="58">
        <f>IF(A442="","",IFERROR(--ISNUMBER(SEARCH("R28",G442)),0)+IFERROR(--ISNUMBER(SEARCH("R29",G442)),0)+IFERROR(--ISNUMBER(SEARCH("R30",G442)),0)+IFERROR(--ISNUMBER(SEARCH("R32",G442)),0)+IFERROR(--ISNUMBER(SEARCH("R33",G442)),0)+IFERROR(--ISNUMBER(SEARCH("R35",G442)),0)+IFERROR(--ISNUMBER(SEARCH("R36",G442)),0)+IFERROR(--ISNUMBER(SEARCH("R38",G442)),0)+IFERROR(--ISNUMBER(SEARCH("R39",G442)),0)+IFERROR(--ISNUMBER(SEARCH("R43",G442)),0)+IFERROR(--ISNUMBER(SEARCH("R44",G442)),0)+IFERROR(--ISNUMBER(SEARCH("R45",G442)),0)+IFERROR(--ISNUMBER(SEARCH("R47",G442)),0)+IFERROR(--ISNUMBER(SEARCH("R48",G442)),0)+IFERROR(--ISNUMBER(SEARCH("R50",G442)),0)+IFERROR(--ISNUMBER(SEARCH("R51",G442)),0)+IFERROR(--ISNUMBER(SEARCH("R56",G442)),0)+IFERROR(--ISNUMBER(SEARCH("R58",G442)),0)+IFERROR(--ISNUMBER(SEARCH("R59",G442)),0)+IFERROR(--ISNUMBER(SEARCH("R60",G442)),0)+IFERROR(--ISNUMBER(SEARCH("R62",G442)),0)+IFERROR(--ISNUMBER(SEARCH("R63",G442)),0)+IFERROR(--ISNUMBER(SEARCH("R64",G442)),0)+IFERROR(--ISNUMBER(SEARCH("R66",G442)),0)+IFERROR(--ISNUMBER(SEARCH("R67",G442)),0)+IFERROR(--ISNUMBER(SEARCH("R72",G442)),0)+IFERROR(--ISNUMBER(SEARCH("R74",G442)),0)+IFERROR(--ISNUMBER(SEARCH("R75",G442)),0)+IFERROR(--ISNUMBER(SEARCH("R76",G442)),0)+IFERROR(--ISNUMBER(SEARCH("R77",G442)),0)+IFERROR(--ISNUMBER(SEARCH("R79",G442)),0)+IFERROR(--ISNUMBER(SEARCH("R80",G442)),0)+IFERROR(--ISNUMBER(SEARCH("R81",G442)),0)+IFERROR(--ISNUMBER(SEARCH("R83",G442)),0)+IFERROR(--ISNUMBER(SEARCH("R84",G442)),0)+IFERROR(--ISNUMBER(SEARCH("R89",G442)),0)+IFERROR(--ISNUMBER(SEARCH("R94",G442)),0)+IFERROR(--ISNUMBER(SEARCH("R95",G442)),0)+IFERROR(--ISNUMBER(SEARCH("R96",G442)),0)+IFERROR(--ISNUMBER(SEARCH("R98",G442)),0)+IFERROR(--ISNUMBER(SEARCH("R99",G442)),0)+IFERROR(--ISNUMBER(SEARCH("R100",G442)),0)+IFERROR(--ISNUMBER(SEARCH("R104",G442)),0)+IFERROR(--ISNUMBER(SEARCH("R105",G442)),0)+IFERROR(--ISNUMBER(SEARCH("R107",G442)),0)+IFERROR(--ISNUMBER(SEARCH("R108",G442)),0)+IFERROR(--ISNUMBER(SEARCH("R109",G442)),0)+IFERROR(--ISNUMBER(SEARCH("R110",G442)),0)+IFERROR(--ISNUMBER(SEARCH("R112",G442)),0)+IFERROR(--ISNUMBER(SEARCH("R113",G442)),0)+IFERROR(--ISNUMBER(SEARCH("R114",G442)),0)+IFERROR(--ISNUMBER(SEARCH("R118",G442)),0)+IFERROR(--ISNUMBER(SEARCH("R119",G442)),0)+IFERROR(--ISNUMBER(SEARCH("R120",G442)),0)+IFERROR(--ISNUMBER(SEARCH("R122",G442)),0)+IFERROR(--ISNUMBER(SEARCH("R123",G442)),0)+IFERROR(--ISNUMBER(SEARCH("R124",G442)),0)+IFERROR(--ISNUMBER(SEARCH("R128",G442)),0)+IFERROR(--ISNUMBER(SEARCH("R130",G442)),0)+IFERROR(--ISNUMBER(SEARCH("R131",G442)),0)+IFERROR(--ISNUMBER(SEARCH("R132",G442)),0)+IFERROR(--ISNUMBER(SEARCH("R135",G442)),0)+IFERROR(--ISNUMBER(SEARCH("R138",G442)),0)+IFERROR(--ISNUMBER(SEARCH("R141",G442)),0))</f>
        <v/>
      </c>
      <c r="U442" s="58">
        <f>IF(A442="","",IFERROR(--ISNUMBER(SEARCH("R28",G442))*28,0)+IFERROR(--ISNUMBER(SEARCH("R29",G442))*29,0)+IFERROR(--ISNUMBER(SEARCH("R30",G442))*30,0)+IFERROR(--ISNUMBER(SEARCH("R31",G442))*31,0)+IFERROR(--ISNUMBER(SEARCH("R32",G442))*32,0)+IFERROR(--ISNUMBER(SEARCH("R33",G442))*33,0)+IFERROR(--ISNUMBER(SEARCH("R34",G442))*34,0)+IFERROR(--ISNUMBER(SEARCH("R35",G442))*35,0)+IFERROR(--ISNUMBER(SEARCH("R36",G442))*36,0)+IFERROR(--ISNUMBER(SEARCH("R37",G442))*37,0)+IFERROR(--ISNUMBER(SEARCH("R38",G442))*38,0)+IFERROR(--ISNUMBER(SEARCH("R39",G442))*39,0)+IFERROR(--ISNUMBER(SEARCH("R40",G442))*40,0)+IFERROR(--ISNUMBER(SEARCH("R41",G442))*41,0)+IFERROR(--ISNUMBER(SEARCH("R42",G442))*42,0)+IFERROR(--ISNUMBER(SEARCH("R43",G442))*43,0)+IFERROR(--ISNUMBER(SEARCH("R44",G442))*44,0)+IFERROR(--ISNUMBER(SEARCH("R45",G442))*45,0)+IFERROR(--ISNUMBER(SEARCH("R46",G442))*46,0)+IFERROR(--ISNUMBER(SEARCH("R47",G442))*47,0)+IFERROR(--ISNUMBER(SEARCH("R48",G442))*48,0)+IFERROR(--ISNUMBER(SEARCH("R49",G442))*49,0)+IFERROR(--ISNUMBER(SEARCH("R50",G442))*50,0)+IFERROR(--ISNUMBER(SEARCH("R51",G442))*51,0)+IFERROR(--ISNUMBER(SEARCH("R52",G442))*52,0)+IFERROR(--ISNUMBER(SEARCH("R53",G442))*53,0)+IFERROR(--ISNUMBER(SEARCH("R54",G442))*54,0)+IFERROR(--ISNUMBER(SEARCH("R55",G442))*55,0)+IFERROR(--ISNUMBER(SEARCH("R56",G442))*56,0)+IFERROR(--ISNUMBER(SEARCH("R57",G442))*57,0)+IFERROR(--ISNUMBER(SEARCH("R58",G442))*58,0)+IFERROR(--ISNUMBER(SEARCH("R59",G442))*59,0)+IFERROR(--ISNUMBER(SEARCH("R60",G442))*60,0)+IFERROR(--ISNUMBER(SEARCH("R61",G442))*61,0)+IFERROR(--ISNUMBER(SEARCH("R62",G442))*62,0)+IFERROR(--ISNUMBER(SEARCH("R63",G442))*63,0)+IFERROR(--ISNUMBER(SEARCH("R64",G442))*64,0)+IFERROR(--ISNUMBER(SEARCH("R65",G442))*65,0)+IFERROR(--ISNUMBER(SEARCH("R66",G442))*66,0)+IFERROR(--ISNUMBER(SEARCH("R67",G442))*67,0)+IFERROR(--ISNUMBER(SEARCH("R68",G442))*68,0)+IFERROR(--ISNUMBER(SEARCH("R69",G442))*69,0)+IFERROR(--ISNUMBER(SEARCH("R70",G442))*70,0)+IFERROR(--ISNUMBER(SEARCH("R71",G442))*71,0)+IFERROR(--ISNUMBER(SEARCH("R72",G442))*72,0)+IFERROR(--ISNUMBER(SEARCH("R73",G442))*73,0)+IFERROR(--ISNUMBER(SEARCH("R74",G442))*74,0)+IFERROR(--ISNUMBER(SEARCH("R75",G442))*75,0)+IFERROR(--ISNUMBER(SEARCH("R76",G442))*76,0)+IFERROR(--ISNUMBER(SEARCH("R77",G442))*77,0)+IFERROR(--ISNUMBER(SEARCH("R78",G442))*78,0)+IFERROR(--ISNUMBER(SEARCH("R79",G442))*79,0)+IFERROR(--ISNUMBER(SEARCH("R80",G442))*80,0)+IFERROR(--ISNUMBER(SEARCH("R81",G442))*81,0)+IFERROR(--ISNUMBER(SEARCH("R82",G442))*82,0)+IFERROR(--ISNUMBER(SEARCH("R83",G442))*83,0)+IFERROR(--ISNUMBER(SEARCH("R84",G442))*84,0)+IFERROR(--ISNUMBER(SEARCH("R85",G442))*85,0)+IFERROR(--ISNUMBER(SEARCH("R86",G442))*86,0)+IFERROR(--ISNUMBER(SEARCH("R87",G442))*87,0)+IFERROR(--ISNUMBER(SEARCH("R88",G442))*88,0)+IFERROR(--ISNUMBER(SEARCH("R89",G442))*89,0)+IFERROR(--ISNUMBER(SEARCH("R90",G442))*90,0)+IFERROR(--ISNUMBER(SEARCH("R91",G442))*91,0)+IFERROR(--ISNUMBER(SEARCH("R92",G442))*92,0)+IFERROR(--ISNUMBER(SEARCH("R93",G442))*93,0)+IFERROR(--ISNUMBER(SEARCH("R94",G442))*94,0)+IFERROR(--ISNUMBER(SEARCH("R95",G442))*95,0)+IFERROR(--ISNUMBER(SEARCH("R96",G442))*96,0)+IFERROR(--ISNUMBER(SEARCH("R97",G442))*97,0)+IFERROR(--ISNUMBER(SEARCH("R98",G442))*98,0)+IFERROR(--ISNUMBER(SEARCH("R99",G442))*99,0)+IFERROR(--ISNUMBER(SEARCH("R100",G442))*100,0)+IFERROR(--ISNUMBER(SEARCH("R101",G442))*101,0)+IFERROR(--ISNUMBER(SEARCH("R102",G442))*102,0)+IFERROR(--ISNUMBER(SEARCH("R103",G442))*103,0)+IFERROR(--ISNUMBER(SEARCH("R104",G442))*104,0)+IFERROR(--ISNUMBER(SEARCH("R105",G442))*105,0)+IFERROR(--ISNUMBER(SEARCH("R106",G442))*106,0)+IFERROR(--ISNUMBER(SEARCH("R107",G442))*107,0)+IFERROR(--ISNUMBER(SEARCH("R108",G442))*108,0)+IFERROR(--ISNUMBER(SEARCH("R109",G442))*109,0)+IFERROR(--ISNUMBER(SEARCH("R110",G442))*110,0)+IFERROR(--ISNUMBER(SEARCH("R111",G442))*111,0)+IFERROR(--ISNUMBER(SEARCH("R112",G442))*112,0)+IFERROR(--ISNUMBER(SEARCH("R113",G442))*113,0)+IFERROR(--ISNUMBER(SEARCH("R114",G442))*114,0)+IFERROR(--ISNUMBER(SEARCH("R115",G442))*115,0)+IFERROR(--ISNUMBER(SEARCH("R116",G442))*116,0)+IFERROR(--ISNUMBER(SEARCH("R117",G442))*117,0)+IFERROR(--ISNUMBER(SEARCH("R118",G442))*118,0)+IFERROR(--ISNUMBER(SEARCH("R119",G442))*119,0)+IFERROR(--ISNUMBER(SEARCH("R120",G442))*120,0)+IFERROR(--ISNUMBER(SEARCH("R121",G442))*121,0)+IFERROR(--ISNUMBER(SEARCH("R122",G442))*122,0)+IFERROR(--ISNUMBER(SEARCH("R123",G442))*123,0)+IFERROR(--ISNUMBER(SEARCH("R124",G442))*124,0)+IFERROR(--ISNUMBER(SEARCH("R125",G442))*125,0)+IFERROR(--ISNUMBER(SEARCH("R126",G442))*126,0)+IFERROR(--ISNUMBER(SEARCH("R127",G442))*127,0)+IFERROR(--ISNUMBER(SEARCH("R128",G442))*128,0)+IFERROR(--ISNUMBER(SEARCH("R129",G442))*129,0)+IFERROR(--ISNUMBER(SEARCH("R130",G442))*130,0)+IFERROR(--ISNUMBER(SEARCH("R131",G442))*131,0)+IFERROR(--ISNUMBER(SEARCH("R132",G442))*132,0)+IFERROR(--ISNUMBER(SEARCH("R133",G442))*133,0)+IFERROR(--ISNUMBER(SEARCH("R134",G442))*134,0)+IFERROR(--ISNUMBER(SEARCH("R135",G442))*135,0)+IFERROR(--ISNUMBER(SEARCH("R136",G442))*136,0)+IFERROR(--ISNUMBER(SEARCH("R137",G442))*137,0)+IFERROR(--ISNUMBER(SEARCH("R138",G442))*138,0)+IFERROR(--ISNUMBER(SEARCH("R139",G442))*139,0)+IFERROR(--ISNUMBER(SEARCH("R140",G442))*140,0)+IFERROR(--ISNUMBER(SEARCH("R141",G442))*141,0))</f>
        <v/>
      </c>
      <c r="V442" s="59">
        <f>IF(A442="","",IF(K442&lt;&gt;"",K442,J442))</f>
        <v/>
      </c>
      <c r="W442" s="59">
        <f>IF(A442="","",IF(AND(V442=29,O442&lt;&gt;"",COUNTIFS($V$6:$V$505,29,$F$6:$F$505,F442,$C$6:$C$505,C442,$O$6:$O$505,"&lt;&gt;")&gt;1),IF(COUNTIFS($V$6:V442,29,$F$6:F442,F442,$C$6:C442,C442,$O$6:O442,"&lt;&gt;")=1,"Esta es la fila que se debe CONSERVAR (aparición 1 de "&amp;COUNTIFS($V$6:$V$505,29,$F$6:$F$505,F442,$C$6:$C$505,C442,$O$6:$O$505,"&lt;&gt;")&amp;" con el mismo tercero y valor, casilla 29). Si hay más filas iguales, bórreles el valor a ELLAS, no a esta.","DUPLICADO — ya existe otra fila con el mismo tercero y valor para casilla 29 (aparición "&amp;COUNTIFS($V$6:V442,29,$F$6:F442,F442,$C$6:C442,C442,$O$6:O442,"&lt;&gt;")&amp;" de "&amp;COUNTIFS($V$6:$V$505,29,$F$6:$F$505,F442,$C$6:$C$505,C442,$O$6:$O$505,"&lt;&gt;")&amp;"). Para resolverlo: seleccione la celda O"&amp;ROW()&amp;" (columna Valor a declarar de ESTA fila) y presione Supr."),""))</f>
        <v/>
      </c>
      <c r="X442" s="463">
        <f>IF(A442="","",F442)</f>
        <v/>
      </c>
      <c r="Y442" s="463">
        <f>IF(A442="","",SUMIF(Entrada_Manual!$I$88:$I$187,A442,Entrada_Manual!$F$88:$F$187))</f>
        <v/>
      </c>
      <c r="Z442" s="463">
        <f>IF(A442="","",X442-Y442)</f>
        <v/>
      </c>
      <c r="AA442">
        <f>IF(A442="","",SUMPRODUCT((Entrada_Manual!$I$88:$I$187=A442)*1))</f>
        <v/>
      </c>
      <c r="AB442">
        <f>IF(A442="","",IF(S442&lt;=1,"",IF(AA442=0,"PENDIENTE — SIN ASIGNAR",IF(Z442=0,"RESUELTO","PARCIAL — DIFERENCIA "&amp;TEXT(Z442,"#,##0")))))</f>
        <v/>
      </c>
    </row>
    <row r="443" ht="14.25" customHeight="1" s="235">
      <c r="A443" s="47">
        <f>IF(Exogena_RAW!E452&lt;&gt;"",ROW()-5,"")</f>
        <v/>
      </c>
      <c r="B443" s="48">
        <f>IF(A443="","",452)</f>
        <v/>
      </c>
      <c r="C443" s="48">
        <f>IF(A443="","",IFERROR(Exogena_RAW!A452,""))</f>
        <v/>
      </c>
      <c r="D443" s="48">
        <f>IF(A443="","",IFERROR(Exogena_RAW!B452,""))</f>
        <v/>
      </c>
      <c r="E443" s="48">
        <f>IF(A443="","",Exogena_RAW!E452)</f>
        <v/>
      </c>
      <c r="F443" s="461">
        <f>IF(A443="","",Exogena_RAW!F452)</f>
        <v/>
      </c>
      <c r="G443" s="48">
        <f>IF(A443="","",IFERROR(Exogena_RAW!G452,""))</f>
        <v/>
      </c>
      <c r="H443" s="48">
        <f>IF(A443="","",IFERROR(Exogena_RAW!H452,""))</f>
        <v/>
      </c>
      <c r="I443" s="48">
        <f>IF(A443="","",IFERROR(IF(S443&gt;1,"VARIAS CASILLAS",IF(S443=1,IF(T443=1,"PROPUESTA DE CASILLA","REVISIÓN: CASILLA NO DIRECTA"),IF(OR(ISNUMBER(SEARCH("TOPE",UPPER(E443))),ISNUMBER(SEARCH("TOPE",UPPER(G443)))),"SOLO CONTROL",IF(ISNUMBER(SEARCH("RETEN",UPPER(E443))),"RETENCIÓN","REVISAR")))),"REVISAR"))</f>
        <v/>
      </c>
      <c r="J443" s="48">
        <f>IF(A443="","",IF(ISNUMBER(SEARCH("ingreso laboral promedio de los últimos seis meses",E443)),"",IFERROR(IF(AND(S443=1,T443=1),U443,""),"")))</f>
        <v/>
      </c>
      <c r="K443" s="216" t="n"/>
      <c r="L443" s="48">
        <f>IF(A443="","",IFERROR(IF(K443&lt;&gt;"","Casilla elegida por usuario",IF(S443&gt;1,"Varias casillas — elegir en K",IF(J443&lt;&gt;"","Sugerencia directa",IF(S443=1,"No trasladar directo — revisar",IF(OR(ISNUMBER(SEARCH("TOPE",UPPER(E443))),ISNUMBER(SEARCH("TOPE",UPPER(G443)))),"Solo control","Revisar manualmente"))))),"Revisar manualmente"))</f>
        <v/>
      </c>
      <c r="M443" s="461">
        <f>IF(A443="","",IF(IF(K443&lt;&gt;"",K443,J443)="",0,IF(COUNTIFS(Reglas!$I$5:$I$118,IF(K443&lt;&gt;"",K443,J443),Reglas!$J$5:$J$118,"Sí")=1,F443,0)))</f>
        <v/>
      </c>
      <c r="N443" s="56" t="n"/>
      <c r="O443" s="462">
        <f>IF(A443="","",IF(M443=0,"",M443))</f>
        <v/>
      </c>
      <c r="P443" s="461">
        <f>IF(A443="","",IF(O443="",0,IF(ISNUMBER(O443),O443,0)))</f>
        <v/>
      </c>
      <c r="Q443" s="48">
        <f>IF(A443="","",IF(Exogena_RAW!$C$4="","BLOQUEADO: FALTA AÑO",IF(Exogena_RAW!$K$10&lt;&gt;Reglas!$B$5,"BLOQUEADO: AÑO",IF(IF(K443&lt;&gt;"",K443,J443)="",IF(S443&gt;1,"REQUIERE ASIGNACIÓN MANUAL (VARIAS CASILLAS)","INFORMATIVO (sin casilla — no se declara)"),IF(COUNTIFS(Reglas!$I$5:$I$118,IF(K443&lt;&gt;"",K443,J443),Reglas!$J$5:$J$118,"Sí")=0,"BLOQUEADO: CASILLA NO DIRECTA",IF(O443="","EXCLUIDO (valor borrado por el usuario)",IF(_xlfn.ISFORMULA(O443),IF(W443&lt;&gt;"","BORRADOR — VALOR SUGERIDO DIAN ⚠ VER ALERTA","BORRADOR — VALOR SUGERIDO DIAN"),IF(W443&lt;&gt;"","ACEPTADO ⚠ VER ALERTA","ACEPTADO"))))))))</f>
        <v/>
      </c>
      <c r="R443" s="218" t="n"/>
      <c r="S443" s="58">
        <f>IF(A443="","",IFERROR(--ISNUMBER(SEARCH("R28",G443)),0)+IFERROR(--ISNUMBER(SEARCH("R29",G443)),0)+IFERROR(--ISNUMBER(SEARCH("R30",G443)),0)+IFERROR(--ISNUMBER(SEARCH("R31",G443)),0)+IFERROR(--ISNUMBER(SEARCH("R32",G443)),0)+IFERROR(--ISNUMBER(SEARCH("R33",G443)),0)+IFERROR(--ISNUMBER(SEARCH("R34",G443)),0)+IFERROR(--ISNUMBER(SEARCH("R35",G443)),0)+IFERROR(--ISNUMBER(SEARCH("R36",G443)),0)+IFERROR(--ISNUMBER(SEARCH("R37",G443)),0)+IFERROR(--ISNUMBER(SEARCH("R38",G443)),0)+IFERROR(--ISNUMBER(SEARCH("R39",G443)),0)+IFERROR(--ISNUMBER(SEARCH("R40",G443)),0)+IFERROR(--ISNUMBER(SEARCH("R41",G443)),0)+IFERROR(--ISNUMBER(SEARCH("R42",G443)),0)+IFERROR(--ISNUMBER(SEARCH("R43",G443)),0)+IFERROR(--ISNUMBER(SEARCH("R44",G443)),0)+IFERROR(--ISNUMBER(SEARCH("R45",G443)),0)+IFERROR(--ISNUMBER(SEARCH("R46",G443)),0)+IFERROR(--ISNUMBER(SEARCH("R47",G443)),0)+IFERROR(--ISNUMBER(SEARCH("R48",G443)),0)+IFERROR(--ISNUMBER(SEARCH("R49",G443)),0)+IFERROR(--ISNUMBER(SEARCH("R50",G443)),0)+IFERROR(--ISNUMBER(SEARCH("R51",G443)),0)+IFERROR(--ISNUMBER(SEARCH("R52",G443)),0)+IFERROR(--ISNUMBER(SEARCH("R53",G443)),0)+IFERROR(--ISNUMBER(SEARCH("R54",G443)),0)+IFERROR(--ISNUMBER(SEARCH("R55",G443)),0)+IFERROR(--ISNUMBER(SEARCH("R56",G443)),0)+IFERROR(--ISNUMBER(SEARCH("R57",G443)),0)+IFERROR(--ISNUMBER(SEARCH("R58",G443)),0)+IFERROR(--ISNUMBER(SEARCH("R59",G443)),0)+IFERROR(--ISNUMBER(SEARCH("R60",G443)),0)+IFERROR(--ISNUMBER(SEARCH("R61",G443)),0)+IFERROR(--ISNUMBER(SEARCH("R62",G443)),0)+IFERROR(--ISNUMBER(SEARCH("R63",G443)),0)+IFERROR(--ISNUMBER(SEARCH("R64",G443)),0)+IFERROR(--ISNUMBER(SEARCH("R65",G443)),0)+IFERROR(--ISNUMBER(SEARCH("R66",G443)),0)+IFERROR(--ISNUMBER(SEARCH("R67",G443)),0)+IFERROR(--ISNUMBER(SEARCH("R68",G443)),0)+IFERROR(--ISNUMBER(SEARCH("R69",G443)),0)+IFERROR(--ISNUMBER(SEARCH("R70",G443)),0)+IFERROR(--ISNUMBER(SEARCH("R71",G443)),0)+IFERROR(--ISNUMBER(SEARCH("R72",G443)),0)+IFERROR(--ISNUMBER(SEARCH("R73",G443)),0)+IFERROR(--ISNUMBER(SEARCH("R74",G443)),0)+IFERROR(--ISNUMBER(SEARCH("R75",G443)),0)+IFERROR(--ISNUMBER(SEARCH("R76",G443)),0)+IFERROR(--ISNUMBER(SEARCH("R77",G443)),0)+IFERROR(--ISNUMBER(SEARCH("R78",G443)),0)+IFERROR(--ISNUMBER(SEARCH("R79",G443)),0)+IFERROR(--ISNUMBER(SEARCH("R80",G443)),0)+IFERROR(--ISNUMBER(SEARCH("R81",G443)),0)+IFERROR(--ISNUMBER(SEARCH("R82",G443)),0)+IFERROR(--ISNUMBER(SEARCH("R83",G443)),0)+IFERROR(--ISNUMBER(SEARCH("R84",G443)),0)+IFERROR(--ISNUMBER(SEARCH("R85",G443)),0)+IFERROR(--ISNUMBER(SEARCH("R86",G443)),0)+IFERROR(--ISNUMBER(SEARCH("R87",G443)),0)+IFERROR(--ISNUMBER(SEARCH("R88",G443)),0)+IFERROR(--ISNUMBER(SEARCH("R89",G443)),0)+IFERROR(--ISNUMBER(SEARCH("R90",G443)),0)+IFERROR(--ISNUMBER(SEARCH("R91",G443)),0)+IFERROR(--ISNUMBER(SEARCH("R92",G443)),0)+IFERROR(--ISNUMBER(SEARCH("R93",G443)),0)+IFERROR(--ISNUMBER(SEARCH("R94",G443)),0)+IFERROR(--ISNUMBER(SEARCH("R95",G443)),0)+IFERROR(--ISNUMBER(SEARCH("R96",G443)),0)+IFERROR(--ISNUMBER(SEARCH("R97",G443)),0)+IFERROR(--ISNUMBER(SEARCH("R98",G443)),0)+IFERROR(--ISNUMBER(SEARCH("R99",G443)),0)+IFERROR(--ISNUMBER(SEARCH("R100",G443)),0)+IFERROR(--ISNUMBER(SEARCH("R101",G443)),0)+IFERROR(--ISNUMBER(SEARCH("R102",G443)),0)+IFERROR(--ISNUMBER(SEARCH("R103",G443)),0)+IFERROR(--ISNUMBER(SEARCH("R104",G443)),0)+IFERROR(--ISNUMBER(SEARCH("R105",G443)),0)+IFERROR(--ISNUMBER(SEARCH("R106",G443)),0)+IFERROR(--ISNUMBER(SEARCH("R107",G443)),0)+IFERROR(--ISNUMBER(SEARCH("R108",G443)),0)+IFERROR(--ISNUMBER(SEARCH("R109",G443)),0)+IFERROR(--ISNUMBER(SEARCH("R110",G443)),0)+IFERROR(--ISNUMBER(SEARCH("R111",G443)),0)+IFERROR(--ISNUMBER(SEARCH("R112",G443)),0)+IFERROR(--ISNUMBER(SEARCH("R113",G443)),0)+IFERROR(--ISNUMBER(SEARCH("R114",G443)),0)+IFERROR(--ISNUMBER(SEARCH("R115",G443)),0)+IFERROR(--ISNUMBER(SEARCH("R116",G443)),0)+IFERROR(--ISNUMBER(SEARCH("R117",G443)),0)+IFERROR(--ISNUMBER(SEARCH("R118",G443)),0)+IFERROR(--ISNUMBER(SEARCH("R119",G443)),0)+IFERROR(--ISNUMBER(SEARCH("R120",G443)),0)+IFERROR(--ISNUMBER(SEARCH("R121",G443)),0)+IFERROR(--ISNUMBER(SEARCH("R122",G443)),0)+IFERROR(--ISNUMBER(SEARCH("R123",G443)),0)+IFERROR(--ISNUMBER(SEARCH("R124",G443)),0)+IFERROR(--ISNUMBER(SEARCH("R125",G443)),0)+IFERROR(--ISNUMBER(SEARCH("R126",G443)),0)+IFERROR(--ISNUMBER(SEARCH("R127",G443)),0)+IFERROR(--ISNUMBER(SEARCH("R128",G443)),0)+IFERROR(--ISNUMBER(SEARCH("R129",G443)),0)+IFERROR(--ISNUMBER(SEARCH("R130",G443)),0)+IFERROR(--ISNUMBER(SEARCH("R131",G443)),0)+IFERROR(--ISNUMBER(SEARCH("R132",G443)),0)+IFERROR(--ISNUMBER(SEARCH("R133",G443)),0)+IFERROR(--ISNUMBER(SEARCH("R134",G443)),0)+IFERROR(--ISNUMBER(SEARCH("R135",G443)),0)+IFERROR(--ISNUMBER(SEARCH("R136",G443)),0)+IFERROR(--ISNUMBER(SEARCH("R137",G443)),0)+IFERROR(--ISNUMBER(SEARCH("R138",G443)),0)+IFERROR(--ISNUMBER(SEARCH("R139",G443)),0)+IFERROR(--ISNUMBER(SEARCH("R140",G443)),0)+IFERROR(--ISNUMBER(SEARCH("R141",G443)),0))</f>
        <v/>
      </c>
      <c r="T443" s="58">
        <f>IF(A443="","",IFERROR(--ISNUMBER(SEARCH("R28",G443)),0)+IFERROR(--ISNUMBER(SEARCH("R29",G443)),0)+IFERROR(--ISNUMBER(SEARCH("R30",G443)),0)+IFERROR(--ISNUMBER(SEARCH("R32",G443)),0)+IFERROR(--ISNUMBER(SEARCH("R33",G443)),0)+IFERROR(--ISNUMBER(SEARCH("R35",G443)),0)+IFERROR(--ISNUMBER(SEARCH("R36",G443)),0)+IFERROR(--ISNUMBER(SEARCH("R38",G443)),0)+IFERROR(--ISNUMBER(SEARCH("R39",G443)),0)+IFERROR(--ISNUMBER(SEARCH("R43",G443)),0)+IFERROR(--ISNUMBER(SEARCH("R44",G443)),0)+IFERROR(--ISNUMBER(SEARCH("R45",G443)),0)+IFERROR(--ISNUMBER(SEARCH("R47",G443)),0)+IFERROR(--ISNUMBER(SEARCH("R48",G443)),0)+IFERROR(--ISNUMBER(SEARCH("R50",G443)),0)+IFERROR(--ISNUMBER(SEARCH("R51",G443)),0)+IFERROR(--ISNUMBER(SEARCH("R56",G443)),0)+IFERROR(--ISNUMBER(SEARCH("R58",G443)),0)+IFERROR(--ISNUMBER(SEARCH("R59",G443)),0)+IFERROR(--ISNUMBER(SEARCH("R60",G443)),0)+IFERROR(--ISNUMBER(SEARCH("R62",G443)),0)+IFERROR(--ISNUMBER(SEARCH("R63",G443)),0)+IFERROR(--ISNUMBER(SEARCH("R64",G443)),0)+IFERROR(--ISNUMBER(SEARCH("R66",G443)),0)+IFERROR(--ISNUMBER(SEARCH("R67",G443)),0)+IFERROR(--ISNUMBER(SEARCH("R72",G443)),0)+IFERROR(--ISNUMBER(SEARCH("R74",G443)),0)+IFERROR(--ISNUMBER(SEARCH("R75",G443)),0)+IFERROR(--ISNUMBER(SEARCH("R76",G443)),0)+IFERROR(--ISNUMBER(SEARCH("R77",G443)),0)+IFERROR(--ISNUMBER(SEARCH("R79",G443)),0)+IFERROR(--ISNUMBER(SEARCH("R80",G443)),0)+IFERROR(--ISNUMBER(SEARCH("R81",G443)),0)+IFERROR(--ISNUMBER(SEARCH("R83",G443)),0)+IFERROR(--ISNUMBER(SEARCH("R84",G443)),0)+IFERROR(--ISNUMBER(SEARCH("R89",G443)),0)+IFERROR(--ISNUMBER(SEARCH("R94",G443)),0)+IFERROR(--ISNUMBER(SEARCH("R95",G443)),0)+IFERROR(--ISNUMBER(SEARCH("R96",G443)),0)+IFERROR(--ISNUMBER(SEARCH("R98",G443)),0)+IFERROR(--ISNUMBER(SEARCH("R99",G443)),0)+IFERROR(--ISNUMBER(SEARCH("R100",G443)),0)+IFERROR(--ISNUMBER(SEARCH("R104",G443)),0)+IFERROR(--ISNUMBER(SEARCH("R105",G443)),0)+IFERROR(--ISNUMBER(SEARCH("R107",G443)),0)+IFERROR(--ISNUMBER(SEARCH("R108",G443)),0)+IFERROR(--ISNUMBER(SEARCH("R109",G443)),0)+IFERROR(--ISNUMBER(SEARCH("R110",G443)),0)+IFERROR(--ISNUMBER(SEARCH("R112",G443)),0)+IFERROR(--ISNUMBER(SEARCH("R113",G443)),0)+IFERROR(--ISNUMBER(SEARCH("R114",G443)),0)+IFERROR(--ISNUMBER(SEARCH("R118",G443)),0)+IFERROR(--ISNUMBER(SEARCH("R119",G443)),0)+IFERROR(--ISNUMBER(SEARCH("R120",G443)),0)+IFERROR(--ISNUMBER(SEARCH("R122",G443)),0)+IFERROR(--ISNUMBER(SEARCH("R123",G443)),0)+IFERROR(--ISNUMBER(SEARCH("R124",G443)),0)+IFERROR(--ISNUMBER(SEARCH("R128",G443)),0)+IFERROR(--ISNUMBER(SEARCH("R130",G443)),0)+IFERROR(--ISNUMBER(SEARCH("R131",G443)),0)+IFERROR(--ISNUMBER(SEARCH("R132",G443)),0)+IFERROR(--ISNUMBER(SEARCH("R135",G443)),0)+IFERROR(--ISNUMBER(SEARCH("R138",G443)),0)+IFERROR(--ISNUMBER(SEARCH("R141",G443)),0))</f>
        <v/>
      </c>
      <c r="U443" s="58">
        <f>IF(A443="","",IFERROR(--ISNUMBER(SEARCH("R28",G443))*28,0)+IFERROR(--ISNUMBER(SEARCH("R29",G443))*29,0)+IFERROR(--ISNUMBER(SEARCH("R30",G443))*30,0)+IFERROR(--ISNUMBER(SEARCH("R31",G443))*31,0)+IFERROR(--ISNUMBER(SEARCH("R32",G443))*32,0)+IFERROR(--ISNUMBER(SEARCH("R33",G443))*33,0)+IFERROR(--ISNUMBER(SEARCH("R34",G443))*34,0)+IFERROR(--ISNUMBER(SEARCH("R35",G443))*35,0)+IFERROR(--ISNUMBER(SEARCH("R36",G443))*36,0)+IFERROR(--ISNUMBER(SEARCH("R37",G443))*37,0)+IFERROR(--ISNUMBER(SEARCH("R38",G443))*38,0)+IFERROR(--ISNUMBER(SEARCH("R39",G443))*39,0)+IFERROR(--ISNUMBER(SEARCH("R40",G443))*40,0)+IFERROR(--ISNUMBER(SEARCH("R41",G443))*41,0)+IFERROR(--ISNUMBER(SEARCH("R42",G443))*42,0)+IFERROR(--ISNUMBER(SEARCH("R43",G443))*43,0)+IFERROR(--ISNUMBER(SEARCH("R44",G443))*44,0)+IFERROR(--ISNUMBER(SEARCH("R45",G443))*45,0)+IFERROR(--ISNUMBER(SEARCH("R46",G443))*46,0)+IFERROR(--ISNUMBER(SEARCH("R47",G443))*47,0)+IFERROR(--ISNUMBER(SEARCH("R48",G443))*48,0)+IFERROR(--ISNUMBER(SEARCH("R49",G443))*49,0)+IFERROR(--ISNUMBER(SEARCH("R50",G443))*50,0)+IFERROR(--ISNUMBER(SEARCH("R51",G443))*51,0)+IFERROR(--ISNUMBER(SEARCH("R52",G443))*52,0)+IFERROR(--ISNUMBER(SEARCH("R53",G443))*53,0)+IFERROR(--ISNUMBER(SEARCH("R54",G443))*54,0)+IFERROR(--ISNUMBER(SEARCH("R55",G443))*55,0)+IFERROR(--ISNUMBER(SEARCH("R56",G443))*56,0)+IFERROR(--ISNUMBER(SEARCH("R57",G443))*57,0)+IFERROR(--ISNUMBER(SEARCH("R58",G443))*58,0)+IFERROR(--ISNUMBER(SEARCH("R59",G443))*59,0)+IFERROR(--ISNUMBER(SEARCH("R60",G443))*60,0)+IFERROR(--ISNUMBER(SEARCH("R61",G443))*61,0)+IFERROR(--ISNUMBER(SEARCH("R62",G443))*62,0)+IFERROR(--ISNUMBER(SEARCH("R63",G443))*63,0)+IFERROR(--ISNUMBER(SEARCH("R64",G443))*64,0)+IFERROR(--ISNUMBER(SEARCH("R65",G443))*65,0)+IFERROR(--ISNUMBER(SEARCH("R66",G443))*66,0)+IFERROR(--ISNUMBER(SEARCH("R67",G443))*67,0)+IFERROR(--ISNUMBER(SEARCH("R68",G443))*68,0)+IFERROR(--ISNUMBER(SEARCH("R69",G443))*69,0)+IFERROR(--ISNUMBER(SEARCH("R70",G443))*70,0)+IFERROR(--ISNUMBER(SEARCH("R71",G443))*71,0)+IFERROR(--ISNUMBER(SEARCH("R72",G443))*72,0)+IFERROR(--ISNUMBER(SEARCH("R73",G443))*73,0)+IFERROR(--ISNUMBER(SEARCH("R74",G443))*74,0)+IFERROR(--ISNUMBER(SEARCH("R75",G443))*75,0)+IFERROR(--ISNUMBER(SEARCH("R76",G443))*76,0)+IFERROR(--ISNUMBER(SEARCH("R77",G443))*77,0)+IFERROR(--ISNUMBER(SEARCH("R78",G443))*78,0)+IFERROR(--ISNUMBER(SEARCH("R79",G443))*79,0)+IFERROR(--ISNUMBER(SEARCH("R80",G443))*80,0)+IFERROR(--ISNUMBER(SEARCH("R81",G443))*81,0)+IFERROR(--ISNUMBER(SEARCH("R82",G443))*82,0)+IFERROR(--ISNUMBER(SEARCH("R83",G443))*83,0)+IFERROR(--ISNUMBER(SEARCH("R84",G443))*84,0)+IFERROR(--ISNUMBER(SEARCH("R85",G443))*85,0)+IFERROR(--ISNUMBER(SEARCH("R86",G443))*86,0)+IFERROR(--ISNUMBER(SEARCH("R87",G443))*87,0)+IFERROR(--ISNUMBER(SEARCH("R88",G443))*88,0)+IFERROR(--ISNUMBER(SEARCH("R89",G443))*89,0)+IFERROR(--ISNUMBER(SEARCH("R90",G443))*90,0)+IFERROR(--ISNUMBER(SEARCH("R91",G443))*91,0)+IFERROR(--ISNUMBER(SEARCH("R92",G443))*92,0)+IFERROR(--ISNUMBER(SEARCH("R93",G443))*93,0)+IFERROR(--ISNUMBER(SEARCH("R94",G443))*94,0)+IFERROR(--ISNUMBER(SEARCH("R95",G443))*95,0)+IFERROR(--ISNUMBER(SEARCH("R96",G443))*96,0)+IFERROR(--ISNUMBER(SEARCH("R97",G443))*97,0)+IFERROR(--ISNUMBER(SEARCH("R98",G443))*98,0)+IFERROR(--ISNUMBER(SEARCH("R99",G443))*99,0)+IFERROR(--ISNUMBER(SEARCH("R100",G443))*100,0)+IFERROR(--ISNUMBER(SEARCH("R101",G443))*101,0)+IFERROR(--ISNUMBER(SEARCH("R102",G443))*102,0)+IFERROR(--ISNUMBER(SEARCH("R103",G443))*103,0)+IFERROR(--ISNUMBER(SEARCH("R104",G443))*104,0)+IFERROR(--ISNUMBER(SEARCH("R105",G443))*105,0)+IFERROR(--ISNUMBER(SEARCH("R106",G443))*106,0)+IFERROR(--ISNUMBER(SEARCH("R107",G443))*107,0)+IFERROR(--ISNUMBER(SEARCH("R108",G443))*108,0)+IFERROR(--ISNUMBER(SEARCH("R109",G443))*109,0)+IFERROR(--ISNUMBER(SEARCH("R110",G443))*110,0)+IFERROR(--ISNUMBER(SEARCH("R111",G443))*111,0)+IFERROR(--ISNUMBER(SEARCH("R112",G443))*112,0)+IFERROR(--ISNUMBER(SEARCH("R113",G443))*113,0)+IFERROR(--ISNUMBER(SEARCH("R114",G443))*114,0)+IFERROR(--ISNUMBER(SEARCH("R115",G443))*115,0)+IFERROR(--ISNUMBER(SEARCH("R116",G443))*116,0)+IFERROR(--ISNUMBER(SEARCH("R117",G443))*117,0)+IFERROR(--ISNUMBER(SEARCH("R118",G443))*118,0)+IFERROR(--ISNUMBER(SEARCH("R119",G443))*119,0)+IFERROR(--ISNUMBER(SEARCH("R120",G443))*120,0)+IFERROR(--ISNUMBER(SEARCH("R121",G443))*121,0)+IFERROR(--ISNUMBER(SEARCH("R122",G443))*122,0)+IFERROR(--ISNUMBER(SEARCH("R123",G443))*123,0)+IFERROR(--ISNUMBER(SEARCH("R124",G443))*124,0)+IFERROR(--ISNUMBER(SEARCH("R125",G443))*125,0)+IFERROR(--ISNUMBER(SEARCH("R126",G443))*126,0)+IFERROR(--ISNUMBER(SEARCH("R127",G443))*127,0)+IFERROR(--ISNUMBER(SEARCH("R128",G443))*128,0)+IFERROR(--ISNUMBER(SEARCH("R129",G443))*129,0)+IFERROR(--ISNUMBER(SEARCH("R130",G443))*130,0)+IFERROR(--ISNUMBER(SEARCH("R131",G443))*131,0)+IFERROR(--ISNUMBER(SEARCH("R132",G443))*132,0)+IFERROR(--ISNUMBER(SEARCH("R133",G443))*133,0)+IFERROR(--ISNUMBER(SEARCH("R134",G443))*134,0)+IFERROR(--ISNUMBER(SEARCH("R135",G443))*135,0)+IFERROR(--ISNUMBER(SEARCH("R136",G443))*136,0)+IFERROR(--ISNUMBER(SEARCH("R137",G443))*137,0)+IFERROR(--ISNUMBER(SEARCH("R138",G443))*138,0)+IFERROR(--ISNUMBER(SEARCH("R139",G443))*139,0)+IFERROR(--ISNUMBER(SEARCH("R140",G443))*140,0)+IFERROR(--ISNUMBER(SEARCH("R141",G443))*141,0))</f>
        <v/>
      </c>
      <c r="V443" s="59">
        <f>IF(A443="","",IF(K443&lt;&gt;"",K443,J443))</f>
        <v/>
      </c>
      <c r="W443" s="59">
        <f>IF(A443="","",IF(AND(V443=29,O443&lt;&gt;"",COUNTIFS($V$6:$V$505,29,$F$6:$F$505,F443,$C$6:$C$505,C443,$O$6:$O$505,"&lt;&gt;")&gt;1),IF(COUNTIFS($V$6:V443,29,$F$6:F443,F443,$C$6:C443,C443,$O$6:O443,"&lt;&gt;")=1,"Esta es la fila que se debe CONSERVAR (aparición 1 de "&amp;COUNTIFS($V$6:$V$505,29,$F$6:$F$505,F443,$C$6:$C$505,C443,$O$6:$O$505,"&lt;&gt;")&amp;" con el mismo tercero y valor, casilla 29). Si hay más filas iguales, bórreles el valor a ELLAS, no a esta.","DUPLICADO — ya existe otra fila con el mismo tercero y valor para casilla 29 (aparición "&amp;COUNTIFS($V$6:V443,29,$F$6:F443,F443,$C$6:C443,C443,$O$6:O443,"&lt;&gt;")&amp;" de "&amp;COUNTIFS($V$6:$V$505,29,$F$6:$F$505,F443,$C$6:$C$505,C443,$O$6:$O$505,"&lt;&gt;")&amp;"). Para resolverlo: seleccione la celda O"&amp;ROW()&amp;" (columna Valor a declarar de ESTA fila) y presione Supr."),""))</f>
        <v/>
      </c>
      <c r="X443" s="463">
        <f>IF(A443="","",F443)</f>
        <v/>
      </c>
      <c r="Y443" s="463">
        <f>IF(A443="","",SUMIF(Entrada_Manual!$I$88:$I$187,A443,Entrada_Manual!$F$88:$F$187))</f>
        <v/>
      </c>
      <c r="Z443" s="463">
        <f>IF(A443="","",X443-Y443)</f>
        <v/>
      </c>
      <c r="AA443">
        <f>IF(A443="","",SUMPRODUCT((Entrada_Manual!$I$88:$I$187=A443)*1))</f>
        <v/>
      </c>
      <c r="AB443">
        <f>IF(A443="","",IF(S443&lt;=1,"",IF(AA443=0,"PENDIENTE — SIN ASIGNAR",IF(Z443=0,"RESUELTO","PARCIAL — DIFERENCIA "&amp;TEXT(Z443,"#,##0")))))</f>
        <v/>
      </c>
    </row>
    <row r="444" ht="14.25" customHeight="1" s="235">
      <c r="A444" s="47">
        <f>IF(Exogena_RAW!E453&lt;&gt;"",ROW()-5,"")</f>
        <v/>
      </c>
      <c r="B444" s="48">
        <f>IF(A444="","",453)</f>
        <v/>
      </c>
      <c r="C444" s="48">
        <f>IF(A444="","",IFERROR(Exogena_RAW!A453,""))</f>
        <v/>
      </c>
      <c r="D444" s="48">
        <f>IF(A444="","",IFERROR(Exogena_RAW!B453,""))</f>
        <v/>
      </c>
      <c r="E444" s="48">
        <f>IF(A444="","",Exogena_RAW!E453)</f>
        <v/>
      </c>
      <c r="F444" s="461">
        <f>IF(A444="","",Exogena_RAW!F453)</f>
        <v/>
      </c>
      <c r="G444" s="48">
        <f>IF(A444="","",IFERROR(Exogena_RAW!G453,""))</f>
        <v/>
      </c>
      <c r="H444" s="48">
        <f>IF(A444="","",IFERROR(Exogena_RAW!H453,""))</f>
        <v/>
      </c>
      <c r="I444" s="48">
        <f>IF(A444="","",IFERROR(IF(S444&gt;1,"VARIAS CASILLAS",IF(S444=1,IF(T444=1,"PROPUESTA DE CASILLA","REVISIÓN: CASILLA NO DIRECTA"),IF(OR(ISNUMBER(SEARCH("TOPE",UPPER(E444))),ISNUMBER(SEARCH("TOPE",UPPER(G444)))),"SOLO CONTROL",IF(ISNUMBER(SEARCH("RETEN",UPPER(E444))),"RETENCIÓN","REVISAR")))),"REVISAR"))</f>
        <v/>
      </c>
      <c r="J444" s="48">
        <f>IF(A444="","",IF(ISNUMBER(SEARCH("ingreso laboral promedio de los últimos seis meses",E444)),"",IFERROR(IF(AND(S444=1,T444=1),U444,""),"")))</f>
        <v/>
      </c>
      <c r="K444" s="216" t="n"/>
      <c r="L444" s="48">
        <f>IF(A444="","",IFERROR(IF(K444&lt;&gt;"","Casilla elegida por usuario",IF(S444&gt;1,"Varias casillas — elegir en K",IF(J444&lt;&gt;"","Sugerencia directa",IF(S444=1,"No trasladar directo — revisar",IF(OR(ISNUMBER(SEARCH("TOPE",UPPER(E444))),ISNUMBER(SEARCH("TOPE",UPPER(G444)))),"Solo control","Revisar manualmente"))))),"Revisar manualmente"))</f>
        <v/>
      </c>
      <c r="M444" s="461">
        <f>IF(A444="","",IF(IF(K444&lt;&gt;"",K444,J444)="",0,IF(COUNTIFS(Reglas!$I$5:$I$118,IF(K444&lt;&gt;"",K444,J444),Reglas!$J$5:$J$118,"Sí")=1,F444,0)))</f>
        <v/>
      </c>
      <c r="N444" s="56" t="n"/>
      <c r="O444" s="462">
        <f>IF(A444="","",IF(M444=0,"",M444))</f>
        <v/>
      </c>
      <c r="P444" s="461">
        <f>IF(A444="","",IF(O444="",0,IF(ISNUMBER(O444),O444,0)))</f>
        <v/>
      </c>
      <c r="Q444" s="48">
        <f>IF(A444="","",IF(Exogena_RAW!$C$4="","BLOQUEADO: FALTA AÑO",IF(Exogena_RAW!$K$10&lt;&gt;Reglas!$B$5,"BLOQUEADO: AÑO",IF(IF(K444&lt;&gt;"",K444,J444)="",IF(S444&gt;1,"REQUIERE ASIGNACIÓN MANUAL (VARIAS CASILLAS)","INFORMATIVO (sin casilla — no se declara)"),IF(COUNTIFS(Reglas!$I$5:$I$118,IF(K444&lt;&gt;"",K444,J444),Reglas!$J$5:$J$118,"Sí")=0,"BLOQUEADO: CASILLA NO DIRECTA",IF(O444="","EXCLUIDO (valor borrado por el usuario)",IF(_xlfn.ISFORMULA(O444),IF(W444&lt;&gt;"","BORRADOR — VALOR SUGERIDO DIAN ⚠ VER ALERTA","BORRADOR — VALOR SUGERIDO DIAN"),IF(W444&lt;&gt;"","ACEPTADO ⚠ VER ALERTA","ACEPTADO"))))))))</f>
        <v/>
      </c>
      <c r="R444" s="218" t="n"/>
      <c r="S444" s="58">
        <f>IF(A444="","",IFERROR(--ISNUMBER(SEARCH("R28",G444)),0)+IFERROR(--ISNUMBER(SEARCH("R29",G444)),0)+IFERROR(--ISNUMBER(SEARCH("R30",G444)),0)+IFERROR(--ISNUMBER(SEARCH("R31",G444)),0)+IFERROR(--ISNUMBER(SEARCH("R32",G444)),0)+IFERROR(--ISNUMBER(SEARCH("R33",G444)),0)+IFERROR(--ISNUMBER(SEARCH("R34",G444)),0)+IFERROR(--ISNUMBER(SEARCH("R35",G444)),0)+IFERROR(--ISNUMBER(SEARCH("R36",G444)),0)+IFERROR(--ISNUMBER(SEARCH("R37",G444)),0)+IFERROR(--ISNUMBER(SEARCH("R38",G444)),0)+IFERROR(--ISNUMBER(SEARCH("R39",G444)),0)+IFERROR(--ISNUMBER(SEARCH("R40",G444)),0)+IFERROR(--ISNUMBER(SEARCH("R41",G444)),0)+IFERROR(--ISNUMBER(SEARCH("R42",G444)),0)+IFERROR(--ISNUMBER(SEARCH("R43",G444)),0)+IFERROR(--ISNUMBER(SEARCH("R44",G444)),0)+IFERROR(--ISNUMBER(SEARCH("R45",G444)),0)+IFERROR(--ISNUMBER(SEARCH("R46",G444)),0)+IFERROR(--ISNUMBER(SEARCH("R47",G444)),0)+IFERROR(--ISNUMBER(SEARCH("R48",G444)),0)+IFERROR(--ISNUMBER(SEARCH("R49",G444)),0)+IFERROR(--ISNUMBER(SEARCH("R50",G444)),0)+IFERROR(--ISNUMBER(SEARCH("R51",G444)),0)+IFERROR(--ISNUMBER(SEARCH("R52",G444)),0)+IFERROR(--ISNUMBER(SEARCH("R53",G444)),0)+IFERROR(--ISNUMBER(SEARCH("R54",G444)),0)+IFERROR(--ISNUMBER(SEARCH("R55",G444)),0)+IFERROR(--ISNUMBER(SEARCH("R56",G444)),0)+IFERROR(--ISNUMBER(SEARCH("R57",G444)),0)+IFERROR(--ISNUMBER(SEARCH("R58",G444)),0)+IFERROR(--ISNUMBER(SEARCH("R59",G444)),0)+IFERROR(--ISNUMBER(SEARCH("R60",G444)),0)+IFERROR(--ISNUMBER(SEARCH("R61",G444)),0)+IFERROR(--ISNUMBER(SEARCH("R62",G444)),0)+IFERROR(--ISNUMBER(SEARCH("R63",G444)),0)+IFERROR(--ISNUMBER(SEARCH("R64",G444)),0)+IFERROR(--ISNUMBER(SEARCH("R65",G444)),0)+IFERROR(--ISNUMBER(SEARCH("R66",G444)),0)+IFERROR(--ISNUMBER(SEARCH("R67",G444)),0)+IFERROR(--ISNUMBER(SEARCH("R68",G444)),0)+IFERROR(--ISNUMBER(SEARCH("R69",G444)),0)+IFERROR(--ISNUMBER(SEARCH("R70",G444)),0)+IFERROR(--ISNUMBER(SEARCH("R71",G444)),0)+IFERROR(--ISNUMBER(SEARCH("R72",G444)),0)+IFERROR(--ISNUMBER(SEARCH("R73",G444)),0)+IFERROR(--ISNUMBER(SEARCH("R74",G444)),0)+IFERROR(--ISNUMBER(SEARCH("R75",G444)),0)+IFERROR(--ISNUMBER(SEARCH("R76",G444)),0)+IFERROR(--ISNUMBER(SEARCH("R77",G444)),0)+IFERROR(--ISNUMBER(SEARCH("R78",G444)),0)+IFERROR(--ISNUMBER(SEARCH("R79",G444)),0)+IFERROR(--ISNUMBER(SEARCH("R80",G444)),0)+IFERROR(--ISNUMBER(SEARCH("R81",G444)),0)+IFERROR(--ISNUMBER(SEARCH("R82",G444)),0)+IFERROR(--ISNUMBER(SEARCH("R83",G444)),0)+IFERROR(--ISNUMBER(SEARCH("R84",G444)),0)+IFERROR(--ISNUMBER(SEARCH("R85",G444)),0)+IFERROR(--ISNUMBER(SEARCH("R86",G444)),0)+IFERROR(--ISNUMBER(SEARCH("R87",G444)),0)+IFERROR(--ISNUMBER(SEARCH("R88",G444)),0)+IFERROR(--ISNUMBER(SEARCH("R89",G444)),0)+IFERROR(--ISNUMBER(SEARCH("R90",G444)),0)+IFERROR(--ISNUMBER(SEARCH("R91",G444)),0)+IFERROR(--ISNUMBER(SEARCH("R92",G444)),0)+IFERROR(--ISNUMBER(SEARCH("R93",G444)),0)+IFERROR(--ISNUMBER(SEARCH("R94",G444)),0)+IFERROR(--ISNUMBER(SEARCH("R95",G444)),0)+IFERROR(--ISNUMBER(SEARCH("R96",G444)),0)+IFERROR(--ISNUMBER(SEARCH("R97",G444)),0)+IFERROR(--ISNUMBER(SEARCH("R98",G444)),0)+IFERROR(--ISNUMBER(SEARCH("R99",G444)),0)+IFERROR(--ISNUMBER(SEARCH("R100",G444)),0)+IFERROR(--ISNUMBER(SEARCH("R101",G444)),0)+IFERROR(--ISNUMBER(SEARCH("R102",G444)),0)+IFERROR(--ISNUMBER(SEARCH("R103",G444)),0)+IFERROR(--ISNUMBER(SEARCH("R104",G444)),0)+IFERROR(--ISNUMBER(SEARCH("R105",G444)),0)+IFERROR(--ISNUMBER(SEARCH("R106",G444)),0)+IFERROR(--ISNUMBER(SEARCH("R107",G444)),0)+IFERROR(--ISNUMBER(SEARCH("R108",G444)),0)+IFERROR(--ISNUMBER(SEARCH("R109",G444)),0)+IFERROR(--ISNUMBER(SEARCH("R110",G444)),0)+IFERROR(--ISNUMBER(SEARCH("R111",G444)),0)+IFERROR(--ISNUMBER(SEARCH("R112",G444)),0)+IFERROR(--ISNUMBER(SEARCH("R113",G444)),0)+IFERROR(--ISNUMBER(SEARCH("R114",G444)),0)+IFERROR(--ISNUMBER(SEARCH("R115",G444)),0)+IFERROR(--ISNUMBER(SEARCH("R116",G444)),0)+IFERROR(--ISNUMBER(SEARCH("R117",G444)),0)+IFERROR(--ISNUMBER(SEARCH("R118",G444)),0)+IFERROR(--ISNUMBER(SEARCH("R119",G444)),0)+IFERROR(--ISNUMBER(SEARCH("R120",G444)),0)+IFERROR(--ISNUMBER(SEARCH("R121",G444)),0)+IFERROR(--ISNUMBER(SEARCH("R122",G444)),0)+IFERROR(--ISNUMBER(SEARCH("R123",G444)),0)+IFERROR(--ISNUMBER(SEARCH("R124",G444)),0)+IFERROR(--ISNUMBER(SEARCH("R125",G444)),0)+IFERROR(--ISNUMBER(SEARCH("R126",G444)),0)+IFERROR(--ISNUMBER(SEARCH("R127",G444)),0)+IFERROR(--ISNUMBER(SEARCH("R128",G444)),0)+IFERROR(--ISNUMBER(SEARCH("R129",G444)),0)+IFERROR(--ISNUMBER(SEARCH("R130",G444)),0)+IFERROR(--ISNUMBER(SEARCH("R131",G444)),0)+IFERROR(--ISNUMBER(SEARCH("R132",G444)),0)+IFERROR(--ISNUMBER(SEARCH("R133",G444)),0)+IFERROR(--ISNUMBER(SEARCH("R134",G444)),0)+IFERROR(--ISNUMBER(SEARCH("R135",G444)),0)+IFERROR(--ISNUMBER(SEARCH("R136",G444)),0)+IFERROR(--ISNUMBER(SEARCH("R137",G444)),0)+IFERROR(--ISNUMBER(SEARCH("R138",G444)),0)+IFERROR(--ISNUMBER(SEARCH("R139",G444)),0)+IFERROR(--ISNUMBER(SEARCH("R140",G444)),0)+IFERROR(--ISNUMBER(SEARCH("R141",G444)),0))</f>
        <v/>
      </c>
      <c r="T444" s="58">
        <f>IF(A444="","",IFERROR(--ISNUMBER(SEARCH("R28",G444)),0)+IFERROR(--ISNUMBER(SEARCH("R29",G444)),0)+IFERROR(--ISNUMBER(SEARCH("R30",G444)),0)+IFERROR(--ISNUMBER(SEARCH("R32",G444)),0)+IFERROR(--ISNUMBER(SEARCH("R33",G444)),0)+IFERROR(--ISNUMBER(SEARCH("R35",G444)),0)+IFERROR(--ISNUMBER(SEARCH("R36",G444)),0)+IFERROR(--ISNUMBER(SEARCH("R38",G444)),0)+IFERROR(--ISNUMBER(SEARCH("R39",G444)),0)+IFERROR(--ISNUMBER(SEARCH("R43",G444)),0)+IFERROR(--ISNUMBER(SEARCH("R44",G444)),0)+IFERROR(--ISNUMBER(SEARCH("R45",G444)),0)+IFERROR(--ISNUMBER(SEARCH("R47",G444)),0)+IFERROR(--ISNUMBER(SEARCH("R48",G444)),0)+IFERROR(--ISNUMBER(SEARCH("R50",G444)),0)+IFERROR(--ISNUMBER(SEARCH("R51",G444)),0)+IFERROR(--ISNUMBER(SEARCH("R56",G444)),0)+IFERROR(--ISNUMBER(SEARCH("R58",G444)),0)+IFERROR(--ISNUMBER(SEARCH("R59",G444)),0)+IFERROR(--ISNUMBER(SEARCH("R60",G444)),0)+IFERROR(--ISNUMBER(SEARCH("R62",G444)),0)+IFERROR(--ISNUMBER(SEARCH("R63",G444)),0)+IFERROR(--ISNUMBER(SEARCH("R64",G444)),0)+IFERROR(--ISNUMBER(SEARCH("R66",G444)),0)+IFERROR(--ISNUMBER(SEARCH("R67",G444)),0)+IFERROR(--ISNUMBER(SEARCH("R72",G444)),0)+IFERROR(--ISNUMBER(SEARCH("R74",G444)),0)+IFERROR(--ISNUMBER(SEARCH("R75",G444)),0)+IFERROR(--ISNUMBER(SEARCH("R76",G444)),0)+IFERROR(--ISNUMBER(SEARCH("R77",G444)),0)+IFERROR(--ISNUMBER(SEARCH("R79",G444)),0)+IFERROR(--ISNUMBER(SEARCH("R80",G444)),0)+IFERROR(--ISNUMBER(SEARCH("R81",G444)),0)+IFERROR(--ISNUMBER(SEARCH("R83",G444)),0)+IFERROR(--ISNUMBER(SEARCH("R84",G444)),0)+IFERROR(--ISNUMBER(SEARCH("R89",G444)),0)+IFERROR(--ISNUMBER(SEARCH("R94",G444)),0)+IFERROR(--ISNUMBER(SEARCH("R95",G444)),0)+IFERROR(--ISNUMBER(SEARCH("R96",G444)),0)+IFERROR(--ISNUMBER(SEARCH("R98",G444)),0)+IFERROR(--ISNUMBER(SEARCH("R99",G444)),0)+IFERROR(--ISNUMBER(SEARCH("R100",G444)),0)+IFERROR(--ISNUMBER(SEARCH("R104",G444)),0)+IFERROR(--ISNUMBER(SEARCH("R105",G444)),0)+IFERROR(--ISNUMBER(SEARCH("R107",G444)),0)+IFERROR(--ISNUMBER(SEARCH("R108",G444)),0)+IFERROR(--ISNUMBER(SEARCH("R109",G444)),0)+IFERROR(--ISNUMBER(SEARCH("R110",G444)),0)+IFERROR(--ISNUMBER(SEARCH("R112",G444)),0)+IFERROR(--ISNUMBER(SEARCH("R113",G444)),0)+IFERROR(--ISNUMBER(SEARCH("R114",G444)),0)+IFERROR(--ISNUMBER(SEARCH("R118",G444)),0)+IFERROR(--ISNUMBER(SEARCH("R119",G444)),0)+IFERROR(--ISNUMBER(SEARCH("R120",G444)),0)+IFERROR(--ISNUMBER(SEARCH("R122",G444)),0)+IFERROR(--ISNUMBER(SEARCH("R123",G444)),0)+IFERROR(--ISNUMBER(SEARCH("R124",G444)),0)+IFERROR(--ISNUMBER(SEARCH("R128",G444)),0)+IFERROR(--ISNUMBER(SEARCH("R130",G444)),0)+IFERROR(--ISNUMBER(SEARCH("R131",G444)),0)+IFERROR(--ISNUMBER(SEARCH("R132",G444)),0)+IFERROR(--ISNUMBER(SEARCH("R135",G444)),0)+IFERROR(--ISNUMBER(SEARCH("R138",G444)),0)+IFERROR(--ISNUMBER(SEARCH("R141",G444)),0))</f>
        <v/>
      </c>
      <c r="U444" s="58">
        <f>IF(A444="","",IFERROR(--ISNUMBER(SEARCH("R28",G444))*28,0)+IFERROR(--ISNUMBER(SEARCH("R29",G444))*29,0)+IFERROR(--ISNUMBER(SEARCH("R30",G444))*30,0)+IFERROR(--ISNUMBER(SEARCH("R31",G444))*31,0)+IFERROR(--ISNUMBER(SEARCH("R32",G444))*32,0)+IFERROR(--ISNUMBER(SEARCH("R33",G444))*33,0)+IFERROR(--ISNUMBER(SEARCH("R34",G444))*34,0)+IFERROR(--ISNUMBER(SEARCH("R35",G444))*35,0)+IFERROR(--ISNUMBER(SEARCH("R36",G444))*36,0)+IFERROR(--ISNUMBER(SEARCH("R37",G444))*37,0)+IFERROR(--ISNUMBER(SEARCH("R38",G444))*38,0)+IFERROR(--ISNUMBER(SEARCH("R39",G444))*39,0)+IFERROR(--ISNUMBER(SEARCH("R40",G444))*40,0)+IFERROR(--ISNUMBER(SEARCH("R41",G444))*41,0)+IFERROR(--ISNUMBER(SEARCH("R42",G444))*42,0)+IFERROR(--ISNUMBER(SEARCH("R43",G444))*43,0)+IFERROR(--ISNUMBER(SEARCH("R44",G444))*44,0)+IFERROR(--ISNUMBER(SEARCH("R45",G444))*45,0)+IFERROR(--ISNUMBER(SEARCH("R46",G444))*46,0)+IFERROR(--ISNUMBER(SEARCH("R47",G444))*47,0)+IFERROR(--ISNUMBER(SEARCH("R48",G444))*48,0)+IFERROR(--ISNUMBER(SEARCH("R49",G444))*49,0)+IFERROR(--ISNUMBER(SEARCH("R50",G444))*50,0)+IFERROR(--ISNUMBER(SEARCH("R51",G444))*51,0)+IFERROR(--ISNUMBER(SEARCH("R52",G444))*52,0)+IFERROR(--ISNUMBER(SEARCH("R53",G444))*53,0)+IFERROR(--ISNUMBER(SEARCH("R54",G444))*54,0)+IFERROR(--ISNUMBER(SEARCH("R55",G444))*55,0)+IFERROR(--ISNUMBER(SEARCH("R56",G444))*56,0)+IFERROR(--ISNUMBER(SEARCH("R57",G444))*57,0)+IFERROR(--ISNUMBER(SEARCH("R58",G444))*58,0)+IFERROR(--ISNUMBER(SEARCH("R59",G444))*59,0)+IFERROR(--ISNUMBER(SEARCH("R60",G444))*60,0)+IFERROR(--ISNUMBER(SEARCH("R61",G444))*61,0)+IFERROR(--ISNUMBER(SEARCH("R62",G444))*62,0)+IFERROR(--ISNUMBER(SEARCH("R63",G444))*63,0)+IFERROR(--ISNUMBER(SEARCH("R64",G444))*64,0)+IFERROR(--ISNUMBER(SEARCH("R65",G444))*65,0)+IFERROR(--ISNUMBER(SEARCH("R66",G444))*66,0)+IFERROR(--ISNUMBER(SEARCH("R67",G444))*67,0)+IFERROR(--ISNUMBER(SEARCH("R68",G444))*68,0)+IFERROR(--ISNUMBER(SEARCH("R69",G444))*69,0)+IFERROR(--ISNUMBER(SEARCH("R70",G444))*70,0)+IFERROR(--ISNUMBER(SEARCH("R71",G444))*71,0)+IFERROR(--ISNUMBER(SEARCH("R72",G444))*72,0)+IFERROR(--ISNUMBER(SEARCH("R73",G444))*73,0)+IFERROR(--ISNUMBER(SEARCH("R74",G444))*74,0)+IFERROR(--ISNUMBER(SEARCH("R75",G444))*75,0)+IFERROR(--ISNUMBER(SEARCH("R76",G444))*76,0)+IFERROR(--ISNUMBER(SEARCH("R77",G444))*77,0)+IFERROR(--ISNUMBER(SEARCH("R78",G444))*78,0)+IFERROR(--ISNUMBER(SEARCH("R79",G444))*79,0)+IFERROR(--ISNUMBER(SEARCH("R80",G444))*80,0)+IFERROR(--ISNUMBER(SEARCH("R81",G444))*81,0)+IFERROR(--ISNUMBER(SEARCH("R82",G444))*82,0)+IFERROR(--ISNUMBER(SEARCH("R83",G444))*83,0)+IFERROR(--ISNUMBER(SEARCH("R84",G444))*84,0)+IFERROR(--ISNUMBER(SEARCH("R85",G444))*85,0)+IFERROR(--ISNUMBER(SEARCH("R86",G444))*86,0)+IFERROR(--ISNUMBER(SEARCH("R87",G444))*87,0)+IFERROR(--ISNUMBER(SEARCH("R88",G444))*88,0)+IFERROR(--ISNUMBER(SEARCH("R89",G444))*89,0)+IFERROR(--ISNUMBER(SEARCH("R90",G444))*90,0)+IFERROR(--ISNUMBER(SEARCH("R91",G444))*91,0)+IFERROR(--ISNUMBER(SEARCH("R92",G444))*92,0)+IFERROR(--ISNUMBER(SEARCH("R93",G444))*93,0)+IFERROR(--ISNUMBER(SEARCH("R94",G444))*94,0)+IFERROR(--ISNUMBER(SEARCH("R95",G444))*95,0)+IFERROR(--ISNUMBER(SEARCH("R96",G444))*96,0)+IFERROR(--ISNUMBER(SEARCH("R97",G444))*97,0)+IFERROR(--ISNUMBER(SEARCH("R98",G444))*98,0)+IFERROR(--ISNUMBER(SEARCH("R99",G444))*99,0)+IFERROR(--ISNUMBER(SEARCH("R100",G444))*100,0)+IFERROR(--ISNUMBER(SEARCH("R101",G444))*101,0)+IFERROR(--ISNUMBER(SEARCH("R102",G444))*102,0)+IFERROR(--ISNUMBER(SEARCH("R103",G444))*103,0)+IFERROR(--ISNUMBER(SEARCH("R104",G444))*104,0)+IFERROR(--ISNUMBER(SEARCH("R105",G444))*105,0)+IFERROR(--ISNUMBER(SEARCH("R106",G444))*106,0)+IFERROR(--ISNUMBER(SEARCH("R107",G444))*107,0)+IFERROR(--ISNUMBER(SEARCH("R108",G444))*108,0)+IFERROR(--ISNUMBER(SEARCH("R109",G444))*109,0)+IFERROR(--ISNUMBER(SEARCH("R110",G444))*110,0)+IFERROR(--ISNUMBER(SEARCH("R111",G444))*111,0)+IFERROR(--ISNUMBER(SEARCH("R112",G444))*112,0)+IFERROR(--ISNUMBER(SEARCH("R113",G444))*113,0)+IFERROR(--ISNUMBER(SEARCH("R114",G444))*114,0)+IFERROR(--ISNUMBER(SEARCH("R115",G444))*115,0)+IFERROR(--ISNUMBER(SEARCH("R116",G444))*116,0)+IFERROR(--ISNUMBER(SEARCH("R117",G444))*117,0)+IFERROR(--ISNUMBER(SEARCH("R118",G444))*118,0)+IFERROR(--ISNUMBER(SEARCH("R119",G444))*119,0)+IFERROR(--ISNUMBER(SEARCH("R120",G444))*120,0)+IFERROR(--ISNUMBER(SEARCH("R121",G444))*121,0)+IFERROR(--ISNUMBER(SEARCH("R122",G444))*122,0)+IFERROR(--ISNUMBER(SEARCH("R123",G444))*123,0)+IFERROR(--ISNUMBER(SEARCH("R124",G444))*124,0)+IFERROR(--ISNUMBER(SEARCH("R125",G444))*125,0)+IFERROR(--ISNUMBER(SEARCH("R126",G444))*126,0)+IFERROR(--ISNUMBER(SEARCH("R127",G444))*127,0)+IFERROR(--ISNUMBER(SEARCH("R128",G444))*128,0)+IFERROR(--ISNUMBER(SEARCH("R129",G444))*129,0)+IFERROR(--ISNUMBER(SEARCH("R130",G444))*130,0)+IFERROR(--ISNUMBER(SEARCH("R131",G444))*131,0)+IFERROR(--ISNUMBER(SEARCH("R132",G444))*132,0)+IFERROR(--ISNUMBER(SEARCH("R133",G444))*133,0)+IFERROR(--ISNUMBER(SEARCH("R134",G444))*134,0)+IFERROR(--ISNUMBER(SEARCH("R135",G444))*135,0)+IFERROR(--ISNUMBER(SEARCH("R136",G444))*136,0)+IFERROR(--ISNUMBER(SEARCH("R137",G444))*137,0)+IFERROR(--ISNUMBER(SEARCH("R138",G444))*138,0)+IFERROR(--ISNUMBER(SEARCH("R139",G444))*139,0)+IFERROR(--ISNUMBER(SEARCH("R140",G444))*140,0)+IFERROR(--ISNUMBER(SEARCH("R141",G444))*141,0))</f>
        <v/>
      </c>
      <c r="V444" s="59">
        <f>IF(A444="","",IF(K444&lt;&gt;"",K444,J444))</f>
        <v/>
      </c>
      <c r="W444" s="59">
        <f>IF(A444="","",IF(AND(V444=29,O444&lt;&gt;"",COUNTIFS($V$6:$V$505,29,$F$6:$F$505,F444,$C$6:$C$505,C444,$O$6:$O$505,"&lt;&gt;")&gt;1),IF(COUNTIFS($V$6:V444,29,$F$6:F444,F444,$C$6:C444,C444,$O$6:O444,"&lt;&gt;")=1,"Esta es la fila que se debe CONSERVAR (aparición 1 de "&amp;COUNTIFS($V$6:$V$505,29,$F$6:$F$505,F444,$C$6:$C$505,C444,$O$6:$O$505,"&lt;&gt;")&amp;" con el mismo tercero y valor, casilla 29). Si hay más filas iguales, bórreles el valor a ELLAS, no a esta.","DUPLICADO — ya existe otra fila con el mismo tercero y valor para casilla 29 (aparición "&amp;COUNTIFS($V$6:V444,29,$F$6:F444,F444,$C$6:C444,C444,$O$6:O444,"&lt;&gt;")&amp;" de "&amp;COUNTIFS($V$6:$V$505,29,$F$6:$F$505,F444,$C$6:$C$505,C444,$O$6:$O$505,"&lt;&gt;")&amp;"). Para resolverlo: seleccione la celda O"&amp;ROW()&amp;" (columna Valor a declarar de ESTA fila) y presione Supr."),""))</f>
        <v/>
      </c>
      <c r="X444" s="463">
        <f>IF(A444="","",F444)</f>
        <v/>
      </c>
      <c r="Y444" s="463">
        <f>IF(A444="","",SUMIF(Entrada_Manual!$I$88:$I$187,A444,Entrada_Manual!$F$88:$F$187))</f>
        <v/>
      </c>
      <c r="Z444" s="463">
        <f>IF(A444="","",X444-Y444)</f>
        <v/>
      </c>
      <c r="AA444">
        <f>IF(A444="","",SUMPRODUCT((Entrada_Manual!$I$88:$I$187=A444)*1))</f>
        <v/>
      </c>
      <c r="AB444">
        <f>IF(A444="","",IF(S444&lt;=1,"",IF(AA444=0,"PENDIENTE — SIN ASIGNAR",IF(Z444=0,"RESUELTO","PARCIAL — DIFERENCIA "&amp;TEXT(Z444,"#,##0")))))</f>
        <v/>
      </c>
    </row>
    <row r="445" ht="14.25" customHeight="1" s="235">
      <c r="A445" s="47">
        <f>IF(Exogena_RAW!E454&lt;&gt;"",ROW()-5,"")</f>
        <v/>
      </c>
      <c r="B445" s="48">
        <f>IF(A445="","",454)</f>
        <v/>
      </c>
      <c r="C445" s="48">
        <f>IF(A445="","",IFERROR(Exogena_RAW!A454,""))</f>
        <v/>
      </c>
      <c r="D445" s="48">
        <f>IF(A445="","",IFERROR(Exogena_RAW!B454,""))</f>
        <v/>
      </c>
      <c r="E445" s="48">
        <f>IF(A445="","",Exogena_RAW!E454)</f>
        <v/>
      </c>
      <c r="F445" s="461">
        <f>IF(A445="","",Exogena_RAW!F454)</f>
        <v/>
      </c>
      <c r="G445" s="48">
        <f>IF(A445="","",IFERROR(Exogena_RAW!G454,""))</f>
        <v/>
      </c>
      <c r="H445" s="48">
        <f>IF(A445="","",IFERROR(Exogena_RAW!H454,""))</f>
        <v/>
      </c>
      <c r="I445" s="48">
        <f>IF(A445="","",IFERROR(IF(S445&gt;1,"VARIAS CASILLAS",IF(S445=1,IF(T445=1,"PROPUESTA DE CASILLA","REVISIÓN: CASILLA NO DIRECTA"),IF(OR(ISNUMBER(SEARCH("TOPE",UPPER(E445))),ISNUMBER(SEARCH("TOPE",UPPER(G445)))),"SOLO CONTROL",IF(ISNUMBER(SEARCH("RETEN",UPPER(E445))),"RETENCIÓN","REVISAR")))),"REVISAR"))</f>
        <v/>
      </c>
      <c r="J445" s="48">
        <f>IF(A445="","",IF(ISNUMBER(SEARCH("ingreso laboral promedio de los últimos seis meses",E445)),"",IFERROR(IF(AND(S445=1,T445=1),U445,""),"")))</f>
        <v/>
      </c>
      <c r="K445" s="216" t="n"/>
      <c r="L445" s="48">
        <f>IF(A445="","",IFERROR(IF(K445&lt;&gt;"","Casilla elegida por usuario",IF(S445&gt;1,"Varias casillas — elegir en K",IF(J445&lt;&gt;"","Sugerencia directa",IF(S445=1,"No trasladar directo — revisar",IF(OR(ISNUMBER(SEARCH("TOPE",UPPER(E445))),ISNUMBER(SEARCH("TOPE",UPPER(G445)))),"Solo control","Revisar manualmente"))))),"Revisar manualmente"))</f>
        <v/>
      </c>
      <c r="M445" s="461">
        <f>IF(A445="","",IF(IF(K445&lt;&gt;"",K445,J445)="",0,IF(COUNTIFS(Reglas!$I$5:$I$118,IF(K445&lt;&gt;"",K445,J445),Reglas!$J$5:$J$118,"Sí")=1,F445,0)))</f>
        <v/>
      </c>
      <c r="N445" s="56" t="n"/>
      <c r="O445" s="462">
        <f>IF(A445="","",IF(M445=0,"",M445))</f>
        <v/>
      </c>
      <c r="P445" s="461">
        <f>IF(A445="","",IF(O445="",0,IF(ISNUMBER(O445),O445,0)))</f>
        <v/>
      </c>
      <c r="Q445" s="48">
        <f>IF(A445="","",IF(Exogena_RAW!$C$4="","BLOQUEADO: FALTA AÑO",IF(Exogena_RAW!$K$10&lt;&gt;Reglas!$B$5,"BLOQUEADO: AÑO",IF(IF(K445&lt;&gt;"",K445,J445)="",IF(S445&gt;1,"REQUIERE ASIGNACIÓN MANUAL (VARIAS CASILLAS)","INFORMATIVO (sin casilla — no se declara)"),IF(COUNTIFS(Reglas!$I$5:$I$118,IF(K445&lt;&gt;"",K445,J445),Reglas!$J$5:$J$118,"Sí")=0,"BLOQUEADO: CASILLA NO DIRECTA",IF(O445="","EXCLUIDO (valor borrado por el usuario)",IF(_xlfn.ISFORMULA(O445),IF(W445&lt;&gt;"","BORRADOR — VALOR SUGERIDO DIAN ⚠ VER ALERTA","BORRADOR — VALOR SUGERIDO DIAN"),IF(W445&lt;&gt;"","ACEPTADO ⚠ VER ALERTA","ACEPTADO"))))))))</f>
        <v/>
      </c>
      <c r="R445" s="218" t="n"/>
      <c r="S445" s="58">
        <f>IF(A445="","",IFERROR(--ISNUMBER(SEARCH("R28",G445)),0)+IFERROR(--ISNUMBER(SEARCH("R29",G445)),0)+IFERROR(--ISNUMBER(SEARCH("R30",G445)),0)+IFERROR(--ISNUMBER(SEARCH("R31",G445)),0)+IFERROR(--ISNUMBER(SEARCH("R32",G445)),0)+IFERROR(--ISNUMBER(SEARCH("R33",G445)),0)+IFERROR(--ISNUMBER(SEARCH("R34",G445)),0)+IFERROR(--ISNUMBER(SEARCH("R35",G445)),0)+IFERROR(--ISNUMBER(SEARCH("R36",G445)),0)+IFERROR(--ISNUMBER(SEARCH("R37",G445)),0)+IFERROR(--ISNUMBER(SEARCH("R38",G445)),0)+IFERROR(--ISNUMBER(SEARCH("R39",G445)),0)+IFERROR(--ISNUMBER(SEARCH("R40",G445)),0)+IFERROR(--ISNUMBER(SEARCH("R41",G445)),0)+IFERROR(--ISNUMBER(SEARCH("R42",G445)),0)+IFERROR(--ISNUMBER(SEARCH("R43",G445)),0)+IFERROR(--ISNUMBER(SEARCH("R44",G445)),0)+IFERROR(--ISNUMBER(SEARCH("R45",G445)),0)+IFERROR(--ISNUMBER(SEARCH("R46",G445)),0)+IFERROR(--ISNUMBER(SEARCH("R47",G445)),0)+IFERROR(--ISNUMBER(SEARCH("R48",G445)),0)+IFERROR(--ISNUMBER(SEARCH("R49",G445)),0)+IFERROR(--ISNUMBER(SEARCH("R50",G445)),0)+IFERROR(--ISNUMBER(SEARCH("R51",G445)),0)+IFERROR(--ISNUMBER(SEARCH("R52",G445)),0)+IFERROR(--ISNUMBER(SEARCH("R53",G445)),0)+IFERROR(--ISNUMBER(SEARCH("R54",G445)),0)+IFERROR(--ISNUMBER(SEARCH("R55",G445)),0)+IFERROR(--ISNUMBER(SEARCH("R56",G445)),0)+IFERROR(--ISNUMBER(SEARCH("R57",G445)),0)+IFERROR(--ISNUMBER(SEARCH("R58",G445)),0)+IFERROR(--ISNUMBER(SEARCH("R59",G445)),0)+IFERROR(--ISNUMBER(SEARCH("R60",G445)),0)+IFERROR(--ISNUMBER(SEARCH("R61",G445)),0)+IFERROR(--ISNUMBER(SEARCH("R62",G445)),0)+IFERROR(--ISNUMBER(SEARCH("R63",G445)),0)+IFERROR(--ISNUMBER(SEARCH("R64",G445)),0)+IFERROR(--ISNUMBER(SEARCH("R65",G445)),0)+IFERROR(--ISNUMBER(SEARCH("R66",G445)),0)+IFERROR(--ISNUMBER(SEARCH("R67",G445)),0)+IFERROR(--ISNUMBER(SEARCH("R68",G445)),0)+IFERROR(--ISNUMBER(SEARCH("R69",G445)),0)+IFERROR(--ISNUMBER(SEARCH("R70",G445)),0)+IFERROR(--ISNUMBER(SEARCH("R71",G445)),0)+IFERROR(--ISNUMBER(SEARCH("R72",G445)),0)+IFERROR(--ISNUMBER(SEARCH("R73",G445)),0)+IFERROR(--ISNUMBER(SEARCH("R74",G445)),0)+IFERROR(--ISNUMBER(SEARCH("R75",G445)),0)+IFERROR(--ISNUMBER(SEARCH("R76",G445)),0)+IFERROR(--ISNUMBER(SEARCH("R77",G445)),0)+IFERROR(--ISNUMBER(SEARCH("R78",G445)),0)+IFERROR(--ISNUMBER(SEARCH("R79",G445)),0)+IFERROR(--ISNUMBER(SEARCH("R80",G445)),0)+IFERROR(--ISNUMBER(SEARCH("R81",G445)),0)+IFERROR(--ISNUMBER(SEARCH("R82",G445)),0)+IFERROR(--ISNUMBER(SEARCH("R83",G445)),0)+IFERROR(--ISNUMBER(SEARCH("R84",G445)),0)+IFERROR(--ISNUMBER(SEARCH("R85",G445)),0)+IFERROR(--ISNUMBER(SEARCH("R86",G445)),0)+IFERROR(--ISNUMBER(SEARCH("R87",G445)),0)+IFERROR(--ISNUMBER(SEARCH("R88",G445)),0)+IFERROR(--ISNUMBER(SEARCH("R89",G445)),0)+IFERROR(--ISNUMBER(SEARCH("R90",G445)),0)+IFERROR(--ISNUMBER(SEARCH("R91",G445)),0)+IFERROR(--ISNUMBER(SEARCH("R92",G445)),0)+IFERROR(--ISNUMBER(SEARCH("R93",G445)),0)+IFERROR(--ISNUMBER(SEARCH("R94",G445)),0)+IFERROR(--ISNUMBER(SEARCH("R95",G445)),0)+IFERROR(--ISNUMBER(SEARCH("R96",G445)),0)+IFERROR(--ISNUMBER(SEARCH("R97",G445)),0)+IFERROR(--ISNUMBER(SEARCH("R98",G445)),0)+IFERROR(--ISNUMBER(SEARCH("R99",G445)),0)+IFERROR(--ISNUMBER(SEARCH("R100",G445)),0)+IFERROR(--ISNUMBER(SEARCH("R101",G445)),0)+IFERROR(--ISNUMBER(SEARCH("R102",G445)),0)+IFERROR(--ISNUMBER(SEARCH("R103",G445)),0)+IFERROR(--ISNUMBER(SEARCH("R104",G445)),0)+IFERROR(--ISNUMBER(SEARCH("R105",G445)),0)+IFERROR(--ISNUMBER(SEARCH("R106",G445)),0)+IFERROR(--ISNUMBER(SEARCH("R107",G445)),0)+IFERROR(--ISNUMBER(SEARCH("R108",G445)),0)+IFERROR(--ISNUMBER(SEARCH("R109",G445)),0)+IFERROR(--ISNUMBER(SEARCH("R110",G445)),0)+IFERROR(--ISNUMBER(SEARCH("R111",G445)),0)+IFERROR(--ISNUMBER(SEARCH("R112",G445)),0)+IFERROR(--ISNUMBER(SEARCH("R113",G445)),0)+IFERROR(--ISNUMBER(SEARCH("R114",G445)),0)+IFERROR(--ISNUMBER(SEARCH("R115",G445)),0)+IFERROR(--ISNUMBER(SEARCH("R116",G445)),0)+IFERROR(--ISNUMBER(SEARCH("R117",G445)),0)+IFERROR(--ISNUMBER(SEARCH("R118",G445)),0)+IFERROR(--ISNUMBER(SEARCH("R119",G445)),0)+IFERROR(--ISNUMBER(SEARCH("R120",G445)),0)+IFERROR(--ISNUMBER(SEARCH("R121",G445)),0)+IFERROR(--ISNUMBER(SEARCH("R122",G445)),0)+IFERROR(--ISNUMBER(SEARCH("R123",G445)),0)+IFERROR(--ISNUMBER(SEARCH("R124",G445)),0)+IFERROR(--ISNUMBER(SEARCH("R125",G445)),0)+IFERROR(--ISNUMBER(SEARCH("R126",G445)),0)+IFERROR(--ISNUMBER(SEARCH("R127",G445)),0)+IFERROR(--ISNUMBER(SEARCH("R128",G445)),0)+IFERROR(--ISNUMBER(SEARCH("R129",G445)),0)+IFERROR(--ISNUMBER(SEARCH("R130",G445)),0)+IFERROR(--ISNUMBER(SEARCH("R131",G445)),0)+IFERROR(--ISNUMBER(SEARCH("R132",G445)),0)+IFERROR(--ISNUMBER(SEARCH("R133",G445)),0)+IFERROR(--ISNUMBER(SEARCH("R134",G445)),0)+IFERROR(--ISNUMBER(SEARCH("R135",G445)),0)+IFERROR(--ISNUMBER(SEARCH("R136",G445)),0)+IFERROR(--ISNUMBER(SEARCH("R137",G445)),0)+IFERROR(--ISNUMBER(SEARCH("R138",G445)),0)+IFERROR(--ISNUMBER(SEARCH("R139",G445)),0)+IFERROR(--ISNUMBER(SEARCH("R140",G445)),0)+IFERROR(--ISNUMBER(SEARCH("R141",G445)),0))</f>
        <v/>
      </c>
      <c r="T445" s="58">
        <f>IF(A445="","",IFERROR(--ISNUMBER(SEARCH("R28",G445)),0)+IFERROR(--ISNUMBER(SEARCH("R29",G445)),0)+IFERROR(--ISNUMBER(SEARCH("R30",G445)),0)+IFERROR(--ISNUMBER(SEARCH("R32",G445)),0)+IFERROR(--ISNUMBER(SEARCH("R33",G445)),0)+IFERROR(--ISNUMBER(SEARCH("R35",G445)),0)+IFERROR(--ISNUMBER(SEARCH("R36",G445)),0)+IFERROR(--ISNUMBER(SEARCH("R38",G445)),0)+IFERROR(--ISNUMBER(SEARCH("R39",G445)),0)+IFERROR(--ISNUMBER(SEARCH("R43",G445)),0)+IFERROR(--ISNUMBER(SEARCH("R44",G445)),0)+IFERROR(--ISNUMBER(SEARCH("R45",G445)),0)+IFERROR(--ISNUMBER(SEARCH("R47",G445)),0)+IFERROR(--ISNUMBER(SEARCH("R48",G445)),0)+IFERROR(--ISNUMBER(SEARCH("R50",G445)),0)+IFERROR(--ISNUMBER(SEARCH("R51",G445)),0)+IFERROR(--ISNUMBER(SEARCH("R56",G445)),0)+IFERROR(--ISNUMBER(SEARCH("R58",G445)),0)+IFERROR(--ISNUMBER(SEARCH("R59",G445)),0)+IFERROR(--ISNUMBER(SEARCH("R60",G445)),0)+IFERROR(--ISNUMBER(SEARCH("R62",G445)),0)+IFERROR(--ISNUMBER(SEARCH("R63",G445)),0)+IFERROR(--ISNUMBER(SEARCH("R64",G445)),0)+IFERROR(--ISNUMBER(SEARCH("R66",G445)),0)+IFERROR(--ISNUMBER(SEARCH("R67",G445)),0)+IFERROR(--ISNUMBER(SEARCH("R72",G445)),0)+IFERROR(--ISNUMBER(SEARCH("R74",G445)),0)+IFERROR(--ISNUMBER(SEARCH("R75",G445)),0)+IFERROR(--ISNUMBER(SEARCH("R76",G445)),0)+IFERROR(--ISNUMBER(SEARCH("R77",G445)),0)+IFERROR(--ISNUMBER(SEARCH("R79",G445)),0)+IFERROR(--ISNUMBER(SEARCH("R80",G445)),0)+IFERROR(--ISNUMBER(SEARCH("R81",G445)),0)+IFERROR(--ISNUMBER(SEARCH("R83",G445)),0)+IFERROR(--ISNUMBER(SEARCH("R84",G445)),0)+IFERROR(--ISNUMBER(SEARCH("R89",G445)),0)+IFERROR(--ISNUMBER(SEARCH("R94",G445)),0)+IFERROR(--ISNUMBER(SEARCH("R95",G445)),0)+IFERROR(--ISNUMBER(SEARCH("R96",G445)),0)+IFERROR(--ISNUMBER(SEARCH("R98",G445)),0)+IFERROR(--ISNUMBER(SEARCH("R99",G445)),0)+IFERROR(--ISNUMBER(SEARCH("R100",G445)),0)+IFERROR(--ISNUMBER(SEARCH("R104",G445)),0)+IFERROR(--ISNUMBER(SEARCH("R105",G445)),0)+IFERROR(--ISNUMBER(SEARCH("R107",G445)),0)+IFERROR(--ISNUMBER(SEARCH("R108",G445)),0)+IFERROR(--ISNUMBER(SEARCH("R109",G445)),0)+IFERROR(--ISNUMBER(SEARCH("R110",G445)),0)+IFERROR(--ISNUMBER(SEARCH("R112",G445)),0)+IFERROR(--ISNUMBER(SEARCH("R113",G445)),0)+IFERROR(--ISNUMBER(SEARCH("R114",G445)),0)+IFERROR(--ISNUMBER(SEARCH("R118",G445)),0)+IFERROR(--ISNUMBER(SEARCH("R119",G445)),0)+IFERROR(--ISNUMBER(SEARCH("R120",G445)),0)+IFERROR(--ISNUMBER(SEARCH("R122",G445)),0)+IFERROR(--ISNUMBER(SEARCH("R123",G445)),0)+IFERROR(--ISNUMBER(SEARCH("R124",G445)),0)+IFERROR(--ISNUMBER(SEARCH("R128",G445)),0)+IFERROR(--ISNUMBER(SEARCH("R130",G445)),0)+IFERROR(--ISNUMBER(SEARCH("R131",G445)),0)+IFERROR(--ISNUMBER(SEARCH("R132",G445)),0)+IFERROR(--ISNUMBER(SEARCH("R135",G445)),0)+IFERROR(--ISNUMBER(SEARCH("R138",G445)),0)+IFERROR(--ISNUMBER(SEARCH("R141",G445)),0))</f>
        <v/>
      </c>
      <c r="U445" s="58">
        <f>IF(A445="","",IFERROR(--ISNUMBER(SEARCH("R28",G445))*28,0)+IFERROR(--ISNUMBER(SEARCH("R29",G445))*29,0)+IFERROR(--ISNUMBER(SEARCH("R30",G445))*30,0)+IFERROR(--ISNUMBER(SEARCH("R31",G445))*31,0)+IFERROR(--ISNUMBER(SEARCH("R32",G445))*32,0)+IFERROR(--ISNUMBER(SEARCH("R33",G445))*33,0)+IFERROR(--ISNUMBER(SEARCH("R34",G445))*34,0)+IFERROR(--ISNUMBER(SEARCH("R35",G445))*35,0)+IFERROR(--ISNUMBER(SEARCH("R36",G445))*36,0)+IFERROR(--ISNUMBER(SEARCH("R37",G445))*37,0)+IFERROR(--ISNUMBER(SEARCH("R38",G445))*38,0)+IFERROR(--ISNUMBER(SEARCH("R39",G445))*39,0)+IFERROR(--ISNUMBER(SEARCH("R40",G445))*40,0)+IFERROR(--ISNUMBER(SEARCH("R41",G445))*41,0)+IFERROR(--ISNUMBER(SEARCH("R42",G445))*42,0)+IFERROR(--ISNUMBER(SEARCH("R43",G445))*43,0)+IFERROR(--ISNUMBER(SEARCH("R44",G445))*44,0)+IFERROR(--ISNUMBER(SEARCH("R45",G445))*45,0)+IFERROR(--ISNUMBER(SEARCH("R46",G445))*46,0)+IFERROR(--ISNUMBER(SEARCH("R47",G445))*47,0)+IFERROR(--ISNUMBER(SEARCH("R48",G445))*48,0)+IFERROR(--ISNUMBER(SEARCH("R49",G445))*49,0)+IFERROR(--ISNUMBER(SEARCH("R50",G445))*50,0)+IFERROR(--ISNUMBER(SEARCH("R51",G445))*51,0)+IFERROR(--ISNUMBER(SEARCH("R52",G445))*52,0)+IFERROR(--ISNUMBER(SEARCH("R53",G445))*53,0)+IFERROR(--ISNUMBER(SEARCH("R54",G445))*54,0)+IFERROR(--ISNUMBER(SEARCH("R55",G445))*55,0)+IFERROR(--ISNUMBER(SEARCH("R56",G445))*56,0)+IFERROR(--ISNUMBER(SEARCH("R57",G445))*57,0)+IFERROR(--ISNUMBER(SEARCH("R58",G445))*58,0)+IFERROR(--ISNUMBER(SEARCH("R59",G445))*59,0)+IFERROR(--ISNUMBER(SEARCH("R60",G445))*60,0)+IFERROR(--ISNUMBER(SEARCH("R61",G445))*61,0)+IFERROR(--ISNUMBER(SEARCH("R62",G445))*62,0)+IFERROR(--ISNUMBER(SEARCH("R63",G445))*63,0)+IFERROR(--ISNUMBER(SEARCH("R64",G445))*64,0)+IFERROR(--ISNUMBER(SEARCH("R65",G445))*65,0)+IFERROR(--ISNUMBER(SEARCH("R66",G445))*66,0)+IFERROR(--ISNUMBER(SEARCH("R67",G445))*67,0)+IFERROR(--ISNUMBER(SEARCH("R68",G445))*68,0)+IFERROR(--ISNUMBER(SEARCH("R69",G445))*69,0)+IFERROR(--ISNUMBER(SEARCH("R70",G445))*70,0)+IFERROR(--ISNUMBER(SEARCH("R71",G445))*71,0)+IFERROR(--ISNUMBER(SEARCH("R72",G445))*72,0)+IFERROR(--ISNUMBER(SEARCH("R73",G445))*73,0)+IFERROR(--ISNUMBER(SEARCH("R74",G445))*74,0)+IFERROR(--ISNUMBER(SEARCH("R75",G445))*75,0)+IFERROR(--ISNUMBER(SEARCH("R76",G445))*76,0)+IFERROR(--ISNUMBER(SEARCH("R77",G445))*77,0)+IFERROR(--ISNUMBER(SEARCH("R78",G445))*78,0)+IFERROR(--ISNUMBER(SEARCH("R79",G445))*79,0)+IFERROR(--ISNUMBER(SEARCH("R80",G445))*80,0)+IFERROR(--ISNUMBER(SEARCH("R81",G445))*81,0)+IFERROR(--ISNUMBER(SEARCH("R82",G445))*82,0)+IFERROR(--ISNUMBER(SEARCH("R83",G445))*83,0)+IFERROR(--ISNUMBER(SEARCH("R84",G445))*84,0)+IFERROR(--ISNUMBER(SEARCH("R85",G445))*85,0)+IFERROR(--ISNUMBER(SEARCH("R86",G445))*86,0)+IFERROR(--ISNUMBER(SEARCH("R87",G445))*87,0)+IFERROR(--ISNUMBER(SEARCH("R88",G445))*88,0)+IFERROR(--ISNUMBER(SEARCH("R89",G445))*89,0)+IFERROR(--ISNUMBER(SEARCH("R90",G445))*90,0)+IFERROR(--ISNUMBER(SEARCH("R91",G445))*91,0)+IFERROR(--ISNUMBER(SEARCH("R92",G445))*92,0)+IFERROR(--ISNUMBER(SEARCH("R93",G445))*93,0)+IFERROR(--ISNUMBER(SEARCH("R94",G445))*94,0)+IFERROR(--ISNUMBER(SEARCH("R95",G445))*95,0)+IFERROR(--ISNUMBER(SEARCH("R96",G445))*96,0)+IFERROR(--ISNUMBER(SEARCH("R97",G445))*97,0)+IFERROR(--ISNUMBER(SEARCH("R98",G445))*98,0)+IFERROR(--ISNUMBER(SEARCH("R99",G445))*99,0)+IFERROR(--ISNUMBER(SEARCH("R100",G445))*100,0)+IFERROR(--ISNUMBER(SEARCH("R101",G445))*101,0)+IFERROR(--ISNUMBER(SEARCH("R102",G445))*102,0)+IFERROR(--ISNUMBER(SEARCH("R103",G445))*103,0)+IFERROR(--ISNUMBER(SEARCH("R104",G445))*104,0)+IFERROR(--ISNUMBER(SEARCH("R105",G445))*105,0)+IFERROR(--ISNUMBER(SEARCH("R106",G445))*106,0)+IFERROR(--ISNUMBER(SEARCH("R107",G445))*107,0)+IFERROR(--ISNUMBER(SEARCH("R108",G445))*108,0)+IFERROR(--ISNUMBER(SEARCH("R109",G445))*109,0)+IFERROR(--ISNUMBER(SEARCH("R110",G445))*110,0)+IFERROR(--ISNUMBER(SEARCH("R111",G445))*111,0)+IFERROR(--ISNUMBER(SEARCH("R112",G445))*112,0)+IFERROR(--ISNUMBER(SEARCH("R113",G445))*113,0)+IFERROR(--ISNUMBER(SEARCH("R114",G445))*114,0)+IFERROR(--ISNUMBER(SEARCH("R115",G445))*115,0)+IFERROR(--ISNUMBER(SEARCH("R116",G445))*116,0)+IFERROR(--ISNUMBER(SEARCH("R117",G445))*117,0)+IFERROR(--ISNUMBER(SEARCH("R118",G445))*118,0)+IFERROR(--ISNUMBER(SEARCH("R119",G445))*119,0)+IFERROR(--ISNUMBER(SEARCH("R120",G445))*120,0)+IFERROR(--ISNUMBER(SEARCH("R121",G445))*121,0)+IFERROR(--ISNUMBER(SEARCH("R122",G445))*122,0)+IFERROR(--ISNUMBER(SEARCH("R123",G445))*123,0)+IFERROR(--ISNUMBER(SEARCH("R124",G445))*124,0)+IFERROR(--ISNUMBER(SEARCH("R125",G445))*125,0)+IFERROR(--ISNUMBER(SEARCH("R126",G445))*126,0)+IFERROR(--ISNUMBER(SEARCH("R127",G445))*127,0)+IFERROR(--ISNUMBER(SEARCH("R128",G445))*128,0)+IFERROR(--ISNUMBER(SEARCH("R129",G445))*129,0)+IFERROR(--ISNUMBER(SEARCH("R130",G445))*130,0)+IFERROR(--ISNUMBER(SEARCH("R131",G445))*131,0)+IFERROR(--ISNUMBER(SEARCH("R132",G445))*132,0)+IFERROR(--ISNUMBER(SEARCH("R133",G445))*133,0)+IFERROR(--ISNUMBER(SEARCH("R134",G445))*134,0)+IFERROR(--ISNUMBER(SEARCH("R135",G445))*135,0)+IFERROR(--ISNUMBER(SEARCH("R136",G445))*136,0)+IFERROR(--ISNUMBER(SEARCH("R137",G445))*137,0)+IFERROR(--ISNUMBER(SEARCH("R138",G445))*138,0)+IFERROR(--ISNUMBER(SEARCH("R139",G445))*139,0)+IFERROR(--ISNUMBER(SEARCH("R140",G445))*140,0)+IFERROR(--ISNUMBER(SEARCH("R141",G445))*141,0))</f>
        <v/>
      </c>
      <c r="V445" s="59">
        <f>IF(A445="","",IF(K445&lt;&gt;"",K445,J445))</f>
        <v/>
      </c>
      <c r="W445" s="59">
        <f>IF(A445="","",IF(AND(V445=29,O445&lt;&gt;"",COUNTIFS($V$6:$V$505,29,$F$6:$F$505,F445,$C$6:$C$505,C445,$O$6:$O$505,"&lt;&gt;")&gt;1),IF(COUNTIFS($V$6:V445,29,$F$6:F445,F445,$C$6:C445,C445,$O$6:O445,"&lt;&gt;")=1,"Esta es la fila que se debe CONSERVAR (aparición 1 de "&amp;COUNTIFS($V$6:$V$505,29,$F$6:$F$505,F445,$C$6:$C$505,C445,$O$6:$O$505,"&lt;&gt;")&amp;" con el mismo tercero y valor, casilla 29). Si hay más filas iguales, bórreles el valor a ELLAS, no a esta.","DUPLICADO — ya existe otra fila con el mismo tercero y valor para casilla 29 (aparición "&amp;COUNTIFS($V$6:V445,29,$F$6:F445,F445,$C$6:C445,C445,$O$6:O445,"&lt;&gt;")&amp;" de "&amp;COUNTIFS($V$6:$V$505,29,$F$6:$F$505,F445,$C$6:$C$505,C445,$O$6:$O$505,"&lt;&gt;")&amp;"). Para resolverlo: seleccione la celda O"&amp;ROW()&amp;" (columna Valor a declarar de ESTA fila) y presione Supr."),""))</f>
        <v/>
      </c>
      <c r="X445" s="463">
        <f>IF(A445="","",F445)</f>
        <v/>
      </c>
      <c r="Y445" s="463">
        <f>IF(A445="","",SUMIF(Entrada_Manual!$I$88:$I$187,A445,Entrada_Manual!$F$88:$F$187))</f>
        <v/>
      </c>
      <c r="Z445" s="463">
        <f>IF(A445="","",X445-Y445)</f>
        <v/>
      </c>
      <c r="AA445">
        <f>IF(A445="","",SUMPRODUCT((Entrada_Manual!$I$88:$I$187=A445)*1))</f>
        <v/>
      </c>
      <c r="AB445">
        <f>IF(A445="","",IF(S445&lt;=1,"",IF(AA445=0,"PENDIENTE — SIN ASIGNAR",IF(Z445=0,"RESUELTO","PARCIAL — DIFERENCIA "&amp;TEXT(Z445,"#,##0")))))</f>
        <v/>
      </c>
    </row>
    <row r="446" ht="14.25" customHeight="1" s="235">
      <c r="A446" s="47">
        <f>IF(Exogena_RAW!E455&lt;&gt;"",ROW()-5,"")</f>
        <v/>
      </c>
      <c r="B446" s="48">
        <f>IF(A446="","",455)</f>
        <v/>
      </c>
      <c r="C446" s="48">
        <f>IF(A446="","",IFERROR(Exogena_RAW!A455,""))</f>
        <v/>
      </c>
      <c r="D446" s="48">
        <f>IF(A446="","",IFERROR(Exogena_RAW!B455,""))</f>
        <v/>
      </c>
      <c r="E446" s="48">
        <f>IF(A446="","",Exogena_RAW!E455)</f>
        <v/>
      </c>
      <c r="F446" s="461">
        <f>IF(A446="","",Exogena_RAW!F455)</f>
        <v/>
      </c>
      <c r="G446" s="48">
        <f>IF(A446="","",IFERROR(Exogena_RAW!G455,""))</f>
        <v/>
      </c>
      <c r="H446" s="48">
        <f>IF(A446="","",IFERROR(Exogena_RAW!H455,""))</f>
        <v/>
      </c>
      <c r="I446" s="48">
        <f>IF(A446="","",IFERROR(IF(S446&gt;1,"VARIAS CASILLAS",IF(S446=1,IF(T446=1,"PROPUESTA DE CASILLA","REVISIÓN: CASILLA NO DIRECTA"),IF(OR(ISNUMBER(SEARCH("TOPE",UPPER(E446))),ISNUMBER(SEARCH("TOPE",UPPER(G446)))),"SOLO CONTROL",IF(ISNUMBER(SEARCH("RETEN",UPPER(E446))),"RETENCIÓN","REVISAR")))),"REVISAR"))</f>
        <v/>
      </c>
      <c r="J446" s="48">
        <f>IF(A446="","",IF(ISNUMBER(SEARCH("ingreso laboral promedio de los últimos seis meses",E446)),"",IFERROR(IF(AND(S446=1,T446=1),U446,""),"")))</f>
        <v/>
      </c>
      <c r="K446" s="216" t="n"/>
      <c r="L446" s="48">
        <f>IF(A446="","",IFERROR(IF(K446&lt;&gt;"","Casilla elegida por usuario",IF(S446&gt;1,"Varias casillas — elegir en K",IF(J446&lt;&gt;"","Sugerencia directa",IF(S446=1,"No trasladar directo — revisar",IF(OR(ISNUMBER(SEARCH("TOPE",UPPER(E446))),ISNUMBER(SEARCH("TOPE",UPPER(G446)))),"Solo control","Revisar manualmente"))))),"Revisar manualmente"))</f>
        <v/>
      </c>
      <c r="M446" s="461">
        <f>IF(A446="","",IF(IF(K446&lt;&gt;"",K446,J446)="",0,IF(COUNTIFS(Reglas!$I$5:$I$118,IF(K446&lt;&gt;"",K446,J446),Reglas!$J$5:$J$118,"Sí")=1,F446,0)))</f>
        <v/>
      </c>
      <c r="N446" s="56" t="n"/>
      <c r="O446" s="462">
        <f>IF(A446="","",IF(M446=0,"",M446))</f>
        <v/>
      </c>
      <c r="P446" s="461">
        <f>IF(A446="","",IF(O446="",0,IF(ISNUMBER(O446),O446,0)))</f>
        <v/>
      </c>
      <c r="Q446" s="48">
        <f>IF(A446="","",IF(Exogena_RAW!$C$4="","BLOQUEADO: FALTA AÑO",IF(Exogena_RAW!$K$10&lt;&gt;Reglas!$B$5,"BLOQUEADO: AÑO",IF(IF(K446&lt;&gt;"",K446,J446)="",IF(S446&gt;1,"REQUIERE ASIGNACIÓN MANUAL (VARIAS CASILLAS)","INFORMATIVO (sin casilla — no se declara)"),IF(COUNTIFS(Reglas!$I$5:$I$118,IF(K446&lt;&gt;"",K446,J446),Reglas!$J$5:$J$118,"Sí")=0,"BLOQUEADO: CASILLA NO DIRECTA",IF(O446="","EXCLUIDO (valor borrado por el usuario)",IF(_xlfn.ISFORMULA(O446),IF(W446&lt;&gt;"","BORRADOR — VALOR SUGERIDO DIAN ⚠ VER ALERTA","BORRADOR — VALOR SUGERIDO DIAN"),IF(W446&lt;&gt;"","ACEPTADO ⚠ VER ALERTA","ACEPTADO"))))))))</f>
        <v/>
      </c>
      <c r="R446" s="218" t="n"/>
      <c r="S446" s="58">
        <f>IF(A446="","",IFERROR(--ISNUMBER(SEARCH("R28",G446)),0)+IFERROR(--ISNUMBER(SEARCH("R29",G446)),0)+IFERROR(--ISNUMBER(SEARCH("R30",G446)),0)+IFERROR(--ISNUMBER(SEARCH("R31",G446)),0)+IFERROR(--ISNUMBER(SEARCH("R32",G446)),0)+IFERROR(--ISNUMBER(SEARCH("R33",G446)),0)+IFERROR(--ISNUMBER(SEARCH("R34",G446)),0)+IFERROR(--ISNUMBER(SEARCH("R35",G446)),0)+IFERROR(--ISNUMBER(SEARCH("R36",G446)),0)+IFERROR(--ISNUMBER(SEARCH("R37",G446)),0)+IFERROR(--ISNUMBER(SEARCH("R38",G446)),0)+IFERROR(--ISNUMBER(SEARCH("R39",G446)),0)+IFERROR(--ISNUMBER(SEARCH("R40",G446)),0)+IFERROR(--ISNUMBER(SEARCH("R41",G446)),0)+IFERROR(--ISNUMBER(SEARCH("R42",G446)),0)+IFERROR(--ISNUMBER(SEARCH("R43",G446)),0)+IFERROR(--ISNUMBER(SEARCH("R44",G446)),0)+IFERROR(--ISNUMBER(SEARCH("R45",G446)),0)+IFERROR(--ISNUMBER(SEARCH("R46",G446)),0)+IFERROR(--ISNUMBER(SEARCH("R47",G446)),0)+IFERROR(--ISNUMBER(SEARCH("R48",G446)),0)+IFERROR(--ISNUMBER(SEARCH("R49",G446)),0)+IFERROR(--ISNUMBER(SEARCH("R50",G446)),0)+IFERROR(--ISNUMBER(SEARCH("R51",G446)),0)+IFERROR(--ISNUMBER(SEARCH("R52",G446)),0)+IFERROR(--ISNUMBER(SEARCH("R53",G446)),0)+IFERROR(--ISNUMBER(SEARCH("R54",G446)),0)+IFERROR(--ISNUMBER(SEARCH("R55",G446)),0)+IFERROR(--ISNUMBER(SEARCH("R56",G446)),0)+IFERROR(--ISNUMBER(SEARCH("R57",G446)),0)+IFERROR(--ISNUMBER(SEARCH("R58",G446)),0)+IFERROR(--ISNUMBER(SEARCH("R59",G446)),0)+IFERROR(--ISNUMBER(SEARCH("R60",G446)),0)+IFERROR(--ISNUMBER(SEARCH("R61",G446)),0)+IFERROR(--ISNUMBER(SEARCH("R62",G446)),0)+IFERROR(--ISNUMBER(SEARCH("R63",G446)),0)+IFERROR(--ISNUMBER(SEARCH("R64",G446)),0)+IFERROR(--ISNUMBER(SEARCH("R65",G446)),0)+IFERROR(--ISNUMBER(SEARCH("R66",G446)),0)+IFERROR(--ISNUMBER(SEARCH("R67",G446)),0)+IFERROR(--ISNUMBER(SEARCH("R68",G446)),0)+IFERROR(--ISNUMBER(SEARCH("R69",G446)),0)+IFERROR(--ISNUMBER(SEARCH("R70",G446)),0)+IFERROR(--ISNUMBER(SEARCH("R71",G446)),0)+IFERROR(--ISNUMBER(SEARCH("R72",G446)),0)+IFERROR(--ISNUMBER(SEARCH("R73",G446)),0)+IFERROR(--ISNUMBER(SEARCH("R74",G446)),0)+IFERROR(--ISNUMBER(SEARCH("R75",G446)),0)+IFERROR(--ISNUMBER(SEARCH("R76",G446)),0)+IFERROR(--ISNUMBER(SEARCH("R77",G446)),0)+IFERROR(--ISNUMBER(SEARCH("R78",G446)),0)+IFERROR(--ISNUMBER(SEARCH("R79",G446)),0)+IFERROR(--ISNUMBER(SEARCH("R80",G446)),0)+IFERROR(--ISNUMBER(SEARCH("R81",G446)),0)+IFERROR(--ISNUMBER(SEARCH("R82",G446)),0)+IFERROR(--ISNUMBER(SEARCH("R83",G446)),0)+IFERROR(--ISNUMBER(SEARCH("R84",G446)),0)+IFERROR(--ISNUMBER(SEARCH("R85",G446)),0)+IFERROR(--ISNUMBER(SEARCH("R86",G446)),0)+IFERROR(--ISNUMBER(SEARCH("R87",G446)),0)+IFERROR(--ISNUMBER(SEARCH("R88",G446)),0)+IFERROR(--ISNUMBER(SEARCH("R89",G446)),0)+IFERROR(--ISNUMBER(SEARCH("R90",G446)),0)+IFERROR(--ISNUMBER(SEARCH("R91",G446)),0)+IFERROR(--ISNUMBER(SEARCH("R92",G446)),0)+IFERROR(--ISNUMBER(SEARCH("R93",G446)),0)+IFERROR(--ISNUMBER(SEARCH("R94",G446)),0)+IFERROR(--ISNUMBER(SEARCH("R95",G446)),0)+IFERROR(--ISNUMBER(SEARCH("R96",G446)),0)+IFERROR(--ISNUMBER(SEARCH("R97",G446)),0)+IFERROR(--ISNUMBER(SEARCH("R98",G446)),0)+IFERROR(--ISNUMBER(SEARCH("R99",G446)),0)+IFERROR(--ISNUMBER(SEARCH("R100",G446)),0)+IFERROR(--ISNUMBER(SEARCH("R101",G446)),0)+IFERROR(--ISNUMBER(SEARCH("R102",G446)),0)+IFERROR(--ISNUMBER(SEARCH("R103",G446)),0)+IFERROR(--ISNUMBER(SEARCH("R104",G446)),0)+IFERROR(--ISNUMBER(SEARCH("R105",G446)),0)+IFERROR(--ISNUMBER(SEARCH("R106",G446)),0)+IFERROR(--ISNUMBER(SEARCH("R107",G446)),0)+IFERROR(--ISNUMBER(SEARCH("R108",G446)),0)+IFERROR(--ISNUMBER(SEARCH("R109",G446)),0)+IFERROR(--ISNUMBER(SEARCH("R110",G446)),0)+IFERROR(--ISNUMBER(SEARCH("R111",G446)),0)+IFERROR(--ISNUMBER(SEARCH("R112",G446)),0)+IFERROR(--ISNUMBER(SEARCH("R113",G446)),0)+IFERROR(--ISNUMBER(SEARCH("R114",G446)),0)+IFERROR(--ISNUMBER(SEARCH("R115",G446)),0)+IFERROR(--ISNUMBER(SEARCH("R116",G446)),0)+IFERROR(--ISNUMBER(SEARCH("R117",G446)),0)+IFERROR(--ISNUMBER(SEARCH("R118",G446)),0)+IFERROR(--ISNUMBER(SEARCH("R119",G446)),0)+IFERROR(--ISNUMBER(SEARCH("R120",G446)),0)+IFERROR(--ISNUMBER(SEARCH("R121",G446)),0)+IFERROR(--ISNUMBER(SEARCH("R122",G446)),0)+IFERROR(--ISNUMBER(SEARCH("R123",G446)),0)+IFERROR(--ISNUMBER(SEARCH("R124",G446)),0)+IFERROR(--ISNUMBER(SEARCH("R125",G446)),0)+IFERROR(--ISNUMBER(SEARCH("R126",G446)),0)+IFERROR(--ISNUMBER(SEARCH("R127",G446)),0)+IFERROR(--ISNUMBER(SEARCH("R128",G446)),0)+IFERROR(--ISNUMBER(SEARCH("R129",G446)),0)+IFERROR(--ISNUMBER(SEARCH("R130",G446)),0)+IFERROR(--ISNUMBER(SEARCH("R131",G446)),0)+IFERROR(--ISNUMBER(SEARCH("R132",G446)),0)+IFERROR(--ISNUMBER(SEARCH("R133",G446)),0)+IFERROR(--ISNUMBER(SEARCH("R134",G446)),0)+IFERROR(--ISNUMBER(SEARCH("R135",G446)),0)+IFERROR(--ISNUMBER(SEARCH("R136",G446)),0)+IFERROR(--ISNUMBER(SEARCH("R137",G446)),0)+IFERROR(--ISNUMBER(SEARCH("R138",G446)),0)+IFERROR(--ISNUMBER(SEARCH("R139",G446)),0)+IFERROR(--ISNUMBER(SEARCH("R140",G446)),0)+IFERROR(--ISNUMBER(SEARCH("R141",G446)),0))</f>
        <v/>
      </c>
      <c r="T446" s="58">
        <f>IF(A446="","",IFERROR(--ISNUMBER(SEARCH("R28",G446)),0)+IFERROR(--ISNUMBER(SEARCH("R29",G446)),0)+IFERROR(--ISNUMBER(SEARCH("R30",G446)),0)+IFERROR(--ISNUMBER(SEARCH("R32",G446)),0)+IFERROR(--ISNUMBER(SEARCH("R33",G446)),0)+IFERROR(--ISNUMBER(SEARCH("R35",G446)),0)+IFERROR(--ISNUMBER(SEARCH("R36",G446)),0)+IFERROR(--ISNUMBER(SEARCH("R38",G446)),0)+IFERROR(--ISNUMBER(SEARCH("R39",G446)),0)+IFERROR(--ISNUMBER(SEARCH("R43",G446)),0)+IFERROR(--ISNUMBER(SEARCH("R44",G446)),0)+IFERROR(--ISNUMBER(SEARCH("R45",G446)),0)+IFERROR(--ISNUMBER(SEARCH("R47",G446)),0)+IFERROR(--ISNUMBER(SEARCH("R48",G446)),0)+IFERROR(--ISNUMBER(SEARCH("R50",G446)),0)+IFERROR(--ISNUMBER(SEARCH("R51",G446)),0)+IFERROR(--ISNUMBER(SEARCH("R56",G446)),0)+IFERROR(--ISNUMBER(SEARCH("R58",G446)),0)+IFERROR(--ISNUMBER(SEARCH("R59",G446)),0)+IFERROR(--ISNUMBER(SEARCH("R60",G446)),0)+IFERROR(--ISNUMBER(SEARCH("R62",G446)),0)+IFERROR(--ISNUMBER(SEARCH("R63",G446)),0)+IFERROR(--ISNUMBER(SEARCH("R64",G446)),0)+IFERROR(--ISNUMBER(SEARCH("R66",G446)),0)+IFERROR(--ISNUMBER(SEARCH("R67",G446)),0)+IFERROR(--ISNUMBER(SEARCH("R72",G446)),0)+IFERROR(--ISNUMBER(SEARCH("R74",G446)),0)+IFERROR(--ISNUMBER(SEARCH("R75",G446)),0)+IFERROR(--ISNUMBER(SEARCH("R76",G446)),0)+IFERROR(--ISNUMBER(SEARCH("R77",G446)),0)+IFERROR(--ISNUMBER(SEARCH("R79",G446)),0)+IFERROR(--ISNUMBER(SEARCH("R80",G446)),0)+IFERROR(--ISNUMBER(SEARCH("R81",G446)),0)+IFERROR(--ISNUMBER(SEARCH("R83",G446)),0)+IFERROR(--ISNUMBER(SEARCH("R84",G446)),0)+IFERROR(--ISNUMBER(SEARCH("R89",G446)),0)+IFERROR(--ISNUMBER(SEARCH("R94",G446)),0)+IFERROR(--ISNUMBER(SEARCH("R95",G446)),0)+IFERROR(--ISNUMBER(SEARCH("R96",G446)),0)+IFERROR(--ISNUMBER(SEARCH("R98",G446)),0)+IFERROR(--ISNUMBER(SEARCH("R99",G446)),0)+IFERROR(--ISNUMBER(SEARCH("R100",G446)),0)+IFERROR(--ISNUMBER(SEARCH("R104",G446)),0)+IFERROR(--ISNUMBER(SEARCH("R105",G446)),0)+IFERROR(--ISNUMBER(SEARCH("R107",G446)),0)+IFERROR(--ISNUMBER(SEARCH("R108",G446)),0)+IFERROR(--ISNUMBER(SEARCH("R109",G446)),0)+IFERROR(--ISNUMBER(SEARCH("R110",G446)),0)+IFERROR(--ISNUMBER(SEARCH("R112",G446)),0)+IFERROR(--ISNUMBER(SEARCH("R113",G446)),0)+IFERROR(--ISNUMBER(SEARCH("R114",G446)),0)+IFERROR(--ISNUMBER(SEARCH("R118",G446)),0)+IFERROR(--ISNUMBER(SEARCH("R119",G446)),0)+IFERROR(--ISNUMBER(SEARCH("R120",G446)),0)+IFERROR(--ISNUMBER(SEARCH("R122",G446)),0)+IFERROR(--ISNUMBER(SEARCH("R123",G446)),0)+IFERROR(--ISNUMBER(SEARCH("R124",G446)),0)+IFERROR(--ISNUMBER(SEARCH("R128",G446)),0)+IFERROR(--ISNUMBER(SEARCH("R130",G446)),0)+IFERROR(--ISNUMBER(SEARCH("R131",G446)),0)+IFERROR(--ISNUMBER(SEARCH("R132",G446)),0)+IFERROR(--ISNUMBER(SEARCH("R135",G446)),0)+IFERROR(--ISNUMBER(SEARCH("R138",G446)),0)+IFERROR(--ISNUMBER(SEARCH("R141",G446)),0))</f>
        <v/>
      </c>
      <c r="U446" s="58">
        <f>IF(A446="","",IFERROR(--ISNUMBER(SEARCH("R28",G446))*28,0)+IFERROR(--ISNUMBER(SEARCH("R29",G446))*29,0)+IFERROR(--ISNUMBER(SEARCH("R30",G446))*30,0)+IFERROR(--ISNUMBER(SEARCH("R31",G446))*31,0)+IFERROR(--ISNUMBER(SEARCH("R32",G446))*32,0)+IFERROR(--ISNUMBER(SEARCH("R33",G446))*33,0)+IFERROR(--ISNUMBER(SEARCH("R34",G446))*34,0)+IFERROR(--ISNUMBER(SEARCH("R35",G446))*35,0)+IFERROR(--ISNUMBER(SEARCH("R36",G446))*36,0)+IFERROR(--ISNUMBER(SEARCH("R37",G446))*37,0)+IFERROR(--ISNUMBER(SEARCH("R38",G446))*38,0)+IFERROR(--ISNUMBER(SEARCH("R39",G446))*39,0)+IFERROR(--ISNUMBER(SEARCH("R40",G446))*40,0)+IFERROR(--ISNUMBER(SEARCH("R41",G446))*41,0)+IFERROR(--ISNUMBER(SEARCH("R42",G446))*42,0)+IFERROR(--ISNUMBER(SEARCH("R43",G446))*43,0)+IFERROR(--ISNUMBER(SEARCH("R44",G446))*44,0)+IFERROR(--ISNUMBER(SEARCH("R45",G446))*45,0)+IFERROR(--ISNUMBER(SEARCH("R46",G446))*46,0)+IFERROR(--ISNUMBER(SEARCH("R47",G446))*47,0)+IFERROR(--ISNUMBER(SEARCH("R48",G446))*48,0)+IFERROR(--ISNUMBER(SEARCH("R49",G446))*49,0)+IFERROR(--ISNUMBER(SEARCH("R50",G446))*50,0)+IFERROR(--ISNUMBER(SEARCH("R51",G446))*51,0)+IFERROR(--ISNUMBER(SEARCH("R52",G446))*52,0)+IFERROR(--ISNUMBER(SEARCH("R53",G446))*53,0)+IFERROR(--ISNUMBER(SEARCH("R54",G446))*54,0)+IFERROR(--ISNUMBER(SEARCH("R55",G446))*55,0)+IFERROR(--ISNUMBER(SEARCH("R56",G446))*56,0)+IFERROR(--ISNUMBER(SEARCH("R57",G446))*57,0)+IFERROR(--ISNUMBER(SEARCH("R58",G446))*58,0)+IFERROR(--ISNUMBER(SEARCH("R59",G446))*59,0)+IFERROR(--ISNUMBER(SEARCH("R60",G446))*60,0)+IFERROR(--ISNUMBER(SEARCH("R61",G446))*61,0)+IFERROR(--ISNUMBER(SEARCH("R62",G446))*62,0)+IFERROR(--ISNUMBER(SEARCH("R63",G446))*63,0)+IFERROR(--ISNUMBER(SEARCH("R64",G446))*64,0)+IFERROR(--ISNUMBER(SEARCH("R65",G446))*65,0)+IFERROR(--ISNUMBER(SEARCH("R66",G446))*66,0)+IFERROR(--ISNUMBER(SEARCH("R67",G446))*67,0)+IFERROR(--ISNUMBER(SEARCH("R68",G446))*68,0)+IFERROR(--ISNUMBER(SEARCH("R69",G446))*69,0)+IFERROR(--ISNUMBER(SEARCH("R70",G446))*70,0)+IFERROR(--ISNUMBER(SEARCH("R71",G446))*71,0)+IFERROR(--ISNUMBER(SEARCH("R72",G446))*72,0)+IFERROR(--ISNUMBER(SEARCH("R73",G446))*73,0)+IFERROR(--ISNUMBER(SEARCH("R74",G446))*74,0)+IFERROR(--ISNUMBER(SEARCH("R75",G446))*75,0)+IFERROR(--ISNUMBER(SEARCH("R76",G446))*76,0)+IFERROR(--ISNUMBER(SEARCH("R77",G446))*77,0)+IFERROR(--ISNUMBER(SEARCH("R78",G446))*78,0)+IFERROR(--ISNUMBER(SEARCH("R79",G446))*79,0)+IFERROR(--ISNUMBER(SEARCH("R80",G446))*80,0)+IFERROR(--ISNUMBER(SEARCH("R81",G446))*81,0)+IFERROR(--ISNUMBER(SEARCH("R82",G446))*82,0)+IFERROR(--ISNUMBER(SEARCH("R83",G446))*83,0)+IFERROR(--ISNUMBER(SEARCH("R84",G446))*84,0)+IFERROR(--ISNUMBER(SEARCH("R85",G446))*85,0)+IFERROR(--ISNUMBER(SEARCH("R86",G446))*86,0)+IFERROR(--ISNUMBER(SEARCH("R87",G446))*87,0)+IFERROR(--ISNUMBER(SEARCH("R88",G446))*88,0)+IFERROR(--ISNUMBER(SEARCH("R89",G446))*89,0)+IFERROR(--ISNUMBER(SEARCH("R90",G446))*90,0)+IFERROR(--ISNUMBER(SEARCH("R91",G446))*91,0)+IFERROR(--ISNUMBER(SEARCH("R92",G446))*92,0)+IFERROR(--ISNUMBER(SEARCH("R93",G446))*93,0)+IFERROR(--ISNUMBER(SEARCH("R94",G446))*94,0)+IFERROR(--ISNUMBER(SEARCH("R95",G446))*95,0)+IFERROR(--ISNUMBER(SEARCH("R96",G446))*96,0)+IFERROR(--ISNUMBER(SEARCH("R97",G446))*97,0)+IFERROR(--ISNUMBER(SEARCH("R98",G446))*98,0)+IFERROR(--ISNUMBER(SEARCH("R99",G446))*99,0)+IFERROR(--ISNUMBER(SEARCH("R100",G446))*100,0)+IFERROR(--ISNUMBER(SEARCH("R101",G446))*101,0)+IFERROR(--ISNUMBER(SEARCH("R102",G446))*102,0)+IFERROR(--ISNUMBER(SEARCH("R103",G446))*103,0)+IFERROR(--ISNUMBER(SEARCH("R104",G446))*104,0)+IFERROR(--ISNUMBER(SEARCH("R105",G446))*105,0)+IFERROR(--ISNUMBER(SEARCH("R106",G446))*106,0)+IFERROR(--ISNUMBER(SEARCH("R107",G446))*107,0)+IFERROR(--ISNUMBER(SEARCH("R108",G446))*108,0)+IFERROR(--ISNUMBER(SEARCH("R109",G446))*109,0)+IFERROR(--ISNUMBER(SEARCH("R110",G446))*110,0)+IFERROR(--ISNUMBER(SEARCH("R111",G446))*111,0)+IFERROR(--ISNUMBER(SEARCH("R112",G446))*112,0)+IFERROR(--ISNUMBER(SEARCH("R113",G446))*113,0)+IFERROR(--ISNUMBER(SEARCH("R114",G446))*114,0)+IFERROR(--ISNUMBER(SEARCH("R115",G446))*115,0)+IFERROR(--ISNUMBER(SEARCH("R116",G446))*116,0)+IFERROR(--ISNUMBER(SEARCH("R117",G446))*117,0)+IFERROR(--ISNUMBER(SEARCH("R118",G446))*118,0)+IFERROR(--ISNUMBER(SEARCH("R119",G446))*119,0)+IFERROR(--ISNUMBER(SEARCH("R120",G446))*120,0)+IFERROR(--ISNUMBER(SEARCH("R121",G446))*121,0)+IFERROR(--ISNUMBER(SEARCH("R122",G446))*122,0)+IFERROR(--ISNUMBER(SEARCH("R123",G446))*123,0)+IFERROR(--ISNUMBER(SEARCH("R124",G446))*124,0)+IFERROR(--ISNUMBER(SEARCH("R125",G446))*125,0)+IFERROR(--ISNUMBER(SEARCH("R126",G446))*126,0)+IFERROR(--ISNUMBER(SEARCH("R127",G446))*127,0)+IFERROR(--ISNUMBER(SEARCH("R128",G446))*128,0)+IFERROR(--ISNUMBER(SEARCH("R129",G446))*129,0)+IFERROR(--ISNUMBER(SEARCH("R130",G446))*130,0)+IFERROR(--ISNUMBER(SEARCH("R131",G446))*131,0)+IFERROR(--ISNUMBER(SEARCH("R132",G446))*132,0)+IFERROR(--ISNUMBER(SEARCH("R133",G446))*133,0)+IFERROR(--ISNUMBER(SEARCH("R134",G446))*134,0)+IFERROR(--ISNUMBER(SEARCH("R135",G446))*135,0)+IFERROR(--ISNUMBER(SEARCH("R136",G446))*136,0)+IFERROR(--ISNUMBER(SEARCH("R137",G446))*137,0)+IFERROR(--ISNUMBER(SEARCH("R138",G446))*138,0)+IFERROR(--ISNUMBER(SEARCH("R139",G446))*139,0)+IFERROR(--ISNUMBER(SEARCH("R140",G446))*140,0)+IFERROR(--ISNUMBER(SEARCH("R141",G446))*141,0))</f>
        <v/>
      </c>
      <c r="V446" s="59">
        <f>IF(A446="","",IF(K446&lt;&gt;"",K446,J446))</f>
        <v/>
      </c>
      <c r="W446" s="59">
        <f>IF(A446="","",IF(AND(V446=29,O446&lt;&gt;"",COUNTIFS($V$6:$V$505,29,$F$6:$F$505,F446,$C$6:$C$505,C446,$O$6:$O$505,"&lt;&gt;")&gt;1),IF(COUNTIFS($V$6:V446,29,$F$6:F446,F446,$C$6:C446,C446,$O$6:O446,"&lt;&gt;")=1,"Esta es la fila que se debe CONSERVAR (aparición 1 de "&amp;COUNTIFS($V$6:$V$505,29,$F$6:$F$505,F446,$C$6:$C$505,C446,$O$6:$O$505,"&lt;&gt;")&amp;" con el mismo tercero y valor, casilla 29). Si hay más filas iguales, bórreles el valor a ELLAS, no a esta.","DUPLICADO — ya existe otra fila con el mismo tercero y valor para casilla 29 (aparición "&amp;COUNTIFS($V$6:V446,29,$F$6:F446,F446,$C$6:C446,C446,$O$6:O446,"&lt;&gt;")&amp;" de "&amp;COUNTIFS($V$6:$V$505,29,$F$6:$F$505,F446,$C$6:$C$505,C446,$O$6:$O$505,"&lt;&gt;")&amp;"). Para resolverlo: seleccione la celda O"&amp;ROW()&amp;" (columna Valor a declarar de ESTA fila) y presione Supr."),""))</f>
        <v/>
      </c>
      <c r="X446" s="463">
        <f>IF(A446="","",F446)</f>
        <v/>
      </c>
      <c r="Y446" s="463">
        <f>IF(A446="","",SUMIF(Entrada_Manual!$I$88:$I$187,A446,Entrada_Manual!$F$88:$F$187))</f>
        <v/>
      </c>
      <c r="Z446" s="463">
        <f>IF(A446="","",X446-Y446)</f>
        <v/>
      </c>
      <c r="AA446">
        <f>IF(A446="","",SUMPRODUCT((Entrada_Manual!$I$88:$I$187=A446)*1))</f>
        <v/>
      </c>
      <c r="AB446">
        <f>IF(A446="","",IF(S446&lt;=1,"",IF(AA446=0,"PENDIENTE — SIN ASIGNAR",IF(Z446=0,"RESUELTO","PARCIAL — DIFERENCIA "&amp;TEXT(Z446,"#,##0")))))</f>
        <v/>
      </c>
    </row>
    <row r="447" ht="14.25" customHeight="1" s="235">
      <c r="A447" s="47">
        <f>IF(Exogena_RAW!E456&lt;&gt;"",ROW()-5,"")</f>
        <v/>
      </c>
      <c r="B447" s="48">
        <f>IF(A447="","",456)</f>
        <v/>
      </c>
      <c r="C447" s="48">
        <f>IF(A447="","",IFERROR(Exogena_RAW!A456,""))</f>
        <v/>
      </c>
      <c r="D447" s="48">
        <f>IF(A447="","",IFERROR(Exogena_RAW!B456,""))</f>
        <v/>
      </c>
      <c r="E447" s="48">
        <f>IF(A447="","",Exogena_RAW!E456)</f>
        <v/>
      </c>
      <c r="F447" s="461">
        <f>IF(A447="","",Exogena_RAW!F456)</f>
        <v/>
      </c>
      <c r="G447" s="48">
        <f>IF(A447="","",IFERROR(Exogena_RAW!G456,""))</f>
        <v/>
      </c>
      <c r="H447" s="48">
        <f>IF(A447="","",IFERROR(Exogena_RAW!H456,""))</f>
        <v/>
      </c>
      <c r="I447" s="48">
        <f>IF(A447="","",IFERROR(IF(S447&gt;1,"VARIAS CASILLAS",IF(S447=1,IF(T447=1,"PROPUESTA DE CASILLA","REVISIÓN: CASILLA NO DIRECTA"),IF(OR(ISNUMBER(SEARCH("TOPE",UPPER(E447))),ISNUMBER(SEARCH("TOPE",UPPER(G447)))),"SOLO CONTROL",IF(ISNUMBER(SEARCH("RETEN",UPPER(E447))),"RETENCIÓN","REVISAR")))),"REVISAR"))</f>
        <v/>
      </c>
      <c r="J447" s="48">
        <f>IF(A447="","",IF(ISNUMBER(SEARCH("ingreso laboral promedio de los últimos seis meses",E447)),"",IFERROR(IF(AND(S447=1,T447=1),U447,""),"")))</f>
        <v/>
      </c>
      <c r="K447" s="216" t="n"/>
      <c r="L447" s="48">
        <f>IF(A447="","",IFERROR(IF(K447&lt;&gt;"","Casilla elegida por usuario",IF(S447&gt;1,"Varias casillas — elegir en K",IF(J447&lt;&gt;"","Sugerencia directa",IF(S447=1,"No trasladar directo — revisar",IF(OR(ISNUMBER(SEARCH("TOPE",UPPER(E447))),ISNUMBER(SEARCH("TOPE",UPPER(G447)))),"Solo control","Revisar manualmente"))))),"Revisar manualmente"))</f>
        <v/>
      </c>
      <c r="M447" s="461">
        <f>IF(A447="","",IF(IF(K447&lt;&gt;"",K447,J447)="",0,IF(COUNTIFS(Reglas!$I$5:$I$118,IF(K447&lt;&gt;"",K447,J447),Reglas!$J$5:$J$118,"Sí")=1,F447,0)))</f>
        <v/>
      </c>
      <c r="N447" s="56" t="n"/>
      <c r="O447" s="462">
        <f>IF(A447="","",IF(M447=0,"",M447))</f>
        <v/>
      </c>
      <c r="P447" s="461">
        <f>IF(A447="","",IF(O447="",0,IF(ISNUMBER(O447),O447,0)))</f>
        <v/>
      </c>
      <c r="Q447" s="48">
        <f>IF(A447="","",IF(Exogena_RAW!$C$4="","BLOQUEADO: FALTA AÑO",IF(Exogena_RAW!$K$10&lt;&gt;Reglas!$B$5,"BLOQUEADO: AÑO",IF(IF(K447&lt;&gt;"",K447,J447)="",IF(S447&gt;1,"REQUIERE ASIGNACIÓN MANUAL (VARIAS CASILLAS)","INFORMATIVO (sin casilla — no se declara)"),IF(COUNTIFS(Reglas!$I$5:$I$118,IF(K447&lt;&gt;"",K447,J447),Reglas!$J$5:$J$118,"Sí")=0,"BLOQUEADO: CASILLA NO DIRECTA",IF(O447="","EXCLUIDO (valor borrado por el usuario)",IF(_xlfn.ISFORMULA(O447),IF(W447&lt;&gt;"","BORRADOR — VALOR SUGERIDO DIAN ⚠ VER ALERTA","BORRADOR — VALOR SUGERIDO DIAN"),IF(W447&lt;&gt;"","ACEPTADO ⚠ VER ALERTA","ACEPTADO"))))))))</f>
        <v/>
      </c>
      <c r="R447" s="218" t="n"/>
      <c r="S447" s="58">
        <f>IF(A447="","",IFERROR(--ISNUMBER(SEARCH("R28",G447)),0)+IFERROR(--ISNUMBER(SEARCH("R29",G447)),0)+IFERROR(--ISNUMBER(SEARCH("R30",G447)),0)+IFERROR(--ISNUMBER(SEARCH("R31",G447)),0)+IFERROR(--ISNUMBER(SEARCH("R32",G447)),0)+IFERROR(--ISNUMBER(SEARCH("R33",G447)),0)+IFERROR(--ISNUMBER(SEARCH("R34",G447)),0)+IFERROR(--ISNUMBER(SEARCH("R35",G447)),0)+IFERROR(--ISNUMBER(SEARCH("R36",G447)),0)+IFERROR(--ISNUMBER(SEARCH("R37",G447)),0)+IFERROR(--ISNUMBER(SEARCH("R38",G447)),0)+IFERROR(--ISNUMBER(SEARCH("R39",G447)),0)+IFERROR(--ISNUMBER(SEARCH("R40",G447)),0)+IFERROR(--ISNUMBER(SEARCH("R41",G447)),0)+IFERROR(--ISNUMBER(SEARCH("R42",G447)),0)+IFERROR(--ISNUMBER(SEARCH("R43",G447)),0)+IFERROR(--ISNUMBER(SEARCH("R44",G447)),0)+IFERROR(--ISNUMBER(SEARCH("R45",G447)),0)+IFERROR(--ISNUMBER(SEARCH("R46",G447)),0)+IFERROR(--ISNUMBER(SEARCH("R47",G447)),0)+IFERROR(--ISNUMBER(SEARCH("R48",G447)),0)+IFERROR(--ISNUMBER(SEARCH("R49",G447)),0)+IFERROR(--ISNUMBER(SEARCH("R50",G447)),0)+IFERROR(--ISNUMBER(SEARCH("R51",G447)),0)+IFERROR(--ISNUMBER(SEARCH("R52",G447)),0)+IFERROR(--ISNUMBER(SEARCH("R53",G447)),0)+IFERROR(--ISNUMBER(SEARCH("R54",G447)),0)+IFERROR(--ISNUMBER(SEARCH("R55",G447)),0)+IFERROR(--ISNUMBER(SEARCH("R56",G447)),0)+IFERROR(--ISNUMBER(SEARCH("R57",G447)),0)+IFERROR(--ISNUMBER(SEARCH("R58",G447)),0)+IFERROR(--ISNUMBER(SEARCH("R59",G447)),0)+IFERROR(--ISNUMBER(SEARCH("R60",G447)),0)+IFERROR(--ISNUMBER(SEARCH("R61",G447)),0)+IFERROR(--ISNUMBER(SEARCH("R62",G447)),0)+IFERROR(--ISNUMBER(SEARCH("R63",G447)),0)+IFERROR(--ISNUMBER(SEARCH("R64",G447)),0)+IFERROR(--ISNUMBER(SEARCH("R65",G447)),0)+IFERROR(--ISNUMBER(SEARCH("R66",G447)),0)+IFERROR(--ISNUMBER(SEARCH("R67",G447)),0)+IFERROR(--ISNUMBER(SEARCH("R68",G447)),0)+IFERROR(--ISNUMBER(SEARCH("R69",G447)),0)+IFERROR(--ISNUMBER(SEARCH("R70",G447)),0)+IFERROR(--ISNUMBER(SEARCH("R71",G447)),0)+IFERROR(--ISNUMBER(SEARCH("R72",G447)),0)+IFERROR(--ISNUMBER(SEARCH("R73",G447)),0)+IFERROR(--ISNUMBER(SEARCH("R74",G447)),0)+IFERROR(--ISNUMBER(SEARCH("R75",G447)),0)+IFERROR(--ISNUMBER(SEARCH("R76",G447)),0)+IFERROR(--ISNUMBER(SEARCH("R77",G447)),0)+IFERROR(--ISNUMBER(SEARCH("R78",G447)),0)+IFERROR(--ISNUMBER(SEARCH("R79",G447)),0)+IFERROR(--ISNUMBER(SEARCH("R80",G447)),0)+IFERROR(--ISNUMBER(SEARCH("R81",G447)),0)+IFERROR(--ISNUMBER(SEARCH("R82",G447)),0)+IFERROR(--ISNUMBER(SEARCH("R83",G447)),0)+IFERROR(--ISNUMBER(SEARCH("R84",G447)),0)+IFERROR(--ISNUMBER(SEARCH("R85",G447)),0)+IFERROR(--ISNUMBER(SEARCH("R86",G447)),0)+IFERROR(--ISNUMBER(SEARCH("R87",G447)),0)+IFERROR(--ISNUMBER(SEARCH("R88",G447)),0)+IFERROR(--ISNUMBER(SEARCH("R89",G447)),0)+IFERROR(--ISNUMBER(SEARCH("R90",G447)),0)+IFERROR(--ISNUMBER(SEARCH("R91",G447)),0)+IFERROR(--ISNUMBER(SEARCH("R92",G447)),0)+IFERROR(--ISNUMBER(SEARCH("R93",G447)),0)+IFERROR(--ISNUMBER(SEARCH("R94",G447)),0)+IFERROR(--ISNUMBER(SEARCH("R95",G447)),0)+IFERROR(--ISNUMBER(SEARCH("R96",G447)),0)+IFERROR(--ISNUMBER(SEARCH("R97",G447)),0)+IFERROR(--ISNUMBER(SEARCH("R98",G447)),0)+IFERROR(--ISNUMBER(SEARCH("R99",G447)),0)+IFERROR(--ISNUMBER(SEARCH("R100",G447)),0)+IFERROR(--ISNUMBER(SEARCH("R101",G447)),0)+IFERROR(--ISNUMBER(SEARCH("R102",G447)),0)+IFERROR(--ISNUMBER(SEARCH("R103",G447)),0)+IFERROR(--ISNUMBER(SEARCH("R104",G447)),0)+IFERROR(--ISNUMBER(SEARCH("R105",G447)),0)+IFERROR(--ISNUMBER(SEARCH("R106",G447)),0)+IFERROR(--ISNUMBER(SEARCH("R107",G447)),0)+IFERROR(--ISNUMBER(SEARCH("R108",G447)),0)+IFERROR(--ISNUMBER(SEARCH("R109",G447)),0)+IFERROR(--ISNUMBER(SEARCH("R110",G447)),0)+IFERROR(--ISNUMBER(SEARCH("R111",G447)),0)+IFERROR(--ISNUMBER(SEARCH("R112",G447)),0)+IFERROR(--ISNUMBER(SEARCH("R113",G447)),0)+IFERROR(--ISNUMBER(SEARCH("R114",G447)),0)+IFERROR(--ISNUMBER(SEARCH("R115",G447)),0)+IFERROR(--ISNUMBER(SEARCH("R116",G447)),0)+IFERROR(--ISNUMBER(SEARCH("R117",G447)),0)+IFERROR(--ISNUMBER(SEARCH("R118",G447)),0)+IFERROR(--ISNUMBER(SEARCH("R119",G447)),0)+IFERROR(--ISNUMBER(SEARCH("R120",G447)),0)+IFERROR(--ISNUMBER(SEARCH("R121",G447)),0)+IFERROR(--ISNUMBER(SEARCH("R122",G447)),0)+IFERROR(--ISNUMBER(SEARCH("R123",G447)),0)+IFERROR(--ISNUMBER(SEARCH("R124",G447)),0)+IFERROR(--ISNUMBER(SEARCH("R125",G447)),0)+IFERROR(--ISNUMBER(SEARCH("R126",G447)),0)+IFERROR(--ISNUMBER(SEARCH("R127",G447)),0)+IFERROR(--ISNUMBER(SEARCH("R128",G447)),0)+IFERROR(--ISNUMBER(SEARCH("R129",G447)),0)+IFERROR(--ISNUMBER(SEARCH("R130",G447)),0)+IFERROR(--ISNUMBER(SEARCH("R131",G447)),0)+IFERROR(--ISNUMBER(SEARCH("R132",G447)),0)+IFERROR(--ISNUMBER(SEARCH("R133",G447)),0)+IFERROR(--ISNUMBER(SEARCH("R134",G447)),0)+IFERROR(--ISNUMBER(SEARCH("R135",G447)),0)+IFERROR(--ISNUMBER(SEARCH("R136",G447)),0)+IFERROR(--ISNUMBER(SEARCH("R137",G447)),0)+IFERROR(--ISNUMBER(SEARCH("R138",G447)),0)+IFERROR(--ISNUMBER(SEARCH("R139",G447)),0)+IFERROR(--ISNUMBER(SEARCH("R140",G447)),0)+IFERROR(--ISNUMBER(SEARCH("R141",G447)),0))</f>
        <v/>
      </c>
      <c r="T447" s="58">
        <f>IF(A447="","",IFERROR(--ISNUMBER(SEARCH("R28",G447)),0)+IFERROR(--ISNUMBER(SEARCH("R29",G447)),0)+IFERROR(--ISNUMBER(SEARCH("R30",G447)),0)+IFERROR(--ISNUMBER(SEARCH("R32",G447)),0)+IFERROR(--ISNUMBER(SEARCH("R33",G447)),0)+IFERROR(--ISNUMBER(SEARCH("R35",G447)),0)+IFERROR(--ISNUMBER(SEARCH("R36",G447)),0)+IFERROR(--ISNUMBER(SEARCH("R38",G447)),0)+IFERROR(--ISNUMBER(SEARCH("R39",G447)),0)+IFERROR(--ISNUMBER(SEARCH("R43",G447)),0)+IFERROR(--ISNUMBER(SEARCH("R44",G447)),0)+IFERROR(--ISNUMBER(SEARCH("R45",G447)),0)+IFERROR(--ISNUMBER(SEARCH("R47",G447)),0)+IFERROR(--ISNUMBER(SEARCH("R48",G447)),0)+IFERROR(--ISNUMBER(SEARCH("R50",G447)),0)+IFERROR(--ISNUMBER(SEARCH("R51",G447)),0)+IFERROR(--ISNUMBER(SEARCH("R56",G447)),0)+IFERROR(--ISNUMBER(SEARCH("R58",G447)),0)+IFERROR(--ISNUMBER(SEARCH("R59",G447)),0)+IFERROR(--ISNUMBER(SEARCH("R60",G447)),0)+IFERROR(--ISNUMBER(SEARCH("R62",G447)),0)+IFERROR(--ISNUMBER(SEARCH("R63",G447)),0)+IFERROR(--ISNUMBER(SEARCH("R64",G447)),0)+IFERROR(--ISNUMBER(SEARCH("R66",G447)),0)+IFERROR(--ISNUMBER(SEARCH("R67",G447)),0)+IFERROR(--ISNUMBER(SEARCH("R72",G447)),0)+IFERROR(--ISNUMBER(SEARCH("R74",G447)),0)+IFERROR(--ISNUMBER(SEARCH("R75",G447)),0)+IFERROR(--ISNUMBER(SEARCH("R76",G447)),0)+IFERROR(--ISNUMBER(SEARCH("R77",G447)),0)+IFERROR(--ISNUMBER(SEARCH("R79",G447)),0)+IFERROR(--ISNUMBER(SEARCH("R80",G447)),0)+IFERROR(--ISNUMBER(SEARCH("R81",G447)),0)+IFERROR(--ISNUMBER(SEARCH("R83",G447)),0)+IFERROR(--ISNUMBER(SEARCH("R84",G447)),0)+IFERROR(--ISNUMBER(SEARCH("R89",G447)),0)+IFERROR(--ISNUMBER(SEARCH("R94",G447)),0)+IFERROR(--ISNUMBER(SEARCH("R95",G447)),0)+IFERROR(--ISNUMBER(SEARCH("R96",G447)),0)+IFERROR(--ISNUMBER(SEARCH("R98",G447)),0)+IFERROR(--ISNUMBER(SEARCH("R99",G447)),0)+IFERROR(--ISNUMBER(SEARCH("R100",G447)),0)+IFERROR(--ISNUMBER(SEARCH("R104",G447)),0)+IFERROR(--ISNUMBER(SEARCH("R105",G447)),0)+IFERROR(--ISNUMBER(SEARCH("R107",G447)),0)+IFERROR(--ISNUMBER(SEARCH("R108",G447)),0)+IFERROR(--ISNUMBER(SEARCH("R109",G447)),0)+IFERROR(--ISNUMBER(SEARCH("R110",G447)),0)+IFERROR(--ISNUMBER(SEARCH("R112",G447)),0)+IFERROR(--ISNUMBER(SEARCH("R113",G447)),0)+IFERROR(--ISNUMBER(SEARCH("R114",G447)),0)+IFERROR(--ISNUMBER(SEARCH("R118",G447)),0)+IFERROR(--ISNUMBER(SEARCH("R119",G447)),0)+IFERROR(--ISNUMBER(SEARCH("R120",G447)),0)+IFERROR(--ISNUMBER(SEARCH("R122",G447)),0)+IFERROR(--ISNUMBER(SEARCH("R123",G447)),0)+IFERROR(--ISNUMBER(SEARCH("R124",G447)),0)+IFERROR(--ISNUMBER(SEARCH("R128",G447)),0)+IFERROR(--ISNUMBER(SEARCH("R130",G447)),0)+IFERROR(--ISNUMBER(SEARCH("R131",G447)),0)+IFERROR(--ISNUMBER(SEARCH("R132",G447)),0)+IFERROR(--ISNUMBER(SEARCH("R135",G447)),0)+IFERROR(--ISNUMBER(SEARCH("R138",G447)),0)+IFERROR(--ISNUMBER(SEARCH("R141",G447)),0))</f>
        <v/>
      </c>
      <c r="U447" s="58">
        <f>IF(A447="","",IFERROR(--ISNUMBER(SEARCH("R28",G447))*28,0)+IFERROR(--ISNUMBER(SEARCH("R29",G447))*29,0)+IFERROR(--ISNUMBER(SEARCH("R30",G447))*30,0)+IFERROR(--ISNUMBER(SEARCH("R31",G447))*31,0)+IFERROR(--ISNUMBER(SEARCH("R32",G447))*32,0)+IFERROR(--ISNUMBER(SEARCH("R33",G447))*33,0)+IFERROR(--ISNUMBER(SEARCH("R34",G447))*34,0)+IFERROR(--ISNUMBER(SEARCH("R35",G447))*35,0)+IFERROR(--ISNUMBER(SEARCH("R36",G447))*36,0)+IFERROR(--ISNUMBER(SEARCH("R37",G447))*37,0)+IFERROR(--ISNUMBER(SEARCH("R38",G447))*38,0)+IFERROR(--ISNUMBER(SEARCH("R39",G447))*39,0)+IFERROR(--ISNUMBER(SEARCH("R40",G447))*40,0)+IFERROR(--ISNUMBER(SEARCH("R41",G447))*41,0)+IFERROR(--ISNUMBER(SEARCH("R42",G447))*42,0)+IFERROR(--ISNUMBER(SEARCH("R43",G447))*43,0)+IFERROR(--ISNUMBER(SEARCH("R44",G447))*44,0)+IFERROR(--ISNUMBER(SEARCH("R45",G447))*45,0)+IFERROR(--ISNUMBER(SEARCH("R46",G447))*46,0)+IFERROR(--ISNUMBER(SEARCH("R47",G447))*47,0)+IFERROR(--ISNUMBER(SEARCH("R48",G447))*48,0)+IFERROR(--ISNUMBER(SEARCH("R49",G447))*49,0)+IFERROR(--ISNUMBER(SEARCH("R50",G447))*50,0)+IFERROR(--ISNUMBER(SEARCH("R51",G447))*51,0)+IFERROR(--ISNUMBER(SEARCH("R52",G447))*52,0)+IFERROR(--ISNUMBER(SEARCH("R53",G447))*53,0)+IFERROR(--ISNUMBER(SEARCH("R54",G447))*54,0)+IFERROR(--ISNUMBER(SEARCH("R55",G447))*55,0)+IFERROR(--ISNUMBER(SEARCH("R56",G447))*56,0)+IFERROR(--ISNUMBER(SEARCH("R57",G447))*57,0)+IFERROR(--ISNUMBER(SEARCH("R58",G447))*58,0)+IFERROR(--ISNUMBER(SEARCH("R59",G447))*59,0)+IFERROR(--ISNUMBER(SEARCH("R60",G447))*60,0)+IFERROR(--ISNUMBER(SEARCH("R61",G447))*61,0)+IFERROR(--ISNUMBER(SEARCH("R62",G447))*62,0)+IFERROR(--ISNUMBER(SEARCH("R63",G447))*63,0)+IFERROR(--ISNUMBER(SEARCH("R64",G447))*64,0)+IFERROR(--ISNUMBER(SEARCH("R65",G447))*65,0)+IFERROR(--ISNUMBER(SEARCH("R66",G447))*66,0)+IFERROR(--ISNUMBER(SEARCH("R67",G447))*67,0)+IFERROR(--ISNUMBER(SEARCH("R68",G447))*68,0)+IFERROR(--ISNUMBER(SEARCH("R69",G447))*69,0)+IFERROR(--ISNUMBER(SEARCH("R70",G447))*70,0)+IFERROR(--ISNUMBER(SEARCH("R71",G447))*71,0)+IFERROR(--ISNUMBER(SEARCH("R72",G447))*72,0)+IFERROR(--ISNUMBER(SEARCH("R73",G447))*73,0)+IFERROR(--ISNUMBER(SEARCH("R74",G447))*74,0)+IFERROR(--ISNUMBER(SEARCH("R75",G447))*75,0)+IFERROR(--ISNUMBER(SEARCH("R76",G447))*76,0)+IFERROR(--ISNUMBER(SEARCH("R77",G447))*77,0)+IFERROR(--ISNUMBER(SEARCH("R78",G447))*78,0)+IFERROR(--ISNUMBER(SEARCH("R79",G447))*79,0)+IFERROR(--ISNUMBER(SEARCH("R80",G447))*80,0)+IFERROR(--ISNUMBER(SEARCH("R81",G447))*81,0)+IFERROR(--ISNUMBER(SEARCH("R82",G447))*82,0)+IFERROR(--ISNUMBER(SEARCH("R83",G447))*83,0)+IFERROR(--ISNUMBER(SEARCH("R84",G447))*84,0)+IFERROR(--ISNUMBER(SEARCH("R85",G447))*85,0)+IFERROR(--ISNUMBER(SEARCH("R86",G447))*86,0)+IFERROR(--ISNUMBER(SEARCH("R87",G447))*87,0)+IFERROR(--ISNUMBER(SEARCH("R88",G447))*88,0)+IFERROR(--ISNUMBER(SEARCH("R89",G447))*89,0)+IFERROR(--ISNUMBER(SEARCH("R90",G447))*90,0)+IFERROR(--ISNUMBER(SEARCH("R91",G447))*91,0)+IFERROR(--ISNUMBER(SEARCH("R92",G447))*92,0)+IFERROR(--ISNUMBER(SEARCH("R93",G447))*93,0)+IFERROR(--ISNUMBER(SEARCH("R94",G447))*94,0)+IFERROR(--ISNUMBER(SEARCH("R95",G447))*95,0)+IFERROR(--ISNUMBER(SEARCH("R96",G447))*96,0)+IFERROR(--ISNUMBER(SEARCH("R97",G447))*97,0)+IFERROR(--ISNUMBER(SEARCH("R98",G447))*98,0)+IFERROR(--ISNUMBER(SEARCH("R99",G447))*99,0)+IFERROR(--ISNUMBER(SEARCH("R100",G447))*100,0)+IFERROR(--ISNUMBER(SEARCH("R101",G447))*101,0)+IFERROR(--ISNUMBER(SEARCH("R102",G447))*102,0)+IFERROR(--ISNUMBER(SEARCH("R103",G447))*103,0)+IFERROR(--ISNUMBER(SEARCH("R104",G447))*104,0)+IFERROR(--ISNUMBER(SEARCH("R105",G447))*105,0)+IFERROR(--ISNUMBER(SEARCH("R106",G447))*106,0)+IFERROR(--ISNUMBER(SEARCH("R107",G447))*107,0)+IFERROR(--ISNUMBER(SEARCH("R108",G447))*108,0)+IFERROR(--ISNUMBER(SEARCH("R109",G447))*109,0)+IFERROR(--ISNUMBER(SEARCH("R110",G447))*110,0)+IFERROR(--ISNUMBER(SEARCH("R111",G447))*111,0)+IFERROR(--ISNUMBER(SEARCH("R112",G447))*112,0)+IFERROR(--ISNUMBER(SEARCH("R113",G447))*113,0)+IFERROR(--ISNUMBER(SEARCH("R114",G447))*114,0)+IFERROR(--ISNUMBER(SEARCH("R115",G447))*115,0)+IFERROR(--ISNUMBER(SEARCH("R116",G447))*116,0)+IFERROR(--ISNUMBER(SEARCH("R117",G447))*117,0)+IFERROR(--ISNUMBER(SEARCH("R118",G447))*118,0)+IFERROR(--ISNUMBER(SEARCH("R119",G447))*119,0)+IFERROR(--ISNUMBER(SEARCH("R120",G447))*120,0)+IFERROR(--ISNUMBER(SEARCH("R121",G447))*121,0)+IFERROR(--ISNUMBER(SEARCH("R122",G447))*122,0)+IFERROR(--ISNUMBER(SEARCH("R123",G447))*123,0)+IFERROR(--ISNUMBER(SEARCH("R124",G447))*124,0)+IFERROR(--ISNUMBER(SEARCH("R125",G447))*125,0)+IFERROR(--ISNUMBER(SEARCH("R126",G447))*126,0)+IFERROR(--ISNUMBER(SEARCH("R127",G447))*127,0)+IFERROR(--ISNUMBER(SEARCH("R128",G447))*128,0)+IFERROR(--ISNUMBER(SEARCH("R129",G447))*129,0)+IFERROR(--ISNUMBER(SEARCH("R130",G447))*130,0)+IFERROR(--ISNUMBER(SEARCH("R131",G447))*131,0)+IFERROR(--ISNUMBER(SEARCH("R132",G447))*132,0)+IFERROR(--ISNUMBER(SEARCH("R133",G447))*133,0)+IFERROR(--ISNUMBER(SEARCH("R134",G447))*134,0)+IFERROR(--ISNUMBER(SEARCH("R135",G447))*135,0)+IFERROR(--ISNUMBER(SEARCH("R136",G447))*136,0)+IFERROR(--ISNUMBER(SEARCH("R137",G447))*137,0)+IFERROR(--ISNUMBER(SEARCH("R138",G447))*138,0)+IFERROR(--ISNUMBER(SEARCH("R139",G447))*139,0)+IFERROR(--ISNUMBER(SEARCH("R140",G447))*140,0)+IFERROR(--ISNUMBER(SEARCH("R141",G447))*141,0))</f>
        <v/>
      </c>
      <c r="V447" s="59">
        <f>IF(A447="","",IF(K447&lt;&gt;"",K447,J447))</f>
        <v/>
      </c>
      <c r="W447" s="59">
        <f>IF(A447="","",IF(AND(V447=29,O447&lt;&gt;"",COUNTIFS($V$6:$V$505,29,$F$6:$F$505,F447,$C$6:$C$505,C447,$O$6:$O$505,"&lt;&gt;")&gt;1),IF(COUNTIFS($V$6:V447,29,$F$6:F447,F447,$C$6:C447,C447,$O$6:O447,"&lt;&gt;")=1,"Esta es la fila que se debe CONSERVAR (aparición 1 de "&amp;COUNTIFS($V$6:$V$505,29,$F$6:$F$505,F447,$C$6:$C$505,C447,$O$6:$O$505,"&lt;&gt;")&amp;" con el mismo tercero y valor, casilla 29). Si hay más filas iguales, bórreles el valor a ELLAS, no a esta.","DUPLICADO — ya existe otra fila con el mismo tercero y valor para casilla 29 (aparición "&amp;COUNTIFS($V$6:V447,29,$F$6:F447,F447,$C$6:C447,C447,$O$6:O447,"&lt;&gt;")&amp;" de "&amp;COUNTIFS($V$6:$V$505,29,$F$6:$F$505,F447,$C$6:$C$505,C447,$O$6:$O$505,"&lt;&gt;")&amp;"). Para resolverlo: seleccione la celda O"&amp;ROW()&amp;" (columna Valor a declarar de ESTA fila) y presione Supr."),""))</f>
        <v/>
      </c>
      <c r="X447" s="463">
        <f>IF(A447="","",F447)</f>
        <v/>
      </c>
      <c r="Y447" s="463">
        <f>IF(A447="","",SUMIF(Entrada_Manual!$I$88:$I$187,A447,Entrada_Manual!$F$88:$F$187))</f>
        <v/>
      </c>
      <c r="Z447" s="463">
        <f>IF(A447="","",X447-Y447)</f>
        <v/>
      </c>
      <c r="AA447">
        <f>IF(A447="","",SUMPRODUCT((Entrada_Manual!$I$88:$I$187=A447)*1))</f>
        <v/>
      </c>
      <c r="AB447">
        <f>IF(A447="","",IF(S447&lt;=1,"",IF(AA447=0,"PENDIENTE — SIN ASIGNAR",IF(Z447=0,"RESUELTO","PARCIAL — DIFERENCIA "&amp;TEXT(Z447,"#,##0")))))</f>
        <v/>
      </c>
    </row>
    <row r="448" ht="14.25" customHeight="1" s="235">
      <c r="A448" s="47">
        <f>IF(Exogena_RAW!E457&lt;&gt;"",ROW()-5,"")</f>
        <v/>
      </c>
      <c r="B448" s="48">
        <f>IF(A448="","",457)</f>
        <v/>
      </c>
      <c r="C448" s="48">
        <f>IF(A448="","",IFERROR(Exogena_RAW!A457,""))</f>
        <v/>
      </c>
      <c r="D448" s="48">
        <f>IF(A448="","",IFERROR(Exogena_RAW!B457,""))</f>
        <v/>
      </c>
      <c r="E448" s="48">
        <f>IF(A448="","",Exogena_RAW!E457)</f>
        <v/>
      </c>
      <c r="F448" s="461">
        <f>IF(A448="","",Exogena_RAW!F457)</f>
        <v/>
      </c>
      <c r="G448" s="48">
        <f>IF(A448="","",IFERROR(Exogena_RAW!G457,""))</f>
        <v/>
      </c>
      <c r="H448" s="48">
        <f>IF(A448="","",IFERROR(Exogena_RAW!H457,""))</f>
        <v/>
      </c>
      <c r="I448" s="48">
        <f>IF(A448="","",IFERROR(IF(S448&gt;1,"VARIAS CASILLAS",IF(S448=1,IF(T448=1,"PROPUESTA DE CASILLA","REVISIÓN: CASILLA NO DIRECTA"),IF(OR(ISNUMBER(SEARCH("TOPE",UPPER(E448))),ISNUMBER(SEARCH("TOPE",UPPER(G448)))),"SOLO CONTROL",IF(ISNUMBER(SEARCH("RETEN",UPPER(E448))),"RETENCIÓN","REVISAR")))),"REVISAR"))</f>
        <v/>
      </c>
      <c r="J448" s="48">
        <f>IF(A448="","",IF(ISNUMBER(SEARCH("ingreso laboral promedio de los últimos seis meses",E448)),"",IFERROR(IF(AND(S448=1,T448=1),U448,""),"")))</f>
        <v/>
      </c>
      <c r="K448" s="216" t="n"/>
      <c r="L448" s="48">
        <f>IF(A448="","",IFERROR(IF(K448&lt;&gt;"","Casilla elegida por usuario",IF(S448&gt;1,"Varias casillas — elegir en K",IF(J448&lt;&gt;"","Sugerencia directa",IF(S448=1,"No trasladar directo — revisar",IF(OR(ISNUMBER(SEARCH("TOPE",UPPER(E448))),ISNUMBER(SEARCH("TOPE",UPPER(G448)))),"Solo control","Revisar manualmente"))))),"Revisar manualmente"))</f>
        <v/>
      </c>
      <c r="M448" s="461">
        <f>IF(A448="","",IF(IF(K448&lt;&gt;"",K448,J448)="",0,IF(COUNTIFS(Reglas!$I$5:$I$118,IF(K448&lt;&gt;"",K448,J448),Reglas!$J$5:$J$118,"Sí")=1,F448,0)))</f>
        <v/>
      </c>
      <c r="N448" s="56" t="n"/>
      <c r="O448" s="462">
        <f>IF(A448="","",IF(M448=0,"",M448))</f>
        <v/>
      </c>
      <c r="P448" s="461">
        <f>IF(A448="","",IF(O448="",0,IF(ISNUMBER(O448),O448,0)))</f>
        <v/>
      </c>
      <c r="Q448" s="48">
        <f>IF(A448="","",IF(Exogena_RAW!$C$4="","BLOQUEADO: FALTA AÑO",IF(Exogena_RAW!$K$10&lt;&gt;Reglas!$B$5,"BLOQUEADO: AÑO",IF(IF(K448&lt;&gt;"",K448,J448)="",IF(S448&gt;1,"REQUIERE ASIGNACIÓN MANUAL (VARIAS CASILLAS)","INFORMATIVO (sin casilla — no se declara)"),IF(COUNTIFS(Reglas!$I$5:$I$118,IF(K448&lt;&gt;"",K448,J448),Reglas!$J$5:$J$118,"Sí")=0,"BLOQUEADO: CASILLA NO DIRECTA",IF(O448="","EXCLUIDO (valor borrado por el usuario)",IF(_xlfn.ISFORMULA(O448),IF(W448&lt;&gt;"","BORRADOR — VALOR SUGERIDO DIAN ⚠ VER ALERTA","BORRADOR — VALOR SUGERIDO DIAN"),IF(W448&lt;&gt;"","ACEPTADO ⚠ VER ALERTA","ACEPTADO"))))))))</f>
        <v/>
      </c>
      <c r="R448" s="218" t="n"/>
      <c r="S448" s="58">
        <f>IF(A448="","",IFERROR(--ISNUMBER(SEARCH("R28",G448)),0)+IFERROR(--ISNUMBER(SEARCH("R29",G448)),0)+IFERROR(--ISNUMBER(SEARCH("R30",G448)),0)+IFERROR(--ISNUMBER(SEARCH("R31",G448)),0)+IFERROR(--ISNUMBER(SEARCH("R32",G448)),0)+IFERROR(--ISNUMBER(SEARCH("R33",G448)),0)+IFERROR(--ISNUMBER(SEARCH("R34",G448)),0)+IFERROR(--ISNUMBER(SEARCH("R35",G448)),0)+IFERROR(--ISNUMBER(SEARCH("R36",G448)),0)+IFERROR(--ISNUMBER(SEARCH("R37",G448)),0)+IFERROR(--ISNUMBER(SEARCH("R38",G448)),0)+IFERROR(--ISNUMBER(SEARCH("R39",G448)),0)+IFERROR(--ISNUMBER(SEARCH("R40",G448)),0)+IFERROR(--ISNUMBER(SEARCH("R41",G448)),0)+IFERROR(--ISNUMBER(SEARCH("R42",G448)),0)+IFERROR(--ISNUMBER(SEARCH("R43",G448)),0)+IFERROR(--ISNUMBER(SEARCH("R44",G448)),0)+IFERROR(--ISNUMBER(SEARCH("R45",G448)),0)+IFERROR(--ISNUMBER(SEARCH("R46",G448)),0)+IFERROR(--ISNUMBER(SEARCH("R47",G448)),0)+IFERROR(--ISNUMBER(SEARCH("R48",G448)),0)+IFERROR(--ISNUMBER(SEARCH("R49",G448)),0)+IFERROR(--ISNUMBER(SEARCH("R50",G448)),0)+IFERROR(--ISNUMBER(SEARCH("R51",G448)),0)+IFERROR(--ISNUMBER(SEARCH("R52",G448)),0)+IFERROR(--ISNUMBER(SEARCH("R53",G448)),0)+IFERROR(--ISNUMBER(SEARCH("R54",G448)),0)+IFERROR(--ISNUMBER(SEARCH("R55",G448)),0)+IFERROR(--ISNUMBER(SEARCH("R56",G448)),0)+IFERROR(--ISNUMBER(SEARCH("R57",G448)),0)+IFERROR(--ISNUMBER(SEARCH("R58",G448)),0)+IFERROR(--ISNUMBER(SEARCH("R59",G448)),0)+IFERROR(--ISNUMBER(SEARCH("R60",G448)),0)+IFERROR(--ISNUMBER(SEARCH("R61",G448)),0)+IFERROR(--ISNUMBER(SEARCH("R62",G448)),0)+IFERROR(--ISNUMBER(SEARCH("R63",G448)),0)+IFERROR(--ISNUMBER(SEARCH("R64",G448)),0)+IFERROR(--ISNUMBER(SEARCH("R65",G448)),0)+IFERROR(--ISNUMBER(SEARCH("R66",G448)),0)+IFERROR(--ISNUMBER(SEARCH("R67",G448)),0)+IFERROR(--ISNUMBER(SEARCH("R68",G448)),0)+IFERROR(--ISNUMBER(SEARCH("R69",G448)),0)+IFERROR(--ISNUMBER(SEARCH("R70",G448)),0)+IFERROR(--ISNUMBER(SEARCH("R71",G448)),0)+IFERROR(--ISNUMBER(SEARCH("R72",G448)),0)+IFERROR(--ISNUMBER(SEARCH("R73",G448)),0)+IFERROR(--ISNUMBER(SEARCH("R74",G448)),0)+IFERROR(--ISNUMBER(SEARCH("R75",G448)),0)+IFERROR(--ISNUMBER(SEARCH("R76",G448)),0)+IFERROR(--ISNUMBER(SEARCH("R77",G448)),0)+IFERROR(--ISNUMBER(SEARCH("R78",G448)),0)+IFERROR(--ISNUMBER(SEARCH("R79",G448)),0)+IFERROR(--ISNUMBER(SEARCH("R80",G448)),0)+IFERROR(--ISNUMBER(SEARCH("R81",G448)),0)+IFERROR(--ISNUMBER(SEARCH("R82",G448)),0)+IFERROR(--ISNUMBER(SEARCH("R83",G448)),0)+IFERROR(--ISNUMBER(SEARCH("R84",G448)),0)+IFERROR(--ISNUMBER(SEARCH("R85",G448)),0)+IFERROR(--ISNUMBER(SEARCH("R86",G448)),0)+IFERROR(--ISNUMBER(SEARCH("R87",G448)),0)+IFERROR(--ISNUMBER(SEARCH("R88",G448)),0)+IFERROR(--ISNUMBER(SEARCH("R89",G448)),0)+IFERROR(--ISNUMBER(SEARCH("R90",G448)),0)+IFERROR(--ISNUMBER(SEARCH("R91",G448)),0)+IFERROR(--ISNUMBER(SEARCH("R92",G448)),0)+IFERROR(--ISNUMBER(SEARCH("R93",G448)),0)+IFERROR(--ISNUMBER(SEARCH("R94",G448)),0)+IFERROR(--ISNUMBER(SEARCH("R95",G448)),0)+IFERROR(--ISNUMBER(SEARCH("R96",G448)),0)+IFERROR(--ISNUMBER(SEARCH("R97",G448)),0)+IFERROR(--ISNUMBER(SEARCH("R98",G448)),0)+IFERROR(--ISNUMBER(SEARCH("R99",G448)),0)+IFERROR(--ISNUMBER(SEARCH("R100",G448)),0)+IFERROR(--ISNUMBER(SEARCH("R101",G448)),0)+IFERROR(--ISNUMBER(SEARCH("R102",G448)),0)+IFERROR(--ISNUMBER(SEARCH("R103",G448)),0)+IFERROR(--ISNUMBER(SEARCH("R104",G448)),0)+IFERROR(--ISNUMBER(SEARCH("R105",G448)),0)+IFERROR(--ISNUMBER(SEARCH("R106",G448)),0)+IFERROR(--ISNUMBER(SEARCH("R107",G448)),0)+IFERROR(--ISNUMBER(SEARCH("R108",G448)),0)+IFERROR(--ISNUMBER(SEARCH("R109",G448)),0)+IFERROR(--ISNUMBER(SEARCH("R110",G448)),0)+IFERROR(--ISNUMBER(SEARCH("R111",G448)),0)+IFERROR(--ISNUMBER(SEARCH("R112",G448)),0)+IFERROR(--ISNUMBER(SEARCH("R113",G448)),0)+IFERROR(--ISNUMBER(SEARCH("R114",G448)),0)+IFERROR(--ISNUMBER(SEARCH("R115",G448)),0)+IFERROR(--ISNUMBER(SEARCH("R116",G448)),0)+IFERROR(--ISNUMBER(SEARCH("R117",G448)),0)+IFERROR(--ISNUMBER(SEARCH("R118",G448)),0)+IFERROR(--ISNUMBER(SEARCH("R119",G448)),0)+IFERROR(--ISNUMBER(SEARCH("R120",G448)),0)+IFERROR(--ISNUMBER(SEARCH("R121",G448)),0)+IFERROR(--ISNUMBER(SEARCH("R122",G448)),0)+IFERROR(--ISNUMBER(SEARCH("R123",G448)),0)+IFERROR(--ISNUMBER(SEARCH("R124",G448)),0)+IFERROR(--ISNUMBER(SEARCH("R125",G448)),0)+IFERROR(--ISNUMBER(SEARCH("R126",G448)),0)+IFERROR(--ISNUMBER(SEARCH("R127",G448)),0)+IFERROR(--ISNUMBER(SEARCH("R128",G448)),0)+IFERROR(--ISNUMBER(SEARCH("R129",G448)),0)+IFERROR(--ISNUMBER(SEARCH("R130",G448)),0)+IFERROR(--ISNUMBER(SEARCH("R131",G448)),0)+IFERROR(--ISNUMBER(SEARCH("R132",G448)),0)+IFERROR(--ISNUMBER(SEARCH("R133",G448)),0)+IFERROR(--ISNUMBER(SEARCH("R134",G448)),0)+IFERROR(--ISNUMBER(SEARCH("R135",G448)),0)+IFERROR(--ISNUMBER(SEARCH("R136",G448)),0)+IFERROR(--ISNUMBER(SEARCH("R137",G448)),0)+IFERROR(--ISNUMBER(SEARCH("R138",G448)),0)+IFERROR(--ISNUMBER(SEARCH("R139",G448)),0)+IFERROR(--ISNUMBER(SEARCH("R140",G448)),0)+IFERROR(--ISNUMBER(SEARCH("R141",G448)),0))</f>
        <v/>
      </c>
      <c r="T448" s="58">
        <f>IF(A448="","",IFERROR(--ISNUMBER(SEARCH("R28",G448)),0)+IFERROR(--ISNUMBER(SEARCH("R29",G448)),0)+IFERROR(--ISNUMBER(SEARCH("R30",G448)),0)+IFERROR(--ISNUMBER(SEARCH("R32",G448)),0)+IFERROR(--ISNUMBER(SEARCH("R33",G448)),0)+IFERROR(--ISNUMBER(SEARCH("R35",G448)),0)+IFERROR(--ISNUMBER(SEARCH("R36",G448)),0)+IFERROR(--ISNUMBER(SEARCH("R38",G448)),0)+IFERROR(--ISNUMBER(SEARCH("R39",G448)),0)+IFERROR(--ISNUMBER(SEARCH("R43",G448)),0)+IFERROR(--ISNUMBER(SEARCH("R44",G448)),0)+IFERROR(--ISNUMBER(SEARCH("R45",G448)),0)+IFERROR(--ISNUMBER(SEARCH("R47",G448)),0)+IFERROR(--ISNUMBER(SEARCH("R48",G448)),0)+IFERROR(--ISNUMBER(SEARCH("R50",G448)),0)+IFERROR(--ISNUMBER(SEARCH("R51",G448)),0)+IFERROR(--ISNUMBER(SEARCH("R56",G448)),0)+IFERROR(--ISNUMBER(SEARCH("R58",G448)),0)+IFERROR(--ISNUMBER(SEARCH("R59",G448)),0)+IFERROR(--ISNUMBER(SEARCH("R60",G448)),0)+IFERROR(--ISNUMBER(SEARCH("R62",G448)),0)+IFERROR(--ISNUMBER(SEARCH("R63",G448)),0)+IFERROR(--ISNUMBER(SEARCH("R64",G448)),0)+IFERROR(--ISNUMBER(SEARCH("R66",G448)),0)+IFERROR(--ISNUMBER(SEARCH("R67",G448)),0)+IFERROR(--ISNUMBER(SEARCH("R72",G448)),0)+IFERROR(--ISNUMBER(SEARCH("R74",G448)),0)+IFERROR(--ISNUMBER(SEARCH("R75",G448)),0)+IFERROR(--ISNUMBER(SEARCH("R76",G448)),0)+IFERROR(--ISNUMBER(SEARCH("R77",G448)),0)+IFERROR(--ISNUMBER(SEARCH("R79",G448)),0)+IFERROR(--ISNUMBER(SEARCH("R80",G448)),0)+IFERROR(--ISNUMBER(SEARCH("R81",G448)),0)+IFERROR(--ISNUMBER(SEARCH("R83",G448)),0)+IFERROR(--ISNUMBER(SEARCH("R84",G448)),0)+IFERROR(--ISNUMBER(SEARCH("R89",G448)),0)+IFERROR(--ISNUMBER(SEARCH("R94",G448)),0)+IFERROR(--ISNUMBER(SEARCH("R95",G448)),0)+IFERROR(--ISNUMBER(SEARCH("R96",G448)),0)+IFERROR(--ISNUMBER(SEARCH("R98",G448)),0)+IFERROR(--ISNUMBER(SEARCH("R99",G448)),0)+IFERROR(--ISNUMBER(SEARCH("R100",G448)),0)+IFERROR(--ISNUMBER(SEARCH("R104",G448)),0)+IFERROR(--ISNUMBER(SEARCH("R105",G448)),0)+IFERROR(--ISNUMBER(SEARCH("R107",G448)),0)+IFERROR(--ISNUMBER(SEARCH("R108",G448)),0)+IFERROR(--ISNUMBER(SEARCH("R109",G448)),0)+IFERROR(--ISNUMBER(SEARCH("R110",G448)),0)+IFERROR(--ISNUMBER(SEARCH("R112",G448)),0)+IFERROR(--ISNUMBER(SEARCH("R113",G448)),0)+IFERROR(--ISNUMBER(SEARCH("R114",G448)),0)+IFERROR(--ISNUMBER(SEARCH("R118",G448)),0)+IFERROR(--ISNUMBER(SEARCH("R119",G448)),0)+IFERROR(--ISNUMBER(SEARCH("R120",G448)),0)+IFERROR(--ISNUMBER(SEARCH("R122",G448)),0)+IFERROR(--ISNUMBER(SEARCH("R123",G448)),0)+IFERROR(--ISNUMBER(SEARCH("R124",G448)),0)+IFERROR(--ISNUMBER(SEARCH("R128",G448)),0)+IFERROR(--ISNUMBER(SEARCH("R130",G448)),0)+IFERROR(--ISNUMBER(SEARCH("R131",G448)),0)+IFERROR(--ISNUMBER(SEARCH("R132",G448)),0)+IFERROR(--ISNUMBER(SEARCH("R135",G448)),0)+IFERROR(--ISNUMBER(SEARCH("R138",G448)),0)+IFERROR(--ISNUMBER(SEARCH("R141",G448)),0))</f>
        <v/>
      </c>
      <c r="U448" s="58">
        <f>IF(A448="","",IFERROR(--ISNUMBER(SEARCH("R28",G448))*28,0)+IFERROR(--ISNUMBER(SEARCH("R29",G448))*29,0)+IFERROR(--ISNUMBER(SEARCH("R30",G448))*30,0)+IFERROR(--ISNUMBER(SEARCH("R31",G448))*31,0)+IFERROR(--ISNUMBER(SEARCH("R32",G448))*32,0)+IFERROR(--ISNUMBER(SEARCH("R33",G448))*33,0)+IFERROR(--ISNUMBER(SEARCH("R34",G448))*34,0)+IFERROR(--ISNUMBER(SEARCH("R35",G448))*35,0)+IFERROR(--ISNUMBER(SEARCH("R36",G448))*36,0)+IFERROR(--ISNUMBER(SEARCH("R37",G448))*37,0)+IFERROR(--ISNUMBER(SEARCH("R38",G448))*38,0)+IFERROR(--ISNUMBER(SEARCH("R39",G448))*39,0)+IFERROR(--ISNUMBER(SEARCH("R40",G448))*40,0)+IFERROR(--ISNUMBER(SEARCH("R41",G448))*41,0)+IFERROR(--ISNUMBER(SEARCH("R42",G448))*42,0)+IFERROR(--ISNUMBER(SEARCH("R43",G448))*43,0)+IFERROR(--ISNUMBER(SEARCH("R44",G448))*44,0)+IFERROR(--ISNUMBER(SEARCH("R45",G448))*45,0)+IFERROR(--ISNUMBER(SEARCH("R46",G448))*46,0)+IFERROR(--ISNUMBER(SEARCH("R47",G448))*47,0)+IFERROR(--ISNUMBER(SEARCH("R48",G448))*48,0)+IFERROR(--ISNUMBER(SEARCH("R49",G448))*49,0)+IFERROR(--ISNUMBER(SEARCH("R50",G448))*50,0)+IFERROR(--ISNUMBER(SEARCH("R51",G448))*51,0)+IFERROR(--ISNUMBER(SEARCH("R52",G448))*52,0)+IFERROR(--ISNUMBER(SEARCH("R53",G448))*53,0)+IFERROR(--ISNUMBER(SEARCH("R54",G448))*54,0)+IFERROR(--ISNUMBER(SEARCH("R55",G448))*55,0)+IFERROR(--ISNUMBER(SEARCH("R56",G448))*56,0)+IFERROR(--ISNUMBER(SEARCH("R57",G448))*57,0)+IFERROR(--ISNUMBER(SEARCH("R58",G448))*58,0)+IFERROR(--ISNUMBER(SEARCH("R59",G448))*59,0)+IFERROR(--ISNUMBER(SEARCH("R60",G448))*60,0)+IFERROR(--ISNUMBER(SEARCH("R61",G448))*61,0)+IFERROR(--ISNUMBER(SEARCH("R62",G448))*62,0)+IFERROR(--ISNUMBER(SEARCH("R63",G448))*63,0)+IFERROR(--ISNUMBER(SEARCH("R64",G448))*64,0)+IFERROR(--ISNUMBER(SEARCH("R65",G448))*65,0)+IFERROR(--ISNUMBER(SEARCH("R66",G448))*66,0)+IFERROR(--ISNUMBER(SEARCH("R67",G448))*67,0)+IFERROR(--ISNUMBER(SEARCH("R68",G448))*68,0)+IFERROR(--ISNUMBER(SEARCH("R69",G448))*69,0)+IFERROR(--ISNUMBER(SEARCH("R70",G448))*70,0)+IFERROR(--ISNUMBER(SEARCH("R71",G448))*71,0)+IFERROR(--ISNUMBER(SEARCH("R72",G448))*72,0)+IFERROR(--ISNUMBER(SEARCH("R73",G448))*73,0)+IFERROR(--ISNUMBER(SEARCH("R74",G448))*74,0)+IFERROR(--ISNUMBER(SEARCH("R75",G448))*75,0)+IFERROR(--ISNUMBER(SEARCH("R76",G448))*76,0)+IFERROR(--ISNUMBER(SEARCH("R77",G448))*77,0)+IFERROR(--ISNUMBER(SEARCH("R78",G448))*78,0)+IFERROR(--ISNUMBER(SEARCH("R79",G448))*79,0)+IFERROR(--ISNUMBER(SEARCH("R80",G448))*80,0)+IFERROR(--ISNUMBER(SEARCH("R81",G448))*81,0)+IFERROR(--ISNUMBER(SEARCH("R82",G448))*82,0)+IFERROR(--ISNUMBER(SEARCH("R83",G448))*83,0)+IFERROR(--ISNUMBER(SEARCH("R84",G448))*84,0)+IFERROR(--ISNUMBER(SEARCH("R85",G448))*85,0)+IFERROR(--ISNUMBER(SEARCH("R86",G448))*86,0)+IFERROR(--ISNUMBER(SEARCH("R87",G448))*87,0)+IFERROR(--ISNUMBER(SEARCH("R88",G448))*88,0)+IFERROR(--ISNUMBER(SEARCH("R89",G448))*89,0)+IFERROR(--ISNUMBER(SEARCH("R90",G448))*90,0)+IFERROR(--ISNUMBER(SEARCH("R91",G448))*91,0)+IFERROR(--ISNUMBER(SEARCH("R92",G448))*92,0)+IFERROR(--ISNUMBER(SEARCH("R93",G448))*93,0)+IFERROR(--ISNUMBER(SEARCH("R94",G448))*94,0)+IFERROR(--ISNUMBER(SEARCH("R95",G448))*95,0)+IFERROR(--ISNUMBER(SEARCH("R96",G448))*96,0)+IFERROR(--ISNUMBER(SEARCH("R97",G448))*97,0)+IFERROR(--ISNUMBER(SEARCH("R98",G448))*98,0)+IFERROR(--ISNUMBER(SEARCH("R99",G448))*99,0)+IFERROR(--ISNUMBER(SEARCH("R100",G448))*100,0)+IFERROR(--ISNUMBER(SEARCH("R101",G448))*101,0)+IFERROR(--ISNUMBER(SEARCH("R102",G448))*102,0)+IFERROR(--ISNUMBER(SEARCH("R103",G448))*103,0)+IFERROR(--ISNUMBER(SEARCH("R104",G448))*104,0)+IFERROR(--ISNUMBER(SEARCH("R105",G448))*105,0)+IFERROR(--ISNUMBER(SEARCH("R106",G448))*106,0)+IFERROR(--ISNUMBER(SEARCH("R107",G448))*107,0)+IFERROR(--ISNUMBER(SEARCH("R108",G448))*108,0)+IFERROR(--ISNUMBER(SEARCH("R109",G448))*109,0)+IFERROR(--ISNUMBER(SEARCH("R110",G448))*110,0)+IFERROR(--ISNUMBER(SEARCH("R111",G448))*111,0)+IFERROR(--ISNUMBER(SEARCH("R112",G448))*112,0)+IFERROR(--ISNUMBER(SEARCH("R113",G448))*113,0)+IFERROR(--ISNUMBER(SEARCH("R114",G448))*114,0)+IFERROR(--ISNUMBER(SEARCH("R115",G448))*115,0)+IFERROR(--ISNUMBER(SEARCH("R116",G448))*116,0)+IFERROR(--ISNUMBER(SEARCH("R117",G448))*117,0)+IFERROR(--ISNUMBER(SEARCH("R118",G448))*118,0)+IFERROR(--ISNUMBER(SEARCH("R119",G448))*119,0)+IFERROR(--ISNUMBER(SEARCH("R120",G448))*120,0)+IFERROR(--ISNUMBER(SEARCH("R121",G448))*121,0)+IFERROR(--ISNUMBER(SEARCH("R122",G448))*122,0)+IFERROR(--ISNUMBER(SEARCH("R123",G448))*123,0)+IFERROR(--ISNUMBER(SEARCH("R124",G448))*124,0)+IFERROR(--ISNUMBER(SEARCH("R125",G448))*125,0)+IFERROR(--ISNUMBER(SEARCH("R126",G448))*126,0)+IFERROR(--ISNUMBER(SEARCH("R127",G448))*127,0)+IFERROR(--ISNUMBER(SEARCH("R128",G448))*128,0)+IFERROR(--ISNUMBER(SEARCH("R129",G448))*129,0)+IFERROR(--ISNUMBER(SEARCH("R130",G448))*130,0)+IFERROR(--ISNUMBER(SEARCH("R131",G448))*131,0)+IFERROR(--ISNUMBER(SEARCH("R132",G448))*132,0)+IFERROR(--ISNUMBER(SEARCH("R133",G448))*133,0)+IFERROR(--ISNUMBER(SEARCH("R134",G448))*134,0)+IFERROR(--ISNUMBER(SEARCH("R135",G448))*135,0)+IFERROR(--ISNUMBER(SEARCH("R136",G448))*136,0)+IFERROR(--ISNUMBER(SEARCH("R137",G448))*137,0)+IFERROR(--ISNUMBER(SEARCH("R138",G448))*138,0)+IFERROR(--ISNUMBER(SEARCH("R139",G448))*139,0)+IFERROR(--ISNUMBER(SEARCH("R140",G448))*140,0)+IFERROR(--ISNUMBER(SEARCH("R141",G448))*141,0))</f>
        <v/>
      </c>
      <c r="V448" s="59">
        <f>IF(A448="","",IF(K448&lt;&gt;"",K448,J448))</f>
        <v/>
      </c>
      <c r="W448" s="59">
        <f>IF(A448="","",IF(AND(V448=29,O448&lt;&gt;"",COUNTIFS($V$6:$V$505,29,$F$6:$F$505,F448,$C$6:$C$505,C448,$O$6:$O$505,"&lt;&gt;")&gt;1),IF(COUNTIFS($V$6:V448,29,$F$6:F448,F448,$C$6:C448,C448,$O$6:O448,"&lt;&gt;")=1,"Esta es la fila que se debe CONSERVAR (aparición 1 de "&amp;COUNTIFS($V$6:$V$505,29,$F$6:$F$505,F448,$C$6:$C$505,C448,$O$6:$O$505,"&lt;&gt;")&amp;" con el mismo tercero y valor, casilla 29). Si hay más filas iguales, bórreles el valor a ELLAS, no a esta.","DUPLICADO — ya existe otra fila con el mismo tercero y valor para casilla 29 (aparición "&amp;COUNTIFS($V$6:V448,29,$F$6:F448,F448,$C$6:C448,C448,$O$6:O448,"&lt;&gt;")&amp;" de "&amp;COUNTIFS($V$6:$V$505,29,$F$6:$F$505,F448,$C$6:$C$505,C448,$O$6:$O$505,"&lt;&gt;")&amp;"). Para resolverlo: seleccione la celda O"&amp;ROW()&amp;" (columna Valor a declarar de ESTA fila) y presione Supr."),""))</f>
        <v/>
      </c>
      <c r="X448" s="463">
        <f>IF(A448="","",F448)</f>
        <v/>
      </c>
      <c r="Y448" s="463">
        <f>IF(A448="","",SUMIF(Entrada_Manual!$I$88:$I$187,A448,Entrada_Manual!$F$88:$F$187))</f>
        <v/>
      </c>
      <c r="Z448" s="463">
        <f>IF(A448="","",X448-Y448)</f>
        <v/>
      </c>
      <c r="AA448">
        <f>IF(A448="","",SUMPRODUCT((Entrada_Manual!$I$88:$I$187=A448)*1))</f>
        <v/>
      </c>
      <c r="AB448">
        <f>IF(A448="","",IF(S448&lt;=1,"",IF(AA448=0,"PENDIENTE — SIN ASIGNAR",IF(Z448=0,"RESUELTO","PARCIAL — DIFERENCIA "&amp;TEXT(Z448,"#,##0")))))</f>
        <v/>
      </c>
    </row>
    <row r="449" ht="14.25" customHeight="1" s="235">
      <c r="A449" s="47">
        <f>IF(Exogena_RAW!E458&lt;&gt;"",ROW()-5,"")</f>
        <v/>
      </c>
      <c r="B449" s="48">
        <f>IF(A449="","",458)</f>
        <v/>
      </c>
      <c r="C449" s="48">
        <f>IF(A449="","",IFERROR(Exogena_RAW!A458,""))</f>
        <v/>
      </c>
      <c r="D449" s="48">
        <f>IF(A449="","",IFERROR(Exogena_RAW!B458,""))</f>
        <v/>
      </c>
      <c r="E449" s="48">
        <f>IF(A449="","",Exogena_RAW!E458)</f>
        <v/>
      </c>
      <c r="F449" s="461">
        <f>IF(A449="","",Exogena_RAW!F458)</f>
        <v/>
      </c>
      <c r="G449" s="48">
        <f>IF(A449="","",IFERROR(Exogena_RAW!G458,""))</f>
        <v/>
      </c>
      <c r="H449" s="48">
        <f>IF(A449="","",IFERROR(Exogena_RAW!H458,""))</f>
        <v/>
      </c>
      <c r="I449" s="48">
        <f>IF(A449="","",IFERROR(IF(S449&gt;1,"VARIAS CASILLAS",IF(S449=1,IF(T449=1,"PROPUESTA DE CASILLA","REVISIÓN: CASILLA NO DIRECTA"),IF(OR(ISNUMBER(SEARCH("TOPE",UPPER(E449))),ISNUMBER(SEARCH("TOPE",UPPER(G449)))),"SOLO CONTROL",IF(ISNUMBER(SEARCH("RETEN",UPPER(E449))),"RETENCIÓN","REVISAR")))),"REVISAR"))</f>
        <v/>
      </c>
      <c r="J449" s="48">
        <f>IF(A449="","",IF(ISNUMBER(SEARCH("ingreso laboral promedio de los últimos seis meses",E449)),"",IFERROR(IF(AND(S449=1,T449=1),U449,""),"")))</f>
        <v/>
      </c>
      <c r="K449" s="216" t="n"/>
      <c r="L449" s="48">
        <f>IF(A449="","",IFERROR(IF(K449&lt;&gt;"","Casilla elegida por usuario",IF(S449&gt;1,"Varias casillas — elegir en K",IF(J449&lt;&gt;"","Sugerencia directa",IF(S449=1,"No trasladar directo — revisar",IF(OR(ISNUMBER(SEARCH("TOPE",UPPER(E449))),ISNUMBER(SEARCH("TOPE",UPPER(G449)))),"Solo control","Revisar manualmente"))))),"Revisar manualmente"))</f>
        <v/>
      </c>
      <c r="M449" s="461">
        <f>IF(A449="","",IF(IF(K449&lt;&gt;"",K449,J449)="",0,IF(COUNTIFS(Reglas!$I$5:$I$118,IF(K449&lt;&gt;"",K449,J449),Reglas!$J$5:$J$118,"Sí")=1,F449,0)))</f>
        <v/>
      </c>
      <c r="N449" s="56" t="n"/>
      <c r="O449" s="462">
        <f>IF(A449="","",IF(M449=0,"",M449))</f>
        <v/>
      </c>
      <c r="P449" s="461">
        <f>IF(A449="","",IF(O449="",0,IF(ISNUMBER(O449),O449,0)))</f>
        <v/>
      </c>
      <c r="Q449" s="48">
        <f>IF(A449="","",IF(Exogena_RAW!$C$4="","BLOQUEADO: FALTA AÑO",IF(Exogena_RAW!$K$10&lt;&gt;Reglas!$B$5,"BLOQUEADO: AÑO",IF(IF(K449&lt;&gt;"",K449,J449)="",IF(S449&gt;1,"REQUIERE ASIGNACIÓN MANUAL (VARIAS CASILLAS)","INFORMATIVO (sin casilla — no se declara)"),IF(COUNTIFS(Reglas!$I$5:$I$118,IF(K449&lt;&gt;"",K449,J449),Reglas!$J$5:$J$118,"Sí")=0,"BLOQUEADO: CASILLA NO DIRECTA",IF(O449="","EXCLUIDO (valor borrado por el usuario)",IF(_xlfn.ISFORMULA(O449),IF(W449&lt;&gt;"","BORRADOR — VALOR SUGERIDO DIAN ⚠ VER ALERTA","BORRADOR — VALOR SUGERIDO DIAN"),IF(W449&lt;&gt;"","ACEPTADO ⚠ VER ALERTA","ACEPTADO"))))))))</f>
        <v/>
      </c>
      <c r="R449" s="218" t="n"/>
      <c r="S449" s="58">
        <f>IF(A449="","",IFERROR(--ISNUMBER(SEARCH("R28",G449)),0)+IFERROR(--ISNUMBER(SEARCH("R29",G449)),0)+IFERROR(--ISNUMBER(SEARCH("R30",G449)),0)+IFERROR(--ISNUMBER(SEARCH("R31",G449)),0)+IFERROR(--ISNUMBER(SEARCH("R32",G449)),0)+IFERROR(--ISNUMBER(SEARCH("R33",G449)),0)+IFERROR(--ISNUMBER(SEARCH("R34",G449)),0)+IFERROR(--ISNUMBER(SEARCH("R35",G449)),0)+IFERROR(--ISNUMBER(SEARCH("R36",G449)),0)+IFERROR(--ISNUMBER(SEARCH("R37",G449)),0)+IFERROR(--ISNUMBER(SEARCH("R38",G449)),0)+IFERROR(--ISNUMBER(SEARCH("R39",G449)),0)+IFERROR(--ISNUMBER(SEARCH("R40",G449)),0)+IFERROR(--ISNUMBER(SEARCH("R41",G449)),0)+IFERROR(--ISNUMBER(SEARCH("R42",G449)),0)+IFERROR(--ISNUMBER(SEARCH("R43",G449)),0)+IFERROR(--ISNUMBER(SEARCH("R44",G449)),0)+IFERROR(--ISNUMBER(SEARCH("R45",G449)),0)+IFERROR(--ISNUMBER(SEARCH("R46",G449)),0)+IFERROR(--ISNUMBER(SEARCH("R47",G449)),0)+IFERROR(--ISNUMBER(SEARCH("R48",G449)),0)+IFERROR(--ISNUMBER(SEARCH("R49",G449)),0)+IFERROR(--ISNUMBER(SEARCH("R50",G449)),0)+IFERROR(--ISNUMBER(SEARCH("R51",G449)),0)+IFERROR(--ISNUMBER(SEARCH("R52",G449)),0)+IFERROR(--ISNUMBER(SEARCH("R53",G449)),0)+IFERROR(--ISNUMBER(SEARCH("R54",G449)),0)+IFERROR(--ISNUMBER(SEARCH("R55",G449)),0)+IFERROR(--ISNUMBER(SEARCH("R56",G449)),0)+IFERROR(--ISNUMBER(SEARCH("R57",G449)),0)+IFERROR(--ISNUMBER(SEARCH("R58",G449)),0)+IFERROR(--ISNUMBER(SEARCH("R59",G449)),0)+IFERROR(--ISNUMBER(SEARCH("R60",G449)),0)+IFERROR(--ISNUMBER(SEARCH("R61",G449)),0)+IFERROR(--ISNUMBER(SEARCH("R62",G449)),0)+IFERROR(--ISNUMBER(SEARCH("R63",G449)),0)+IFERROR(--ISNUMBER(SEARCH("R64",G449)),0)+IFERROR(--ISNUMBER(SEARCH("R65",G449)),0)+IFERROR(--ISNUMBER(SEARCH("R66",G449)),0)+IFERROR(--ISNUMBER(SEARCH("R67",G449)),0)+IFERROR(--ISNUMBER(SEARCH("R68",G449)),0)+IFERROR(--ISNUMBER(SEARCH("R69",G449)),0)+IFERROR(--ISNUMBER(SEARCH("R70",G449)),0)+IFERROR(--ISNUMBER(SEARCH("R71",G449)),0)+IFERROR(--ISNUMBER(SEARCH("R72",G449)),0)+IFERROR(--ISNUMBER(SEARCH("R73",G449)),0)+IFERROR(--ISNUMBER(SEARCH("R74",G449)),0)+IFERROR(--ISNUMBER(SEARCH("R75",G449)),0)+IFERROR(--ISNUMBER(SEARCH("R76",G449)),0)+IFERROR(--ISNUMBER(SEARCH("R77",G449)),0)+IFERROR(--ISNUMBER(SEARCH("R78",G449)),0)+IFERROR(--ISNUMBER(SEARCH("R79",G449)),0)+IFERROR(--ISNUMBER(SEARCH("R80",G449)),0)+IFERROR(--ISNUMBER(SEARCH("R81",G449)),0)+IFERROR(--ISNUMBER(SEARCH("R82",G449)),0)+IFERROR(--ISNUMBER(SEARCH("R83",G449)),0)+IFERROR(--ISNUMBER(SEARCH("R84",G449)),0)+IFERROR(--ISNUMBER(SEARCH("R85",G449)),0)+IFERROR(--ISNUMBER(SEARCH("R86",G449)),0)+IFERROR(--ISNUMBER(SEARCH("R87",G449)),0)+IFERROR(--ISNUMBER(SEARCH("R88",G449)),0)+IFERROR(--ISNUMBER(SEARCH("R89",G449)),0)+IFERROR(--ISNUMBER(SEARCH("R90",G449)),0)+IFERROR(--ISNUMBER(SEARCH("R91",G449)),0)+IFERROR(--ISNUMBER(SEARCH("R92",G449)),0)+IFERROR(--ISNUMBER(SEARCH("R93",G449)),0)+IFERROR(--ISNUMBER(SEARCH("R94",G449)),0)+IFERROR(--ISNUMBER(SEARCH("R95",G449)),0)+IFERROR(--ISNUMBER(SEARCH("R96",G449)),0)+IFERROR(--ISNUMBER(SEARCH("R97",G449)),0)+IFERROR(--ISNUMBER(SEARCH("R98",G449)),0)+IFERROR(--ISNUMBER(SEARCH("R99",G449)),0)+IFERROR(--ISNUMBER(SEARCH("R100",G449)),0)+IFERROR(--ISNUMBER(SEARCH("R101",G449)),0)+IFERROR(--ISNUMBER(SEARCH("R102",G449)),0)+IFERROR(--ISNUMBER(SEARCH("R103",G449)),0)+IFERROR(--ISNUMBER(SEARCH("R104",G449)),0)+IFERROR(--ISNUMBER(SEARCH("R105",G449)),0)+IFERROR(--ISNUMBER(SEARCH("R106",G449)),0)+IFERROR(--ISNUMBER(SEARCH("R107",G449)),0)+IFERROR(--ISNUMBER(SEARCH("R108",G449)),0)+IFERROR(--ISNUMBER(SEARCH("R109",G449)),0)+IFERROR(--ISNUMBER(SEARCH("R110",G449)),0)+IFERROR(--ISNUMBER(SEARCH("R111",G449)),0)+IFERROR(--ISNUMBER(SEARCH("R112",G449)),0)+IFERROR(--ISNUMBER(SEARCH("R113",G449)),0)+IFERROR(--ISNUMBER(SEARCH("R114",G449)),0)+IFERROR(--ISNUMBER(SEARCH("R115",G449)),0)+IFERROR(--ISNUMBER(SEARCH("R116",G449)),0)+IFERROR(--ISNUMBER(SEARCH("R117",G449)),0)+IFERROR(--ISNUMBER(SEARCH("R118",G449)),0)+IFERROR(--ISNUMBER(SEARCH("R119",G449)),0)+IFERROR(--ISNUMBER(SEARCH("R120",G449)),0)+IFERROR(--ISNUMBER(SEARCH("R121",G449)),0)+IFERROR(--ISNUMBER(SEARCH("R122",G449)),0)+IFERROR(--ISNUMBER(SEARCH("R123",G449)),0)+IFERROR(--ISNUMBER(SEARCH("R124",G449)),0)+IFERROR(--ISNUMBER(SEARCH("R125",G449)),0)+IFERROR(--ISNUMBER(SEARCH("R126",G449)),0)+IFERROR(--ISNUMBER(SEARCH("R127",G449)),0)+IFERROR(--ISNUMBER(SEARCH("R128",G449)),0)+IFERROR(--ISNUMBER(SEARCH("R129",G449)),0)+IFERROR(--ISNUMBER(SEARCH("R130",G449)),0)+IFERROR(--ISNUMBER(SEARCH("R131",G449)),0)+IFERROR(--ISNUMBER(SEARCH("R132",G449)),0)+IFERROR(--ISNUMBER(SEARCH("R133",G449)),0)+IFERROR(--ISNUMBER(SEARCH("R134",G449)),0)+IFERROR(--ISNUMBER(SEARCH("R135",G449)),0)+IFERROR(--ISNUMBER(SEARCH("R136",G449)),0)+IFERROR(--ISNUMBER(SEARCH("R137",G449)),0)+IFERROR(--ISNUMBER(SEARCH("R138",G449)),0)+IFERROR(--ISNUMBER(SEARCH("R139",G449)),0)+IFERROR(--ISNUMBER(SEARCH("R140",G449)),0)+IFERROR(--ISNUMBER(SEARCH("R141",G449)),0))</f>
        <v/>
      </c>
      <c r="T449" s="58">
        <f>IF(A449="","",IFERROR(--ISNUMBER(SEARCH("R28",G449)),0)+IFERROR(--ISNUMBER(SEARCH("R29",G449)),0)+IFERROR(--ISNUMBER(SEARCH("R30",G449)),0)+IFERROR(--ISNUMBER(SEARCH("R32",G449)),0)+IFERROR(--ISNUMBER(SEARCH("R33",G449)),0)+IFERROR(--ISNUMBER(SEARCH("R35",G449)),0)+IFERROR(--ISNUMBER(SEARCH("R36",G449)),0)+IFERROR(--ISNUMBER(SEARCH("R38",G449)),0)+IFERROR(--ISNUMBER(SEARCH("R39",G449)),0)+IFERROR(--ISNUMBER(SEARCH("R43",G449)),0)+IFERROR(--ISNUMBER(SEARCH("R44",G449)),0)+IFERROR(--ISNUMBER(SEARCH("R45",G449)),0)+IFERROR(--ISNUMBER(SEARCH("R47",G449)),0)+IFERROR(--ISNUMBER(SEARCH("R48",G449)),0)+IFERROR(--ISNUMBER(SEARCH("R50",G449)),0)+IFERROR(--ISNUMBER(SEARCH("R51",G449)),0)+IFERROR(--ISNUMBER(SEARCH("R56",G449)),0)+IFERROR(--ISNUMBER(SEARCH("R58",G449)),0)+IFERROR(--ISNUMBER(SEARCH("R59",G449)),0)+IFERROR(--ISNUMBER(SEARCH("R60",G449)),0)+IFERROR(--ISNUMBER(SEARCH("R62",G449)),0)+IFERROR(--ISNUMBER(SEARCH("R63",G449)),0)+IFERROR(--ISNUMBER(SEARCH("R64",G449)),0)+IFERROR(--ISNUMBER(SEARCH("R66",G449)),0)+IFERROR(--ISNUMBER(SEARCH("R67",G449)),0)+IFERROR(--ISNUMBER(SEARCH("R72",G449)),0)+IFERROR(--ISNUMBER(SEARCH("R74",G449)),0)+IFERROR(--ISNUMBER(SEARCH("R75",G449)),0)+IFERROR(--ISNUMBER(SEARCH("R76",G449)),0)+IFERROR(--ISNUMBER(SEARCH("R77",G449)),0)+IFERROR(--ISNUMBER(SEARCH("R79",G449)),0)+IFERROR(--ISNUMBER(SEARCH("R80",G449)),0)+IFERROR(--ISNUMBER(SEARCH("R81",G449)),0)+IFERROR(--ISNUMBER(SEARCH("R83",G449)),0)+IFERROR(--ISNUMBER(SEARCH("R84",G449)),0)+IFERROR(--ISNUMBER(SEARCH("R89",G449)),0)+IFERROR(--ISNUMBER(SEARCH("R94",G449)),0)+IFERROR(--ISNUMBER(SEARCH("R95",G449)),0)+IFERROR(--ISNUMBER(SEARCH("R96",G449)),0)+IFERROR(--ISNUMBER(SEARCH("R98",G449)),0)+IFERROR(--ISNUMBER(SEARCH("R99",G449)),0)+IFERROR(--ISNUMBER(SEARCH("R100",G449)),0)+IFERROR(--ISNUMBER(SEARCH("R104",G449)),0)+IFERROR(--ISNUMBER(SEARCH("R105",G449)),0)+IFERROR(--ISNUMBER(SEARCH("R107",G449)),0)+IFERROR(--ISNUMBER(SEARCH("R108",G449)),0)+IFERROR(--ISNUMBER(SEARCH("R109",G449)),0)+IFERROR(--ISNUMBER(SEARCH("R110",G449)),0)+IFERROR(--ISNUMBER(SEARCH("R112",G449)),0)+IFERROR(--ISNUMBER(SEARCH("R113",G449)),0)+IFERROR(--ISNUMBER(SEARCH("R114",G449)),0)+IFERROR(--ISNUMBER(SEARCH("R118",G449)),0)+IFERROR(--ISNUMBER(SEARCH("R119",G449)),0)+IFERROR(--ISNUMBER(SEARCH("R120",G449)),0)+IFERROR(--ISNUMBER(SEARCH("R122",G449)),0)+IFERROR(--ISNUMBER(SEARCH("R123",G449)),0)+IFERROR(--ISNUMBER(SEARCH("R124",G449)),0)+IFERROR(--ISNUMBER(SEARCH("R128",G449)),0)+IFERROR(--ISNUMBER(SEARCH("R130",G449)),0)+IFERROR(--ISNUMBER(SEARCH("R131",G449)),0)+IFERROR(--ISNUMBER(SEARCH("R132",G449)),0)+IFERROR(--ISNUMBER(SEARCH("R135",G449)),0)+IFERROR(--ISNUMBER(SEARCH("R138",G449)),0)+IFERROR(--ISNUMBER(SEARCH("R141",G449)),0))</f>
        <v/>
      </c>
      <c r="U449" s="58">
        <f>IF(A449="","",IFERROR(--ISNUMBER(SEARCH("R28",G449))*28,0)+IFERROR(--ISNUMBER(SEARCH("R29",G449))*29,0)+IFERROR(--ISNUMBER(SEARCH("R30",G449))*30,0)+IFERROR(--ISNUMBER(SEARCH("R31",G449))*31,0)+IFERROR(--ISNUMBER(SEARCH("R32",G449))*32,0)+IFERROR(--ISNUMBER(SEARCH("R33",G449))*33,0)+IFERROR(--ISNUMBER(SEARCH("R34",G449))*34,0)+IFERROR(--ISNUMBER(SEARCH("R35",G449))*35,0)+IFERROR(--ISNUMBER(SEARCH("R36",G449))*36,0)+IFERROR(--ISNUMBER(SEARCH("R37",G449))*37,0)+IFERROR(--ISNUMBER(SEARCH("R38",G449))*38,0)+IFERROR(--ISNUMBER(SEARCH("R39",G449))*39,0)+IFERROR(--ISNUMBER(SEARCH("R40",G449))*40,0)+IFERROR(--ISNUMBER(SEARCH("R41",G449))*41,0)+IFERROR(--ISNUMBER(SEARCH("R42",G449))*42,0)+IFERROR(--ISNUMBER(SEARCH("R43",G449))*43,0)+IFERROR(--ISNUMBER(SEARCH("R44",G449))*44,0)+IFERROR(--ISNUMBER(SEARCH("R45",G449))*45,0)+IFERROR(--ISNUMBER(SEARCH("R46",G449))*46,0)+IFERROR(--ISNUMBER(SEARCH("R47",G449))*47,0)+IFERROR(--ISNUMBER(SEARCH("R48",G449))*48,0)+IFERROR(--ISNUMBER(SEARCH("R49",G449))*49,0)+IFERROR(--ISNUMBER(SEARCH("R50",G449))*50,0)+IFERROR(--ISNUMBER(SEARCH("R51",G449))*51,0)+IFERROR(--ISNUMBER(SEARCH("R52",G449))*52,0)+IFERROR(--ISNUMBER(SEARCH("R53",G449))*53,0)+IFERROR(--ISNUMBER(SEARCH("R54",G449))*54,0)+IFERROR(--ISNUMBER(SEARCH("R55",G449))*55,0)+IFERROR(--ISNUMBER(SEARCH("R56",G449))*56,0)+IFERROR(--ISNUMBER(SEARCH("R57",G449))*57,0)+IFERROR(--ISNUMBER(SEARCH("R58",G449))*58,0)+IFERROR(--ISNUMBER(SEARCH("R59",G449))*59,0)+IFERROR(--ISNUMBER(SEARCH("R60",G449))*60,0)+IFERROR(--ISNUMBER(SEARCH("R61",G449))*61,0)+IFERROR(--ISNUMBER(SEARCH("R62",G449))*62,0)+IFERROR(--ISNUMBER(SEARCH("R63",G449))*63,0)+IFERROR(--ISNUMBER(SEARCH("R64",G449))*64,0)+IFERROR(--ISNUMBER(SEARCH("R65",G449))*65,0)+IFERROR(--ISNUMBER(SEARCH("R66",G449))*66,0)+IFERROR(--ISNUMBER(SEARCH("R67",G449))*67,0)+IFERROR(--ISNUMBER(SEARCH("R68",G449))*68,0)+IFERROR(--ISNUMBER(SEARCH("R69",G449))*69,0)+IFERROR(--ISNUMBER(SEARCH("R70",G449))*70,0)+IFERROR(--ISNUMBER(SEARCH("R71",G449))*71,0)+IFERROR(--ISNUMBER(SEARCH("R72",G449))*72,0)+IFERROR(--ISNUMBER(SEARCH("R73",G449))*73,0)+IFERROR(--ISNUMBER(SEARCH("R74",G449))*74,0)+IFERROR(--ISNUMBER(SEARCH("R75",G449))*75,0)+IFERROR(--ISNUMBER(SEARCH("R76",G449))*76,0)+IFERROR(--ISNUMBER(SEARCH("R77",G449))*77,0)+IFERROR(--ISNUMBER(SEARCH("R78",G449))*78,0)+IFERROR(--ISNUMBER(SEARCH("R79",G449))*79,0)+IFERROR(--ISNUMBER(SEARCH("R80",G449))*80,0)+IFERROR(--ISNUMBER(SEARCH("R81",G449))*81,0)+IFERROR(--ISNUMBER(SEARCH("R82",G449))*82,0)+IFERROR(--ISNUMBER(SEARCH("R83",G449))*83,0)+IFERROR(--ISNUMBER(SEARCH("R84",G449))*84,0)+IFERROR(--ISNUMBER(SEARCH("R85",G449))*85,0)+IFERROR(--ISNUMBER(SEARCH("R86",G449))*86,0)+IFERROR(--ISNUMBER(SEARCH("R87",G449))*87,0)+IFERROR(--ISNUMBER(SEARCH("R88",G449))*88,0)+IFERROR(--ISNUMBER(SEARCH("R89",G449))*89,0)+IFERROR(--ISNUMBER(SEARCH("R90",G449))*90,0)+IFERROR(--ISNUMBER(SEARCH("R91",G449))*91,0)+IFERROR(--ISNUMBER(SEARCH("R92",G449))*92,0)+IFERROR(--ISNUMBER(SEARCH("R93",G449))*93,0)+IFERROR(--ISNUMBER(SEARCH("R94",G449))*94,0)+IFERROR(--ISNUMBER(SEARCH("R95",G449))*95,0)+IFERROR(--ISNUMBER(SEARCH("R96",G449))*96,0)+IFERROR(--ISNUMBER(SEARCH("R97",G449))*97,0)+IFERROR(--ISNUMBER(SEARCH("R98",G449))*98,0)+IFERROR(--ISNUMBER(SEARCH("R99",G449))*99,0)+IFERROR(--ISNUMBER(SEARCH("R100",G449))*100,0)+IFERROR(--ISNUMBER(SEARCH("R101",G449))*101,0)+IFERROR(--ISNUMBER(SEARCH("R102",G449))*102,0)+IFERROR(--ISNUMBER(SEARCH("R103",G449))*103,0)+IFERROR(--ISNUMBER(SEARCH("R104",G449))*104,0)+IFERROR(--ISNUMBER(SEARCH("R105",G449))*105,0)+IFERROR(--ISNUMBER(SEARCH("R106",G449))*106,0)+IFERROR(--ISNUMBER(SEARCH("R107",G449))*107,0)+IFERROR(--ISNUMBER(SEARCH("R108",G449))*108,0)+IFERROR(--ISNUMBER(SEARCH("R109",G449))*109,0)+IFERROR(--ISNUMBER(SEARCH("R110",G449))*110,0)+IFERROR(--ISNUMBER(SEARCH("R111",G449))*111,0)+IFERROR(--ISNUMBER(SEARCH("R112",G449))*112,0)+IFERROR(--ISNUMBER(SEARCH("R113",G449))*113,0)+IFERROR(--ISNUMBER(SEARCH("R114",G449))*114,0)+IFERROR(--ISNUMBER(SEARCH("R115",G449))*115,0)+IFERROR(--ISNUMBER(SEARCH("R116",G449))*116,0)+IFERROR(--ISNUMBER(SEARCH("R117",G449))*117,0)+IFERROR(--ISNUMBER(SEARCH("R118",G449))*118,0)+IFERROR(--ISNUMBER(SEARCH("R119",G449))*119,0)+IFERROR(--ISNUMBER(SEARCH("R120",G449))*120,0)+IFERROR(--ISNUMBER(SEARCH("R121",G449))*121,0)+IFERROR(--ISNUMBER(SEARCH("R122",G449))*122,0)+IFERROR(--ISNUMBER(SEARCH("R123",G449))*123,0)+IFERROR(--ISNUMBER(SEARCH("R124",G449))*124,0)+IFERROR(--ISNUMBER(SEARCH("R125",G449))*125,0)+IFERROR(--ISNUMBER(SEARCH("R126",G449))*126,0)+IFERROR(--ISNUMBER(SEARCH("R127",G449))*127,0)+IFERROR(--ISNUMBER(SEARCH("R128",G449))*128,0)+IFERROR(--ISNUMBER(SEARCH("R129",G449))*129,0)+IFERROR(--ISNUMBER(SEARCH("R130",G449))*130,0)+IFERROR(--ISNUMBER(SEARCH("R131",G449))*131,0)+IFERROR(--ISNUMBER(SEARCH("R132",G449))*132,0)+IFERROR(--ISNUMBER(SEARCH("R133",G449))*133,0)+IFERROR(--ISNUMBER(SEARCH("R134",G449))*134,0)+IFERROR(--ISNUMBER(SEARCH("R135",G449))*135,0)+IFERROR(--ISNUMBER(SEARCH("R136",G449))*136,0)+IFERROR(--ISNUMBER(SEARCH("R137",G449))*137,0)+IFERROR(--ISNUMBER(SEARCH("R138",G449))*138,0)+IFERROR(--ISNUMBER(SEARCH("R139",G449))*139,0)+IFERROR(--ISNUMBER(SEARCH("R140",G449))*140,0)+IFERROR(--ISNUMBER(SEARCH("R141",G449))*141,0))</f>
        <v/>
      </c>
      <c r="V449" s="59">
        <f>IF(A449="","",IF(K449&lt;&gt;"",K449,J449))</f>
        <v/>
      </c>
      <c r="W449" s="59">
        <f>IF(A449="","",IF(AND(V449=29,O449&lt;&gt;"",COUNTIFS($V$6:$V$505,29,$F$6:$F$505,F449,$C$6:$C$505,C449,$O$6:$O$505,"&lt;&gt;")&gt;1),IF(COUNTIFS($V$6:V449,29,$F$6:F449,F449,$C$6:C449,C449,$O$6:O449,"&lt;&gt;")=1,"Esta es la fila que se debe CONSERVAR (aparición 1 de "&amp;COUNTIFS($V$6:$V$505,29,$F$6:$F$505,F449,$C$6:$C$505,C449,$O$6:$O$505,"&lt;&gt;")&amp;" con el mismo tercero y valor, casilla 29). Si hay más filas iguales, bórreles el valor a ELLAS, no a esta.","DUPLICADO — ya existe otra fila con el mismo tercero y valor para casilla 29 (aparición "&amp;COUNTIFS($V$6:V449,29,$F$6:F449,F449,$C$6:C449,C449,$O$6:O449,"&lt;&gt;")&amp;" de "&amp;COUNTIFS($V$6:$V$505,29,$F$6:$F$505,F449,$C$6:$C$505,C449,$O$6:$O$505,"&lt;&gt;")&amp;"). Para resolverlo: seleccione la celda O"&amp;ROW()&amp;" (columna Valor a declarar de ESTA fila) y presione Supr."),""))</f>
        <v/>
      </c>
      <c r="X449" s="463">
        <f>IF(A449="","",F449)</f>
        <v/>
      </c>
      <c r="Y449" s="463">
        <f>IF(A449="","",SUMIF(Entrada_Manual!$I$88:$I$187,A449,Entrada_Manual!$F$88:$F$187))</f>
        <v/>
      </c>
      <c r="Z449" s="463">
        <f>IF(A449="","",X449-Y449)</f>
        <v/>
      </c>
      <c r="AA449">
        <f>IF(A449="","",SUMPRODUCT((Entrada_Manual!$I$88:$I$187=A449)*1))</f>
        <v/>
      </c>
      <c r="AB449">
        <f>IF(A449="","",IF(S449&lt;=1,"",IF(AA449=0,"PENDIENTE — SIN ASIGNAR",IF(Z449=0,"RESUELTO","PARCIAL — DIFERENCIA "&amp;TEXT(Z449,"#,##0")))))</f>
        <v/>
      </c>
    </row>
    <row r="450" ht="14.25" customHeight="1" s="235">
      <c r="A450" s="47">
        <f>IF(Exogena_RAW!E459&lt;&gt;"",ROW()-5,"")</f>
        <v/>
      </c>
      <c r="B450" s="48">
        <f>IF(A450="","",459)</f>
        <v/>
      </c>
      <c r="C450" s="48">
        <f>IF(A450="","",IFERROR(Exogena_RAW!A459,""))</f>
        <v/>
      </c>
      <c r="D450" s="48">
        <f>IF(A450="","",IFERROR(Exogena_RAW!B459,""))</f>
        <v/>
      </c>
      <c r="E450" s="48">
        <f>IF(A450="","",Exogena_RAW!E459)</f>
        <v/>
      </c>
      <c r="F450" s="461">
        <f>IF(A450="","",Exogena_RAW!F459)</f>
        <v/>
      </c>
      <c r="G450" s="48">
        <f>IF(A450="","",IFERROR(Exogena_RAW!G459,""))</f>
        <v/>
      </c>
      <c r="H450" s="48">
        <f>IF(A450="","",IFERROR(Exogena_RAW!H459,""))</f>
        <v/>
      </c>
      <c r="I450" s="48">
        <f>IF(A450="","",IFERROR(IF(S450&gt;1,"VARIAS CASILLAS",IF(S450=1,IF(T450=1,"PROPUESTA DE CASILLA","REVISIÓN: CASILLA NO DIRECTA"),IF(OR(ISNUMBER(SEARCH("TOPE",UPPER(E450))),ISNUMBER(SEARCH("TOPE",UPPER(G450)))),"SOLO CONTROL",IF(ISNUMBER(SEARCH("RETEN",UPPER(E450))),"RETENCIÓN","REVISAR")))),"REVISAR"))</f>
        <v/>
      </c>
      <c r="J450" s="48">
        <f>IF(A450="","",IF(ISNUMBER(SEARCH("ingreso laboral promedio de los últimos seis meses",E450)),"",IFERROR(IF(AND(S450=1,T450=1),U450,""),"")))</f>
        <v/>
      </c>
      <c r="K450" s="216" t="n"/>
      <c r="L450" s="48">
        <f>IF(A450="","",IFERROR(IF(K450&lt;&gt;"","Casilla elegida por usuario",IF(S450&gt;1,"Varias casillas — elegir en K",IF(J450&lt;&gt;"","Sugerencia directa",IF(S450=1,"No trasladar directo — revisar",IF(OR(ISNUMBER(SEARCH("TOPE",UPPER(E450))),ISNUMBER(SEARCH("TOPE",UPPER(G450)))),"Solo control","Revisar manualmente"))))),"Revisar manualmente"))</f>
        <v/>
      </c>
      <c r="M450" s="461">
        <f>IF(A450="","",IF(IF(K450&lt;&gt;"",K450,J450)="",0,IF(COUNTIFS(Reglas!$I$5:$I$118,IF(K450&lt;&gt;"",K450,J450),Reglas!$J$5:$J$118,"Sí")=1,F450,0)))</f>
        <v/>
      </c>
      <c r="N450" s="56" t="n"/>
      <c r="O450" s="462">
        <f>IF(A450="","",IF(M450=0,"",M450))</f>
        <v/>
      </c>
      <c r="P450" s="461">
        <f>IF(A450="","",IF(O450="",0,IF(ISNUMBER(O450),O450,0)))</f>
        <v/>
      </c>
      <c r="Q450" s="48">
        <f>IF(A450="","",IF(Exogena_RAW!$C$4="","BLOQUEADO: FALTA AÑO",IF(Exogena_RAW!$K$10&lt;&gt;Reglas!$B$5,"BLOQUEADO: AÑO",IF(IF(K450&lt;&gt;"",K450,J450)="",IF(S450&gt;1,"REQUIERE ASIGNACIÓN MANUAL (VARIAS CASILLAS)","INFORMATIVO (sin casilla — no se declara)"),IF(COUNTIFS(Reglas!$I$5:$I$118,IF(K450&lt;&gt;"",K450,J450),Reglas!$J$5:$J$118,"Sí")=0,"BLOQUEADO: CASILLA NO DIRECTA",IF(O450="","EXCLUIDO (valor borrado por el usuario)",IF(_xlfn.ISFORMULA(O450),IF(W450&lt;&gt;"","BORRADOR — VALOR SUGERIDO DIAN ⚠ VER ALERTA","BORRADOR — VALOR SUGERIDO DIAN"),IF(W450&lt;&gt;"","ACEPTADO ⚠ VER ALERTA","ACEPTADO"))))))))</f>
        <v/>
      </c>
      <c r="R450" s="218" t="n"/>
      <c r="S450" s="58">
        <f>IF(A450="","",IFERROR(--ISNUMBER(SEARCH("R28",G450)),0)+IFERROR(--ISNUMBER(SEARCH("R29",G450)),0)+IFERROR(--ISNUMBER(SEARCH("R30",G450)),0)+IFERROR(--ISNUMBER(SEARCH("R31",G450)),0)+IFERROR(--ISNUMBER(SEARCH("R32",G450)),0)+IFERROR(--ISNUMBER(SEARCH("R33",G450)),0)+IFERROR(--ISNUMBER(SEARCH("R34",G450)),0)+IFERROR(--ISNUMBER(SEARCH("R35",G450)),0)+IFERROR(--ISNUMBER(SEARCH("R36",G450)),0)+IFERROR(--ISNUMBER(SEARCH("R37",G450)),0)+IFERROR(--ISNUMBER(SEARCH("R38",G450)),0)+IFERROR(--ISNUMBER(SEARCH("R39",G450)),0)+IFERROR(--ISNUMBER(SEARCH("R40",G450)),0)+IFERROR(--ISNUMBER(SEARCH("R41",G450)),0)+IFERROR(--ISNUMBER(SEARCH("R42",G450)),0)+IFERROR(--ISNUMBER(SEARCH("R43",G450)),0)+IFERROR(--ISNUMBER(SEARCH("R44",G450)),0)+IFERROR(--ISNUMBER(SEARCH("R45",G450)),0)+IFERROR(--ISNUMBER(SEARCH("R46",G450)),0)+IFERROR(--ISNUMBER(SEARCH("R47",G450)),0)+IFERROR(--ISNUMBER(SEARCH("R48",G450)),0)+IFERROR(--ISNUMBER(SEARCH("R49",G450)),0)+IFERROR(--ISNUMBER(SEARCH("R50",G450)),0)+IFERROR(--ISNUMBER(SEARCH("R51",G450)),0)+IFERROR(--ISNUMBER(SEARCH("R52",G450)),0)+IFERROR(--ISNUMBER(SEARCH("R53",G450)),0)+IFERROR(--ISNUMBER(SEARCH("R54",G450)),0)+IFERROR(--ISNUMBER(SEARCH("R55",G450)),0)+IFERROR(--ISNUMBER(SEARCH("R56",G450)),0)+IFERROR(--ISNUMBER(SEARCH("R57",G450)),0)+IFERROR(--ISNUMBER(SEARCH("R58",G450)),0)+IFERROR(--ISNUMBER(SEARCH("R59",G450)),0)+IFERROR(--ISNUMBER(SEARCH("R60",G450)),0)+IFERROR(--ISNUMBER(SEARCH("R61",G450)),0)+IFERROR(--ISNUMBER(SEARCH("R62",G450)),0)+IFERROR(--ISNUMBER(SEARCH("R63",G450)),0)+IFERROR(--ISNUMBER(SEARCH("R64",G450)),0)+IFERROR(--ISNUMBER(SEARCH("R65",G450)),0)+IFERROR(--ISNUMBER(SEARCH("R66",G450)),0)+IFERROR(--ISNUMBER(SEARCH("R67",G450)),0)+IFERROR(--ISNUMBER(SEARCH("R68",G450)),0)+IFERROR(--ISNUMBER(SEARCH("R69",G450)),0)+IFERROR(--ISNUMBER(SEARCH("R70",G450)),0)+IFERROR(--ISNUMBER(SEARCH("R71",G450)),0)+IFERROR(--ISNUMBER(SEARCH("R72",G450)),0)+IFERROR(--ISNUMBER(SEARCH("R73",G450)),0)+IFERROR(--ISNUMBER(SEARCH("R74",G450)),0)+IFERROR(--ISNUMBER(SEARCH("R75",G450)),0)+IFERROR(--ISNUMBER(SEARCH("R76",G450)),0)+IFERROR(--ISNUMBER(SEARCH("R77",G450)),0)+IFERROR(--ISNUMBER(SEARCH("R78",G450)),0)+IFERROR(--ISNUMBER(SEARCH("R79",G450)),0)+IFERROR(--ISNUMBER(SEARCH("R80",G450)),0)+IFERROR(--ISNUMBER(SEARCH("R81",G450)),0)+IFERROR(--ISNUMBER(SEARCH("R82",G450)),0)+IFERROR(--ISNUMBER(SEARCH("R83",G450)),0)+IFERROR(--ISNUMBER(SEARCH("R84",G450)),0)+IFERROR(--ISNUMBER(SEARCH("R85",G450)),0)+IFERROR(--ISNUMBER(SEARCH("R86",G450)),0)+IFERROR(--ISNUMBER(SEARCH("R87",G450)),0)+IFERROR(--ISNUMBER(SEARCH("R88",G450)),0)+IFERROR(--ISNUMBER(SEARCH("R89",G450)),0)+IFERROR(--ISNUMBER(SEARCH("R90",G450)),0)+IFERROR(--ISNUMBER(SEARCH("R91",G450)),0)+IFERROR(--ISNUMBER(SEARCH("R92",G450)),0)+IFERROR(--ISNUMBER(SEARCH("R93",G450)),0)+IFERROR(--ISNUMBER(SEARCH("R94",G450)),0)+IFERROR(--ISNUMBER(SEARCH("R95",G450)),0)+IFERROR(--ISNUMBER(SEARCH("R96",G450)),0)+IFERROR(--ISNUMBER(SEARCH("R97",G450)),0)+IFERROR(--ISNUMBER(SEARCH("R98",G450)),0)+IFERROR(--ISNUMBER(SEARCH("R99",G450)),0)+IFERROR(--ISNUMBER(SEARCH("R100",G450)),0)+IFERROR(--ISNUMBER(SEARCH("R101",G450)),0)+IFERROR(--ISNUMBER(SEARCH("R102",G450)),0)+IFERROR(--ISNUMBER(SEARCH("R103",G450)),0)+IFERROR(--ISNUMBER(SEARCH("R104",G450)),0)+IFERROR(--ISNUMBER(SEARCH("R105",G450)),0)+IFERROR(--ISNUMBER(SEARCH("R106",G450)),0)+IFERROR(--ISNUMBER(SEARCH("R107",G450)),0)+IFERROR(--ISNUMBER(SEARCH("R108",G450)),0)+IFERROR(--ISNUMBER(SEARCH("R109",G450)),0)+IFERROR(--ISNUMBER(SEARCH("R110",G450)),0)+IFERROR(--ISNUMBER(SEARCH("R111",G450)),0)+IFERROR(--ISNUMBER(SEARCH("R112",G450)),0)+IFERROR(--ISNUMBER(SEARCH("R113",G450)),0)+IFERROR(--ISNUMBER(SEARCH("R114",G450)),0)+IFERROR(--ISNUMBER(SEARCH("R115",G450)),0)+IFERROR(--ISNUMBER(SEARCH("R116",G450)),0)+IFERROR(--ISNUMBER(SEARCH("R117",G450)),0)+IFERROR(--ISNUMBER(SEARCH("R118",G450)),0)+IFERROR(--ISNUMBER(SEARCH("R119",G450)),0)+IFERROR(--ISNUMBER(SEARCH("R120",G450)),0)+IFERROR(--ISNUMBER(SEARCH("R121",G450)),0)+IFERROR(--ISNUMBER(SEARCH("R122",G450)),0)+IFERROR(--ISNUMBER(SEARCH("R123",G450)),0)+IFERROR(--ISNUMBER(SEARCH("R124",G450)),0)+IFERROR(--ISNUMBER(SEARCH("R125",G450)),0)+IFERROR(--ISNUMBER(SEARCH("R126",G450)),0)+IFERROR(--ISNUMBER(SEARCH("R127",G450)),0)+IFERROR(--ISNUMBER(SEARCH("R128",G450)),0)+IFERROR(--ISNUMBER(SEARCH("R129",G450)),0)+IFERROR(--ISNUMBER(SEARCH("R130",G450)),0)+IFERROR(--ISNUMBER(SEARCH("R131",G450)),0)+IFERROR(--ISNUMBER(SEARCH("R132",G450)),0)+IFERROR(--ISNUMBER(SEARCH("R133",G450)),0)+IFERROR(--ISNUMBER(SEARCH("R134",G450)),0)+IFERROR(--ISNUMBER(SEARCH("R135",G450)),0)+IFERROR(--ISNUMBER(SEARCH("R136",G450)),0)+IFERROR(--ISNUMBER(SEARCH("R137",G450)),0)+IFERROR(--ISNUMBER(SEARCH("R138",G450)),0)+IFERROR(--ISNUMBER(SEARCH("R139",G450)),0)+IFERROR(--ISNUMBER(SEARCH("R140",G450)),0)+IFERROR(--ISNUMBER(SEARCH("R141",G450)),0))</f>
        <v/>
      </c>
      <c r="T450" s="58">
        <f>IF(A450="","",IFERROR(--ISNUMBER(SEARCH("R28",G450)),0)+IFERROR(--ISNUMBER(SEARCH("R29",G450)),0)+IFERROR(--ISNUMBER(SEARCH("R30",G450)),0)+IFERROR(--ISNUMBER(SEARCH("R32",G450)),0)+IFERROR(--ISNUMBER(SEARCH("R33",G450)),0)+IFERROR(--ISNUMBER(SEARCH("R35",G450)),0)+IFERROR(--ISNUMBER(SEARCH("R36",G450)),0)+IFERROR(--ISNUMBER(SEARCH("R38",G450)),0)+IFERROR(--ISNUMBER(SEARCH("R39",G450)),0)+IFERROR(--ISNUMBER(SEARCH("R43",G450)),0)+IFERROR(--ISNUMBER(SEARCH("R44",G450)),0)+IFERROR(--ISNUMBER(SEARCH("R45",G450)),0)+IFERROR(--ISNUMBER(SEARCH("R47",G450)),0)+IFERROR(--ISNUMBER(SEARCH("R48",G450)),0)+IFERROR(--ISNUMBER(SEARCH("R50",G450)),0)+IFERROR(--ISNUMBER(SEARCH("R51",G450)),0)+IFERROR(--ISNUMBER(SEARCH("R56",G450)),0)+IFERROR(--ISNUMBER(SEARCH("R58",G450)),0)+IFERROR(--ISNUMBER(SEARCH("R59",G450)),0)+IFERROR(--ISNUMBER(SEARCH("R60",G450)),0)+IFERROR(--ISNUMBER(SEARCH("R62",G450)),0)+IFERROR(--ISNUMBER(SEARCH("R63",G450)),0)+IFERROR(--ISNUMBER(SEARCH("R64",G450)),0)+IFERROR(--ISNUMBER(SEARCH("R66",G450)),0)+IFERROR(--ISNUMBER(SEARCH("R67",G450)),0)+IFERROR(--ISNUMBER(SEARCH("R72",G450)),0)+IFERROR(--ISNUMBER(SEARCH("R74",G450)),0)+IFERROR(--ISNUMBER(SEARCH("R75",G450)),0)+IFERROR(--ISNUMBER(SEARCH("R76",G450)),0)+IFERROR(--ISNUMBER(SEARCH("R77",G450)),0)+IFERROR(--ISNUMBER(SEARCH("R79",G450)),0)+IFERROR(--ISNUMBER(SEARCH("R80",G450)),0)+IFERROR(--ISNUMBER(SEARCH("R81",G450)),0)+IFERROR(--ISNUMBER(SEARCH("R83",G450)),0)+IFERROR(--ISNUMBER(SEARCH("R84",G450)),0)+IFERROR(--ISNUMBER(SEARCH("R89",G450)),0)+IFERROR(--ISNUMBER(SEARCH("R94",G450)),0)+IFERROR(--ISNUMBER(SEARCH("R95",G450)),0)+IFERROR(--ISNUMBER(SEARCH("R96",G450)),0)+IFERROR(--ISNUMBER(SEARCH("R98",G450)),0)+IFERROR(--ISNUMBER(SEARCH("R99",G450)),0)+IFERROR(--ISNUMBER(SEARCH("R100",G450)),0)+IFERROR(--ISNUMBER(SEARCH("R104",G450)),0)+IFERROR(--ISNUMBER(SEARCH("R105",G450)),0)+IFERROR(--ISNUMBER(SEARCH("R107",G450)),0)+IFERROR(--ISNUMBER(SEARCH("R108",G450)),0)+IFERROR(--ISNUMBER(SEARCH("R109",G450)),0)+IFERROR(--ISNUMBER(SEARCH("R110",G450)),0)+IFERROR(--ISNUMBER(SEARCH("R112",G450)),0)+IFERROR(--ISNUMBER(SEARCH("R113",G450)),0)+IFERROR(--ISNUMBER(SEARCH("R114",G450)),0)+IFERROR(--ISNUMBER(SEARCH("R118",G450)),0)+IFERROR(--ISNUMBER(SEARCH("R119",G450)),0)+IFERROR(--ISNUMBER(SEARCH("R120",G450)),0)+IFERROR(--ISNUMBER(SEARCH("R122",G450)),0)+IFERROR(--ISNUMBER(SEARCH("R123",G450)),0)+IFERROR(--ISNUMBER(SEARCH("R124",G450)),0)+IFERROR(--ISNUMBER(SEARCH("R128",G450)),0)+IFERROR(--ISNUMBER(SEARCH("R130",G450)),0)+IFERROR(--ISNUMBER(SEARCH("R131",G450)),0)+IFERROR(--ISNUMBER(SEARCH("R132",G450)),0)+IFERROR(--ISNUMBER(SEARCH("R135",G450)),0)+IFERROR(--ISNUMBER(SEARCH("R138",G450)),0)+IFERROR(--ISNUMBER(SEARCH("R141",G450)),0))</f>
        <v/>
      </c>
      <c r="U450" s="58">
        <f>IF(A450="","",IFERROR(--ISNUMBER(SEARCH("R28",G450))*28,0)+IFERROR(--ISNUMBER(SEARCH("R29",G450))*29,0)+IFERROR(--ISNUMBER(SEARCH("R30",G450))*30,0)+IFERROR(--ISNUMBER(SEARCH("R31",G450))*31,0)+IFERROR(--ISNUMBER(SEARCH("R32",G450))*32,0)+IFERROR(--ISNUMBER(SEARCH("R33",G450))*33,0)+IFERROR(--ISNUMBER(SEARCH("R34",G450))*34,0)+IFERROR(--ISNUMBER(SEARCH("R35",G450))*35,0)+IFERROR(--ISNUMBER(SEARCH("R36",G450))*36,0)+IFERROR(--ISNUMBER(SEARCH("R37",G450))*37,0)+IFERROR(--ISNUMBER(SEARCH("R38",G450))*38,0)+IFERROR(--ISNUMBER(SEARCH("R39",G450))*39,0)+IFERROR(--ISNUMBER(SEARCH("R40",G450))*40,0)+IFERROR(--ISNUMBER(SEARCH("R41",G450))*41,0)+IFERROR(--ISNUMBER(SEARCH("R42",G450))*42,0)+IFERROR(--ISNUMBER(SEARCH("R43",G450))*43,0)+IFERROR(--ISNUMBER(SEARCH("R44",G450))*44,0)+IFERROR(--ISNUMBER(SEARCH("R45",G450))*45,0)+IFERROR(--ISNUMBER(SEARCH("R46",G450))*46,0)+IFERROR(--ISNUMBER(SEARCH("R47",G450))*47,0)+IFERROR(--ISNUMBER(SEARCH("R48",G450))*48,0)+IFERROR(--ISNUMBER(SEARCH("R49",G450))*49,0)+IFERROR(--ISNUMBER(SEARCH("R50",G450))*50,0)+IFERROR(--ISNUMBER(SEARCH("R51",G450))*51,0)+IFERROR(--ISNUMBER(SEARCH("R52",G450))*52,0)+IFERROR(--ISNUMBER(SEARCH("R53",G450))*53,0)+IFERROR(--ISNUMBER(SEARCH("R54",G450))*54,0)+IFERROR(--ISNUMBER(SEARCH("R55",G450))*55,0)+IFERROR(--ISNUMBER(SEARCH("R56",G450))*56,0)+IFERROR(--ISNUMBER(SEARCH("R57",G450))*57,0)+IFERROR(--ISNUMBER(SEARCH("R58",G450))*58,0)+IFERROR(--ISNUMBER(SEARCH("R59",G450))*59,0)+IFERROR(--ISNUMBER(SEARCH("R60",G450))*60,0)+IFERROR(--ISNUMBER(SEARCH("R61",G450))*61,0)+IFERROR(--ISNUMBER(SEARCH("R62",G450))*62,0)+IFERROR(--ISNUMBER(SEARCH("R63",G450))*63,0)+IFERROR(--ISNUMBER(SEARCH("R64",G450))*64,0)+IFERROR(--ISNUMBER(SEARCH("R65",G450))*65,0)+IFERROR(--ISNUMBER(SEARCH("R66",G450))*66,0)+IFERROR(--ISNUMBER(SEARCH("R67",G450))*67,0)+IFERROR(--ISNUMBER(SEARCH("R68",G450))*68,0)+IFERROR(--ISNUMBER(SEARCH("R69",G450))*69,0)+IFERROR(--ISNUMBER(SEARCH("R70",G450))*70,0)+IFERROR(--ISNUMBER(SEARCH("R71",G450))*71,0)+IFERROR(--ISNUMBER(SEARCH("R72",G450))*72,0)+IFERROR(--ISNUMBER(SEARCH("R73",G450))*73,0)+IFERROR(--ISNUMBER(SEARCH("R74",G450))*74,0)+IFERROR(--ISNUMBER(SEARCH("R75",G450))*75,0)+IFERROR(--ISNUMBER(SEARCH("R76",G450))*76,0)+IFERROR(--ISNUMBER(SEARCH("R77",G450))*77,0)+IFERROR(--ISNUMBER(SEARCH("R78",G450))*78,0)+IFERROR(--ISNUMBER(SEARCH("R79",G450))*79,0)+IFERROR(--ISNUMBER(SEARCH("R80",G450))*80,0)+IFERROR(--ISNUMBER(SEARCH("R81",G450))*81,0)+IFERROR(--ISNUMBER(SEARCH("R82",G450))*82,0)+IFERROR(--ISNUMBER(SEARCH("R83",G450))*83,0)+IFERROR(--ISNUMBER(SEARCH("R84",G450))*84,0)+IFERROR(--ISNUMBER(SEARCH("R85",G450))*85,0)+IFERROR(--ISNUMBER(SEARCH("R86",G450))*86,0)+IFERROR(--ISNUMBER(SEARCH("R87",G450))*87,0)+IFERROR(--ISNUMBER(SEARCH("R88",G450))*88,0)+IFERROR(--ISNUMBER(SEARCH("R89",G450))*89,0)+IFERROR(--ISNUMBER(SEARCH("R90",G450))*90,0)+IFERROR(--ISNUMBER(SEARCH("R91",G450))*91,0)+IFERROR(--ISNUMBER(SEARCH("R92",G450))*92,0)+IFERROR(--ISNUMBER(SEARCH("R93",G450))*93,0)+IFERROR(--ISNUMBER(SEARCH("R94",G450))*94,0)+IFERROR(--ISNUMBER(SEARCH("R95",G450))*95,0)+IFERROR(--ISNUMBER(SEARCH("R96",G450))*96,0)+IFERROR(--ISNUMBER(SEARCH("R97",G450))*97,0)+IFERROR(--ISNUMBER(SEARCH("R98",G450))*98,0)+IFERROR(--ISNUMBER(SEARCH("R99",G450))*99,0)+IFERROR(--ISNUMBER(SEARCH("R100",G450))*100,0)+IFERROR(--ISNUMBER(SEARCH("R101",G450))*101,0)+IFERROR(--ISNUMBER(SEARCH("R102",G450))*102,0)+IFERROR(--ISNUMBER(SEARCH("R103",G450))*103,0)+IFERROR(--ISNUMBER(SEARCH("R104",G450))*104,0)+IFERROR(--ISNUMBER(SEARCH("R105",G450))*105,0)+IFERROR(--ISNUMBER(SEARCH("R106",G450))*106,0)+IFERROR(--ISNUMBER(SEARCH("R107",G450))*107,0)+IFERROR(--ISNUMBER(SEARCH("R108",G450))*108,0)+IFERROR(--ISNUMBER(SEARCH("R109",G450))*109,0)+IFERROR(--ISNUMBER(SEARCH("R110",G450))*110,0)+IFERROR(--ISNUMBER(SEARCH("R111",G450))*111,0)+IFERROR(--ISNUMBER(SEARCH("R112",G450))*112,0)+IFERROR(--ISNUMBER(SEARCH("R113",G450))*113,0)+IFERROR(--ISNUMBER(SEARCH("R114",G450))*114,0)+IFERROR(--ISNUMBER(SEARCH("R115",G450))*115,0)+IFERROR(--ISNUMBER(SEARCH("R116",G450))*116,0)+IFERROR(--ISNUMBER(SEARCH("R117",G450))*117,0)+IFERROR(--ISNUMBER(SEARCH("R118",G450))*118,0)+IFERROR(--ISNUMBER(SEARCH("R119",G450))*119,0)+IFERROR(--ISNUMBER(SEARCH("R120",G450))*120,0)+IFERROR(--ISNUMBER(SEARCH("R121",G450))*121,0)+IFERROR(--ISNUMBER(SEARCH("R122",G450))*122,0)+IFERROR(--ISNUMBER(SEARCH("R123",G450))*123,0)+IFERROR(--ISNUMBER(SEARCH("R124",G450))*124,0)+IFERROR(--ISNUMBER(SEARCH("R125",G450))*125,0)+IFERROR(--ISNUMBER(SEARCH("R126",G450))*126,0)+IFERROR(--ISNUMBER(SEARCH("R127",G450))*127,0)+IFERROR(--ISNUMBER(SEARCH("R128",G450))*128,0)+IFERROR(--ISNUMBER(SEARCH("R129",G450))*129,0)+IFERROR(--ISNUMBER(SEARCH("R130",G450))*130,0)+IFERROR(--ISNUMBER(SEARCH("R131",G450))*131,0)+IFERROR(--ISNUMBER(SEARCH("R132",G450))*132,0)+IFERROR(--ISNUMBER(SEARCH("R133",G450))*133,0)+IFERROR(--ISNUMBER(SEARCH("R134",G450))*134,0)+IFERROR(--ISNUMBER(SEARCH("R135",G450))*135,0)+IFERROR(--ISNUMBER(SEARCH("R136",G450))*136,0)+IFERROR(--ISNUMBER(SEARCH("R137",G450))*137,0)+IFERROR(--ISNUMBER(SEARCH("R138",G450))*138,0)+IFERROR(--ISNUMBER(SEARCH("R139",G450))*139,0)+IFERROR(--ISNUMBER(SEARCH("R140",G450))*140,0)+IFERROR(--ISNUMBER(SEARCH("R141",G450))*141,0))</f>
        <v/>
      </c>
      <c r="V450" s="59">
        <f>IF(A450="","",IF(K450&lt;&gt;"",K450,J450))</f>
        <v/>
      </c>
      <c r="W450" s="59">
        <f>IF(A450="","",IF(AND(V450=29,O450&lt;&gt;"",COUNTIFS($V$6:$V$505,29,$F$6:$F$505,F450,$C$6:$C$505,C450,$O$6:$O$505,"&lt;&gt;")&gt;1),IF(COUNTIFS($V$6:V450,29,$F$6:F450,F450,$C$6:C450,C450,$O$6:O450,"&lt;&gt;")=1,"Esta es la fila que se debe CONSERVAR (aparición 1 de "&amp;COUNTIFS($V$6:$V$505,29,$F$6:$F$505,F450,$C$6:$C$505,C450,$O$6:$O$505,"&lt;&gt;")&amp;" con el mismo tercero y valor, casilla 29). Si hay más filas iguales, bórreles el valor a ELLAS, no a esta.","DUPLICADO — ya existe otra fila con el mismo tercero y valor para casilla 29 (aparición "&amp;COUNTIFS($V$6:V450,29,$F$6:F450,F450,$C$6:C450,C450,$O$6:O450,"&lt;&gt;")&amp;" de "&amp;COUNTIFS($V$6:$V$505,29,$F$6:$F$505,F450,$C$6:$C$505,C450,$O$6:$O$505,"&lt;&gt;")&amp;"). Para resolverlo: seleccione la celda O"&amp;ROW()&amp;" (columna Valor a declarar de ESTA fila) y presione Supr."),""))</f>
        <v/>
      </c>
      <c r="X450" s="463">
        <f>IF(A450="","",F450)</f>
        <v/>
      </c>
      <c r="Y450" s="463">
        <f>IF(A450="","",SUMIF(Entrada_Manual!$I$88:$I$187,A450,Entrada_Manual!$F$88:$F$187))</f>
        <v/>
      </c>
      <c r="Z450" s="463">
        <f>IF(A450="","",X450-Y450)</f>
        <v/>
      </c>
      <c r="AA450">
        <f>IF(A450="","",SUMPRODUCT((Entrada_Manual!$I$88:$I$187=A450)*1))</f>
        <v/>
      </c>
      <c r="AB450">
        <f>IF(A450="","",IF(S450&lt;=1,"",IF(AA450=0,"PENDIENTE — SIN ASIGNAR",IF(Z450=0,"RESUELTO","PARCIAL — DIFERENCIA "&amp;TEXT(Z450,"#,##0")))))</f>
        <v/>
      </c>
    </row>
    <row r="451" ht="14.25" customHeight="1" s="235">
      <c r="A451" s="47">
        <f>IF(Exogena_RAW!E460&lt;&gt;"",ROW()-5,"")</f>
        <v/>
      </c>
      <c r="B451" s="48">
        <f>IF(A451="","",460)</f>
        <v/>
      </c>
      <c r="C451" s="48">
        <f>IF(A451="","",IFERROR(Exogena_RAW!A460,""))</f>
        <v/>
      </c>
      <c r="D451" s="48">
        <f>IF(A451="","",IFERROR(Exogena_RAW!B460,""))</f>
        <v/>
      </c>
      <c r="E451" s="48">
        <f>IF(A451="","",Exogena_RAW!E460)</f>
        <v/>
      </c>
      <c r="F451" s="461">
        <f>IF(A451="","",Exogena_RAW!F460)</f>
        <v/>
      </c>
      <c r="G451" s="48">
        <f>IF(A451="","",IFERROR(Exogena_RAW!G460,""))</f>
        <v/>
      </c>
      <c r="H451" s="48">
        <f>IF(A451="","",IFERROR(Exogena_RAW!H460,""))</f>
        <v/>
      </c>
      <c r="I451" s="48">
        <f>IF(A451="","",IFERROR(IF(S451&gt;1,"VARIAS CASILLAS",IF(S451=1,IF(T451=1,"PROPUESTA DE CASILLA","REVISIÓN: CASILLA NO DIRECTA"),IF(OR(ISNUMBER(SEARCH("TOPE",UPPER(E451))),ISNUMBER(SEARCH("TOPE",UPPER(G451)))),"SOLO CONTROL",IF(ISNUMBER(SEARCH("RETEN",UPPER(E451))),"RETENCIÓN","REVISAR")))),"REVISAR"))</f>
        <v/>
      </c>
      <c r="J451" s="48">
        <f>IF(A451="","",IF(ISNUMBER(SEARCH("ingreso laboral promedio de los últimos seis meses",E451)),"",IFERROR(IF(AND(S451=1,T451=1),U451,""),"")))</f>
        <v/>
      </c>
      <c r="K451" s="216" t="n"/>
      <c r="L451" s="48">
        <f>IF(A451="","",IFERROR(IF(K451&lt;&gt;"","Casilla elegida por usuario",IF(S451&gt;1,"Varias casillas — elegir en K",IF(J451&lt;&gt;"","Sugerencia directa",IF(S451=1,"No trasladar directo — revisar",IF(OR(ISNUMBER(SEARCH("TOPE",UPPER(E451))),ISNUMBER(SEARCH("TOPE",UPPER(G451)))),"Solo control","Revisar manualmente"))))),"Revisar manualmente"))</f>
        <v/>
      </c>
      <c r="M451" s="461">
        <f>IF(A451="","",IF(IF(K451&lt;&gt;"",K451,J451)="",0,IF(COUNTIFS(Reglas!$I$5:$I$118,IF(K451&lt;&gt;"",K451,J451),Reglas!$J$5:$J$118,"Sí")=1,F451,0)))</f>
        <v/>
      </c>
      <c r="N451" s="56" t="n"/>
      <c r="O451" s="462">
        <f>IF(A451="","",IF(M451=0,"",M451))</f>
        <v/>
      </c>
      <c r="P451" s="461">
        <f>IF(A451="","",IF(O451="",0,IF(ISNUMBER(O451),O451,0)))</f>
        <v/>
      </c>
      <c r="Q451" s="48">
        <f>IF(A451="","",IF(Exogena_RAW!$C$4="","BLOQUEADO: FALTA AÑO",IF(Exogena_RAW!$K$10&lt;&gt;Reglas!$B$5,"BLOQUEADO: AÑO",IF(IF(K451&lt;&gt;"",K451,J451)="",IF(S451&gt;1,"REQUIERE ASIGNACIÓN MANUAL (VARIAS CASILLAS)","INFORMATIVO (sin casilla — no se declara)"),IF(COUNTIFS(Reglas!$I$5:$I$118,IF(K451&lt;&gt;"",K451,J451),Reglas!$J$5:$J$118,"Sí")=0,"BLOQUEADO: CASILLA NO DIRECTA",IF(O451="","EXCLUIDO (valor borrado por el usuario)",IF(_xlfn.ISFORMULA(O451),IF(W451&lt;&gt;"","BORRADOR — VALOR SUGERIDO DIAN ⚠ VER ALERTA","BORRADOR — VALOR SUGERIDO DIAN"),IF(W451&lt;&gt;"","ACEPTADO ⚠ VER ALERTA","ACEPTADO"))))))))</f>
        <v/>
      </c>
      <c r="R451" s="218" t="n"/>
      <c r="S451" s="58">
        <f>IF(A451="","",IFERROR(--ISNUMBER(SEARCH("R28",G451)),0)+IFERROR(--ISNUMBER(SEARCH("R29",G451)),0)+IFERROR(--ISNUMBER(SEARCH("R30",G451)),0)+IFERROR(--ISNUMBER(SEARCH("R31",G451)),0)+IFERROR(--ISNUMBER(SEARCH("R32",G451)),0)+IFERROR(--ISNUMBER(SEARCH("R33",G451)),0)+IFERROR(--ISNUMBER(SEARCH("R34",G451)),0)+IFERROR(--ISNUMBER(SEARCH("R35",G451)),0)+IFERROR(--ISNUMBER(SEARCH("R36",G451)),0)+IFERROR(--ISNUMBER(SEARCH("R37",G451)),0)+IFERROR(--ISNUMBER(SEARCH("R38",G451)),0)+IFERROR(--ISNUMBER(SEARCH("R39",G451)),0)+IFERROR(--ISNUMBER(SEARCH("R40",G451)),0)+IFERROR(--ISNUMBER(SEARCH("R41",G451)),0)+IFERROR(--ISNUMBER(SEARCH("R42",G451)),0)+IFERROR(--ISNUMBER(SEARCH("R43",G451)),0)+IFERROR(--ISNUMBER(SEARCH("R44",G451)),0)+IFERROR(--ISNUMBER(SEARCH("R45",G451)),0)+IFERROR(--ISNUMBER(SEARCH("R46",G451)),0)+IFERROR(--ISNUMBER(SEARCH("R47",G451)),0)+IFERROR(--ISNUMBER(SEARCH("R48",G451)),0)+IFERROR(--ISNUMBER(SEARCH("R49",G451)),0)+IFERROR(--ISNUMBER(SEARCH("R50",G451)),0)+IFERROR(--ISNUMBER(SEARCH("R51",G451)),0)+IFERROR(--ISNUMBER(SEARCH("R52",G451)),0)+IFERROR(--ISNUMBER(SEARCH("R53",G451)),0)+IFERROR(--ISNUMBER(SEARCH("R54",G451)),0)+IFERROR(--ISNUMBER(SEARCH("R55",G451)),0)+IFERROR(--ISNUMBER(SEARCH("R56",G451)),0)+IFERROR(--ISNUMBER(SEARCH("R57",G451)),0)+IFERROR(--ISNUMBER(SEARCH("R58",G451)),0)+IFERROR(--ISNUMBER(SEARCH("R59",G451)),0)+IFERROR(--ISNUMBER(SEARCH("R60",G451)),0)+IFERROR(--ISNUMBER(SEARCH("R61",G451)),0)+IFERROR(--ISNUMBER(SEARCH("R62",G451)),0)+IFERROR(--ISNUMBER(SEARCH("R63",G451)),0)+IFERROR(--ISNUMBER(SEARCH("R64",G451)),0)+IFERROR(--ISNUMBER(SEARCH("R65",G451)),0)+IFERROR(--ISNUMBER(SEARCH("R66",G451)),0)+IFERROR(--ISNUMBER(SEARCH("R67",G451)),0)+IFERROR(--ISNUMBER(SEARCH("R68",G451)),0)+IFERROR(--ISNUMBER(SEARCH("R69",G451)),0)+IFERROR(--ISNUMBER(SEARCH("R70",G451)),0)+IFERROR(--ISNUMBER(SEARCH("R71",G451)),0)+IFERROR(--ISNUMBER(SEARCH("R72",G451)),0)+IFERROR(--ISNUMBER(SEARCH("R73",G451)),0)+IFERROR(--ISNUMBER(SEARCH("R74",G451)),0)+IFERROR(--ISNUMBER(SEARCH("R75",G451)),0)+IFERROR(--ISNUMBER(SEARCH("R76",G451)),0)+IFERROR(--ISNUMBER(SEARCH("R77",G451)),0)+IFERROR(--ISNUMBER(SEARCH("R78",G451)),0)+IFERROR(--ISNUMBER(SEARCH("R79",G451)),0)+IFERROR(--ISNUMBER(SEARCH("R80",G451)),0)+IFERROR(--ISNUMBER(SEARCH("R81",G451)),0)+IFERROR(--ISNUMBER(SEARCH("R82",G451)),0)+IFERROR(--ISNUMBER(SEARCH("R83",G451)),0)+IFERROR(--ISNUMBER(SEARCH("R84",G451)),0)+IFERROR(--ISNUMBER(SEARCH("R85",G451)),0)+IFERROR(--ISNUMBER(SEARCH("R86",G451)),0)+IFERROR(--ISNUMBER(SEARCH("R87",G451)),0)+IFERROR(--ISNUMBER(SEARCH("R88",G451)),0)+IFERROR(--ISNUMBER(SEARCH("R89",G451)),0)+IFERROR(--ISNUMBER(SEARCH("R90",G451)),0)+IFERROR(--ISNUMBER(SEARCH("R91",G451)),0)+IFERROR(--ISNUMBER(SEARCH("R92",G451)),0)+IFERROR(--ISNUMBER(SEARCH("R93",G451)),0)+IFERROR(--ISNUMBER(SEARCH("R94",G451)),0)+IFERROR(--ISNUMBER(SEARCH("R95",G451)),0)+IFERROR(--ISNUMBER(SEARCH("R96",G451)),0)+IFERROR(--ISNUMBER(SEARCH("R97",G451)),0)+IFERROR(--ISNUMBER(SEARCH("R98",G451)),0)+IFERROR(--ISNUMBER(SEARCH("R99",G451)),0)+IFERROR(--ISNUMBER(SEARCH("R100",G451)),0)+IFERROR(--ISNUMBER(SEARCH("R101",G451)),0)+IFERROR(--ISNUMBER(SEARCH("R102",G451)),0)+IFERROR(--ISNUMBER(SEARCH("R103",G451)),0)+IFERROR(--ISNUMBER(SEARCH("R104",G451)),0)+IFERROR(--ISNUMBER(SEARCH("R105",G451)),0)+IFERROR(--ISNUMBER(SEARCH("R106",G451)),0)+IFERROR(--ISNUMBER(SEARCH("R107",G451)),0)+IFERROR(--ISNUMBER(SEARCH("R108",G451)),0)+IFERROR(--ISNUMBER(SEARCH("R109",G451)),0)+IFERROR(--ISNUMBER(SEARCH("R110",G451)),0)+IFERROR(--ISNUMBER(SEARCH("R111",G451)),0)+IFERROR(--ISNUMBER(SEARCH("R112",G451)),0)+IFERROR(--ISNUMBER(SEARCH("R113",G451)),0)+IFERROR(--ISNUMBER(SEARCH("R114",G451)),0)+IFERROR(--ISNUMBER(SEARCH("R115",G451)),0)+IFERROR(--ISNUMBER(SEARCH("R116",G451)),0)+IFERROR(--ISNUMBER(SEARCH("R117",G451)),0)+IFERROR(--ISNUMBER(SEARCH("R118",G451)),0)+IFERROR(--ISNUMBER(SEARCH("R119",G451)),0)+IFERROR(--ISNUMBER(SEARCH("R120",G451)),0)+IFERROR(--ISNUMBER(SEARCH("R121",G451)),0)+IFERROR(--ISNUMBER(SEARCH("R122",G451)),0)+IFERROR(--ISNUMBER(SEARCH("R123",G451)),0)+IFERROR(--ISNUMBER(SEARCH("R124",G451)),0)+IFERROR(--ISNUMBER(SEARCH("R125",G451)),0)+IFERROR(--ISNUMBER(SEARCH("R126",G451)),0)+IFERROR(--ISNUMBER(SEARCH("R127",G451)),0)+IFERROR(--ISNUMBER(SEARCH("R128",G451)),0)+IFERROR(--ISNUMBER(SEARCH("R129",G451)),0)+IFERROR(--ISNUMBER(SEARCH("R130",G451)),0)+IFERROR(--ISNUMBER(SEARCH("R131",G451)),0)+IFERROR(--ISNUMBER(SEARCH("R132",G451)),0)+IFERROR(--ISNUMBER(SEARCH("R133",G451)),0)+IFERROR(--ISNUMBER(SEARCH("R134",G451)),0)+IFERROR(--ISNUMBER(SEARCH("R135",G451)),0)+IFERROR(--ISNUMBER(SEARCH("R136",G451)),0)+IFERROR(--ISNUMBER(SEARCH("R137",G451)),0)+IFERROR(--ISNUMBER(SEARCH("R138",G451)),0)+IFERROR(--ISNUMBER(SEARCH("R139",G451)),0)+IFERROR(--ISNUMBER(SEARCH("R140",G451)),0)+IFERROR(--ISNUMBER(SEARCH("R141",G451)),0))</f>
        <v/>
      </c>
      <c r="T451" s="58">
        <f>IF(A451="","",IFERROR(--ISNUMBER(SEARCH("R28",G451)),0)+IFERROR(--ISNUMBER(SEARCH("R29",G451)),0)+IFERROR(--ISNUMBER(SEARCH("R30",G451)),0)+IFERROR(--ISNUMBER(SEARCH("R32",G451)),0)+IFERROR(--ISNUMBER(SEARCH("R33",G451)),0)+IFERROR(--ISNUMBER(SEARCH("R35",G451)),0)+IFERROR(--ISNUMBER(SEARCH("R36",G451)),0)+IFERROR(--ISNUMBER(SEARCH("R38",G451)),0)+IFERROR(--ISNUMBER(SEARCH("R39",G451)),0)+IFERROR(--ISNUMBER(SEARCH("R43",G451)),0)+IFERROR(--ISNUMBER(SEARCH("R44",G451)),0)+IFERROR(--ISNUMBER(SEARCH("R45",G451)),0)+IFERROR(--ISNUMBER(SEARCH("R47",G451)),0)+IFERROR(--ISNUMBER(SEARCH("R48",G451)),0)+IFERROR(--ISNUMBER(SEARCH("R50",G451)),0)+IFERROR(--ISNUMBER(SEARCH("R51",G451)),0)+IFERROR(--ISNUMBER(SEARCH("R56",G451)),0)+IFERROR(--ISNUMBER(SEARCH("R58",G451)),0)+IFERROR(--ISNUMBER(SEARCH("R59",G451)),0)+IFERROR(--ISNUMBER(SEARCH("R60",G451)),0)+IFERROR(--ISNUMBER(SEARCH("R62",G451)),0)+IFERROR(--ISNUMBER(SEARCH("R63",G451)),0)+IFERROR(--ISNUMBER(SEARCH("R64",G451)),0)+IFERROR(--ISNUMBER(SEARCH("R66",G451)),0)+IFERROR(--ISNUMBER(SEARCH("R67",G451)),0)+IFERROR(--ISNUMBER(SEARCH("R72",G451)),0)+IFERROR(--ISNUMBER(SEARCH("R74",G451)),0)+IFERROR(--ISNUMBER(SEARCH("R75",G451)),0)+IFERROR(--ISNUMBER(SEARCH("R76",G451)),0)+IFERROR(--ISNUMBER(SEARCH("R77",G451)),0)+IFERROR(--ISNUMBER(SEARCH("R79",G451)),0)+IFERROR(--ISNUMBER(SEARCH("R80",G451)),0)+IFERROR(--ISNUMBER(SEARCH("R81",G451)),0)+IFERROR(--ISNUMBER(SEARCH("R83",G451)),0)+IFERROR(--ISNUMBER(SEARCH("R84",G451)),0)+IFERROR(--ISNUMBER(SEARCH("R89",G451)),0)+IFERROR(--ISNUMBER(SEARCH("R94",G451)),0)+IFERROR(--ISNUMBER(SEARCH("R95",G451)),0)+IFERROR(--ISNUMBER(SEARCH("R96",G451)),0)+IFERROR(--ISNUMBER(SEARCH("R98",G451)),0)+IFERROR(--ISNUMBER(SEARCH("R99",G451)),0)+IFERROR(--ISNUMBER(SEARCH("R100",G451)),0)+IFERROR(--ISNUMBER(SEARCH("R104",G451)),0)+IFERROR(--ISNUMBER(SEARCH("R105",G451)),0)+IFERROR(--ISNUMBER(SEARCH("R107",G451)),0)+IFERROR(--ISNUMBER(SEARCH("R108",G451)),0)+IFERROR(--ISNUMBER(SEARCH("R109",G451)),0)+IFERROR(--ISNUMBER(SEARCH("R110",G451)),0)+IFERROR(--ISNUMBER(SEARCH("R112",G451)),0)+IFERROR(--ISNUMBER(SEARCH("R113",G451)),0)+IFERROR(--ISNUMBER(SEARCH("R114",G451)),0)+IFERROR(--ISNUMBER(SEARCH("R118",G451)),0)+IFERROR(--ISNUMBER(SEARCH("R119",G451)),0)+IFERROR(--ISNUMBER(SEARCH("R120",G451)),0)+IFERROR(--ISNUMBER(SEARCH("R122",G451)),0)+IFERROR(--ISNUMBER(SEARCH("R123",G451)),0)+IFERROR(--ISNUMBER(SEARCH("R124",G451)),0)+IFERROR(--ISNUMBER(SEARCH("R128",G451)),0)+IFERROR(--ISNUMBER(SEARCH("R130",G451)),0)+IFERROR(--ISNUMBER(SEARCH("R131",G451)),0)+IFERROR(--ISNUMBER(SEARCH("R132",G451)),0)+IFERROR(--ISNUMBER(SEARCH("R135",G451)),0)+IFERROR(--ISNUMBER(SEARCH("R138",G451)),0)+IFERROR(--ISNUMBER(SEARCH("R141",G451)),0))</f>
        <v/>
      </c>
      <c r="U451" s="58">
        <f>IF(A451="","",IFERROR(--ISNUMBER(SEARCH("R28",G451))*28,0)+IFERROR(--ISNUMBER(SEARCH("R29",G451))*29,0)+IFERROR(--ISNUMBER(SEARCH("R30",G451))*30,0)+IFERROR(--ISNUMBER(SEARCH("R31",G451))*31,0)+IFERROR(--ISNUMBER(SEARCH("R32",G451))*32,0)+IFERROR(--ISNUMBER(SEARCH("R33",G451))*33,0)+IFERROR(--ISNUMBER(SEARCH("R34",G451))*34,0)+IFERROR(--ISNUMBER(SEARCH("R35",G451))*35,0)+IFERROR(--ISNUMBER(SEARCH("R36",G451))*36,0)+IFERROR(--ISNUMBER(SEARCH("R37",G451))*37,0)+IFERROR(--ISNUMBER(SEARCH("R38",G451))*38,0)+IFERROR(--ISNUMBER(SEARCH("R39",G451))*39,0)+IFERROR(--ISNUMBER(SEARCH("R40",G451))*40,0)+IFERROR(--ISNUMBER(SEARCH("R41",G451))*41,0)+IFERROR(--ISNUMBER(SEARCH("R42",G451))*42,0)+IFERROR(--ISNUMBER(SEARCH("R43",G451))*43,0)+IFERROR(--ISNUMBER(SEARCH("R44",G451))*44,0)+IFERROR(--ISNUMBER(SEARCH("R45",G451))*45,0)+IFERROR(--ISNUMBER(SEARCH("R46",G451))*46,0)+IFERROR(--ISNUMBER(SEARCH("R47",G451))*47,0)+IFERROR(--ISNUMBER(SEARCH("R48",G451))*48,0)+IFERROR(--ISNUMBER(SEARCH("R49",G451))*49,0)+IFERROR(--ISNUMBER(SEARCH("R50",G451))*50,0)+IFERROR(--ISNUMBER(SEARCH("R51",G451))*51,0)+IFERROR(--ISNUMBER(SEARCH("R52",G451))*52,0)+IFERROR(--ISNUMBER(SEARCH("R53",G451))*53,0)+IFERROR(--ISNUMBER(SEARCH("R54",G451))*54,0)+IFERROR(--ISNUMBER(SEARCH("R55",G451))*55,0)+IFERROR(--ISNUMBER(SEARCH("R56",G451))*56,0)+IFERROR(--ISNUMBER(SEARCH("R57",G451))*57,0)+IFERROR(--ISNUMBER(SEARCH("R58",G451))*58,0)+IFERROR(--ISNUMBER(SEARCH("R59",G451))*59,0)+IFERROR(--ISNUMBER(SEARCH("R60",G451))*60,0)+IFERROR(--ISNUMBER(SEARCH("R61",G451))*61,0)+IFERROR(--ISNUMBER(SEARCH("R62",G451))*62,0)+IFERROR(--ISNUMBER(SEARCH("R63",G451))*63,0)+IFERROR(--ISNUMBER(SEARCH("R64",G451))*64,0)+IFERROR(--ISNUMBER(SEARCH("R65",G451))*65,0)+IFERROR(--ISNUMBER(SEARCH("R66",G451))*66,0)+IFERROR(--ISNUMBER(SEARCH("R67",G451))*67,0)+IFERROR(--ISNUMBER(SEARCH("R68",G451))*68,0)+IFERROR(--ISNUMBER(SEARCH("R69",G451))*69,0)+IFERROR(--ISNUMBER(SEARCH("R70",G451))*70,0)+IFERROR(--ISNUMBER(SEARCH("R71",G451))*71,0)+IFERROR(--ISNUMBER(SEARCH("R72",G451))*72,0)+IFERROR(--ISNUMBER(SEARCH("R73",G451))*73,0)+IFERROR(--ISNUMBER(SEARCH("R74",G451))*74,0)+IFERROR(--ISNUMBER(SEARCH("R75",G451))*75,0)+IFERROR(--ISNUMBER(SEARCH("R76",G451))*76,0)+IFERROR(--ISNUMBER(SEARCH("R77",G451))*77,0)+IFERROR(--ISNUMBER(SEARCH("R78",G451))*78,0)+IFERROR(--ISNUMBER(SEARCH("R79",G451))*79,0)+IFERROR(--ISNUMBER(SEARCH("R80",G451))*80,0)+IFERROR(--ISNUMBER(SEARCH("R81",G451))*81,0)+IFERROR(--ISNUMBER(SEARCH("R82",G451))*82,0)+IFERROR(--ISNUMBER(SEARCH("R83",G451))*83,0)+IFERROR(--ISNUMBER(SEARCH("R84",G451))*84,0)+IFERROR(--ISNUMBER(SEARCH("R85",G451))*85,0)+IFERROR(--ISNUMBER(SEARCH("R86",G451))*86,0)+IFERROR(--ISNUMBER(SEARCH("R87",G451))*87,0)+IFERROR(--ISNUMBER(SEARCH("R88",G451))*88,0)+IFERROR(--ISNUMBER(SEARCH("R89",G451))*89,0)+IFERROR(--ISNUMBER(SEARCH("R90",G451))*90,0)+IFERROR(--ISNUMBER(SEARCH("R91",G451))*91,0)+IFERROR(--ISNUMBER(SEARCH("R92",G451))*92,0)+IFERROR(--ISNUMBER(SEARCH("R93",G451))*93,0)+IFERROR(--ISNUMBER(SEARCH("R94",G451))*94,0)+IFERROR(--ISNUMBER(SEARCH("R95",G451))*95,0)+IFERROR(--ISNUMBER(SEARCH("R96",G451))*96,0)+IFERROR(--ISNUMBER(SEARCH("R97",G451))*97,0)+IFERROR(--ISNUMBER(SEARCH("R98",G451))*98,0)+IFERROR(--ISNUMBER(SEARCH("R99",G451))*99,0)+IFERROR(--ISNUMBER(SEARCH("R100",G451))*100,0)+IFERROR(--ISNUMBER(SEARCH("R101",G451))*101,0)+IFERROR(--ISNUMBER(SEARCH("R102",G451))*102,0)+IFERROR(--ISNUMBER(SEARCH("R103",G451))*103,0)+IFERROR(--ISNUMBER(SEARCH("R104",G451))*104,0)+IFERROR(--ISNUMBER(SEARCH("R105",G451))*105,0)+IFERROR(--ISNUMBER(SEARCH("R106",G451))*106,0)+IFERROR(--ISNUMBER(SEARCH("R107",G451))*107,0)+IFERROR(--ISNUMBER(SEARCH("R108",G451))*108,0)+IFERROR(--ISNUMBER(SEARCH("R109",G451))*109,0)+IFERROR(--ISNUMBER(SEARCH("R110",G451))*110,0)+IFERROR(--ISNUMBER(SEARCH("R111",G451))*111,0)+IFERROR(--ISNUMBER(SEARCH("R112",G451))*112,0)+IFERROR(--ISNUMBER(SEARCH("R113",G451))*113,0)+IFERROR(--ISNUMBER(SEARCH("R114",G451))*114,0)+IFERROR(--ISNUMBER(SEARCH("R115",G451))*115,0)+IFERROR(--ISNUMBER(SEARCH("R116",G451))*116,0)+IFERROR(--ISNUMBER(SEARCH("R117",G451))*117,0)+IFERROR(--ISNUMBER(SEARCH("R118",G451))*118,0)+IFERROR(--ISNUMBER(SEARCH("R119",G451))*119,0)+IFERROR(--ISNUMBER(SEARCH("R120",G451))*120,0)+IFERROR(--ISNUMBER(SEARCH("R121",G451))*121,0)+IFERROR(--ISNUMBER(SEARCH("R122",G451))*122,0)+IFERROR(--ISNUMBER(SEARCH("R123",G451))*123,0)+IFERROR(--ISNUMBER(SEARCH("R124",G451))*124,0)+IFERROR(--ISNUMBER(SEARCH("R125",G451))*125,0)+IFERROR(--ISNUMBER(SEARCH("R126",G451))*126,0)+IFERROR(--ISNUMBER(SEARCH("R127",G451))*127,0)+IFERROR(--ISNUMBER(SEARCH("R128",G451))*128,0)+IFERROR(--ISNUMBER(SEARCH("R129",G451))*129,0)+IFERROR(--ISNUMBER(SEARCH("R130",G451))*130,0)+IFERROR(--ISNUMBER(SEARCH("R131",G451))*131,0)+IFERROR(--ISNUMBER(SEARCH("R132",G451))*132,0)+IFERROR(--ISNUMBER(SEARCH("R133",G451))*133,0)+IFERROR(--ISNUMBER(SEARCH("R134",G451))*134,0)+IFERROR(--ISNUMBER(SEARCH("R135",G451))*135,0)+IFERROR(--ISNUMBER(SEARCH("R136",G451))*136,0)+IFERROR(--ISNUMBER(SEARCH("R137",G451))*137,0)+IFERROR(--ISNUMBER(SEARCH("R138",G451))*138,0)+IFERROR(--ISNUMBER(SEARCH("R139",G451))*139,0)+IFERROR(--ISNUMBER(SEARCH("R140",G451))*140,0)+IFERROR(--ISNUMBER(SEARCH("R141",G451))*141,0))</f>
        <v/>
      </c>
      <c r="V451" s="59">
        <f>IF(A451="","",IF(K451&lt;&gt;"",K451,J451))</f>
        <v/>
      </c>
      <c r="W451" s="59">
        <f>IF(A451="","",IF(AND(V451=29,O451&lt;&gt;"",COUNTIFS($V$6:$V$505,29,$F$6:$F$505,F451,$C$6:$C$505,C451,$O$6:$O$505,"&lt;&gt;")&gt;1),IF(COUNTIFS($V$6:V451,29,$F$6:F451,F451,$C$6:C451,C451,$O$6:O451,"&lt;&gt;")=1,"Esta es la fila que se debe CONSERVAR (aparición 1 de "&amp;COUNTIFS($V$6:$V$505,29,$F$6:$F$505,F451,$C$6:$C$505,C451,$O$6:$O$505,"&lt;&gt;")&amp;" con el mismo tercero y valor, casilla 29). Si hay más filas iguales, bórreles el valor a ELLAS, no a esta.","DUPLICADO — ya existe otra fila con el mismo tercero y valor para casilla 29 (aparición "&amp;COUNTIFS($V$6:V451,29,$F$6:F451,F451,$C$6:C451,C451,$O$6:O451,"&lt;&gt;")&amp;" de "&amp;COUNTIFS($V$6:$V$505,29,$F$6:$F$505,F451,$C$6:$C$505,C451,$O$6:$O$505,"&lt;&gt;")&amp;"). Para resolverlo: seleccione la celda O"&amp;ROW()&amp;" (columna Valor a declarar de ESTA fila) y presione Supr."),""))</f>
        <v/>
      </c>
      <c r="X451" s="463">
        <f>IF(A451="","",F451)</f>
        <v/>
      </c>
      <c r="Y451" s="463">
        <f>IF(A451="","",SUMIF(Entrada_Manual!$I$88:$I$187,A451,Entrada_Manual!$F$88:$F$187))</f>
        <v/>
      </c>
      <c r="Z451" s="463">
        <f>IF(A451="","",X451-Y451)</f>
        <v/>
      </c>
      <c r="AA451">
        <f>IF(A451="","",SUMPRODUCT((Entrada_Manual!$I$88:$I$187=A451)*1))</f>
        <v/>
      </c>
      <c r="AB451">
        <f>IF(A451="","",IF(S451&lt;=1,"",IF(AA451=0,"PENDIENTE — SIN ASIGNAR",IF(Z451=0,"RESUELTO","PARCIAL — DIFERENCIA "&amp;TEXT(Z451,"#,##0")))))</f>
        <v/>
      </c>
    </row>
    <row r="452" ht="14.25" customHeight="1" s="235">
      <c r="A452" s="47">
        <f>IF(Exogena_RAW!E461&lt;&gt;"",ROW()-5,"")</f>
        <v/>
      </c>
      <c r="B452" s="48">
        <f>IF(A452="","",461)</f>
        <v/>
      </c>
      <c r="C452" s="48">
        <f>IF(A452="","",IFERROR(Exogena_RAW!A461,""))</f>
        <v/>
      </c>
      <c r="D452" s="48">
        <f>IF(A452="","",IFERROR(Exogena_RAW!B461,""))</f>
        <v/>
      </c>
      <c r="E452" s="48">
        <f>IF(A452="","",Exogena_RAW!E461)</f>
        <v/>
      </c>
      <c r="F452" s="461">
        <f>IF(A452="","",Exogena_RAW!F461)</f>
        <v/>
      </c>
      <c r="G452" s="48">
        <f>IF(A452="","",IFERROR(Exogena_RAW!G461,""))</f>
        <v/>
      </c>
      <c r="H452" s="48">
        <f>IF(A452="","",IFERROR(Exogena_RAW!H461,""))</f>
        <v/>
      </c>
      <c r="I452" s="48">
        <f>IF(A452="","",IFERROR(IF(S452&gt;1,"VARIAS CASILLAS",IF(S452=1,IF(T452=1,"PROPUESTA DE CASILLA","REVISIÓN: CASILLA NO DIRECTA"),IF(OR(ISNUMBER(SEARCH("TOPE",UPPER(E452))),ISNUMBER(SEARCH("TOPE",UPPER(G452)))),"SOLO CONTROL",IF(ISNUMBER(SEARCH("RETEN",UPPER(E452))),"RETENCIÓN","REVISAR")))),"REVISAR"))</f>
        <v/>
      </c>
      <c r="J452" s="48">
        <f>IF(A452="","",IF(ISNUMBER(SEARCH("ingreso laboral promedio de los últimos seis meses",E452)),"",IFERROR(IF(AND(S452=1,T452=1),U452,""),"")))</f>
        <v/>
      </c>
      <c r="K452" s="216" t="n"/>
      <c r="L452" s="48">
        <f>IF(A452="","",IFERROR(IF(K452&lt;&gt;"","Casilla elegida por usuario",IF(S452&gt;1,"Varias casillas — elegir en K",IF(J452&lt;&gt;"","Sugerencia directa",IF(S452=1,"No trasladar directo — revisar",IF(OR(ISNUMBER(SEARCH("TOPE",UPPER(E452))),ISNUMBER(SEARCH("TOPE",UPPER(G452)))),"Solo control","Revisar manualmente"))))),"Revisar manualmente"))</f>
        <v/>
      </c>
      <c r="M452" s="461">
        <f>IF(A452="","",IF(IF(K452&lt;&gt;"",K452,J452)="",0,IF(COUNTIFS(Reglas!$I$5:$I$118,IF(K452&lt;&gt;"",K452,J452),Reglas!$J$5:$J$118,"Sí")=1,F452,0)))</f>
        <v/>
      </c>
      <c r="N452" s="56" t="n"/>
      <c r="O452" s="462">
        <f>IF(A452="","",IF(M452=0,"",M452))</f>
        <v/>
      </c>
      <c r="P452" s="461">
        <f>IF(A452="","",IF(O452="",0,IF(ISNUMBER(O452),O452,0)))</f>
        <v/>
      </c>
      <c r="Q452" s="48">
        <f>IF(A452="","",IF(Exogena_RAW!$C$4="","BLOQUEADO: FALTA AÑO",IF(Exogena_RAW!$K$10&lt;&gt;Reglas!$B$5,"BLOQUEADO: AÑO",IF(IF(K452&lt;&gt;"",K452,J452)="",IF(S452&gt;1,"REQUIERE ASIGNACIÓN MANUAL (VARIAS CASILLAS)","INFORMATIVO (sin casilla — no se declara)"),IF(COUNTIFS(Reglas!$I$5:$I$118,IF(K452&lt;&gt;"",K452,J452),Reglas!$J$5:$J$118,"Sí")=0,"BLOQUEADO: CASILLA NO DIRECTA",IF(O452="","EXCLUIDO (valor borrado por el usuario)",IF(_xlfn.ISFORMULA(O452),IF(W452&lt;&gt;"","BORRADOR — VALOR SUGERIDO DIAN ⚠ VER ALERTA","BORRADOR — VALOR SUGERIDO DIAN"),IF(W452&lt;&gt;"","ACEPTADO ⚠ VER ALERTA","ACEPTADO"))))))))</f>
        <v/>
      </c>
      <c r="R452" s="218" t="n"/>
      <c r="S452" s="58">
        <f>IF(A452="","",IFERROR(--ISNUMBER(SEARCH("R28",G452)),0)+IFERROR(--ISNUMBER(SEARCH("R29",G452)),0)+IFERROR(--ISNUMBER(SEARCH("R30",G452)),0)+IFERROR(--ISNUMBER(SEARCH("R31",G452)),0)+IFERROR(--ISNUMBER(SEARCH("R32",G452)),0)+IFERROR(--ISNUMBER(SEARCH("R33",G452)),0)+IFERROR(--ISNUMBER(SEARCH("R34",G452)),0)+IFERROR(--ISNUMBER(SEARCH("R35",G452)),0)+IFERROR(--ISNUMBER(SEARCH("R36",G452)),0)+IFERROR(--ISNUMBER(SEARCH("R37",G452)),0)+IFERROR(--ISNUMBER(SEARCH("R38",G452)),0)+IFERROR(--ISNUMBER(SEARCH("R39",G452)),0)+IFERROR(--ISNUMBER(SEARCH("R40",G452)),0)+IFERROR(--ISNUMBER(SEARCH("R41",G452)),0)+IFERROR(--ISNUMBER(SEARCH("R42",G452)),0)+IFERROR(--ISNUMBER(SEARCH("R43",G452)),0)+IFERROR(--ISNUMBER(SEARCH("R44",G452)),0)+IFERROR(--ISNUMBER(SEARCH("R45",G452)),0)+IFERROR(--ISNUMBER(SEARCH("R46",G452)),0)+IFERROR(--ISNUMBER(SEARCH("R47",G452)),0)+IFERROR(--ISNUMBER(SEARCH("R48",G452)),0)+IFERROR(--ISNUMBER(SEARCH("R49",G452)),0)+IFERROR(--ISNUMBER(SEARCH("R50",G452)),0)+IFERROR(--ISNUMBER(SEARCH("R51",G452)),0)+IFERROR(--ISNUMBER(SEARCH("R52",G452)),0)+IFERROR(--ISNUMBER(SEARCH("R53",G452)),0)+IFERROR(--ISNUMBER(SEARCH("R54",G452)),0)+IFERROR(--ISNUMBER(SEARCH("R55",G452)),0)+IFERROR(--ISNUMBER(SEARCH("R56",G452)),0)+IFERROR(--ISNUMBER(SEARCH("R57",G452)),0)+IFERROR(--ISNUMBER(SEARCH("R58",G452)),0)+IFERROR(--ISNUMBER(SEARCH("R59",G452)),0)+IFERROR(--ISNUMBER(SEARCH("R60",G452)),0)+IFERROR(--ISNUMBER(SEARCH("R61",G452)),0)+IFERROR(--ISNUMBER(SEARCH("R62",G452)),0)+IFERROR(--ISNUMBER(SEARCH("R63",G452)),0)+IFERROR(--ISNUMBER(SEARCH("R64",G452)),0)+IFERROR(--ISNUMBER(SEARCH("R65",G452)),0)+IFERROR(--ISNUMBER(SEARCH("R66",G452)),0)+IFERROR(--ISNUMBER(SEARCH("R67",G452)),0)+IFERROR(--ISNUMBER(SEARCH("R68",G452)),0)+IFERROR(--ISNUMBER(SEARCH("R69",G452)),0)+IFERROR(--ISNUMBER(SEARCH("R70",G452)),0)+IFERROR(--ISNUMBER(SEARCH("R71",G452)),0)+IFERROR(--ISNUMBER(SEARCH("R72",G452)),0)+IFERROR(--ISNUMBER(SEARCH("R73",G452)),0)+IFERROR(--ISNUMBER(SEARCH("R74",G452)),0)+IFERROR(--ISNUMBER(SEARCH("R75",G452)),0)+IFERROR(--ISNUMBER(SEARCH("R76",G452)),0)+IFERROR(--ISNUMBER(SEARCH("R77",G452)),0)+IFERROR(--ISNUMBER(SEARCH("R78",G452)),0)+IFERROR(--ISNUMBER(SEARCH("R79",G452)),0)+IFERROR(--ISNUMBER(SEARCH("R80",G452)),0)+IFERROR(--ISNUMBER(SEARCH("R81",G452)),0)+IFERROR(--ISNUMBER(SEARCH("R82",G452)),0)+IFERROR(--ISNUMBER(SEARCH("R83",G452)),0)+IFERROR(--ISNUMBER(SEARCH("R84",G452)),0)+IFERROR(--ISNUMBER(SEARCH("R85",G452)),0)+IFERROR(--ISNUMBER(SEARCH("R86",G452)),0)+IFERROR(--ISNUMBER(SEARCH("R87",G452)),0)+IFERROR(--ISNUMBER(SEARCH("R88",G452)),0)+IFERROR(--ISNUMBER(SEARCH("R89",G452)),0)+IFERROR(--ISNUMBER(SEARCH("R90",G452)),0)+IFERROR(--ISNUMBER(SEARCH("R91",G452)),0)+IFERROR(--ISNUMBER(SEARCH("R92",G452)),0)+IFERROR(--ISNUMBER(SEARCH("R93",G452)),0)+IFERROR(--ISNUMBER(SEARCH("R94",G452)),0)+IFERROR(--ISNUMBER(SEARCH("R95",G452)),0)+IFERROR(--ISNUMBER(SEARCH("R96",G452)),0)+IFERROR(--ISNUMBER(SEARCH("R97",G452)),0)+IFERROR(--ISNUMBER(SEARCH("R98",G452)),0)+IFERROR(--ISNUMBER(SEARCH("R99",G452)),0)+IFERROR(--ISNUMBER(SEARCH("R100",G452)),0)+IFERROR(--ISNUMBER(SEARCH("R101",G452)),0)+IFERROR(--ISNUMBER(SEARCH("R102",G452)),0)+IFERROR(--ISNUMBER(SEARCH("R103",G452)),0)+IFERROR(--ISNUMBER(SEARCH("R104",G452)),0)+IFERROR(--ISNUMBER(SEARCH("R105",G452)),0)+IFERROR(--ISNUMBER(SEARCH("R106",G452)),0)+IFERROR(--ISNUMBER(SEARCH("R107",G452)),0)+IFERROR(--ISNUMBER(SEARCH("R108",G452)),0)+IFERROR(--ISNUMBER(SEARCH("R109",G452)),0)+IFERROR(--ISNUMBER(SEARCH("R110",G452)),0)+IFERROR(--ISNUMBER(SEARCH("R111",G452)),0)+IFERROR(--ISNUMBER(SEARCH("R112",G452)),0)+IFERROR(--ISNUMBER(SEARCH("R113",G452)),0)+IFERROR(--ISNUMBER(SEARCH("R114",G452)),0)+IFERROR(--ISNUMBER(SEARCH("R115",G452)),0)+IFERROR(--ISNUMBER(SEARCH("R116",G452)),0)+IFERROR(--ISNUMBER(SEARCH("R117",G452)),0)+IFERROR(--ISNUMBER(SEARCH("R118",G452)),0)+IFERROR(--ISNUMBER(SEARCH("R119",G452)),0)+IFERROR(--ISNUMBER(SEARCH("R120",G452)),0)+IFERROR(--ISNUMBER(SEARCH("R121",G452)),0)+IFERROR(--ISNUMBER(SEARCH("R122",G452)),0)+IFERROR(--ISNUMBER(SEARCH("R123",G452)),0)+IFERROR(--ISNUMBER(SEARCH("R124",G452)),0)+IFERROR(--ISNUMBER(SEARCH("R125",G452)),0)+IFERROR(--ISNUMBER(SEARCH("R126",G452)),0)+IFERROR(--ISNUMBER(SEARCH("R127",G452)),0)+IFERROR(--ISNUMBER(SEARCH("R128",G452)),0)+IFERROR(--ISNUMBER(SEARCH("R129",G452)),0)+IFERROR(--ISNUMBER(SEARCH("R130",G452)),0)+IFERROR(--ISNUMBER(SEARCH("R131",G452)),0)+IFERROR(--ISNUMBER(SEARCH("R132",G452)),0)+IFERROR(--ISNUMBER(SEARCH("R133",G452)),0)+IFERROR(--ISNUMBER(SEARCH("R134",G452)),0)+IFERROR(--ISNUMBER(SEARCH("R135",G452)),0)+IFERROR(--ISNUMBER(SEARCH("R136",G452)),0)+IFERROR(--ISNUMBER(SEARCH("R137",G452)),0)+IFERROR(--ISNUMBER(SEARCH("R138",G452)),0)+IFERROR(--ISNUMBER(SEARCH("R139",G452)),0)+IFERROR(--ISNUMBER(SEARCH("R140",G452)),0)+IFERROR(--ISNUMBER(SEARCH("R141",G452)),0))</f>
        <v/>
      </c>
      <c r="T452" s="58">
        <f>IF(A452="","",IFERROR(--ISNUMBER(SEARCH("R28",G452)),0)+IFERROR(--ISNUMBER(SEARCH("R29",G452)),0)+IFERROR(--ISNUMBER(SEARCH("R30",G452)),0)+IFERROR(--ISNUMBER(SEARCH("R32",G452)),0)+IFERROR(--ISNUMBER(SEARCH("R33",G452)),0)+IFERROR(--ISNUMBER(SEARCH("R35",G452)),0)+IFERROR(--ISNUMBER(SEARCH("R36",G452)),0)+IFERROR(--ISNUMBER(SEARCH("R38",G452)),0)+IFERROR(--ISNUMBER(SEARCH("R39",G452)),0)+IFERROR(--ISNUMBER(SEARCH("R43",G452)),0)+IFERROR(--ISNUMBER(SEARCH("R44",G452)),0)+IFERROR(--ISNUMBER(SEARCH("R45",G452)),0)+IFERROR(--ISNUMBER(SEARCH("R47",G452)),0)+IFERROR(--ISNUMBER(SEARCH("R48",G452)),0)+IFERROR(--ISNUMBER(SEARCH("R50",G452)),0)+IFERROR(--ISNUMBER(SEARCH("R51",G452)),0)+IFERROR(--ISNUMBER(SEARCH("R56",G452)),0)+IFERROR(--ISNUMBER(SEARCH("R58",G452)),0)+IFERROR(--ISNUMBER(SEARCH("R59",G452)),0)+IFERROR(--ISNUMBER(SEARCH("R60",G452)),0)+IFERROR(--ISNUMBER(SEARCH("R62",G452)),0)+IFERROR(--ISNUMBER(SEARCH("R63",G452)),0)+IFERROR(--ISNUMBER(SEARCH("R64",G452)),0)+IFERROR(--ISNUMBER(SEARCH("R66",G452)),0)+IFERROR(--ISNUMBER(SEARCH("R67",G452)),0)+IFERROR(--ISNUMBER(SEARCH("R72",G452)),0)+IFERROR(--ISNUMBER(SEARCH("R74",G452)),0)+IFERROR(--ISNUMBER(SEARCH("R75",G452)),0)+IFERROR(--ISNUMBER(SEARCH("R76",G452)),0)+IFERROR(--ISNUMBER(SEARCH("R77",G452)),0)+IFERROR(--ISNUMBER(SEARCH("R79",G452)),0)+IFERROR(--ISNUMBER(SEARCH("R80",G452)),0)+IFERROR(--ISNUMBER(SEARCH("R81",G452)),0)+IFERROR(--ISNUMBER(SEARCH("R83",G452)),0)+IFERROR(--ISNUMBER(SEARCH("R84",G452)),0)+IFERROR(--ISNUMBER(SEARCH("R89",G452)),0)+IFERROR(--ISNUMBER(SEARCH("R94",G452)),0)+IFERROR(--ISNUMBER(SEARCH("R95",G452)),0)+IFERROR(--ISNUMBER(SEARCH("R96",G452)),0)+IFERROR(--ISNUMBER(SEARCH("R98",G452)),0)+IFERROR(--ISNUMBER(SEARCH("R99",G452)),0)+IFERROR(--ISNUMBER(SEARCH("R100",G452)),0)+IFERROR(--ISNUMBER(SEARCH("R104",G452)),0)+IFERROR(--ISNUMBER(SEARCH("R105",G452)),0)+IFERROR(--ISNUMBER(SEARCH("R107",G452)),0)+IFERROR(--ISNUMBER(SEARCH("R108",G452)),0)+IFERROR(--ISNUMBER(SEARCH("R109",G452)),0)+IFERROR(--ISNUMBER(SEARCH("R110",G452)),0)+IFERROR(--ISNUMBER(SEARCH("R112",G452)),0)+IFERROR(--ISNUMBER(SEARCH("R113",G452)),0)+IFERROR(--ISNUMBER(SEARCH("R114",G452)),0)+IFERROR(--ISNUMBER(SEARCH("R118",G452)),0)+IFERROR(--ISNUMBER(SEARCH("R119",G452)),0)+IFERROR(--ISNUMBER(SEARCH("R120",G452)),0)+IFERROR(--ISNUMBER(SEARCH("R122",G452)),0)+IFERROR(--ISNUMBER(SEARCH("R123",G452)),0)+IFERROR(--ISNUMBER(SEARCH("R124",G452)),0)+IFERROR(--ISNUMBER(SEARCH("R128",G452)),0)+IFERROR(--ISNUMBER(SEARCH("R130",G452)),0)+IFERROR(--ISNUMBER(SEARCH("R131",G452)),0)+IFERROR(--ISNUMBER(SEARCH("R132",G452)),0)+IFERROR(--ISNUMBER(SEARCH("R135",G452)),0)+IFERROR(--ISNUMBER(SEARCH("R138",G452)),0)+IFERROR(--ISNUMBER(SEARCH("R141",G452)),0))</f>
        <v/>
      </c>
      <c r="U452" s="58">
        <f>IF(A452="","",IFERROR(--ISNUMBER(SEARCH("R28",G452))*28,0)+IFERROR(--ISNUMBER(SEARCH("R29",G452))*29,0)+IFERROR(--ISNUMBER(SEARCH("R30",G452))*30,0)+IFERROR(--ISNUMBER(SEARCH("R31",G452))*31,0)+IFERROR(--ISNUMBER(SEARCH("R32",G452))*32,0)+IFERROR(--ISNUMBER(SEARCH("R33",G452))*33,0)+IFERROR(--ISNUMBER(SEARCH("R34",G452))*34,0)+IFERROR(--ISNUMBER(SEARCH("R35",G452))*35,0)+IFERROR(--ISNUMBER(SEARCH("R36",G452))*36,0)+IFERROR(--ISNUMBER(SEARCH("R37",G452))*37,0)+IFERROR(--ISNUMBER(SEARCH("R38",G452))*38,0)+IFERROR(--ISNUMBER(SEARCH("R39",G452))*39,0)+IFERROR(--ISNUMBER(SEARCH("R40",G452))*40,0)+IFERROR(--ISNUMBER(SEARCH("R41",G452))*41,0)+IFERROR(--ISNUMBER(SEARCH("R42",G452))*42,0)+IFERROR(--ISNUMBER(SEARCH("R43",G452))*43,0)+IFERROR(--ISNUMBER(SEARCH("R44",G452))*44,0)+IFERROR(--ISNUMBER(SEARCH("R45",G452))*45,0)+IFERROR(--ISNUMBER(SEARCH("R46",G452))*46,0)+IFERROR(--ISNUMBER(SEARCH("R47",G452))*47,0)+IFERROR(--ISNUMBER(SEARCH("R48",G452))*48,0)+IFERROR(--ISNUMBER(SEARCH("R49",G452))*49,0)+IFERROR(--ISNUMBER(SEARCH("R50",G452))*50,0)+IFERROR(--ISNUMBER(SEARCH("R51",G452))*51,0)+IFERROR(--ISNUMBER(SEARCH("R52",G452))*52,0)+IFERROR(--ISNUMBER(SEARCH("R53",G452))*53,0)+IFERROR(--ISNUMBER(SEARCH("R54",G452))*54,0)+IFERROR(--ISNUMBER(SEARCH("R55",G452))*55,0)+IFERROR(--ISNUMBER(SEARCH("R56",G452))*56,0)+IFERROR(--ISNUMBER(SEARCH("R57",G452))*57,0)+IFERROR(--ISNUMBER(SEARCH("R58",G452))*58,0)+IFERROR(--ISNUMBER(SEARCH("R59",G452))*59,0)+IFERROR(--ISNUMBER(SEARCH("R60",G452))*60,0)+IFERROR(--ISNUMBER(SEARCH("R61",G452))*61,0)+IFERROR(--ISNUMBER(SEARCH("R62",G452))*62,0)+IFERROR(--ISNUMBER(SEARCH("R63",G452))*63,0)+IFERROR(--ISNUMBER(SEARCH("R64",G452))*64,0)+IFERROR(--ISNUMBER(SEARCH("R65",G452))*65,0)+IFERROR(--ISNUMBER(SEARCH("R66",G452))*66,0)+IFERROR(--ISNUMBER(SEARCH("R67",G452))*67,0)+IFERROR(--ISNUMBER(SEARCH("R68",G452))*68,0)+IFERROR(--ISNUMBER(SEARCH("R69",G452))*69,0)+IFERROR(--ISNUMBER(SEARCH("R70",G452))*70,0)+IFERROR(--ISNUMBER(SEARCH("R71",G452))*71,0)+IFERROR(--ISNUMBER(SEARCH("R72",G452))*72,0)+IFERROR(--ISNUMBER(SEARCH("R73",G452))*73,0)+IFERROR(--ISNUMBER(SEARCH("R74",G452))*74,0)+IFERROR(--ISNUMBER(SEARCH("R75",G452))*75,0)+IFERROR(--ISNUMBER(SEARCH("R76",G452))*76,0)+IFERROR(--ISNUMBER(SEARCH("R77",G452))*77,0)+IFERROR(--ISNUMBER(SEARCH("R78",G452))*78,0)+IFERROR(--ISNUMBER(SEARCH("R79",G452))*79,0)+IFERROR(--ISNUMBER(SEARCH("R80",G452))*80,0)+IFERROR(--ISNUMBER(SEARCH("R81",G452))*81,0)+IFERROR(--ISNUMBER(SEARCH("R82",G452))*82,0)+IFERROR(--ISNUMBER(SEARCH("R83",G452))*83,0)+IFERROR(--ISNUMBER(SEARCH("R84",G452))*84,0)+IFERROR(--ISNUMBER(SEARCH("R85",G452))*85,0)+IFERROR(--ISNUMBER(SEARCH("R86",G452))*86,0)+IFERROR(--ISNUMBER(SEARCH("R87",G452))*87,0)+IFERROR(--ISNUMBER(SEARCH("R88",G452))*88,0)+IFERROR(--ISNUMBER(SEARCH("R89",G452))*89,0)+IFERROR(--ISNUMBER(SEARCH("R90",G452))*90,0)+IFERROR(--ISNUMBER(SEARCH("R91",G452))*91,0)+IFERROR(--ISNUMBER(SEARCH("R92",G452))*92,0)+IFERROR(--ISNUMBER(SEARCH("R93",G452))*93,0)+IFERROR(--ISNUMBER(SEARCH("R94",G452))*94,0)+IFERROR(--ISNUMBER(SEARCH("R95",G452))*95,0)+IFERROR(--ISNUMBER(SEARCH("R96",G452))*96,0)+IFERROR(--ISNUMBER(SEARCH("R97",G452))*97,0)+IFERROR(--ISNUMBER(SEARCH("R98",G452))*98,0)+IFERROR(--ISNUMBER(SEARCH("R99",G452))*99,0)+IFERROR(--ISNUMBER(SEARCH("R100",G452))*100,0)+IFERROR(--ISNUMBER(SEARCH("R101",G452))*101,0)+IFERROR(--ISNUMBER(SEARCH("R102",G452))*102,0)+IFERROR(--ISNUMBER(SEARCH("R103",G452))*103,0)+IFERROR(--ISNUMBER(SEARCH("R104",G452))*104,0)+IFERROR(--ISNUMBER(SEARCH("R105",G452))*105,0)+IFERROR(--ISNUMBER(SEARCH("R106",G452))*106,0)+IFERROR(--ISNUMBER(SEARCH("R107",G452))*107,0)+IFERROR(--ISNUMBER(SEARCH("R108",G452))*108,0)+IFERROR(--ISNUMBER(SEARCH("R109",G452))*109,0)+IFERROR(--ISNUMBER(SEARCH("R110",G452))*110,0)+IFERROR(--ISNUMBER(SEARCH("R111",G452))*111,0)+IFERROR(--ISNUMBER(SEARCH("R112",G452))*112,0)+IFERROR(--ISNUMBER(SEARCH("R113",G452))*113,0)+IFERROR(--ISNUMBER(SEARCH("R114",G452))*114,0)+IFERROR(--ISNUMBER(SEARCH("R115",G452))*115,0)+IFERROR(--ISNUMBER(SEARCH("R116",G452))*116,0)+IFERROR(--ISNUMBER(SEARCH("R117",G452))*117,0)+IFERROR(--ISNUMBER(SEARCH("R118",G452))*118,0)+IFERROR(--ISNUMBER(SEARCH("R119",G452))*119,0)+IFERROR(--ISNUMBER(SEARCH("R120",G452))*120,0)+IFERROR(--ISNUMBER(SEARCH("R121",G452))*121,0)+IFERROR(--ISNUMBER(SEARCH("R122",G452))*122,0)+IFERROR(--ISNUMBER(SEARCH("R123",G452))*123,0)+IFERROR(--ISNUMBER(SEARCH("R124",G452))*124,0)+IFERROR(--ISNUMBER(SEARCH("R125",G452))*125,0)+IFERROR(--ISNUMBER(SEARCH("R126",G452))*126,0)+IFERROR(--ISNUMBER(SEARCH("R127",G452))*127,0)+IFERROR(--ISNUMBER(SEARCH("R128",G452))*128,0)+IFERROR(--ISNUMBER(SEARCH("R129",G452))*129,0)+IFERROR(--ISNUMBER(SEARCH("R130",G452))*130,0)+IFERROR(--ISNUMBER(SEARCH("R131",G452))*131,0)+IFERROR(--ISNUMBER(SEARCH("R132",G452))*132,0)+IFERROR(--ISNUMBER(SEARCH("R133",G452))*133,0)+IFERROR(--ISNUMBER(SEARCH("R134",G452))*134,0)+IFERROR(--ISNUMBER(SEARCH("R135",G452))*135,0)+IFERROR(--ISNUMBER(SEARCH("R136",G452))*136,0)+IFERROR(--ISNUMBER(SEARCH("R137",G452))*137,0)+IFERROR(--ISNUMBER(SEARCH("R138",G452))*138,0)+IFERROR(--ISNUMBER(SEARCH("R139",G452))*139,0)+IFERROR(--ISNUMBER(SEARCH("R140",G452))*140,0)+IFERROR(--ISNUMBER(SEARCH("R141",G452))*141,0))</f>
        <v/>
      </c>
      <c r="V452" s="59">
        <f>IF(A452="","",IF(K452&lt;&gt;"",K452,J452))</f>
        <v/>
      </c>
      <c r="W452" s="59">
        <f>IF(A452="","",IF(AND(V452=29,O452&lt;&gt;"",COUNTIFS($V$6:$V$505,29,$F$6:$F$505,F452,$C$6:$C$505,C452,$O$6:$O$505,"&lt;&gt;")&gt;1),IF(COUNTIFS($V$6:V452,29,$F$6:F452,F452,$C$6:C452,C452,$O$6:O452,"&lt;&gt;")=1,"Esta es la fila que se debe CONSERVAR (aparición 1 de "&amp;COUNTIFS($V$6:$V$505,29,$F$6:$F$505,F452,$C$6:$C$505,C452,$O$6:$O$505,"&lt;&gt;")&amp;" con el mismo tercero y valor, casilla 29). Si hay más filas iguales, bórreles el valor a ELLAS, no a esta.","DUPLICADO — ya existe otra fila con el mismo tercero y valor para casilla 29 (aparición "&amp;COUNTIFS($V$6:V452,29,$F$6:F452,F452,$C$6:C452,C452,$O$6:O452,"&lt;&gt;")&amp;" de "&amp;COUNTIFS($V$6:$V$505,29,$F$6:$F$505,F452,$C$6:$C$505,C452,$O$6:$O$505,"&lt;&gt;")&amp;"). Para resolverlo: seleccione la celda O"&amp;ROW()&amp;" (columna Valor a declarar de ESTA fila) y presione Supr."),""))</f>
        <v/>
      </c>
      <c r="X452" s="463">
        <f>IF(A452="","",F452)</f>
        <v/>
      </c>
      <c r="Y452" s="463">
        <f>IF(A452="","",SUMIF(Entrada_Manual!$I$88:$I$187,A452,Entrada_Manual!$F$88:$F$187))</f>
        <v/>
      </c>
      <c r="Z452" s="463">
        <f>IF(A452="","",X452-Y452)</f>
        <v/>
      </c>
      <c r="AA452">
        <f>IF(A452="","",SUMPRODUCT((Entrada_Manual!$I$88:$I$187=A452)*1))</f>
        <v/>
      </c>
      <c r="AB452">
        <f>IF(A452="","",IF(S452&lt;=1,"",IF(AA452=0,"PENDIENTE — SIN ASIGNAR",IF(Z452=0,"RESUELTO","PARCIAL — DIFERENCIA "&amp;TEXT(Z452,"#,##0")))))</f>
        <v/>
      </c>
    </row>
    <row r="453" ht="14.25" customHeight="1" s="235">
      <c r="A453" s="47">
        <f>IF(Exogena_RAW!E462&lt;&gt;"",ROW()-5,"")</f>
        <v/>
      </c>
      <c r="B453" s="48">
        <f>IF(A453="","",462)</f>
        <v/>
      </c>
      <c r="C453" s="48">
        <f>IF(A453="","",IFERROR(Exogena_RAW!A462,""))</f>
        <v/>
      </c>
      <c r="D453" s="48">
        <f>IF(A453="","",IFERROR(Exogena_RAW!B462,""))</f>
        <v/>
      </c>
      <c r="E453" s="48">
        <f>IF(A453="","",Exogena_RAW!E462)</f>
        <v/>
      </c>
      <c r="F453" s="461">
        <f>IF(A453="","",Exogena_RAW!F462)</f>
        <v/>
      </c>
      <c r="G453" s="48">
        <f>IF(A453="","",IFERROR(Exogena_RAW!G462,""))</f>
        <v/>
      </c>
      <c r="H453" s="48">
        <f>IF(A453="","",IFERROR(Exogena_RAW!H462,""))</f>
        <v/>
      </c>
      <c r="I453" s="48">
        <f>IF(A453="","",IFERROR(IF(S453&gt;1,"VARIAS CASILLAS",IF(S453=1,IF(T453=1,"PROPUESTA DE CASILLA","REVISIÓN: CASILLA NO DIRECTA"),IF(OR(ISNUMBER(SEARCH("TOPE",UPPER(E453))),ISNUMBER(SEARCH("TOPE",UPPER(G453)))),"SOLO CONTROL",IF(ISNUMBER(SEARCH("RETEN",UPPER(E453))),"RETENCIÓN","REVISAR")))),"REVISAR"))</f>
        <v/>
      </c>
      <c r="J453" s="48">
        <f>IF(A453="","",IF(ISNUMBER(SEARCH("ingreso laboral promedio de los últimos seis meses",E453)),"",IFERROR(IF(AND(S453=1,T453=1),U453,""),"")))</f>
        <v/>
      </c>
      <c r="K453" s="216" t="n"/>
      <c r="L453" s="48">
        <f>IF(A453="","",IFERROR(IF(K453&lt;&gt;"","Casilla elegida por usuario",IF(S453&gt;1,"Varias casillas — elegir en K",IF(J453&lt;&gt;"","Sugerencia directa",IF(S453=1,"No trasladar directo — revisar",IF(OR(ISNUMBER(SEARCH("TOPE",UPPER(E453))),ISNUMBER(SEARCH("TOPE",UPPER(G453)))),"Solo control","Revisar manualmente"))))),"Revisar manualmente"))</f>
        <v/>
      </c>
      <c r="M453" s="461">
        <f>IF(A453="","",IF(IF(K453&lt;&gt;"",K453,J453)="",0,IF(COUNTIFS(Reglas!$I$5:$I$118,IF(K453&lt;&gt;"",K453,J453),Reglas!$J$5:$J$118,"Sí")=1,F453,0)))</f>
        <v/>
      </c>
      <c r="N453" s="56" t="n"/>
      <c r="O453" s="462">
        <f>IF(A453="","",IF(M453=0,"",M453))</f>
        <v/>
      </c>
      <c r="P453" s="461">
        <f>IF(A453="","",IF(O453="",0,IF(ISNUMBER(O453),O453,0)))</f>
        <v/>
      </c>
      <c r="Q453" s="48">
        <f>IF(A453="","",IF(Exogena_RAW!$C$4="","BLOQUEADO: FALTA AÑO",IF(Exogena_RAW!$K$10&lt;&gt;Reglas!$B$5,"BLOQUEADO: AÑO",IF(IF(K453&lt;&gt;"",K453,J453)="",IF(S453&gt;1,"REQUIERE ASIGNACIÓN MANUAL (VARIAS CASILLAS)","INFORMATIVO (sin casilla — no se declara)"),IF(COUNTIFS(Reglas!$I$5:$I$118,IF(K453&lt;&gt;"",K453,J453),Reglas!$J$5:$J$118,"Sí")=0,"BLOQUEADO: CASILLA NO DIRECTA",IF(O453="","EXCLUIDO (valor borrado por el usuario)",IF(_xlfn.ISFORMULA(O453),IF(W453&lt;&gt;"","BORRADOR — VALOR SUGERIDO DIAN ⚠ VER ALERTA","BORRADOR — VALOR SUGERIDO DIAN"),IF(W453&lt;&gt;"","ACEPTADO ⚠ VER ALERTA","ACEPTADO"))))))))</f>
        <v/>
      </c>
      <c r="R453" s="218" t="n"/>
      <c r="S453" s="58">
        <f>IF(A453="","",IFERROR(--ISNUMBER(SEARCH("R28",G453)),0)+IFERROR(--ISNUMBER(SEARCH("R29",G453)),0)+IFERROR(--ISNUMBER(SEARCH("R30",G453)),0)+IFERROR(--ISNUMBER(SEARCH("R31",G453)),0)+IFERROR(--ISNUMBER(SEARCH("R32",G453)),0)+IFERROR(--ISNUMBER(SEARCH("R33",G453)),0)+IFERROR(--ISNUMBER(SEARCH("R34",G453)),0)+IFERROR(--ISNUMBER(SEARCH("R35",G453)),0)+IFERROR(--ISNUMBER(SEARCH("R36",G453)),0)+IFERROR(--ISNUMBER(SEARCH("R37",G453)),0)+IFERROR(--ISNUMBER(SEARCH("R38",G453)),0)+IFERROR(--ISNUMBER(SEARCH("R39",G453)),0)+IFERROR(--ISNUMBER(SEARCH("R40",G453)),0)+IFERROR(--ISNUMBER(SEARCH("R41",G453)),0)+IFERROR(--ISNUMBER(SEARCH("R42",G453)),0)+IFERROR(--ISNUMBER(SEARCH("R43",G453)),0)+IFERROR(--ISNUMBER(SEARCH("R44",G453)),0)+IFERROR(--ISNUMBER(SEARCH("R45",G453)),0)+IFERROR(--ISNUMBER(SEARCH("R46",G453)),0)+IFERROR(--ISNUMBER(SEARCH("R47",G453)),0)+IFERROR(--ISNUMBER(SEARCH("R48",G453)),0)+IFERROR(--ISNUMBER(SEARCH("R49",G453)),0)+IFERROR(--ISNUMBER(SEARCH("R50",G453)),0)+IFERROR(--ISNUMBER(SEARCH("R51",G453)),0)+IFERROR(--ISNUMBER(SEARCH("R52",G453)),0)+IFERROR(--ISNUMBER(SEARCH("R53",G453)),0)+IFERROR(--ISNUMBER(SEARCH("R54",G453)),0)+IFERROR(--ISNUMBER(SEARCH("R55",G453)),0)+IFERROR(--ISNUMBER(SEARCH("R56",G453)),0)+IFERROR(--ISNUMBER(SEARCH("R57",G453)),0)+IFERROR(--ISNUMBER(SEARCH("R58",G453)),0)+IFERROR(--ISNUMBER(SEARCH("R59",G453)),0)+IFERROR(--ISNUMBER(SEARCH("R60",G453)),0)+IFERROR(--ISNUMBER(SEARCH("R61",G453)),0)+IFERROR(--ISNUMBER(SEARCH("R62",G453)),0)+IFERROR(--ISNUMBER(SEARCH("R63",G453)),0)+IFERROR(--ISNUMBER(SEARCH("R64",G453)),0)+IFERROR(--ISNUMBER(SEARCH("R65",G453)),0)+IFERROR(--ISNUMBER(SEARCH("R66",G453)),0)+IFERROR(--ISNUMBER(SEARCH("R67",G453)),0)+IFERROR(--ISNUMBER(SEARCH("R68",G453)),0)+IFERROR(--ISNUMBER(SEARCH("R69",G453)),0)+IFERROR(--ISNUMBER(SEARCH("R70",G453)),0)+IFERROR(--ISNUMBER(SEARCH("R71",G453)),0)+IFERROR(--ISNUMBER(SEARCH("R72",G453)),0)+IFERROR(--ISNUMBER(SEARCH("R73",G453)),0)+IFERROR(--ISNUMBER(SEARCH("R74",G453)),0)+IFERROR(--ISNUMBER(SEARCH("R75",G453)),0)+IFERROR(--ISNUMBER(SEARCH("R76",G453)),0)+IFERROR(--ISNUMBER(SEARCH("R77",G453)),0)+IFERROR(--ISNUMBER(SEARCH("R78",G453)),0)+IFERROR(--ISNUMBER(SEARCH("R79",G453)),0)+IFERROR(--ISNUMBER(SEARCH("R80",G453)),0)+IFERROR(--ISNUMBER(SEARCH("R81",G453)),0)+IFERROR(--ISNUMBER(SEARCH("R82",G453)),0)+IFERROR(--ISNUMBER(SEARCH("R83",G453)),0)+IFERROR(--ISNUMBER(SEARCH("R84",G453)),0)+IFERROR(--ISNUMBER(SEARCH("R85",G453)),0)+IFERROR(--ISNUMBER(SEARCH("R86",G453)),0)+IFERROR(--ISNUMBER(SEARCH("R87",G453)),0)+IFERROR(--ISNUMBER(SEARCH("R88",G453)),0)+IFERROR(--ISNUMBER(SEARCH("R89",G453)),0)+IFERROR(--ISNUMBER(SEARCH("R90",G453)),0)+IFERROR(--ISNUMBER(SEARCH("R91",G453)),0)+IFERROR(--ISNUMBER(SEARCH("R92",G453)),0)+IFERROR(--ISNUMBER(SEARCH("R93",G453)),0)+IFERROR(--ISNUMBER(SEARCH("R94",G453)),0)+IFERROR(--ISNUMBER(SEARCH("R95",G453)),0)+IFERROR(--ISNUMBER(SEARCH("R96",G453)),0)+IFERROR(--ISNUMBER(SEARCH("R97",G453)),0)+IFERROR(--ISNUMBER(SEARCH("R98",G453)),0)+IFERROR(--ISNUMBER(SEARCH("R99",G453)),0)+IFERROR(--ISNUMBER(SEARCH("R100",G453)),0)+IFERROR(--ISNUMBER(SEARCH("R101",G453)),0)+IFERROR(--ISNUMBER(SEARCH("R102",G453)),0)+IFERROR(--ISNUMBER(SEARCH("R103",G453)),0)+IFERROR(--ISNUMBER(SEARCH("R104",G453)),0)+IFERROR(--ISNUMBER(SEARCH("R105",G453)),0)+IFERROR(--ISNUMBER(SEARCH("R106",G453)),0)+IFERROR(--ISNUMBER(SEARCH("R107",G453)),0)+IFERROR(--ISNUMBER(SEARCH("R108",G453)),0)+IFERROR(--ISNUMBER(SEARCH("R109",G453)),0)+IFERROR(--ISNUMBER(SEARCH("R110",G453)),0)+IFERROR(--ISNUMBER(SEARCH("R111",G453)),0)+IFERROR(--ISNUMBER(SEARCH("R112",G453)),0)+IFERROR(--ISNUMBER(SEARCH("R113",G453)),0)+IFERROR(--ISNUMBER(SEARCH("R114",G453)),0)+IFERROR(--ISNUMBER(SEARCH("R115",G453)),0)+IFERROR(--ISNUMBER(SEARCH("R116",G453)),0)+IFERROR(--ISNUMBER(SEARCH("R117",G453)),0)+IFERROR(--ISNUMBER(SEARCH("R118",G453)),0)+IFERROR(--ISNUMBER(SEARCH("R119",G453)),0)+IFERROR(--ISNUMBER(SEARCH("R120",G453)),0)+IFERROR(--ISNUMBER(SEARCH("R121",G453)),0)+IFERROR(--ISNUMBER(SEARCH("R122",G453)),0)+IFERROR(--ISNUMBER(SEARCH("R123",G453)),0)+IFERROR(--ISNUMBER(SEARCH("R124",G453)),0)+IFERROR(--ISNUMBER(SEARCH("R125",G453)),0)+IFERROR(--ISNUMBER(SEARCH("R126",G453)),0)+IFERROR(--ISNUMBER(SEARCH("R127",G453)),0)+IFERROR(--ISNUMBER(SEARCH("R128",G453)),0)+IFERROR(--ISNUMBER(SEARCH("R129",G453)),0)+IFERROR(--ISNUMBER(SEARCH("R130",G453)),0)+IFERROR(--ISNUMBER(SEARCH("R131",G453)),0)+IFERROR(--ISNUMBER(SEARCH("R132",G453)),0)+IFERROR(--ISNUMBER(SEARCH("R133",G453)),0)+IFERROR(--ISNUMBER(SEARCH("R134",G453)),0)+IFERROR(--ISNUMBER(SEARCH("R135",G453)),0)+IFERROR(--ISNUMBER(SEARCH("R136",G453)),0)+IFERROR(--ISNUMBER(SEARCH("R137",G453)),0)+IFERROR(--ISNUMBER(SEARCH("R138",G453)),0)+IFERROR(--ISNUMBER(SEARCH("R139",G453)),0)+IFERROR(--ISNUMBER(SEARCH("R140",G453)),0)+IFERROR(--ISNUMBER(SEARCH("R141",G453)),0))</f>
        <v/>
      </c>
      <c r="T453" s="58">
        <f>IF(A453="","",IFERROR(--ISNUMBER(SEARCH("R28",G453)),0)+IFERROR(--ISNUMBER(SEARCH("R29",G453)),0)+IFERROR(--ISNUMBER(SEARCH("R30",G453)),0)+IFERROR(--ISNUMBER(SEARCH("R32",G453)),0)+IFERROR(--ISNUMBER(SEARCH("R33",G453)),0)+IFERROR(--ISNUMBER(SEARCH("R35",G453)),0)+IFERROR(--ISNUMBER(SEARCH("R36",G453)),0)+IFERROR(--ISNUMBER(SEARCH("R38",G453)),0)+IFERROR(--ISNUMBER(SEARCH("R39",G453)),0)+IFERROR(--ISNUMBER(SEARCH("R43",G453)),0)+IFERROR(--ISNUMBER(SEARCH("R44",G453)),0)+IFERROR(--ISNUMBER(SEARCH("R45",G453)),0)+IFERROR(--ISNUMBER(SEARCH("R47",G453)),0)+IFERROR(--ISNUMBER(SEARCH("R48",G453)),0)+IFERROR(--ISNUMBER(SEARCH("R50",G453)),0)+IFERROR(--ISNUMBER(SEARCH("R51",G453)),0)+IFERROR(--ISNUMBER(SEARCH("R56",G453)),0)+IFERROR(--ISNUMBER(SEARCH("R58",G453)),0)+IFERROR(--ISNUMBER(SEARCH("R59",G453)),0)+IFERROR(--ISNUMBER(SEARCH("R60",G453)),0)+IFERROR(--ISNUMBER(SEARCH("R62",G453)),0)+IFERROR(--ISNUMBER(SEARCH("R63",G453)),0)+IFERROR(--ISNUMBER(SEARCH("R64",G453)),0)+IFERROR(--ISNUMBER(SEARCH("R66",G453)),0)+IFERROR(--ISNUMBER(SEARCH("R67",G453)),0)+IFERROR(--ISNUMBER(SEARCH("R72",G453)),0)+IFERROR(--ISNUMBER(SEARCH("R74",G453)),0)+IFERROR(--ISNUMBER(SEARCH("R75",G453)),0)+IFERROR(--ISNUMBER(SEARCH("R76",G453)),0)+IFERROR(--ISNUMBER(SEARCH("R77",G453)),0)+IFERROR(--ISNUMBER(SEARCH("R79",G453)),0)+IFERROR(--ISNUMBER(SEARCH("R80",G453)),0)+IFERROR(--ISNUMBER(SEARCH("R81",G453)),0)+IFERROR(--ISNUMBER(SEARCH("R83",G453)),0)+IFERROR(--ISNUMBER(SEARCH("R84",G453)),0)+IFERROR(--ISNUMBER(SEARCH("R89",G453)),0)+IFERROR(--ISNUMBER(SEARCH("R94",G453)),0)+IFERROR(--ISNUMBER(SEARCH("R95",G453)),0)+IFERROR(--ISNUMBER(SEARCH("R96",G453)),0)+IFERROR(--ISNUMBER(SEARCH("R98",G453)),0)+IFERROR(--ISNUMBER(SEARCH("R99",G453)),0)+IFERROR(--ISNUMBER(SEARCH("R100",G453)),0)+IFERROR(--ISNUMBER(SEARCH("R104",G453)),0)+IFERROR(--ISNUMBER(SEARCH("R105",G453)),0)+IFERROR(--ISNUMBER(SEARCH("R107",G453)),0)+IFERROR(--ISNUMBER(SEARCH("R108",G453)),0)+IFERROR(--ISNUMBER(SEARCH("R109",G453)),0)+IFERROR(--ISNUMBER(SEARCH("R110",G453)),0)+IFERROR(--ISNUMBER(SEARCH("R112",G453)),0)+IFERROR(--ISNUMBER(SEARCH("R113",G453)),0)+IFERROR(--ISNUMBER(SEARCH("R114",G453)),0)+IFERROR(--ISNUMBER(SEARCH("R118",G453)),0)+IFERROR(--ISNUMBER(SEARCH("R119",G453)),0)+IFERROR(--ISNUMBER(SEARCH("R120",G453)),0)+IFERROR(--ISNUMBER(SEARCH("R122",G453)),0)+IFERROR(--ISNUMBER(SEARCH("R123",G453)),0)+IFERROR(--ISNUMBER(SEARCH("R124",G453)),0)+IFERROR(--ISNUMBER(SEARCH("R128",G453)),0)+IFERROR(--ISNUMBER(SEARCH("R130",G453)),0)+IFERROR(--ISNUMBER(SEARCH("R131",G453)),0)+IFERROR(--ISNUMBER(SEARCH("R132",G453)),0)+IFERROR(--ISNUMBER(SEARCH("R135",G453)),0)+IFERROR(--ISNUMBER(SEARCH("R138",G453)),0)+IFERROR(--ISNUMBER(SEARCH("R141",G453)),0))</f>
        <v/>
      </c>
      <c r="U453" s="58">
        <f>IF(A453="","",IFERROR(--ISNUMBER(SEARCH("R28",G453))*28,0)+IFERROR(--ISNUMBER(SEARCH("R29",G453))*29,0)+IFERROR(--ISNUMBER(SEARCH("R30",G453))*30,0)+IFERROR(--ISNUMBER(SEARCH("R31",G453))*31,0)+IFERROR(--ISNUMBER(SEARCH("R32",G453))*32,0)+IFERROR(--ISNUMBER(SEARCH("R33",G453))*33,0)+IFERROR(--ISNUMBER(SEARCH("R34",G453))*34,0)+IFERROR(--ISNUMBER(SEARCH("R35",G453))*35,0)+IFERROR(--ISNUMBER(SEARCH("R36",G453))*36,0)+IFERROR(--ISNUMBER(SEARCH("R37",G453))*37,0)+IFERROR(--ISNUMBER(SEARCH("R38",G453))*38,0)+IFERROR(--ISNUMBER(SEARCH("R39",G453))*39,0)+IFERROR(--ISNUMBER(SEARCH("R40",G453))*40,0)+IFERROR(--ISNUMBER(SEARCH("R41",G453))*41,0)+IFERROR(--ISNUMBER(SEARCH("R42",G453))*42,0)+IFERROR(--ISNUMBER(SEARCH("R43",G453))*43,0)+IFERROR(--ISNUMBER(SEARCH("R44",G453))*44,0)+IFERROR(--ISNUMBER(SEARCH("R45",G453))*45,0)+IFERROR(--ISNUMBER(SEARCH("R46",G453))*46,0)+IFERROR(--ISNUMBER(SEARCH("R47",G453))*47,0)+IFERROR(--ISNUMBER(SEARCH("R48",G453))*48,0)+IFERROR(--ISNUMBER(SEARCH("R49",G453))*49,0)+IFERROR(--ISNUMBER(SEARCH("R50",G453))*50,0)+IFERROR(--ISNUMBER(SEARCH("R51",G453))*51,0)+IFERROR(--ISNUMBER(SEARCH("R52",G453))*52,0)+IFERROR(--ISNUMBER(SEARCH("R53",G453))*53,0)+IFERROR(--ISNUMBER(SEARCH("R54",G453))*54,0)+IFERROR(--ISNUMBER(SEARCH("R55",G453))*55,0)+IFERROR(--ISNUMBER(SEARCH("R56",G453))*56,0)+IFERROR(--ISNUMBER(SEARCH("R57",G453))*57,0)+IFERROR(--ISNUMBER(SEARCH("R58",G453))*58,0)+IFERROR(--ISNUMBER(SEARCH("R59",G453))*59,0)+IFERROR(--ISNUMBER(SEARCH("R60",G453))*60,0)+IFERROR(--ISNUMBER(SEARCH("R61",G453))*61,0)+IFERROR(--ISNUMBER(SEARCH("R62",G453))*62,0)+IFERROR(--ISNUMBER(SEARCH("R63",G453))*63,0)+IFERROR(--ISNUMBER(SEARCH("R64",G453))*64,0)+IFERROR(--ISNUMBER(SEARCH("R65",G453))*65,0)+IFERROR(--ISNUMBER(SEARCH("R66",G453))*66,0)+IFERROR(--ISNUMBER(SEARCH("R67",G453))*67,0)+IFERROR(--ISNUMBER(SEARCH("R68",G453))*68,0)+IFERROR(--ISNUMBER(SEARCH("R69",G453))*69,0)+IFERROR(--ISNUMBER(SEARCH("R70",G453))*70,0)+IFERROR(--ISNUMBER(SEARCH("R71",G453))*71,0)+IFERROR(--ISNUMBER(SEARCH("R72",G453))*72,0)+IFERROR(--ISNUMBER(SEARCH("R73",G453))*73,0)+IFERROR(--ISNUMBER(SEARCH("R74",G453))*74,0)+IFERROR(--ISNUMBER(SEARCH("R75",G453))*75,0)+IFERROR(--ISNUMBER(SEARCH("R76",G453))*76,0)+IFERROR(--ISNUMBER(SEARCH("R77",G453))*77,0)+IFERROR(--ISNUMBER(SEARCH("R78",G453))*78,0)+IFERROR(--ISNUMBER(SEARCH("R79",G453))*79,0)+IFERROR(--ISNUMBER(SEARCH("R80",G453))*80,0)+IFERROR(--ISNUMBER(SEARCH("R81",G453))*81,0)+IFERROR(--ISNUMBER(SEARCH("R82",G453))*82,0)+IFERROR(--ISNUMBER(SEARCH("R83",G453))*83,0)+IFERROR(--ISNUMBER(SEARCH("R84",G453))*84,0)+IFERROR(--ISNUMBER(SEARCH("R85",G453))*85,0)+IFERROR(--ISNUMBER(SEARCH("R86",G453))*86,0)+IFERROR(--ISNUMBER(SEARCH("R87",G453))*87,0)+IFERROR(--ISNUMBER(SEARCH("R88",G453))*88,0)+IFERROR(--ISNUMBER(SEARCH("R89",G453))*89,0)+IFERROR(--ISNUMBER(SEARCH("R90",G453))*90,0)+IFERROR(--ISNUMBER(SEARCH("R91",G453))*91,0)+IFERROR(--ISNUMBER(SEARCH("R92",G453))*92,0)+IFERROR(--ISNUMBER(SEARCH("R93",G453))*93,0)+IFERROR(--ISNUMBER(SEARCH("R94",G453))*94,0)+IFERROR(--ISNUMBER(SEARCH("R95",G453))*95,0)+IFERROR(--ISNUMBER(SEARCH("R96",G453))*96,0)+IFERROR(--ISNUMBER(SEARCH("R97",G453))*97,0)+IFERROR(--ISNUMBER(SEARCH("R98",G453))*98,0)+IFERROR(--ISNUMBER(SEARCH("R99",G453))*99,0)+IFERROR(--ISNUMBER(SEARCH("R100",G453))*100,0)+IFERROR(--ISNUMBER(SEARCH("R101",G453))*101,0)+IFERROR(--ISNUMBER(SEARCH("R102",G453))*102,0)+IFERROR(--ISNUMBER(SEARCH("R103",G453))*103,0)+IFERROR(--ISNUMBER(SEARCH("R104",G453))*104,0)+IFERROR(--ISNUMBER(SEARCH("R105",G453))*105,0)+IFERROR(--ISNUMBER(SEARCH("R106",G453))*106,0)+IFERROR(--ISNUMBER(SEARCH("R107",G453))*107,0)+IFERROR(--ISNUMBER(SEARCH("R108",G453))*108,0)+IFERROR(--ISNUMBER(SEARCH("R109",G453))*109,0)+IFERROR(--ISNUMBER(SEARCH("R110",G453))*110,0)+IFERROR(--ISNUMBER(SEARCH("R111",G453))*111,0)+IFERROR(--ISNUMBER(SEARCH("R112",G453))*112,0)+IFERROR(--ISNUMBER(SEARCH("R113",G453))*113,0)+IFERROR(--ISNUMBER(SEARCH("R114",G453))*114,0)+IFERROR(--ISNUMBER(SEARCH("R115",G453))*115,0)+IFERROR(--ISNUMBER(SEARCH("R116",G453))*116,0)+IFERROR(--ISNUMBER(SEARCH("R117",G453))*117,0)+IFERROR(--ISNUMBER(SEARCH("R118",G453))*118,0)+IFERROR(--ISNUMBER(SEARCH("R119",G453))*119,0)+IFERROR(--ISNUMBER(SEARCH("R120",G453))*120,0)+IFERROR(--ISNUMBER(SEARCH("R121",G453))*121,0)+IFERROR(--ISNUMBER(SEARCH("R122",G453))*122,0)+IFERROR(--ISNUMBER(SEARCH("R123",G453))*123,0)+IFERROR(--ISNUMBER(SEARCH("R124",G453))*124,0)+IFERROR(--ISNUMBER(SEARCH("R125",G453))*125,0)+IFERROR(--ISNUMBER(SEARCH("R126",G453))*126,0)+IFERROR(--ISNUMBER(SEARCH("R127",G453))*127,0)+IFERROR(--ISNUMBER(SEARCH("R128",G453))*128,0)+IFERROR(--ISNUMBER(SEARCH("R129",G453))*129,0)+IFERROR(--ISNUMBER(SEARCH("R130",G453))*130,0)+IFERROR(--ISNUMBER(SEARCH("R131",G453))*131,0)+IFERROR(--ISNUMBER(SEARCH("R132",G453))*132,0)+IFERROR(--ISNUMBER(SEARCH("R133",G453))*133,0)+IFERROR(--ISNUMBER(SEARCH("R134",G453))*134,0)+IFERROR(--ISNUMBER(SEARCH("R135",G453))*135,0)+IFERROR(--ISNUMBER(SEARCH("R136",G453))*136,0)+IFERROR(--ISNUMBER(SEARCH("R137",G453))*137,0)+IFERROR(--ISNUMBER(SEARCH("R138",G453))*138,0)+IFERROR(--ISNUMBER(SEARCH("R139",G453))*139,0)+IFERROR(--ISNUMBER(SEARCH("R140",G453))*140,0)+IFERROR(--ISNUMBER(SEARCH("R141",G453))*141,0))</f>
        <v/>
      </c>
      <c r="V453" s="59">
        <f>IF(A453="","",IF(K453&lt;&gt;"",K453,J453))</f>
        <v/>
      </c>
      <c r="W453" s="59">
        <f>IF(A453="","",IF(AND(V453=29,O453&lt;&gt;"",COUNTIFS($V$6:$V$505,29,$F$6:$F$505,F453,$C$6:$C$505,C453,$O$6:$O$505,"&lt;&gt;")&gt;1),IF(COUNTIFS($V$6:V453,29,$F$6:F453,F453,$C$6:C453,C453,$O$6:O453,"&lt;&gt;")=1,"Esta es la fila que se debe CONSERVAR (aparición 1 de "&amp;COUNTIFS($V$6:$V$505,29,$F$6:$F$505,F453,$C$6:$C$505,C453,$O$6:$O$505,"&lt;&gt;")&amp;" con el mismo tercero y valor, casilla 29). Si hay más filas iguales, bórreles el valor a ELLAS, no a esta.","DUPLICADO — ya existe otra fila con el mismo tercero y valor para casilla 29 (aparición "&amp;COUNTIFS($V$6:V453,29,$F$6:F453,F453,$C$6:C453,C453,$O$6:O453,"&lt;&gt;")&amp;" de "&amp;COUNTIFS($V$6:$V$505,29,$F$6:$F$505,F453,$C$6:$C$505,C453,$O$6:$O$505,"&lt;&gt;")&amp;"). Para resolverlo: seleccione la celda O"&amp;ROW()&amp;" (columna Valor a declarar de ESTA fila) y presione Supr."),""))</f>
        <v/>
      </c>
      <c r="X453" s="463">
        <f>IF(A453="","",F453)</f>
        <v/>
      </c>
      <c r="Y453" s="463">
        <f>IF(A453="","",SUMIF(Entrada_Manual!$I$88:$I$187,A453,Entrada_Manual!$F$88:$F$187))</f>
        <v/>
      </c>
      <c r="Z453" s="463">
        <f>IF(A453="","",X453-Y453)</f>
        <v/>
      </c>
      <c r="AA453">
        <f>IF(A453="","",SUMPRODUCT((Entrada_Manual!$I$88:$I$187=A453)*1))</f>
        <v/>
      </c>
      <c r="AB453">
        <f>IF(A453="","",IF(S453&lt;=1,"",IF(AA453=0,"PENDIENTE — SIN ASIGNAR",IF(Z453=0,"RESUELTO","PARCIAL — DIFERENCIA "&amp;TEXT(Z453,"#,##0")))))</f>
        <v/>
      </c>
    </row>
    <row r="454" ht="14.25" customHeight="1" s="235">
      <c r="A454" s="47">
        <f>IF(Exogena_RAW!E463&lt;&gt;"",ROW()-5,"")</f>
        <v/>
      </c>
      <c r="B454" s="48">
        <f>IF(A454="","",463)</f>
        <v/>
      </c>
      <c r="C454" s="48">
        <f>IF(A454="","",IFERROR(Exogena_RAW!A463,""))</f>
        <v/>
      </c>
      <c r="D454" s="48">
        <f>IF(A454="","",IFERROR(Exogena_RAW!B463,""))</f>
        <v/>
      </c>
      <c r="E454" s="48">
        <f>IF(A454="","",Exogena_RAW!E463)</f>
        <v/>
      </c>
      <c r="F454" s="461">
        <f>IF(A454="","",Exogena_RAW!F463)</f>
        <v/>
      </c>
      <c r="G454" s="48">
        <f>IF(A454="","",IFERROR(Exogena_RAW!G463,""))</f>
        <v/>
      </c>
      <c r="H454" s="48">
        <f>IF(A454="","",IFERROR(Exogena_RAW!H463,""))</f>
        <v/>
      </c>
      <c r="I454" s="48">
        <f>IF(A454="","",IFERROR(IF(S454&gt;1,"VARIAS CASILLAS",IF(S454=1,IF(T454=1,"PROPUESTA DE CASILLA","REVISIÓN: CASILLA NO DIRECTA"),IF(OR(ISNUMBER(SEARCH("TOPE",UPPER(E454))),ISNUMBER(SEARCH("TOPE",UPPER(G454)))),"SOLO CONTROL",IF(ISNUMBER(SEARCH("RETEN",UPPER(E454))),"RETENCIÓN","REVISAR")))),"REVISAR"))</f>
        <v/>
      </c>
      <c r="J454" s="48">
        <f>IF(A454="","",IF(ISNUMBER(SEARCH("ingreso laboral promedio de los últimos seis meses",E454)),"",IFERROR(IF(AND(S454=1,T454=1),U454,""),"")))</f>
        <v/>
      </c>
      <c r="K454" s="216" t="n"/>
      <c r="L454" s="48">
        <f>IF(A454="","",IFERROR(IF(K454&lt;&gt;"","Casilla elegida por usuario",IF(S454&gt;1,"Varias casillas — elegir en K",IF(J454&lt;&gt;"","Sugerencia directa",IF(S454=1,"No trasladar directo — revisar",IF(OR(ISNUMBER(SEARCH("TOPE",UPPER(E454))),ISNUMBER(SEARCH("TOPE",UPPER(G454)))),"Solo control","Revisar manualmente"))))),"Revisar manualmente"))</f>
        <v/>
      </c>
      <c r="M454" s="461">
        <f>IF(A454="","",IF(IF(K454&lt;&gt;"",K454,J454)="",0,IF(COUNTIFS(Reglas!$I$5:$I$118,IF(K454&lt;&gt;"",K454,J454),Reglas!$J$5:$J$118,"Sí")=1,F454,0)))</f>
        <v/>
      </c>
      <c r="N454" s="56" t="n"/>
      <c r="O454" s="462">
        <f>IF(A454="","",IF(M454=0,"",M454))</f>
        <v/>
      </c>
      <c r="P454" s="461">
        <f>IF(A454="","",IF(O454="",0,IF(ISNUMBER(O454),O454,0)))</f>
        <v/>
      </c>
      <c r="Q454" s="48">
        <f>IF(A454="","",IF(Exogena_RAW!$C$4="","BLOQUEADO: FALTA AÑO",IF(Exogena_RAW!$K$10&lt;&gt;Reglas!$B$5,"BLOQUEADO: AÑO",IF(IF(K454&lt;&gt;"",K454,J454)="",IF(S454&gt;1,"REQUIERE ASIGNACIÓN MANUAL (VARIAS CASILLAS)","INFORMATIVO (sin casilla — no se declara)"),IF(COUNTIFS(Reglas!$I$5:$I$118,IF(K454&lt;&gt;"",K454,J454),Reglas!$J$5:$J$118,"Sí")=0,"BLOQUEADO: CASILLA NO DIRECTA",IF(O454="","EXCLUIDO (valor borrado por el usuario)",IF(_xlfn.ISFORMULA(O454),IF(W454&lt;&gt;"","BORRADOR — VALOR SUGERIDO DIAN ⚠ VER ALERTA","BORRADOR — VALOR SUGERIDO DIAN"),IF(W454&lt;&gt;"","ACEPTADO ⚠ VER ALERTA","ACEPTADO"))))))))</f>
        <v/>
      </c>
      <c r="R454" s="218" t="n"/>
      <c r="S454" s="58">
        <f>IF(A454="","",IFERROR(--ISNUMBER(SEARCH("R28",G454)),0)+IFERROR(--ISNUMBER(SEARCH("R29",G454)),0)+IFERROR(--ISNUMBER(SEARCH("R30",G454)),0)+IFERROR(--ISNUMBER(SEARCH("R31",G454)),0)+IFERROR(--ISNUMBER(SEARCH("R32",G454)),0)+IFERROR(--ISNUMBER(SEARCH("R33",G454)),0)+IFERROR(--ISNUMBER(SEARCH("R34",G454)),0)+IFERROR(--ISNUMBER(SEARCH("R35",G454)),0)+IFERROR(--ISNUMBER(SEARCH("R36",G454)),0)+IFERROR(--ISNUMBER(SEARCH("R37",G454)),0)+IFERROR(--ISNUMBER(SEARCH("R38",G454)),0)+IFERROR(--ISNUMBER(SEARCH("R39",G454)),0)+IFERROR(--ISNUMBER(SEARCH("R40",G454)),0)+IFERROR(--ISNUMBER(SEARCH("R41",G454)),0)+IFERROR(--ISNUMBER(SEARCH("R42",G454)),0)+IFERROR(--ISNUMBER(SEARCH("R43",G454)),0)+IFERROR(--ISNUMBER(SEARCH("R44",G454)),0)+IFERROR(--ISNUMBER(SEARCH("R45",G454)),0)+IFERROR(--ISNUMBER(SEARCH("R46",G454)),0)+IFERROR(--ISNUMBER(SEARCH("R47",G454)),0)+IFERROR(--ISNUMBER(SEARCH("R48",G454)),0)+IFERROR(--ISNUMBER(SEARCH("R49",G454)),0)+IFERROR(--ISNUMBER(SEARCH("R50",G454)),0)+IFERROR(--ISNUMBER(SEARCH("R51",G454)),0)+IFERROR(--ISNUMBER(SEARCH("R52",G454)),0)+IFERROR(--ISNUMBER(SEARCH("R53",G454)),0)+IFERROR(--ISNUMBER(SEARCH("R54",G454)),0)+IFERROR(--ISNUMBER(SEARCH("R55",G454)),0)+IFERROR(--ISNUMBER(SEARCH("R56",G454)),0)+IFERROR(--ISNUMBER(SEARCH("R57",G454)),0)+IFERROR(--ISNUMBER(SEARCH("R58",G454)),0)+IFERROR(--ISNUMBER(SEARCH("R59",G454)),0)+IFERROR(--ISNUMBER(SEARCH("R60",G454)),0)+IFERROR(--ISNUMBER(SEARCH("R61",G454)),0)+IFERROR(--ISNUMBER(SEARCH("R62",G454)),0)+IFERROR(--ISNUMBER(SEARCH("R63",G454)),0)+IFERROR(--ISNUMBER(SEARCH("R64",G454)),0)+IFERROR(--ISNUMBER(SEARCH("R65",G454)),0)+IFERROR(--ISNUMBER(SEARCH("R66",G454)),0)+IFERROR(--ISNUMBER(SEARCH("R67",G454)),0)+IFERROR(--ISNUMBER(SEARCH("R68",G454)),0)+IFERROR(--ISNUMBER(SEARCH("R69",G454)),0)+IFERROR(--ISNUMBER(SEARCH("R70",G454)),0)+IFERROR(--ISNUMBER(SEARCH("R71",G454)),0)+IFERROR(--ISNUMBER(SEARCH("R72",G454)),0)+IFERROR(--ISNUMBER(SEARCH("R73",G454)),0)+IFERROR(--ISNUMBER(SEARCH("R74",G454)),0)+IFERROR(--ISNUMBER(SEARCH("R75",G454)),0)+IFERROR(--ISNUMBER(SEARCH("R76",G454)),0)+IFERROR(--ISNUMBER(SEARCH("R77",G454)),0)+IFERROR(--ISNUMBER(SEARCH("R78",G454)),0)+IFERROR(--ISNUMBER(SEARCH("R79",G454)),0)+IFERROR(--ISNUMBER(SEARCH("R80",G454)),0)+IFERROR(--ISNUMBER(SEARCH("R81",G454)),0)+IFERROR(--ISNUMBER(SEARCH("R82",G454)),0)+IFERROR(--ISNUMBER(SEARCH("R83",G454)),0)+IFERROR(--ISNUMBER(SEARCH("R84",G454)),0)+IFERROR(--ISNUMBER(SEARCH("R85",G454)),0)+IFERROR(--ISNUMBER(SEARCH("R86",G454)),0)+IFERROR(--ISNUMBER(SEARCH("R87",G454)),0)+IFERROR(--ISNUMBER(SEARCH("R88",G454)),0)+IFERROR(--ISNUMBER(SEARCH("R89",G454)),0)+IFERROR(--ISNUMBER(SEARCH("R90",G454)),0)+IFERROR(--ISNUMBER(SEARCH("R91",G454)),0)+IFERROR(--ISNUMBER(SEARCH("R92",G454)),0)+IFERROR(--ISNUMBER(SEARCH("R93",G454)),0)+IFERROR(--ISNUMBER(SEARCH("R94",G454)),0)+IFERROR(--ISNUMBER(SEARCH("R95",G454)),0)+IFERROR(--ISNUMBER(SEARCH("R96",G454)),0)+IFERROR(--ISNUMBER(SEARCH("R97",G454)),0)+IFERROR(--ISNUMBER(SEARCH("R98",G454)),0)+IFERROR(--ISNUMBER(SEARCH("R99",G454)),0)+IFERROR(--ISNUMBER(SEARCH("R100",G454)),0)+IFERROR(--ISNUMBER(SEARCH("R101",G454)),0)+IFERROR(--ISNUMBER(SEARCH("R102",G454)),0)+IFERROR(--ISNUMBER(SEARCH("R103",G454)),0)+IFERROR(--ISNUMBER(SEARCH("R104",G454)),0)+IFERROR(--ISNUMBER(SEARCH("R105",G454)),0)+IFERROR(--ISNUMBER(SEARCH("R106",G454)),0)+IFERROR(--ISNUMBER(SEARCH("R107",G454)),0)+IFERROR(--ISNUMBER(SEARCH("R108",G454)),0)+IFERROR(--ISNUMBER(SEARCH("R109",G454)),0)+IFERROR(--ISNUMBER(SEARCH("R110",G454)),0)+IFERROR(--ISNUMBER(SEARCH("R111",G454)),0)+IFERROR(--ISNUMBER(SEARCH("R112",G454)),0)+IFERROR(--ISNUMBER(SEARCH("R113",G454)),0)+IFERROR(--ISNUMBER(SEARCH("R114",G454)),0)+IFERROR(--ISNUMBER(SEARCH("R115",G454)),0)+IFERROR(--ISNUMBER(SEARCH("R116",G454)),0)+IFERROR(--ISNUMBER(SEARCH("R117",G454)),0)+IFERROR(--ISNUMBER(SEARCH("R118",G454)),0)+IFERROR(--ISNUMBER(SEARCH("R119",G454)),0)+IFERROR(--ISNUMBER(SEARCH("R120",G454)),0)+IFERROR(--ISNUMBER(SEARCH("R121",G454)),0)+IFERROR(--ISNUMBER(SEARCH("R122",G454)),0)+IFERROR(--ISNUMBER(SEARCH("R123",G454)),0)+IFERROR(--ISNUMBER(SEARCH("R124",G454)),0)+IFERROR(--ISNUMBER(SEARCH("R125",G454)),0)+IFERROR(--ISNUMBER(SEARCH("R126",G454)),0)+IFERROR(--ISNUMBER(SEARCH("R127",G454)),0)+IFERROR(--ISNUMBER(SEARCH("R128",G454)),0)+IFERROR(--ISNUMBER(SEARCH("R129",G454)),0)+IFERROR(--ISNUMBER(SEARCH("R130",G454)),0)+IFERROR(--ISNUMBER(SEARCH("R131",G454)),0)+IFERROR(--ISNUMBER(SEARCH("R132",G454)),0)+IFERROR(--ISNUMBER(SEARCH("R133",G454)),0)+IFERROR(--ISNUMBER(SEARCH("R134",G454)),0)+IFERROR(--ISNUMBER(SEARCH("R135",G454)),0)+IFERROR(--ISNUMBER(SEARCH("R136",G454)),0)+IFERROR(--ISNUMBER(SEARCH("R137",G454)),0)+IFERROR(--ISNUMBER(SEARCH("R138",G454)),0)+IFERROR(--ISNUMBER(SEARCH("R139",G454)),0)+IFERROR(--ISNUMBER(SEARCH("R140",G454)),0)+IFERROR(--ISNUMBER(SEARCH("R141",G454)),0))</f>
        <v/>
      </c>
      <c r="T454" s="58">
        <f>IF(A454="","",IFERROR(--ISNUMBER(SEARCH("R28",G454)),0)+IFERROR(--ISNUMBER(SEARCH("R29",G454)),0)+IFERROR(--ISNUMBER(SEARCH("R30",G454)),0)+IFERROR(--ISNUMBER(SEARCH("R32",G454)),0)+IFERROR(--ISNUMBER(SEARCH("R33",G454)),0)+IFERROR(--ISNUMBER(SEARCH("R35",G454)),0)+IFERROR(--ISNUMBER(SEARCH("R36",G454)),0)+IFERROR(--ISNUMBER(SEARCH("R38",G454)),0)+IFERROR(--ISNUMBER(SEARCH("R39",G454)),0)+IFERROR(--ISNUMBER(SEARCH("R43",G454)),0)+IFERROR(--ISNUMBER(SEARCH("R44",G454)),0)+IFERROR(--ISNUMBER(SEARCH("R45",G454)),0)+IFERROR(--ISNUMBER(SEARCH("R47",G454)),0)+IFERROR(--ISNUMBER(SEARCH("R48",G454)),0)+IFERROR(--ISNUMBER(SEARCH("R50",G454)),0)+IFERROR(--ISNUMBER(SEARCH("R51",G454)),0)+IFERROR(--ISNUMBER(SEARCH("R56",G454)),0)+IFERROR(--ISNUMBER(SEARCH("R58",G454)),0)+IFERROR(--ISNUMBER(SEARCH("R59",G454)),0)+IFERROR(--ISNUMBER(SEARCH("R60",G454)),0)+IFERROR(--ISNUMBER(SEARCH("R62",G454)),0)+IFERROR(--ISNUMBER(SEARCH("R63",G454)),0)+IFERROR(--ISNUMBER(SEARCH("R64",G454)),0)+IFERROR(--ISNUMBER(SEARCH("R66",G454)),0)+IFERROR(--ISNUMBER(SEARCH("R67",G454)),0)+IFERROR(--ISNUMBER(SEARCH("R72",G454)),0)+IFERROR(--ISNUMBER(SEARCH("R74",G454)),0)+IFERROR(--ISNUMBER(SEARCH("R75",G454)),0)+IFERROR(--ISNUMBER(SEARCH("R76",G454)),0)+IFERROR(--ISNUMBER(SEARCH("R77",G454)),0)+IFERROR(--ISNUMBER(SEARCH("R79",G454)),0)+IFERROR(--ISNUMBER(SEARCH("R80",G454)),0)+IFERROR(--ISNUMBER(SEARCH("R81",G454)),0)+IFERROR(--ISNUMBER(SEARCH("R83",G454)),0)+IFERROR(--ISNUMBER(SEARCH("R84",G454)),0)+IFERROR(--ISNUMBER(SEARCH("R89",G454)),0)+IFERROR(--ISNUMBER(SEARCH("R94",G454)),0)+IFERROR(--ISNUMBER(SEARCH("R95",G454)),0)+IFERROR(--ISNUMBER(SEARCH("R96",G454)),0)+IFERROR(--ISNUMBER(SEARCH("R98",G454)),0)+IFERROR(--ISNUMBER(SEARCH("R99",G454)),0)+IFERROR(--ISNUMBER(SEARCH("R100",G454)),0)+IFERROR(--ISNUMBER(SEARCH("R104",G454)),0)+IFERROR(--ISNUMBER(SEARCH("R105",G454)),0)+IFERROR(--ISNUMBER(SEARCH("R107",G454)),0)+IFERROR(--ISNUMBER(SEARCH("R108",G454)),0)+IFERROR(--ISNUMBER(SEARCH("R109",G454)),0)+IFERROR(--ISNUMBER(SEARCH("R110",G454)),0)+IFERROR(--ISNUMBER(SEARCH("R112",G454)),0)+IFERROR(--ISNUMBER(SEARCH("R113",G454)),0)+IFERROR(--ISNUMBER(SEARCH("R114",G454)),0)+IFERROR(--ISNUMBER(SEARCH("R118",G454)),0)+IFERROR(--ISNUMBER(SEARCH("R119",G454)),0)+IFERROR(--ISNUMBER(SEARCH("R120",G454)),0)+IFERROR(--ISNUMBER(SEARCH("R122",G454)),0)+IFERROR(--ISNUMBER(SEARCH("R123",G454)),0)+IFERROR(--ISNUMBER(SEARCH("R124",G454)),0)+IFERROR(--ISNUMBER(SEARCH("R128",G454)),0)+IFERROR(--ISNUMBER(SEARCH("R130",G454)),0)+IFERROR(--ISNUMBER(SEARCH("R131",G454)),0)+IFERROR(--ISNUMBER(SEARCH("R132",G454)),0)+IFERROR(--ISNUMBER(SEARCH("R135",G454)),0)+IFERROR(--ISNUMBER(SEARCH("R138",G454)),0)+IFERROR(--ISNUMBER(SEARCH("R141",G454)),0))</f>
        <v/>
      </c>
      <c r="U454" s="58">
        <f>IF(A454="","",IFERROR(--ISNUMBER(SEARCH("R28",G454))*28,0)+IFERROR(--ISNUMBER(SEARCH("R29",G454))*29,0)+IFERROR(--ISNUMBER(SEARCH("R30",G454))*30,0)+IFERROR(--ISNUMBER(SEARCH("R31",G454))*31,0)+IFERROR(--ISNUMBER(SEARCH("R32",G454))*32,0)+IFERROR(--ISNUMBER(SEARCH("R33",G454))*33,0)+IFERROR(--ISNUMBER(SEARCH("R34",G454))*34,0)+IFERROR(--ISNUMBER(SEARCH("R35",G454))*35,0)+IFERROR(--ISNUMBER(SEARCH("R36",G454))*36,0)+IFERROR(--ISNUMBER(SEARCH("R37",G454))*37,0)+IFERROR(--ISNUMBER(SEARCH("R38",G454))*38,0)+IFERROR(--ISNUMBER(SEARCH("R39",G454))*39,0)+IFERROR(--ISNUMBER(SEARCH("R40",G454))*40,0)+IFERROR(--ISNUMBER(SEARCH("R41",G454))*41,0)+IFERROR(--ISNUMBER(SEARCH("R42",G454))*42,0)+IFERROR(--ISNUMBER(SEARCH("R43",G454))*43,0)+IFERROR(--ISNUMBER(SEARCH("R44",G454))*44,0)+IFERROR(--ISNUMBER(SEARCH("R45",G454))*45,0)+IFERROR(--ISNUMBER(SEARCH("R46",G454))*46,0)+IFERROR(--ISNUMBER(SEARCH("R47",G454))*47,0)+IFERROR(--ISNUMBER(SEARCH("R48",G454))*48,0)+IFERROR(--ISNUMBER(SEARCH("R49",G454))*49,0)+IFERROR(--ISNUMBER(SEARCH("R50",G454))*50,0)+IFERROR(--ISNUMBER(SEARCH("R51",G454))*51,0)+IFERROR(--ISNUMBER(SEARCH("R52",G454))*52,0)+IFERROR(--ISNUMBER(SEARCH("R53",G454))*53,0)+IFERROR(--ISNUMBER(SEARCH("R54",G454))*54,0)+IFERROR(--ISNUMBER(SEARCH("R55",G454))*55,0)+IFERROR(--ISNUMBER(SEARCH("R56",G454))*56,0)+IFERROR(--ISNUMBER(SEARCH("R57",G454))*57,0)+IFERROR(--ISNUMBER(SEARCH("R58",G454))*58,0)+IFERROR(--ISNUMBER(SEARCH("R59",G454))*59,0)+IFERROR(--ISNUMBER(SEARCH("R60",G454))*60,0)+IFERROR(--ISNUMBER(SEARCH("R61",G454))*61,0)+IFERROR(--ISNUMBER(SEARCH("R62",G454))*62,0)+IFERROR(--ISNUMBER(SEARCH("R63",G454))*63,0)+IFERROR(--ISNUMBER(SEARCH("R64",G454))*64,0)+IFERROR(--ISNUMBER(SEARCH("R65",G454))*65,0)+IFERROR(--ISNUMBER(SEARCH("R66",G454))*66,0)+IFERROR(--ISNUMBER(SEARCH("R67",G454))*67,0)+IFERROR(--ISNUMBER(SEARCH("R68",G454))*68,0)+IFERROR(--ISNUMBER(SEARCH("R69",G454))*69,0)+IFERROR(--ISNUMBER(SEARCH("R70",G454))*70,0)+IFERROR(--ISNUMBER(SEARCH("R71",G454))*71,0)+IFERROR(--ISNUMBER(SEARCH("R72",G454))*72,0)+IFERROR(--ISNUMBER(SEARCH("R73",G454))*73,0)+IFERROR(--ISNUMBER(SEARCH("R74",G454))*74,0)+IFERROR(--ISNUMBER(SEARCH("R75",G454))*75,0)+IFERROR(--ISNUMBER(SEARCH("R76",G454))*76,0)+IFERROR(--ISNUMBER(SEARCH("R77",G454))*77,0)+IFERROR(--ISNUMBER(SEARCH("R78",G454))*78,0)+IFERROR(--ISNUMBER(SEARCH("R79",G454))*79,0)+IFERROR(--ISNUMBER(SEARCH("R80",G454))*80,0)+IFERROR(--ISNUMBER(SEARCH("R81",G454))*81,0)+IFERROR(--ISNUMBER(SEARCH("R82",G454))*82,0)+IFERROR(--ISNUMBER(SEARCH("R83",G454))*83,0)+IFERROR(--ISNUMBER(SEARCH("R84",G454))*84,0)+IFERROR(--ISNUMBER(SEARCH("R85",G454))*85,0)+IFERROR(--ISNUMBER(SEARCH("R86",G454))*86,0)+IFERROR(--ISNUMBER(SEARCH("R87",G454))*87,0)+IFERROR(--ISNUMBER(SEARCH("R88",G454))*88,0)+IFERROR(--ISNUMBER(SEARCH("R89",G454))*89,0)+IFERROR(--ISNUMBER(SEARCH("R90",G454))*90,0)+IFERROR(--ISNUMBER(SEARCH("R91",G454))*91,0)+IFERROR(--ISNUMBER(SEARCH("R92",G454))*92,0)+IFERROR(--ISNUMBER(SEARCH("R93",G454))*93,0)+IFERROR(--ISNUMBER(SEARCH("R94",G454))*94,0)+IFERROR(--ISNUMBER(SEARCH("R95",G454))*95,0)+IFERROR(--ISNUMBER(SEARCH("R96",G454))*96,0)+IFERROR(--ISNUMBER(SEARCH("R97",G454))*97,0)+IFERROR(--ISNUMBER(SEARCH("R98",G454))*98,0)+IFERROR(--ISNUMBER(SEARCH("R99",G454))*99,0)+IFERROR(--ISNUMBER(SEARCH("R100",G454))*100,0)+IFERROR(--ISNUMBER(SEARCH("R101",G454))*101,0)+IFERROR(--ISNUMBER(SEARCH("R102",G454))*102,0)+IFERROR(--ISNUMBER(SEARCH("R103",G454))*103,0)+IFERROR(--ISNUMBER(SEARCH("R104",G454))*104,0)+IFERROR(--ISNUMBER(SEARCH("R105",G454))*105,0)+IFERROR(--ISNUMBER(SEARCH("R106",G454))*106,0)+IFERROR(--ISNUMBER(SEARCH("R107",G454))*107,0)+IFERROR(--ISNUMBER(SEARCH("R108",G454))*108,0)+IFERROR(--ISNUMBER(SEARCH("R109",G454))*109,0)+IFERROR(--ISNUMBER(SEARCH("R110",G454))*110,0)+IFERROR(--ISNUMBER(SEARCH("R111",G454))*111,0)+IFERROR(--ISNUMBER(SEARCH("R112",G454))*112,0)+IFERROR(--ISNUMBER(SEARCH("R113",G454))*113,0)+IFERROR(--ISNUMBER(SEARCH("R114",G454))*114,0)+IFERROR(--ISNUMBER(SEARCH("R115",G454))*115,0)+IFERROR(--ISNUMBER(SEARCH("R116",G454))*116,0)+IFERROR(--ISNUMBER(SEARCH("R117",G454))*117,0)+IFERROR(--ISNUMBER(SEARCH("R118",G454))*118,0)+IFERROR(--ISNUMBER(SEARCH("R119",G454))*119,0)+IFERROR(--ISNUMBER(SEARCH("R120",G454))*120,0)+IFERROR(--ISNUMBER(SEARCH("R121",G454))*121,0)+IFERROR(--ISNUMBER(SEARCH("R122",G454))*122,0)+IFERROR(--ISNUMBER(SEARCH("R123",G454))*123,0)+IFERROR(--ISNUMBER(SEARCH("R124",G454))*124,0)+IFERROR(--ISNUMBER(SEARCH("R125",G454))*125,0)+IFERROR(--ISNUMBER(SEARCH("R126",G454))*126,0)+IFERROR(--ISNUMBER(SEARCH("R127",G454))*127,0)+IFERROR(--ISNUMBER(SEARCH("R128",G454))*128,0)+IFERROR(--ISNUMBER(SEARCH("R129",G454))*129,0)+IFERROR(--ISNUMBER(SEARCH("R130",G454))*130,0)+IFERROR(--ISNUMBER(SEARCH("R131",G454))*131,0)+IFERROR(--ISNUMBER(SEARCH("R132",G454))*132,0)+IFERROR(--ISNUMBER(SEARCH("R133",G454))*133,0)+IFERROR(--ISNUMBER(SEARCH("R134",G454))*134,0)+IFERROR(--ISNUMBER(SEARCH("R135",G454))*135,0)+IFERROR(--ISNUMBER(SEARCH("R136",G454))*136,0)+IFERROR(--ISNUMBER(SEARCH("R137",G454))*137,0)+IFERROR(--ISNUMBER(SEARCH("R138",G454))*138,0)+IFERROR(--ISNUMBER(SEARCH("R139",G454))*139,0)+IFERROR(--ISNUMBER(SEARCH("R140",G454))*140,0)+IFERROR(--ISNUMBER(SEARCH("R141",G454))*141,0))</f>
        <v/>
      </c>
      <c r="V454" s="59">
        <f>IF(A454="","",IF(K454&lt;&gt;"",K454,J454))</f>
        <v/>
      </c>
      <c r="W454" s="59">
        <f>IF(A454="","",IF(AND(V454=29,O454&lt;&gt;"",COUNTIFS($V$6:$V$505,29,$F$6:$F$505,F454,$C$6:$C$505,C454,$O$6:$O$505,"&lt;&gt;")&gt;1),IF(COUNTIFS($V$6:V454,29,$F$6:F454,F454,$C$6:C454,C454,$O$6:O454,"&lt;&gt;")=1,"Esta es la fila que se debe CONSERVAR (aparición 1 de "&amp;COUNTIFS($V$6:$V$505,29,$F$6:$F$505,F454,$C$6:$C$505,C454,$O$6:$O$505,"&lt;&gt;")&amp;" con el mismo tercero y valor, casilla 29). Si hay más filas iguales, bórreles el valor a ELLAS, no a esta.","DUPLICADO — ya existe otra fila con el mismo tercero y valor para casilla 29 (aparición "&amp;COUNTIFS($V$6:V454,29,$F$6:F454,F454,$C$6:C454,C454,$O$6:O454,"&lt;&gt;")&amp;" de "&amp;COUNTIFS($V$6:$V$505,29,$F$6:$F$505,F454,$C$6:$C$505,C454,$O$6:$O$505,"&lt;&gt;")&amp;"). Para resolverlo: seleccione la celda O"&amp;ROW()&amp;" (columna Valor a declarar de ESTA fila) y presione Supr."),""))</f>
        <v/>
      </c>
      <c r="X454" s="463">
        <f>IF(A454="","",F454)</f>
        <v/>
      </c>
      <c r="Y454" s="463">
        <f>IF(A454="","",SUMIF(Entrada_Manual!$I$88:$I$187,A454,Entrada_Manual!$F$88:$F$187))</f>
        <v/>
      </c>
      <c r="Z454" s="463">
        <f>IF(A454="","",X454-Y454)</f>
        <v/>
      </c>
      <c r="AA454">
        <f>IF(A454="","",SUMPRODUCT((Entrada_Manual!$I$88:$I$187=A454)*1))</f>
        <v/>
      </c>
      <c r="AB454">
        <f>IF(A454="","",IF(S454&lt;=1,"",IF(AA454=0,"PENDIENTE — SIN ASIGNAR",IF(Z454=0,"RESUELTO","PARCIAL — DIFERENCIA "&amp;TEXT(Z454,"#,##0")))))</f>
        <v/>
      </c>
    </row>
    <row r="455" ht="14.25" customHeight="1" s="235">
      <c r="A455" s="47">
        <f>IF(Exogena_RAW!E464&lt;&gt;"",ROW()-5,"")</f>
        <v/>
      </c>
      <c r="B455" s="48">
        <f>IF(A455="","",464)</f>
        <v/>
      </c>
      <c r="C455" s="48">
        <f>IF(A455="","",IFERROR(Exogena_RAW!A464,""))</f>
        <v/>
      </c>
      <c r="D455" s="48">
        <f>IF(A455="","",IFERROR(Exogena_RAW!B464,""))</f>
        <v/>
      </c>
      <c r="E455" s="48">
        <f>IF(A455="","",Exogena_RAW!E464)</f>
        <v/>
      </c>
      <c r="F455" s="461">
        <f>IF(A455="","",Exogena_RAW!F464)</f>
        <v/>
      </c>
      <c r="G455" s="48">
        <f>IF(A455="","",IFERROR(Exogena_RAW!G464,""))</f>
        <v/>
      </c>
      <c r="H455" s="48">
        <f>IF(A455="","",IFERROR(Exogena_RAW!H464,""))</f>
        <v/>
      </c>
      <c r="I455" s="48">
        <f>IF(A455="","",IFERROR(IF(S455&gt;1,"VARIAS CASILLAS",IF(S455=1,IF(T455=1,"PROPUESTA DE CASILLA","REVISIÓN: CASILLA NO DIRECTA"),IF(OR(ISNUMBER(SEARCH("TOPE",UPPER(E455))),ISNUMBER(SEARCH("TOPE",UPPER(G455)))),"SOLO CONTROL",IF(ISNUMBER(SEARCH("RETEN",UPPER(E455))),"RETENCIÓN","REVISAR")))),"REVISAR"))</f>
        <v/>
      </c>
      <c r="J455" s="48">
        <f>IF(A455="","",IF(ISNUMBER(SEARCH("ingreso laboral promedio de los últimos seis meses",E455)),"",IFERROR(IF(AND(S455=1,T455=1),U455,""),"")))</f>
        <v/>
      </c>
      <c r="K455" s="216" t="n"/>
      <c r="L455" s="48">
        <f>IF(A455="","",IFERROR(IF(K455&lt;&gt;"","Casilla elegida por usuario",IF(S455&gt;1,"Varias casillas — elegir en K",IF(J455&lt;&gt;"","Sugerencia directa",IF(S455=1,"No trasladar directo — revisar",IF(OR(ISNUMBER(SEARCH("TOPE",UPPER(E455))),ISNUMBER(SEARCH("TOPE",UPPER(G455)))),"Solo control","Revisar manualmente"))))),"Revisar manualmente"))</f>
        <v/>
      </c>
      <c r="M455" s="461">
        <f>IF(A455="","",IF(IF(K455&lt;&gt;"",K455,J455)="",0,IF(COUNTIFS(Reglas!$I$5:$I$118,IF(K455&lt;&gt;"",K455,J455),Reglas!$J$5:$J$118,"Sí")=1,F455,0)))</f>
        <v/>
      </c>
      <c r="N455" s="56" t="n"/>
      <c r="O455" s="462">
        <f>IF(A455="","",IF(M455=0,"",M455))</f>
        <v/>
      </c>
      <c r="P455" s="461">
        <f>IF(A455="","",IF(O455="",0,IF(ISNUMBER(O455),O455,0)))</f>
        <v/>
      </c>
      <c r="Q455" s="48">
        <f>IF(A455="","",IF(Exogena_RAW!$C$4="","BLOQUEADO: FALTA AÑO",IF(Exogena_RAW!$K$10&lt;&gt;Reglas!$B$5,"BLOQUEADO: AÑO",IF(IF(K455&lt;&gt;"",K455,J455)="",IF(S455&gt;1,"REQUIERE ASIGNACIÓN MANUAL (VARIAS CASILLAS)","INFORMATIVO (sin casilla — no se declara)"),IF(COUNTIFS(Reglas!$I$5:$I$118,IF(K455&lt;&gt;"",K455,J455),Reglas!$J$5:$J$118,"Sí")=0,"BLOQUEADO: CASILLA NO DIRECTA",IF(O455="","EXCLUIDO (valor borrado por el usuario)",IF(_xlfn.ISFORMULA(O455),IF(W455&lt;&gt;"","BORRADOR — VALOR SUGERIDO DIAN ⚠ VER ALERTA","BORRADOR — VALOR SUGERIDO DIAN"),IF(W455&lt;&gt;"","ACEPTADO ⚠ VER ALERTA","ACEPTADO"))))))))</f>
        <v/>
      </c>
      <c r="R455" s="218" t="n"/>
      <c r="S455" s="58">
        <f>IF(A455="","",IFERROR(--ISNUMBER(SEARCH("R28",G455)),0)+IFERROR(--ISNUMBER(SEARCH("R29",G455)),0)+IFERROR(--ISNUMBER(SEARCH("R30",G455)),0)+IFERROR(--ISNUMBER(SEARCH("R31",G455)),0)+IFERROR(--ISNUMBER(SEARCH("R32",G455)),0)+IFERROR(--ISNUMBER(SEARCH("R33",G455)),0)+IFERROR(--ISNUMBER(SEARCH("R34",G455)),0)+IFERROR(--ISNUMBER(SEARCH("R35",G455)),0)+IFERROR(--ISNUMBER(SEARCH("R36",G455)),0)+IFERROR(--ISNUMBER(SEARCH("R37",G455)),0)+IFERROR(--ISNUMBER(SEARCH("R38",G455)),0)+IFERROR(--ISNUMBER(SEARCH("R39",G455)),0)+IFERROR(--ISNUMBER(SEARCH("R40",G455)),0)+IFERROR(--ISNUMBER(SEARCH("R41",G455)),0)+IFERROR(--ISNUMBER(SEARCH("R42",G455)),0)+IFERROR(--ISNUMBER(SEARCH("R43",G455)),0)+IFERROR(--ISNUMBER(SEARCH("R44",G455)),0)+IFERROR(--ISNUMBER(SEARCH("R45",G455)),0)+IFERROR(--ISNUMBER(SEARCH("R46",G455)),0)+IFERROR(--ISNUMBER(SEARCH("R47",G455)),0)+IFERROR(--ISNUMBER(SEARCH("R48",G455)),0)+IFERROR(--ISNUMBER(SEARCH("R49",G455)),0)+IFERROR(--ISNUMBER(SEARCH("R50",G455)),0)+IFERROR(--ISNUMBER(SEARCH("R51",G455)),0)+IFERROR(--ISNUMBER(SEARCH("R52",G455)),0)+IFERROR(--ISNUMBER(SEARCH("R53",G455)),0)+IFERROR(--ISNUMBER(SEARCH("R54",G455)),0)+IFERROR(--ISNUMBER(SEARCH("R55",G455)),0)+IFERROR(--ISNUMBER(SEARCH("R56",G455)),0)+IFERROR(--ISNUMBER(SEARCH("R57",G455)),0)+IFERROR(--ISNUMBER(SEARCH("R58",G455)),0)+IFERROR(--ISNUMBER(SEARCH("R59",G455)),0)+IFERROR(--ISNUMBER(SEARCH("R60",G455)),0)+IFERROR(--ISNUMBER(SEARCH("R61",G455)),0)+IFERROR(--ISNUMBER(SEARCH("R62",G455)),0)+IFERROR(--ISNUMBER(SEARCH("R63",G455)),0)+IFERROR(--ISNUMBER(SEARCH("R64",G455)),0)+IFERROR(--ISNUMBER(SEARCH("R65",G455)),0)+IFERROR(--ISNUMBER(SEARCH("R66",G455)),0)+IFERROR(--ISNUMBER(SEARCH("R67",G455)),0)+IFERROR(--ISNUMBER(SEARCH("R68",G455)),0)+IFERROR(--ISNUMBER(SEARCH("R69",G455)),0)+IFERROR(--ISNUMBER(SEARCH("R70",G455)),0)+IFERROR(--ISNUMBER(SEARCH("R71",G455)),0)+IFERROR(--ISNUMBER(SEARCH("R72",G455)),0)+IFERROR(--ISNUMBER(SEARCH("R73",G455)),0)+IFERROR(--ISNUMBER(SEARCH("R74",G455)),0)+IFERROR(--ISNUMBER(SEARCH("R75",G455)),0)+IFERROR(--ISNUMBER(SEARCH("R76",G455)),0)+IFERROR(--ISNUMBER(SEARCH("R77",G455)),0)+IFERROR(--ISNUMBER(SEARCH("R78",G455)),0)+IFERROR(--ISNUMBER(SEARCH("R79",G455)),0)+IFERROR(--ISNUMBER(SEARCH("R80",G455)),0)+IFERROR(--ISNUMBER(SEARCH("R81",G455)),0)+IFERROR(--ISNUMBER(SEARCH("R82",G455)),0)+IFERROR(--ISNUMBER(SEARCH("R83",G455)),0)+IFERROR(--ISNUMBER(SEARCH("R84",G455)),0)+IFERROR(--ISNUMBER(SEARCH("R85",G455)),0)+IFERROR(--ISNUMBER(SEARCH("R86",G455)),0)+IFERROR(--ISNUMBER(SEARCH("R87",G455)),0)+IFERROR(--ISNUMBER(SEARCH("R88",G455)),0)+IFERROR(--ISNUMBER(SEARCH("R89",G455)),0)+IFERROR(--ISNUMBER(SEARCH("R90",G455)),0)+IFERROR(--ISNUMBER(SEARCH("R91",G455)),0)+IFERROR(--ISNUMBER(SEARCH("R92",G455)),0)+IFERROR(--ISNUMBER(SEARCH("R93",G455)),0)+IFERROR(--ISNUMBER(SEARCH("R94",G455)),0)+IFERROR(--ISNUMBER(SEARCH("R95",G455)),0)+IFERROR(--ISNUMBER(SEARCH("R96",G455)),0)+IFERROR(--ISNUMBER(SEARCH("R97",G455)),0)+IFERROR(--ISNUMBER(SEARCH("R98",G455)),0)+IFERROR(--ISNUMBER(SEARCH("R99",G455)),0)+IFERROR(--ISNUMBER(SEARCH("R100",G455)),0)+IFERROR(--ISNUMBER(SEARCH("R101",G455)),0)+IFERROR(--ISNUMBER(SEARCH("R102",G455)),0)+IFERROR(--ISNUMBER(SEARCH("R103",G455)),0)+IFERROR(--ISNUMBER(SEARCH("R104",G455)),0)+IFERROR(--ISNUMBER(SEARCH("R105",G455)),0)+IFERROR(--ISNUMBER(SEARCH("R106",G455)),0)+IFERROR(--ISNUMBER(SEARCH("R107",G455)),0)+IFERROR(--ISNUMBER(SEARCH("R108",G455)),0)+IFERROR(--ISNUMBER(SEARCH("R109",G455)),0)+IFERROR(--ISNUMBER(SEARCH("R110",G455)),0)+IFERROR(--ISNUMBER(SEARCH("R111",G455)),0)+IFERROR(--ISNUMBER(SEARCH("R112",G455)),0)+IFERROR(--ISNUMBER(SEARCH("R113",G455)),0)+IFERROR(--ISNUMBER(SEARCH("R114",G455)),0)+IFERROR(--ISNUMBER(SEARCH("R115",G455)),0)+IFERROR(--ISNUMBER(SEARCH("R116",G455)),0)+IFERROR(--ISNUMBER(SEARCH("R117",G455)),0)+IFERROR(--ISNUMBER(SEARCH("R118",G455)),0)+IFERROR(--ISNUMBER(SEARCH("R119",G455)),0)+IFERROR(--ISNUMBER(SEARCH("R120",G455)),0)+IFERROR(--ISNUMBER(SEARCH("R121",G455)),0)+IFERROR(--ISNUMBER(SEARCH("R122",G455)),0)+IFERROR(--ISNUMBER(SEARCH("R123",G455)),0)+IFERROR(--ISNUMBER(SEARCH("R124",G455)),0)+IFERROR(--ISNUMBER(SEARCH("R125",G455)),0)+IFERROR(--ISNUMBER(SEARCH("R126",G455)),0)+IFERROR(--ISNUMBER(SEARCH("R127",G455)),0)+IFERROR(--ISNUMBER(SEARCH("R128",G455)),0)+IFERROR(--ISNUMBER(SEARCH("R129",G455)),0)+IFERROR(--ISNUMBER(SEARCH("R130",G455)),0)+IFERROR(--ISNUMBER(SEARCH("R131",G455)),0)+IFERROR(--ISNUMBER(SEARCH("R132",G455)),0)+IFERROR(--ISNUMBER(SEARCH("R133",G455)),0)+IFERROR(--ISNUMBER(SEARCH("R134",G455)),0)+IFERROR(--ISNUMBER(SEARCH("R135",G455)),0)+IFERROR(--ISNUMBER(SEARCH("R136",G455)),0)+IFERROR(--ISNUMBER(SEARCH("R137",G455)),0)+IFERROR(--ISNUMBER(SEARCH("R138",G455)),0)+IFERROR(--ISNUMBER(SEARCH("R139",G455)),0)+IFERROR(--ISNUMBER(SEARCH("R140",G455)),0)+IFERROR(--ISNUMBER(SEARCH("R141",G455)),0))</f>
        <v/>
      </c>
      <c r="T455" s="58">
        <f>IF(A455="","",IFERROR(--ISNUMBER(SEARCH("R28",G455)),0)+IFERROR(--ISNUMBER(SEARCH("R29",G455)),0)+IFERROR(--ISNUMBER(SEARCH("R30",G455)),0)+IFERROR(--ISNUMBER(SEARCH("R32",G455)),0)+IFERROR(--ISNUMBER(SEARCH("R33",G455)),0)+IFERROR(--ISNUMBER(SEARCH("R35",G455)),0)+IFERROR(--ISNUMBER(SEARCH("R36",G455)),0)+IFERROR(--ISNUMBER(SEARCH("R38",G455)),0)+IFERROR(--ISNUMBER(SEARCH("R39",G455)),0)+IFERROR(--ISNUMBER(SEARCH("R43",G455)),0)+IFERROR(--ISNUMBER(SEARCH("R44",G455)),0)+IFERROR(--ISNUMBER(SEARCH("R45",G455)),0)+IFERROR(--ISNUMBER(SEARCH("R47",G455)),0)+IFERROR(--ISNUMBER(SEARCH("R48",G455)),0)+IFERROR(--ISNUMBER(SEARCH("R50",G455)),0)+IFERROR(--ISNUMBER(SEARCH("R51",G455)),0)+IFERROR(--ISNUMBER(SEARCH("R56",G455)),0)+IFERROR(--ISNUMBER(SEARCH("R58",G455)),0)+IFERROR(--ISNUMBER(SEARCH("R59",G455)),0)+IFERROR(--ISNUMBER(SEARCH("R60",G455)),0)+IFERROR(--ISNUMBER(SEARCH("R62",G455)),0)+IFERROR(--ISNUMBER(SEARCH("R63",G455)),0)+IFERROR(--ISNUMBER(SEARCH("R64",G455)),0)+IFERROR(--ISNUMBER(SEARCH("R66",G455)),0)+IFERROR(--ISNUMBER(SEARCH("R67",G455)),0)+IFERROR(--ISNUMBER(SEARCH("R72",G455)),0)+IFERROR(--ISNUMBER(SEARCH("R74",G455)),0)+IFERROR(--ISNUMBER(SEARCH("R75",G455)),0)+IFERROR(--ISNUMBER(SEARCH("R76",G455)),0)+IFERROR(--ISNUMBER(SEARCH("R77",G455)),0)+IFERROR(--ISNUMBER(SEARCH("R79",G455)),0)+IFERROR(--ISNUMBER(SEARCH("R80",G455)),0)+IFERROR(--ISNUMBER(SEARCH("R81",G455)),0)+IFERROR(--ISNUMBER(SEARCH("R83",G455)),0)+IFERROR(--ISNUMBER(SEARCH("R84",G455)),0)+IFERROR(--ISNUMBER(SEARCH("R89",G455)),0)+IFERROR(--ISNUMBER(SEARCH("R94",G455)),0)+IFERROR(--ISNUMBER(SEARCH("R95",G455)),0)+IFERROR(--ISNUMBER(SEARCH("R96",G455)),0)+IFERROR(--ISNUMBER(SEARCH("R98",G455)),0)+IFERROR(--ISNUMBER(SEARCH("R99",G455)),0)+IFERROR(--ISNUMBER(SEARCH("R100",G455)),0)+IFERROR(--ISNUMBER(SEARCH("R104",G455)),0)+IFERROR(--ISNUMBER(SEARCH("R105",G455)),0)+IFERROR(--ISNUMBER(SEARCH("R107",G455)),0)+IFERROR(--ISNUMBER(SEARCH("R108",G455)),0)+IFERROR(--ISNUMBER(SEARCH("R109",G455)),0)+IFERROR(--ISNUMBER(SEARCH("R110",G455)),0)+IFERROR(--ISNUMBER(SEARCH("R112",G455)),0)+IFERROR(--ISNUMBER(SEARCH("R113",G455)),0)+IFERROR(--ISNUMBER(SEARCH("R114",G455)),0)+IFERROR(--ISNUMBER(SEARCH("R118",G455)),0)+IFERROR(--ISNUMBER(SEARCH("R119",G455)),0)+IFERROR(--ISNUMBER(SEARCH("R120",G455)),0)+IFERROR(--ISNUMBER(SEARCH("R122",G455)),0)+IFERROR(--ISNUMBER(SEARCH("R123",G455)),0)+IFERROR(--ISNUMBER(SEARCH("R124",G455)),0)+IFERROR(--ISNUMBER(SEARCH("R128",G455)),0)+IFERROR(--ISNUMBER(SEARCH("R130",G455)),0)+IFERROR(--ISNUMBER(SEARCH("R131",G455)),0)+IFERROR(--ISNUMBER(SEARCH("R132",G455)),0)+IFERROR(--ISNUMBER(SEARCH("R135",G455)),0)+IFERROR(--ISNUMBER(SEARCH("R138",G455)),0)+IFERROR(--ISNUMBER(SEARCH("R141",G455)),0))</f>
        <v/>
      </c>
      <c r="U455" s="58">
        <f>IF(A455="","",IFERROR(--ISNUMBER(SEARCH("R28",G455))*28,0)+IFERROR(--ISNUMBER(SEARCH("R29",G455))*29,0)+IFERROR(--ISNUMBER(SEARCH("R30",G455))*30,0)+IFERROR(--ISNUMBER(SEARCH("R31",G455))*31,0)+IFERROR(--ISNUMBER(SEARCH("R32",G455))*32,0)+IFERROR(--ISNUMBER(SEARCH("R33",G455))*33,0)+IFERROR(--ISNUMBER(SEARCH("R34",G455))*34,0)+IFERROR(--ISNUMBER(SEARCH("R35",G455))*35,0)+IFERROR(--ISNUMBER(SEARCH("R36",G455))*36,0)+IFERROR(--ISNUMBER(SEARCH("R37",G455))*37,0)+IFERROR(--ISNUMBER(SEARCH("R38",G455))*38,0)+IFERROR(--ISNUMBER(SEARCH("R39",G455))*39,0)+IFERROR(--ISNUMBER(SEARCH("R40",G455))*40,0)+IFERROR(--ISNUMBER(SEARCH("R41",G455))*41,0)+IFERROR(--ISNUMBER(SEARCH("R42",G455))*42,0)+IFERROR(--ISNUMBER(SEARCH("R43",G455))*43,0)+IFERROR(--ISNUMBER(SEARCH("R44",G455))*44,0)+IFERROR(--ISNUMBER(SEARCH("R45",G455))*45,0)+IFERROR(--ISNUMBER(SEARCH("R46",G455))*46,0)+IFERROR(--ISNUMBER(SEARCH("R47",G455))*47,0)+IFERROR(--ISNUMBER(SEARCH("R48",G455))*48,0)+IFERROR(--ISNUMBER(SEARCH("R49",G455))*49,0)+IFERROR(--ISNUMBER(SEARCH("R50",G455))*50,0)+IFERROR(--ISNUMBER(SEARCH("R51",G455))*51,0)+IFERROR(--ISNUMBER(SEARCH("R52",G455))*52,0)+IFERROR(--ISNUMBER(SEARCH("R53",G455))*53,0)+IFERROR(--ISNUMBER(SEARCH("R54",G455))*54,0)+IFERROR(--ISNUMBER(SEARCH("R55",G455))*55,0)+IFERROR(--ISNUMBER(SEARCH("R56",G455))*56,0)+IFERROR(--ISNUMBER(SEARCH("R57",G455))*57,0)+IFERROR(--ISNUMBER(SEARCH("R58",G455))*58,0)+IFERROR(--ISNUMBER(SEARCH("R59",G455))*59,0)+IFERROR(--ISNUMBER(SEARCH("R60",G455))*60,0)+IFERROR(--ISNUMBER(SEARCH("R61",G455))*61,0)+IFERROR(--ISNUMBER(SEARCH("R62",G455))*62,0)+IFERROR(--ISNUMBER(SEARCH("R63",G455))*63,0)+IFERROR(--ISNUMBER(SEARCH("R64",G455))*64,0)+IFERROR(--ISNUMBER(SEARCH("R65",G455))*65,0)+IFERROR(--ISNUMBER(SEARCH("R66",G455))*66,0)+IFERROR(--ISNUMBER(SEARCH("R67",G455))*67,0)+IFERROR(--ISNUMBER(SEARCH("R68",G455))*68,0)+IFERROR(--ISNUMBER(SEARCH("R69",G455))*69,0)+IFERROR(--ISNUMBER(SEARCH("R70",G455))*70,0)+IFERROR(--ISNUMBER(SEARCH("R71",G455))*71,0)+IFERROR(--ISNUMBER(SEARCH("R72",G455))*72,0)+IFERROR(--ISNUMBER(SEARCH("R73",G455))*73,0)+IFERROR(--ISNUMBER(SEARCH("R74",G455))*74,0)+IFERROR(--ISNUMBER(SEARCH("R75",G455))*75,0)+IFERROR(--ISNUMBER(SEARCH("R76",G455))*76,0)+IFERROR(--ISNUMBER(SEARCH("R77",G455))*77,0)+IFERROR(--ISNUMBER(SEARCH("R78",G455))*78,0)+IFERROR(--ISNUMBER(SEARCH("R79",G455))*79,0)+IFERROR(--ISNUMBER(SEARCH("R80",G455))*80,0)+IFERROR(--ISNUMBER(SEARCH("R81",G455))*81,0)+IFERROR(--ISNUMBER(SEARCH("R82",G455))*82,0)+IFERROR(--ISNUMBER(SEARCH("R83",G455))*83,0)+IFERROR(--ISNUMBER(SEARCH("R84",G455))*84,0)+IFERROR(--ISNUMBER(SEARCH("R85",G455))*85,0)+IFERROR(--ISNUMBER(SEARCH("R86",G455))*86,0)+IFERROR(--ISNUMBER(SEARCH("R87",G455))*87,0)+IFERROR(--ISNUMBER(SEARCH("R88",G455))*88,0)+IFERROR(--ISNUMBER(SEARCH("R89",G455))*89,0)+IFERROR(--ISNUMBER(SEARCH("R90",G455))*90,0)+IFERROR(--ISNUMBER(SEARCH("R91",G455))*91,0)+IFERROR(--ISNUMBER(SEARCH("R92",G455))*92,0)+IFERROR(--ISNUMBER(SEARCH("R93",G455))*93,0)+IFERROR(--ISNUMBER(SEARCH("R94",G455))*94,0)+IFERROR(--ISNUMBER(SEARCH("R95",G455))*95,0)+IFERROR(--ISNUMBER(SEARCH("R96",G455))*96,0)+IFERROR(--ISNUMBER(SEARCH("R97",G455))*97,0)+IFERROR(--ISNUMBER(SEARCH("R98",G455))*98,0)+IFERROR(--ISNUMBER(SEARCH("R99",G455))*99,0)+IFERROR(--ISNUMBER(SEARCH("R100",G455))*100,0)+IFERROR(--ISNUMBER(SEARCH("R101",G455))*101,0)+IFERROR(--ISNUMBER(SEARCH("R102",G455))*102,0)+IFERROR(--ISNUMBER(SEARCH("R103",G455))*103,0)+IFERROR(--ISNUMBER(SEARCH("R104",G455))*104,0)+IFERROR(--ISNUMBER(SEARCH("R105",G455))*105,0)+IFERROR(--ISNUMBER(SEARCH("R106",G455))*106,0)+IFERROR(--ISNUMBER(SEARCH("R107",G455))*107,0)+IFERROR(--ISNUMBER(SEARCH("R108",G455))*108,0)+IFERROR(--ISNUMBER(SEARCH("R109",G455))*109,0)+IFERROR(--ISNUMBER(SEARCH("R110",G455))*110,0)+IFERROR(--ISNUMBER(SEARCH("R111",G455))*111,0)+IFERROR(--ISNUMBER(SEARCH("R112",G455))*112,0)+IFERROR(--ISNUMBER(SEARCH("R113",G455))*113,0)+IFERROR(--ISNUMBER(SEARCH("R114",G455))*114,0)+IFERROR(--ISNUMBER(SEARCH("R115",G455))*115,0)+IFERROR(--ISNUMBER(SEARCH("R116",G455))*116,0)+IFERROR(--ISNUMBER(SEARCH("R117",G455))*117,0)+IFERROR(--ISNUMBER(SEARCH("R118",G455))*118,0)+IFERROR(--ISNUMBER(SEARCH("R119",G455))*119,0)+IFERROR(--ISNUMBER(SEARCH("R120",G455))*120,0)+IFERROR(--ISNUMBER(SEARCH("R121",G455))*121,0)+IFERROR(--ISNUMBER(SEARCH("R122",G455))*122,0)+IFERROR(--ISNUMBER(SEARCH("R123",G455))*123,0)+IFERROR(--ISNUMBER(SEARCH("R124",G455))*124,0)+IFERROR(--ISNUMBER(SEARCH("R125",G455))*125,0)+IFERROR(--ISNUMBER(SEARCH("R126",G455))*126,0)+IFERROR(--ISNUMBER(SEARCH("R127",G455))*127,0)+IFERROR(--ISNUMBER(SEARCH("R128",G455))*128,0)+IFERROR(--ISNUMBER(SEARCH("R129",G455))*129,0)+IFERROR(--ISNUMBER(SEARCH("R130",G455))*130,0)+IFERROR(--ISNUMBER(SEARCH("R131",G455))*131,0)+IFERROR(--ISNUMBER(SEARCH("R132",G455))*132,0)+IFERROR(--ISNUMBER(SEARCH("R133",G455))*133,0)+IFERROR(--ISNUMBER(SEARCH("R134",G455))*134,0)+IFERROR(--ISNUMBER(SEARCH("R135",G455))*135,0)+IFERROR(--ISNUMBER(SEARCH("R136",G455))*136,0)+IFERROR(--ISNUMBER(SEARCH("R137",G455))*137,0)+IFERROR(--ISNUMBER(SEARCH("R138",G455))*138,0)+IFERROR(--ISNUMBER(SEARCH("R139",G455))*139,0)+IFERROR(--ISNUMBER(SEARCH("R140",G455))*140,0)+IFERROR(--ISNUMBER(SEARCH("R141",G455))*141,0))</f>
        <v/>
      </c>
      <c r="V455" s="59">
        <f>IF(A455="","",IF(K455&lt;&gt;"",K455,J455))</f>
        <v/>
      </c>
      <c r="W455" s="59">
        <f>IF(A455="","",IF(AND(V455=29,O455&lt;&gt;"",COUNTIFS($V$6:$V$505,29,$F$6:$F$505,F455,$C$6:$C$505,C455,$O$6:$O$505,"&lt;&gt;")&gt;1),IF(COUNTIFS($V$6:V455,29,$F$6:F455,F455,$C$6:C455,C455,$O$6:O455,"&lt;&gt;")=1,"Esta es la fila que se debe CONSERVAR (aparición 1 de "&amp;COUNTIFS($V$6:$V$505,29,$F$6:$F$505,F455,$C$6:$C$505,C455,$O$6:$O$505,"&lt;&gt;")&amp;" con el mismo tercero y valor, casilla 29). Si hay más filas iguales, bórreles el valor a ELLAS, no a esta.","DUPLICADO — ya existe otra fila con el mismo tercero y valor para casilla 29 (aparición "&amp;COUNTIFS($V$6:V455,29,$F$6:F455,F455,$C$6:C455,C455,$O$6:O455,"&lt;&gt;")&amp;" de "&amp;COUNTIFS($V$6:$V$505,29,$F$6:$F$505,F455,$C$6:$C$505,C455,$O$6:$O$505,"&lt;&gt;")&amp;"). Para resolverlo: seleccione la celda O"&amp;ROW()&amp;" (columna Valor a declarar de ESTA fila) y presione Supr."),""))</f>
        <v/>
      </c>
      <c r="X455" s="463">
        <f>IF(A455="","",F455)</f>
        <v/>
      </c>
      <c r="Y455" s="463">
        <f>IF(A455="","",SUMIF(Entrada_Manual!$I$88:$I$187,A455,Entrada_Manual!$F$88:$F$187))</f>
        <v/>
      </c>
      <c r="Z455" s="463">
        <f>IF(A455="","",X455-Y455)</f>
        <v/>
      </c>
      <c r="AA455">
        <f>IF(A455="","",SUMPRODUCT((Entrada_Manual!$I$88:$I$187=A455)*1))</f>
        <v/>
      </c>
      <c r="AB455">
        <f>IF(A455="","",IF(S455&lt;=1,"",IF(AA455=0,"PENDIENTE — SIN ASIGNAR",IF(Z455=0,"RESUELTO","PARCIAL — DIFERENCIA "&amp;TEXT(Z455,"#,##0")))))</f>
        <v/>
      </c>
    </row>
    <row r="456" ht="14.25" customHeight="1" s="235">
      <c r="A456" s="47">
        <f>IF(Exogena_RAW!E465&lt;&gt;"",ROW()-5,"")</f>
        <v/>
      </c>
      <c r="B456" s="48">
        <f>IF(A456="","",465)</f>
        <v/>
      </c>
      <c r="C456" s="48">
        <f>IF(A456="","",IFERROR(Exogena_RAW!A465,""))</f>
        <v/>
      </c>
      <c r="D456" s="48">
        <f>IF(A456="","",IFERROR(Exogena_RAW!B465,""))</f>
        <v/>
      </c>
      <c r="E456" s="48">
        <f>IF(A456="","",Exogena_RAW!E465)</f>
        <v/>
      </c>
      <c r="F456" s="461">
        <f>IF(A456="","",Exogena_RAW!F465)</f>
        <v/>
      </c>
      <c r="G456" s="48">
        <f>IF(A456="","",IFERROR(Exogena_RAW!G465,""))</f>
        <v/>
      </c>
      <c r="H456" s="48">
        <f>IF(A456="","",IFERROR(Exogena_RAW!H465,""))</f>
        <v/>
      </c>
      <c r="I456" s="48">
        <f>IF(A456="","",IFERROR(IF(S456&gt;1,"VARIAS CASILLAS",IF(S456=1,IF(T456=1,"PROPUESTA DE CASILLA","REVISIÓN: CASILLA NO DIRECTA"),IF(OR(ISNUMBER(SEARCH("TOPE",UPPER(E456))),ISNUMBER(SEARCH("TOPE",UPPER(G456)))),"SOLO CONTROL",IF(ISNUMBER(SEARCH("RETEN",UPPER(E456))),"RETENCIÓN","REVISAR")))),"REVISAR"))</f>
        <v/>
      </c>
      <c r="J456" s="48">
        <f>IF(A456="","",IF(ISNUMBER(SEARCH("ingreso laboral promedio de los últimos seis meses",E456)),"",IFERROR(IF(AND(S456=1,T456=1),U456,""),"")))</f>
        <v/>
      </c>
      <c r="K456" s="216" t="n"/>
      <c r="L456" s="48">
        <f>IF(A456="","",IFERROR(IF(K456&lt;&gt;"","Casilla elegida por usuario",IF(S456&gt;1,"Varias casillas — elegir en K",IF(J456&lt;&gt;"","Sugerencia directa",IF(S456=1,"No trasladar directo — revisar",IF(OR(ISNUMBER(SEARCH("TOPE",UPPER(E456))),ISNUMBER(SEARCH("TOPE",UPPER(G456)))),"Solo control","Revisar manualmente"))))),"Revisar manualmente"))</f>
        <v/>
      </c>
      <c r="M456" s="461">
        <f>IF(A456="","",IF(IF(K456&lt;&gt;"",K456,J456)="",0,IF(COUNTIFS(Reglas!$I$5:$I$118,IF(K456&lt;&gt;"",K456,J456),Reglas!$J$5:$J$118,"Sí")=1,F456,0)))</f>
        <v/>
      </c>
      <c r="N456" s="56" t="n"/>
      <c r="O456" s="462">
        <f>IF(A456="","",IF(M456=0,"",M456))</f>
        <v/>
      </c>
      <c r="P456" s="461">
        <f>IF(A456="","",IF(O456="",0,IF(ISNUMBER(O456),O456,0)))</f>
        <v/>
      </c>
      <c r="Q456" s="48">
        <f>IF(A456="","",IF(Exogena_RAW!$C$4="","BLOQUEADO: FALTA AÑO",IF(Exogena_RAW!$K$10&lt;&gt;Reglas!$B$5,"BLOQUEADO: AÑO",IF(IF(K456&lt;&gt;"",K456,J456)="",IF(S456&gt;1,"REQUIERE ASIGNACIÓN MANUAL (VARIAS CASILLAS)","INFORMATIVO (sin casilla — no se declara)"),IF(COUNTIFS(Reglas!$I$5:$I$118,IF(K456&lt;&gt;"",K456,J456),Reglas!$J$5:$J$118,"Sí")=0,"BLOQUEADO: CASILLA NO DIRECTA",IF(O456="","EXCLUIDO (valor borrado por el usuario)",IF(_xlfn.ISFORMULA(O456),IF(W456&lt;&gt;"","BORRADOR — VALOR SUGERIDO DIAN ⚠ VER ALERTA","BORRADOR — VALOR SUGERIDO DIAN"),IF(W456&lt;&gt;"","ACEPTADO ⚠ VER ALERTA","ACEPTADO"))))))))</f>
        <v/>
      </c>
      <c r="R456" s="218" t="n"/>
      <c r="S456" s="58">
        <f>IF(A456="","",IFERROR(--ISNUMBER(SEARCH("R28",G456)),0)+IFERROR(--ISNUMBER(SEARCH("R29",G456)),0)+IFERROR(--ISNUMBER(SEARCH("R30",G456)),0)+IFERROR(--ISNUMBER(SEARCH("R31",G456)),0)+IFERROR(--ISNUMBER(SEARCH("R32",G456)),0)+IFERROR(--ISNUMBER(SEARCH("R33",G456)),0)+IFERROR(--ISNUMBER(SEARCH("R34",G456)),0)+IFERROR(--ISNUMBER(SEARCH("R35",G456)),0)+IFERROR(--ISNUMBER(SEARCH("R36",G456)),0)+IFERROR(--ISNUMBER(SEARCH("R37",G456)),0)+IFERROR(--ISNUMBER(SEARCH("R38",G456)),0)+IFERROR(--ISNUMBER(SEARCH("R39",G456)),0)+IFERROR(--ISNUMBER(SEARCH("R40",G456)),0)+IFERROR(--ISNUMBER(SEARCH("R41",G456)),0)+IFERROR(--ISNUMBER(SEARCH("R42",G456)),0)+IFERROR(--ISNUMBER(SEARCH("R43",G456)),0)+IFERROR(--ISNUMBER(SEARCH("R44",G456)),0)+IFERROR(--ISNUMBER(SEARCH("R45",G456)),0)+IFERROR(--ISNUMBER(SEARCH("R46",G456)),0)+IFERROR(--ISNUMBER(SEARCH("R47",G456)),0)+IFERROR(--ISNUMBER(SEARCH("R48",G456)),0)+IFERROR(--ISNUMBER(SEARCH("R49",G456)),0)+IFERROR(--ISNUMBER(SEARCH("R50",G456)),0)+IFERROR(--ISNUMBER(SEARCH("R51",G456)),0)+IFERROR(--ISNUMBER(SEARCH("R52",G456)),0)+IFERROR(--ISNUMBER(SEARCH("R53",G456)),0)+IFERROR(--ISNUMBER(SEARCH("R54",G456)),0)+IFERROR(--ISNUMBER(SEARCH("R55",G456)),0)+IFERROR(--ISNUMBER(SEARCH("R56",G456)),0)+IFERROR(--ISNUMBER(SEARCH("R57",G456)),0)+IFERROR(--ISNUMBER(SEARCH("R58",G456)),0)+IFERROR(--ISNUMBER(SEARCH("R59",G456)),0)+IFERROR(--ISNUMBER(SEARCH("R60",G456)),0)+IFERROR(--ISNUMBER(SEARCH("R61",G456)),0)+IFERROR(--ISNUMBER(SEARCH("R62",G456)),0)+IFERROR(--ISNUMBER(SEARCH("R63",G456)),0)+IFERROR(--ISNUMBER(SEARCH("R64",G456)),0)+IFERROR(--ISNUMBER(SEARCH("R65",G456)),0)+IFERROR(--ISNUMBER(SEARCH("R66",G456)),0)+IFERROR(--ISNUMBER(SEARCH("R67",G456)),0)+IFERROR(--ISNUMBER(SEARCH("R68",G456)),0)+IFERROR(--ISNUMBER(SEARCH("R69",G456)),0)+IFERROR(--ISNUMBER(SEARCH("R70",G456)),0)+IFERROR(--ISNUMBER(SEARCH("R71",G456)),0)+IFERROR(--ISNUMBER(SEARCH("R72",G456)),0)+IFERROR(--ISNUMBER(SEARCH("R73",G456)),0)+IFERROR(--ISNUMBER(SEARCH("R74",G456)),0)+IFERROR(--ISNUMBER(SEARCH("R75",G456)),0)+IFERROR(--ISNUMBER(SEARCH("R76",G456)),0)+IFERROR(--ISNUMBER(SEARCH("R77",G456)),0)+IFERROR(--ISNUMBER(SEARCH("R78",G456)),0)+IFERROR(--ISNUMBER(SEARCH("R79",G456)),0)+IFERROR(--ISNUMBER(SEARCH("R80",G456)),0)+IFERROR(--ISNUMBER(SEARCH("R81",G456)),0)+IFERROR(--ISNUMBER(SEARCH("R82",G456)),0)+IFERROR(--ISNUMBER(SEARCH("R83",G456)),0)+IFERROR(--ISNUMBER(SEARCH("R84",G456)),0)+IFERROR(--ISNUMBER(SEARCH("R85",G456)),0)+IFERROR(--ISNUMBER(SEARCH("R86",G456)),0)+IFERROR(--ISNUMBER(SEARCH("R87",G456)),0)+IFERROR(--ISNUMBER(SEARCH("R88",G456)),0)+IFERROR(--ISNUMBER(SEARCH("R89",G456)),0)+IFERROR(--ISNUMBER(SEARCH("R90",G456)),0)+IFERROR(--ISNUMBER(SEARCH("R91",G456)),0)+IFERROR(--ISNUMBER(SEARCH("R92",G456)),0)+IFERROR(--ISNUMBER(SEARCH("R93",G456)),0)+IFERROR(--ISNUMBER(SEARCH("R94",G456)),0)+IFERROR(--ISNUMBER(SEARCH("R95",G456)),0)+IFERROR(--ISNUMBER(SEARCH("R96",G456)),0)+IFERROR(--ISNUMBER(SEARCH("R97",G456)),0)+IFERROR(--ISNUMBER(SEARCH("R98",G456)),0)+IFERROR(--ISNUMBER(SEARCH("R99",G456)),0)+IFERROR(--ISNUMBER(SEARCH("R100",G456)),0)+IFERROR(--ISNUMBER(SEARCH("R101",G456)),0)+IFERROR(--ISNUMBER(SEARCH("R102",G456)),0)+IFERROR(--ISNUMBER(SEARCH("R103",G456)),0)+IFERROR(--ISNUMBER(SEARCH("R104",G456)),0)+IFERROR(--ISNUMBER(SEARCH("R105",G456)),0)+IFERROR(--ISNUMBER(SEARCH("R106",G456)),0)+IFERROR(--ISNUMBER(SEARCH("R107",G456)),0)+IFERROR(--ISNUMBER(SEARCH("R108",G456)),0)+IFERROR(--ISNUMBER(SEARCH("R109",G456)),0)+IFERROR(--ISNUMBER(SEARCH("R110",G456)),0)+IFERROR(--ISNUMBER(SEARCH("R111",G456)),0)+IFERROR(--ISNUMBER(SEARCH("R112",G456)),0)+IFERROR(--ISNUMBER(SEARCH("R113",G456)),0)+IFERROR(--ISNUMBER(SEARCH("R114",G456)),0)+IFERROR(--ISNUMBER(SEARCH("R115",G456)),0)+IFERROR(--ISNUMBER(SEARCH("R116",G456)),0)+IFERROR(--ISNUMBER(SEARCH("R117",G456)),0)+IFERROR(--ISNUMBER(SEARCH("R118",G456)),0)+IFERROR(--ISNUMBER(SEARCH("R119",G456)),0)+IFERROR(--ISNUMBER(SEARCH("R120",G456)),0)+IFERROR(--ISNUMBER(SEARCH("R121",G456)),0)+IFERROR(--ISNUMBER(SEARCH("R122",G456)),0)+IFERROR(--ISNUMBER(SEARCH("R123",G456)),0)+IFERROR(--ISNUMBER(SEARCH("R124",G456)),0)+IFERROR(--ISNUMBER(SEARCH("R125",G456)),0)+IFERROR(--ISNUMBER(SEARCH("R126",G456)),0)+IFERROR(--ISNUMBER(SEARCH("R127",G456)),0)+IFERROR(--ISNUMBER(SEARCH("R128",G456)),0)+IFERROR(--ISNUMBER(SEARCH("R129",G456)),0)+IFERROR(--ISNUMBER(SEARCH("R130",G456)),0)+IFERROR(--ISNUMBER(SEARCH("R131",G456)),0)+IFERROR(--ISNUMBER(SEARCH("R132",G456)),0)+IFERROR(--ISNUMBER(SEARCH("R133",G456)),0)+IFERROR(--ISNUMBER(SEARCH("R134",G456)),0)+IFERROR(--ISNUMBER(SEARCH("R135",G456)),0)+IFERROR(--ISNUMBER(SEARCH("R136",G456)),0)+IFERROR(--ISNUMBER(SEARCH("R137",G456)),0)+IFERROR(--ISNUMBER(SEARCH("R138",G456)),0)+IFERROR(--ISNUMBER(SEARCH("R139",G456)),0)+IFERROR(--ISNUMBER(SEARCH("R140",G456)),0)+IFERROR(--ISNUMBER(SEARCH("R141",G456)),0))</f>
        <v/>
      </c>
      <c r="T456" s="58">
        <f>IF(A456="","",IFERROR(--ISNUMBER(SEARCH("R28",G456)),0)+IFERROR(--ISNUMBER(SEARCH("R29",G456)),0)+IFERROR(--ISNUMBER(SEARCH("R30",G456)),0)+IFERROR(--ISNUMBER(SEARCH("R32",G456)),0)+IFERROR(--ISNUMBER(SEARCH("R33",G456)),0)+IFERROR(--ISNUMBER(SEARCH("R35",G456)),0)+IFERROR(--ISNUMBER(SEARCH("R36",G456)),0)+IFERROR(--ISNUMBER(SEARCH("R38",G456)),0)+IFERROR(--ISNUMBER(SEARCH("R39",G456)),0)+IFERROR(--ISNUMBER(SEARCH("R43",G456)),0)+IFERROR(--ISNUMBER(SEARCH("R44",G456)),0)+IFERROR(--ISNUMBER(SEARCH("R45",G456)),0)+IFERROR(--ISNUMBER(SEARCH("R47",G456)),0)+IFERROR(--ISNUMBER(SEARCH("R48",G456)),0)+IFERROR(--ISNUMBER(SEARCH("R50",G456)),0)+IFERROR(--ISNUMBER(SEARCH("R51",G456)),0)+IFERROR(--ISNUMBER(SEARCH("R56",G456)),0)+IFERROR(--ISNUMBER(SEARCH("R58",G456)),0)+IFERROR(--ISNUMBER(SEARCH("R59",G456)),0)+IFERROR(--ISNUMBER(SEARCH("R60",G456)),0)+IFERROR(--ISNUMBER(SEARCH("R62",G456)),0)+IFERROR(--ISNUMBER(SEARCH("R63",G456)),0)+IFERROR(--ISNUMBER(SEARCH("R64",G456)),0)+IFERROR(--ISNUMBER(SEARCH("R66",G456)),0)+IFERROR(--ISNUMBER(SEARCH("R67",G456)),0)+IFERROR(--ISNUMBER(SEARCH("R72",G456)),0)+IFERROR(--ISNUMBER(SEARCH("R74",G456)),0)+IFERROR(--ISNUMBER(SEARCH("R75",G456)),0)+IFERROR(--ISNUMBER(SEARCH("R76",G456)),0)+IFERROR(--ISNUMBER(SEARCH("R77",G456)),0)+IFERROR(--ISNUMBER(SEARCH("R79",G456)),0)+IFERROR(--ISNUMBER(SEARCH("R80",G456)),0)+IFERROR(--ISNUMBER(SEARCH("R81",G456)),0)+IFERROR(--ISNUMBER(SEARCH("R83",G456)),0)+IFERROR(--ISNUMBER(SEARCH("R84",G456)),0)+IFERROR(--ISNUMBER(SEARCH("R89",G456)),0)+IFERROR(--ISNUMBER(SEARCH("R94",G456)),0)+IFERROR(--ISNUMBER(SEARCH("R95",G456)),0)+IFERROR(--ISNUMBER(SEARCH("R96",G456)),0)+IFERROR(--ISNUMBER(SEARCH("R98",G456)),0)+IFERROR(--ISNUMBER(SEARCH("R99",G456)),0)+IFERROR(--ISNUMBER(SEARCH("R100",G456)),0)+IFERROR(--ISNUMBER(SEARCH("R104",G456)),0)+IFERROR(--ISNUMBER(SEARCH("R105",G456)),0)+IFERROR(--ISNUMBER(SEARCH("R107",G456)),0)+IFERROR(--ISNUMBER(SEARCH("R108",G456)),0)+IFERROR(--ISNUMBER(SEARCH("R109",G456)),0)+IFERROR(--ISNUMBER(SEARCH("R110",G456)),0)+IFERROR(--ISNUMBER(SEARCH("R112",G456)),0)+IFERROR(--ISNUMBER(SEARCH("R113",G456)),0)+IFERROR(--ISNUMBER(SEARCH("R114",G456)),0)+IFERROR(--ISNUMBER(SEARCH("R118",G456)),0)+IFERROR(--ISNUMBER(SEARCH("R119",G456)),0)+IFERROR(--ISNUMBER(SEARCH("R120",G456)),0)+IFERROR(--ISNUMBER(SEARCH("R122",G456)),0)+IFERROR(--ISNUMBER(SEARCH("R123",G456)),0)+IFERROR(--ISNUMBER(SEARCH("R124",G456)),0)+IFERROR(--ISNUMBER(SEARCH("R128",G456)),0)+IFERROR(--ISNUMBER(SEARCH("R130",G456)),0)+IFERROR(--ISNUMBER(SEARCH("R131",G456)),0)+IFERROR(--ISNUMBER(SEARCH("R132",G456)),0)+IFERROR(--ISNUMBER(SEARCH("R135",G456)),0)+IFERROR(--ISNUMBER(SEARCH("R138",G456)),0)+IFERROR(--ISNUMBER(SEARCH("R141",G456)),0))</f>
        <v/>
      </c>
      <c r="U456" s="58">
        <f>IF(A456="","",IFERROR(--ISNUMBER(SEARCH("R28",G456))*28,0)+IFERROR(--ISNUMBER(SEARCH("R29",G456))*29,0)+IFERROR(--ISNUMBER(SEARCH("R30",G456))*30,0)+IFERROR(--ISNUMBER(SEARCH("R31",G456))*31,0)+IFERROR(--ISNUMBER(SEARCH("R32",G456))*32,0)+IFERROR(--ISNUMBER(SEARCH("R33",G456))*33,0)+IFERROR(--ISNUMBER(SEARCH("R34",G456))*34,0)+IFERROR(--ISNUMBER(SEARCH("R35",G456))*35,0)+IFERROR(--ISNUMBER(SEARCH("R36",G456))*36,0)+IFERROR(--ISNUMBER(SEARCH("R37",G456))*37,0)+IFERROR(--ISNUMBER(SEARCH("R38",G456))*38,0)+IFERROR(--ISNUMBER(SEARCH("R39",G456))*39,0)+IFERROR(--ISNUMBER(SEARCH("R40",G456))*40,0)+IFERROR(--ISNUMBER(SEARCH("R41",G456))*41,0)+IFERROR(--ISNUMBER(SEARCH("R42",G456))*42,0)+IFERROR(--ISNUMBER(SEARCH("R43",G456))*43,0)+IFERROR(--ISNUMBER(SEARCH("R44",G456))*44,0)+IFERROR(--ISNUMBER(SEARCH("R45",G456))*45,0)+IFERROR(--ISNUMBER(SEARCH("R46",G456))*46,0)+IFERROR(--ISNUMBER(SEARCH("R47",G456))*47,0)+IFERROR(--ISNUMBER(SEARCH("R48",G456))*48,0)+IFERROR(--ISNUMBER(SEARCH("R49",G456))*49,0)+IFERROR(--ISNUMBER(SEARCH("R50",G456))*50,0)+IFERROR(--ISNUMBER(SEARCH("R51",G456))*51,0)+IFERROR(--ISNUMBER(SEARCH("R52",G456))*52,0)+IFERROR(--ISNUMBER(SEARCH("R53",G456))*53,0)+IFERROR(--ISNUMBER(SEARCH("R54",G456))*54,0)+IFERROR(--ISNUMBER(SEARCH("R55",G456))*55,0)+IFERROR(--ISNUMBER(SEARCH("R56",G456))*56,0)+IFERROR(--ISNUMBER(SEARCH("R57",G456))*57,0)+IFERROR(--ISNUMBER(SEARCH("R58",G456))*58,0)+IFERROR(--ISNUMBER(SEARCH("R59",G456))*59,0)+IFERROR(--ISNUMBER(SEARCH("R60",G456))*60,0)+IFERROR(--ISNUMBER(SEARCH("R61",G456))*61,0)+IFERROR(--ISNUMBER(SEARCH("R62",G456))*62,0)+IFERROR(--ISNUMBER(SEARCH("R63",G456))*63,0)+IFERROR(--ISNUMBER(SEARCH("R64",G456))*64,0)+IFERROR(--ISNUMBER(SEARCH("R65",G456))*65,0)+IFERROR(--ISNUMBER(SEARCH("R66",G456))*66,0)+IFERROR(--ISNUMBER(SEARCH("R67",G456))*67,0)+IFERROR(--ISNUMBER(SEARCH("R68",G456))*68,0)+IFERROR(--ISNUMBER(SEARCH("R69",G456))*69,0)+IFERROR(--ISNUMBER(SEARCH("R70",G456))*70,0)+IFERROR(--ISNUMBER(SEARCH("R71",G456))*71,0)+IFERROR(--ISNUMBER(SEARCH("R72",G456))*72,0)+IFERROR(--ISNUMBER(SEARCH("R73",G456))*73,0)+IFERROR(--ISNUMBER(SEARCH("R74",G456))*74,0)+IFERROR(--ISNUMBER(SEARCH("R75",G456))*75,0)+IFERROR(--ISNUMBER(SEARCH("R76",G456))*76,0)+IFERROR(--ISNUMBER(SEARCH("R77",G456))*77,0)+IFERROR(--ISNUMBER(SEARCH("R78",G456))*78,0)+IFERROR(--ISNUMBER(SEARCH("R79",G456))*79,0)+IFERROR(--ISNUMBER(SEARCH("R80",G456))*80,0)+IFERROR(--ISNUMBER(SEARCH("R81",G456))*81,0)+IFERROR(--ISNUMBER(SEARCH("R82",G456))*82,0)+IFERROR(--ISNUMBER(SEARCH("R83",G456))*83,0)+IFERROR(--ISNUMBER(SEARCH("R84",G456))*84,0)+IFERROR(--ISNUMBER(SEARCH("R85",G456))*85,0)+IFERROR(--ISNUMBER(SEARCH("R86",G456))*86,0)+IFERROR(--ISNUMBER(SEARCH("R87",G456))*87,0)+IFERROR(--ISNUMBER(SEARCH("R88",G456))*88,0)+IFERROR(--ISNUMBER(SEARCH("R89",G456))*89,0)+IFERROR(--ISNUMBER(SEARCH("R90",G456))*90,0)+IFERROR(--ISNUMBER(SEARCH("R91",G456))*91,0)+IFERROR(--ISNUMBER(SEARCH("R92",G456))*92,0)+IFERROR(--ISNUMBER(SEARCH("R93",G456))*93,0)+IFERROR(--ISNUMBER(SEARCH("R94",G456))*94,0)+IFERROR(--ISNUMBER(SEARCH("R95",G456))*95,0)+IFERROR(--ISNUMBER(SEARCH("R96",G456))*96,0)+IFERROR(--ISNUMBER(SEARCH("R97",G456))*97,0)+IFERROR(--ISNUMBER(SEARCH("R98",G456))*98,0)+IFERROR(--ISNUMBER(SEARCH("R99",G456))*99,0)+IFERROR(--ISNUMBER(SEARCH("R100",G456))*100,0)+IFERROR(--ISNUMBER(SEARCH("R101",G456))*101,0)+IFERROR(--ISNUMBER(SEARCH("R102",G456))*102,0)+IFERROR(--ISNUMBER(SEARCH("R103",G456))*103,0)+IFERROR(--ISNUMBER(SEARCH("R104",G456))*104,0)+IFERROR(--ISNUMBER(SEARCH("R105",G456))*105,0)+IFERROR(--ISNUMBER(SEARCH("R106",G456))*106,0)+IFERROR(--ISNUMBER(SEARCH("R107",G456))*107,0)+IFERROR(--ISNUMBER(SEARCH("R108",G456))*108,0)+IFERROR(--ISNUMBER(SEARCH("R109",G456))*109,0)+IFERROR(--ISNUMBER(SEARCH("R110",G456))*110,0)+IFERROR(--ISNUMBER(SEARCH("R111",G456))*111,0)+IFERROR(--ISNUMBER(SEARCH("R112",G456))*112,0)+IFERROR(--ISNUMBER(SEARCH("R113",G456))*113,0)+IFERROR(--ISNUMBER(SEARCH("R114",G456))*114,0)+IFERROR(--ISNUMBER(SEARCH("R115",G456))*115,0)+IFERROR(--ISNUMBER(SEARCH("R116",G456))*116,0)+IFERROR(--ISNUMBER(SEARCH("R117",G456))*117,0)+IFERROR(--ISNUMBER(SEARCH("R118",G456))*118,0)+IFERROR(--ISNUMBER(SEARCH("R119",G456))*119,0)+IFERROR(--ISNUMBER(SEARCH("R120",G456))*120,0)+IFERROR(--ISNUMBER(SEARCH("R121",G456))*121,0)+IFERROR(--ISNUMBER(SEARCH("R122",G456))*122,0)+IFERROR(--ISNUMBER(SEARCH("R123",G456))*123,0)+IFERROR(--ISNUMBER(SEARCH("R124",G456))*124,0)+IFERROR(--ISNUMBER(SEARCH("R125",G456))*125,0)+IFERROR(--ISNUMBER(SEARCH("R126",G456))*126,0)+IFERROR(--ISNUMBER(SEARCH("R127",G456))*127,0)+IFERROR(--ISNUMBER(SEARCH("R128",G456))*128,0)+IFERROR(--ISNUMBER(SEARCH("R129",G456))*129,0)+IFERROR(--ISNUMBER(SEARCH("R130",G456))*130,0)+IFERROR(--ISNUMBER(SEARCH("R131",G456))*131,0)+IFERROR(--ISNUMBER(SEARCH("R132",G456))*132,0)+IFERROR(--ISNUMBER(SEARCH("R133",G456))*133,0)+IFERROR(--ISNUMBER(SEARCH("R134",G456))*134,0)+IFERROR(--ISNUMBER(SEARCH("R135",G456))*135,0)+IFERROR(--ISNUMBER(SEARCH("R136",G456))*136,0)+IFERROR(--ISNUMBER(SEARCH("R137",G456))*137,0)+IFERROR(--ISNUMBER(SEARCH("R138",G456))*138,0)+IFERROR(--ISNUMBER(SEARCH("R139",G456))*139,0)+IFERROR(--ISNUMBER(SEARCH("R140",G456))*140,0)+IFERROR(--ISNUMBER(SEARCH("R141",G456))*141,0))</f>
        <v/>
      </c>
      <c r="V456" s="59">
        <f>IF(A456="","",IF(K456&lt;&gt;"",K456,J456))</f>
        <v/>
      </c>
      <c r="W456" s="59">
        <f>IF(A456="","",IF(AND(V456=29,O456&lt;&gt;"",COUNTIFS($V$6:$V$505,29,$F$6:$F$505,F456,$C$6:$C$505,C456,$O$6:$O$505,"&lt;&gt;")&gt;1),IF(COUNTIFS($V$6:V456,29,$F$6:F456,F456,$C$6:C456,C456,$O$6:O456,"&lt;&gt;")=1,"Esta es la fila que se debe CONSERVAR (aparición 1 de "&amp;COUNTIFS($V$6:$V$505,29,$F$6:$F$505,F456,$C$6:$C$505,C456,$O$6:$O$505,"&lt;&gt;")&amp;" con el mismo tercero y valor, casilla 29). Si hay más filas iguales, bórreles el valor a ELLAS, no a esta.","DUPLICADO — ya existe otra fila con el mismo tercero y valor para casilla 29 (aparición "&amp;COUNTIFS($V$6:V456,29,$F$6:F456,F456,$C$6:C456,C456,$O$6:O456,"&lt;&gt;")&amp;" de "&amp;COUNTIFS($V$6:$V$505,29,$F$6:$F$505,F456,$C$6:$C$505,C456,$O$6:$O$505,"&lt;&gt;")&amp;"). Para resolverlo: seleccione la celda O"&amp;ROW()&amp;" (columna Valor a declarar de ESTA fila) y presione Supr."),""))</f>
        <v/>
      </c>
      <c r="X456" s="463">
        <f>IF(A456="","",F456)</f>
        <v/>
      </c>
      <c r="Y456" s="463">
        <f>IF(A456="","",SUMIF(Entrada_Manual!$I$88:$I$187,A456,Entrada_Manual!$F$88:$F$187))</f>
        <v/>
      </c>
      <c r="Z456" s="463">
        <f>IF(A456="","",X456-Y456)</f>
        <v/>
      </c>
      <c r="AA456">
        <f>IF(A456="","",SUMPRODUCT((Entrada_Manual!$I$88:$I$187=A456)*1))</f>
        <v/>
      </c>
      <c r="AB456">
        <f>IF(A456="","",IF(S456&lt;=1,"",IF(AA456=0,"PENDIENTE — SIN ASIGNAR",IF(Z456=0,"RESUELTO","PARCIAL — DIFERENCIA "&amp;TEXT(Z456,"#,##0")))))</f>
        <v/>
      </c>
    </row>
    <row r="457" ht="14.25" customHeight="1" s="235">
      <c r="A457" s="47">
        <f>IF(Exogena_RAW!E466&lt;&gt;"",ROW()-5,"")</f>
        <v/>
      </c>
      <c r="B457" s="48">
        <f>IF(A457="","",466)</f>
        <v/>
      </c>
      <c r="C457" s="48">
        <f>IF(A457="","",IFERROR(Exogena_RAW!A466,""))</f>
        <v/>
      </c>
      <c r="D457" s="48">
        <f>IF(A457="","",IFERROR(Exogena_RAW!B466,""))</f>
        <v/>
      </c>
      <c r="E457" s="48">
        <f>IF(A457="","",Exogena_RAW!E466)</f>
        <v/>
      </c>
      <c r="F457" s="461">
        <f>IF(A457="","",Exogena_RAW!F466)</f>
        <v/>
      </c>
      <c r="G457" s="48">
        <f>IF(A457="","",IFERROR(Exogena_RAW!G466,""))</f>
        <v/>
      </c>
      <c r="H457" s="48">
        <f>IF(A457="","",IFERROR(Exogena_RAW!H466,""))</f>
        <v/>
      </c>
      <c r="I457" s="48">
        <f>IF(A457="","",IFERROR(IF(S457&gt;1,"VARIAS CASILLAS",IF(S457=1,IF(T457=1,"PROPUESTA DE CASILLA","REVISIÓN: CASILLA NO DIRECTA"),IF(OR(ISNUMBER(SEARCH("TOPE",UPPER(E457))),ISNUMBER(SEARCH("TOPE",UPPER(G457)))),"SOLO CONTROL",IF(ISNUMBER(SEARCH("RETEN",UPPER(E457))),"RETENCIÓN","REVISAR")))),"REVISAR"))</f>
        <v/>
      </c>
      <c r="J457" s="48">
        <f>IF(A457="","",IF(ISNUMBER(SEARCH("ingreso laboral promedio de los últimos seis meses",E457)),"",IFERROR(IF(AND(S457=1,T457=1),U457,""),"")))</f>
        <v/>
      </c>
      <c r="K457" s="216" t="n"/>
      <c r="L457" s="48">
        <f>IF(A457="","",IFERROR(IF(K457&lt;&gt;"","Casilla elegida por usuario",IF(S457&gt;1,"Varias casillas — elegir en K",IF(J457&lt;&gt;"","Sugerencia directa",IF(S457=1,"No trasladar directo — revisar",IF(OR(ISNUMBER(SEARCH("TOPE",UPPER(E457))),ISNUMBER(SEARCH("TOPE",UPPER(G457)))),"Solo control","Revisar manualmente"))))),"Revisar manualmente"))</f>
        <v/>
      </c>
      <c r="M457" s="461">
        <f>IF(A457="","",IF(IF(K457&lt;&gt;"",K457,J457)="",0,IF(COUNTIFS(Reglas!$I$5:$I$118,IF(K457&lt;&gt;"",K457,J457),Reglas!$J$5:$J$118,"Sí")=1,F457,0)))</f>
        <v/>
      </c>
      <c r="N457" s="56" t="n"/>
      <c r="O457" s="462">
        <f>IF(A457="","",IF(M457=0,"",M457))</f>
        <v/>
      </c>
      <c r="P457" s="461">
        <f>IF(A457="","",IF(O457="",0,IF(ISNUMBER(O457),O457,0)))</f>
        <v/>
      </c>
      <c r="Q457" s="48">
        <f>IF(A457="","",IF(Exogena_RAW!$C$4="","BLOQUEADO: FALTA AÑO",IF(Exogena_RAW!$K$10&lt;&gt;Reglas!$B$5,"BLOQUEADO: AÑO",IF(IF(K457&lt;&gt;"",K457,J457)="",IF(S457&gt;1,"REQUIERE ASIGNACIÓN MANUAL (VARIAS CASILLAS)","INFORMATIVO (sin casilla — no se declara)"),IF(COUNTIFS(Reglas!$I$5:$I$118,IF(K457&lt;&gt;"",K457,J457),Reglas!$J$5:$J$118,"Sí")=0,"BLOQUEADO: CASILLA NO DIRECTA",IF(O457="","EXCLUIDO (valor borrado por el usuario)",IF(_xlfn.ISFORMULA(O457),IF(W457&lt;&gt;"","BORRADOR — VALOR SUGERIDO DIAN ⚠ VER ALERTA","BORRADOR — VALOR SUGERIDO DIAN"),IF(W457&lt;&gt;"","ACEPTADO ⚠ VER ALERTA","ACEPTADO"))))))))</f>
        <v/>
      </c>
      <c r="R457" s="218" t="n"/>
      <c r="S457" s="58">
        <f>IF(A457="","",IFERROR(--ISNUMBER(SEARCH("R28",G457)),0)+IFERROR(--ISNUMBER(SEARCH("R29",G457)),0)+IFERROR(--ISNUMBER(SEARCH("R30",G457)),0)+IFERROR(--ISNUMBER(SEARCH("R31",G457)),0)+IFERROR(--ISNUMBER(SEARCH("R32",G457)),0)+IFERROR(--ISNUMBER(SEARCH("R33",G457)),0)+IFERROR(--ISNUMBER(SEARCH("R34",G457)),0)+IFERROR(--ISNUMBER(SEARCH("R35",G457)),0)+IFERROR(--ISNUMBER(SEARCH("R36",G457)),0)+IFERROR(--ISNUMBER(SEARCH("R37",G457)),0)+IFERROR(--ISNUMBER(SEARCH("R38",G457)),0)+IFERROR(--ISNUMBER(SEARCH("R39",G457)),0)+IFERROR(--ISNUMBER(SEARCH("R40",G457)),0)+IFERROR(--ISNUMBER(SEARCH("R41",G457)),0)+IFERROR(--ISNUMBER(SEARCH("R42",G457)),0)+IFERROR(--ISNUMBER(SEARCH("R43",G457)),0)+IFERROR(--ISNUMBER(SEARCH("R44",G457)),0)+IFERROR(--ISNUMBER(SEARCH("R45",G457)),0)+IFERROR(--ISNUMBER(SEARCH("R46",G457)),0)+IFERROR(--ISNUMBER(SEARCH("R47",G457)),0)+IFERROR(--ISNUMBER(SEARCH("R48",G457)),0)+IFERROR(--ISNUMBER(SEARCH("R49",G457)),0)+IFERROR(--ISNUMBER(SEARCH("R50",G457)),0)+IFERROR(--ISNUMBER(SEARCH("R51",G457)),0)+IFERROR(--ISNUMBER(SEARCH("R52",G457)),0)+IFERROR(--ISNUMBER(SEARCH("R53",G457)),0)+IFERROR(--ISNUMBER(SEARCH("R54",G457)),0)+IFERROR(--ISNUMBER(SEARCH("R55",G457)),0)+IFERROR(--ISNUMBER(SEARCH("R56",G457)),0)+IFERROR(--ISNUMBER(SEARCH("R57",G457)),0)+IFERROR(--ISNUMBER(SEARCH("R58",G457)),0)+IFERROR(--ISNUMBER(SEARCH("R59",G457)),0)+IFERROR(--ISNUMBER(SEARCH("R60",G457)),0)+IFERROR(--ISNUMBER(SEARCH("R61",G457)),0)+IFERROR(--ISNUMBER(SEARCH("R62",G457)),0)+IFERROR(--ISNUMBER(SEARCH("R63",G457)),0)+IFERROR(--ISNUMBER(SEARCH("R64",G457)),0)+IFERROR(--ISNUMBER(SEARCH("R65",G457)),0)+IFERROR(--ISNUMBER(SEARCH("R66",G457)),0)+IFERROR(--ISNUMBER(SEARCH("R67",G457)),0)+IFERROR(--ISNUMBER(SEARCH("R68",G457)),0)+IFERROR(--ISNUMBER(SEARCH("R69",G457)),0)+IFERROR(--ISNUMBER(SEARCH("R70",G457)),0)+IFERROR(--ISNUMBER(SEARCH("R71",G457)),0)+IFERROR(--ISNUMBER(SEARCH("R72",G457)),0)+IFERROR(--ISNUMBER(SEARCH("R73",G457)),0)+IFERROR(--ISNUMBER(SEARCH("R74",G457)),0)+IFERROR(--ISNUMBER(SEARCH("R75",G457)),0)+IFERROR(--ISNUMBER(SEARCH("R76",G457)),0)+IFERROR(--ISNUMBER(SEARCH("R77",G457)),0)+IFERROR(--ISNUMBER(SEARCH("R78",G457)),0)+IFERROR(--ISNUMBER(SEARCH("R79",G457)),0)+IFERROR(--ISNUMBER(SEARCH("R80",G457)),0)+IFERROR(--ISNUMBER(SEARCH("R81",G457)),0)+IFERROR(--ISNUMBER(SEARCH("R82",G457)),0)+IFERROR(--ISNUMBER(SEARCH("R83",G457)),0)+IFERROR(--ISNUMBER(SEARCH("R84",G457)),0)+IFERROR(--ISNUMBER(SEARCH("R85",G457)),0)+IFERROR(--ISNUMBER(SEARCH("R86",G457)),0)+IFERROR(--ISNUMBER(SEARCH("R87",G457)),0)+IFERROR(--ISNUMBER(SEARCH("R88",G457)),0)+IFERROR(--ISNUMBER(SEARCH("R89",G457)),0)+IFERROR(--ISNUMBER(SEARCH("R90",G457)),0)+IFERROR(--ISNUMBER(SEARCH("R91",G457)),0)+IFERROR(--ISNUMBER(SEARCH("R92",G457)),0)+IFERROR(--ISNUMBER(SEARCH("R93",G457)),0)+IFERROR(--ISNUMBER(SEARCH("R94",G457)),0)+IFERROR(--ISNUMBER(SEARCH("R95",G457)),0)+IFERROR(--ISNUMBER(SEARCH("R96",G457)),0)+IFERROR(--ISNUMBER(SEARCH("R97",G457)),0)+IFERROR(--ISNUMBER(SEARCH("R98",G457)),0)+IFERROR(--ISNUMBER(SEARCH("R99",G457)),0)+IFERROR(--ISNUMBER(SEARCH("R100",G457)),0)+IFERROR(--ISNUMBER(SEARCH("R101",G457)),0)+IFERROR(--ISNUMBER(SEARCH("R102",G457)),0)+IFERROR(--ISNUMBER(SEARCH("R103",G457)),0)+IFERROR(--ISNUMBER(SEARCH("R104",G457)),0)+IFERROR(--ISNUMBER(SEARCH("R105",G457)),0)+IFERROR(--ISNUMBER(SEARCH("R106",G457)),0)+IFERROR(--ISNUMBER(SEARCH("R107",G457)),0)+IFERROR(--ISNUMBER(SEARCH("R108",G457)),0)+IFERROR(--ISNUMBER(SEARCH("R109",G457)),0)+IFERROR(--ISNUMBER(SEARCH("R110",G457)),0)+IFERROR(--ISNUMBER(SEARCH("R111",G457)),0)+IFERROR(--ISNUMBER(SEARCH("R112",G457)),0)+IFERROR(--ISNUMBER(SEARCH("R113",G457)),0)+IFERROR(--ISNUMBER(SEARCH("R114",G457)),0)+IFERROR(--ISNUMBER(SEARCH("R115",G457)),0)+IFERROR(--ISNUMBER(SEARCH("R116",G457)),0)+IFERROR(--ISNUMBER(SEARCH("R117",G457)),0)+IFERROR(--ISNUMBER(SEARCH("R118",G457)),0)+IFERROR(--ISNUMBER(SEARCH("R119",G457)),0)+IFERROR(--ISNUMBER(SEARCH("R120",G457)),0)+IFERROR(--ISNUMBER(SEARCH("R121",G457)),0)+IFERROR(--ISNUMBER(SEARCH("R122",G457)),0)+IFERROR(--ISNUMBER(SEARCH("R123",G457)),0)+IFERROR(--ISNUMBER(SEARCH("R124",G457)),0)+IFERROR(--ISNUMBER(SEARCH("R125",G457)),0)+IFERROR(--ISNUMBER(SEARCH("R126",G457)),0)+IFERROR(--ISNUMBER(SEARCH("R127",G457)),0)+IFERROR(--ISNUMBER(SEARCH("R128",G457)),0)+IFERROR(--ISNUMBER(SEARCH("R129",G457)),0)+IFERROR(--ISNUMBER(SEARCH("R130",G457)),0)+IFERROR(--ISNUMBER(SEARCH("R131",G457)),0)+IFERROR(--ISNUMBER(SEARCH("R132",G457)),0)+IFERROR(--ISNUMBER(SEARCH("R133",G457)),0)+IFERROR(--ISNUMBER(SEARCH("R134",G457)),0)+IFERROR(--ISNUMBER(SEARCH("R135",G457)),0)+IFERROR(--ISNUMBER(SEARCH("R136",G457)),0)+IFERROR(--ISNUMBER(SEARCH("R137",G457)),0)+IFERROR(--ISNUMBER(SEARCH("R138",G457)),0)+IFERROR(--ISNUMBER(SEARCH("R139",G457)),0)+IFERROR(--ISNUMBER(SEARCH("R140",G457)),0)+IFERROR(--ISNUMBER(SEARCH("R141",G457)),0))</f>
        <v/>
      </c>
      <c r="T457" s="58">
        <f>IF(A457="","",IFERROR(--ISNUMBER(SEARCH("R28",G457)),0)+IFERROR(--ISNUMBER(SEARCH("R29",G457)),0)+IFERROR(--ISNUMBER(SEARCH("R30",G457)),0)+IFERROR(--ISNUMBER(SEARCH("R32",G457)),0)+IFERROR(--ISNUMBER(SEARCH("R33",G457)),0)+IFERROR(--ISNUMBER(SEARCH("R35",G457)),0)+IFERROR(--ISNUMBER(SEARCH("R36",G457)),0)+IFERROR(--ISNUMBER(SEARCH("R38",G457)),0)+IFERROR(--ISNUMBER(SEARCH("R39",G457)),0)+IFERROR(--ISNUMBER(SEARCH("R43",G457)),0)+IFERROR(--ISNUMBER(SEARCH("R44",G457)),0)+IFERROR(--ISNUMBER(SEARCH("R45",G457)),0)+IFERROR(--ISNUMBER(SEARCH("R47",G457)),0)+IFERROR(--ISNUMBER(SEARCH("R48",G457)),0)+IFERROR(--ISNUMBER(SEARCH("R50",G457)),0)+IFERROR(--ISNUMBER(SEARCH("R51",G457)),0)+IFERROR(--ISNUMBER(SEARCH("R56",G457)),0)+IFERROR(--ISNUMBER(SEARCH("R58",G457)),0)+IFERROR(--ISNUMBER(SEARCH("R59",G457)),0)+IFERROR(--ISNUMBER(SEARCH("R60",G457)),0)+IFERROR(--ISNUMBER(SEARCH("R62",G457)),0)+IFERROR(--ISNUMBER(SEARCH("R63",G457)),0)+IFERROR(--ISNUMBER(SEARCH("R64",G457)),0)+IFERROR(--ISNUMBER(SEARCH("R66",G457)),0)+IFERROR(--ISNUMBER(SEARCH("R67",G457)),0)+IFERROR(--ISNUMBER(SEARCH("R72",G457)),0)+IFERROR(--ISNUMBER(SEARCH("R74",G457)),0)+IFERROR(--ISNUMBER(SEARCH("R75",G457)),0)+IFERROR(--ISNUMBER(SEARCH("R76",G457)),0)+IFERROR(--ISNUMBER(SEARCH("R77",G457)),0)+IFERROR(--ISNUMBER(SEARCH("R79",G457)),0)+IFERROR(--ISNUMBER(SEARCH("R80",G457)),0)+IFERROR(--ISNUMBER(SEARCH("R81",G457)),0)+IFERROR(--ISNUMBER(SEARCH("R83",G457)),0)+IFERROR(--ISNUMBER(SEARCH("R84",G457)),0)+IFERROR(--ISNUMBER(SEARCH("R89",G457)),0)+IFERROR(--ISNUMBER(SEARCH("R94",G457)),0)+IFERROR(--ISNUMBER(SEARCH("R95",G457)),0)+IFERROR(--ISNUMBER(SEARCH("R96",G457)),0)+IFERROR(--ISNUMBER(SEARCH("R98",G457)),0)+IFERROR(--ISNUMBER(SEARCH("R99",G457)),0)+IFERROR(--ISNUMBER(SEARCH("R100",G457)),0)+IFERROR(--ISNUMBER(SEARCH("R104",G457)),0)+IFERROR(--ISNUMBER(SEARCH("R105",G457)),0)+IFERROR(--ISNUMBER(SEARCH("R107",G457)),0)+IFERROR(--ISNUMBER(SEARCH("R108",G457)),0)+IFERROR(--ISNUMBER(SEARCH("R109",G457)),0)+IFERROR(--ISNUMBER(SEARCH("R110",G457)),0)+IFERROR(--ISNUMBER(SEARCH("R112",G457)),0)+IFERROR(--ISNUMBER(SEARCH("R113",G457)),0)+IFERROR(--ISNUMBER(SEARCH("R114",G457)),0)+IFERROR(--ISNUMBER(SEARCH("R118",G457)),0)+IFERROR(--ISNUMBER(SEARCH("R119",G457)),0)+IFERROR(--ISNUMBER(SEARCH("R120",G457)),0)+IFERROR(--ISNUMBER(SEARCH("R122",G457)),0)+IFERROR(--ISNUMBER(SEARCH("R123",G457)),0)+IFERROR(--ISNUMBER(SEARCH("R124",G457)),0)+IFERROR(--ISNUMBER(SEARCH("R128",G457)),0)+IFERROR(--ISNUMBER(SEARCH("R130",G457)),0)+IFERROR(--ISNUMBER(SEARCH("R131",G457)),0)+IFERROR(--ISNUMBER(SEARCH("R132",G457)),0)+IFERROR(--ISNUMBER(SEARCH("R135",G457)),0)+IFERROR(--ISNUMBER(SEARCH("R138",G457)),0)+IFERROR(--ISNUMBER(SEARCH("R141",G457)),0))</f>
        <v/>
      </c>
      <c r="U457" s="58">
        <f>IF(A457="","",IFERROR(--ISNUMBER(SEARCH("R28",G457))*28,0)+IFERROR(--ISNUMBER(SEARCH("R29",G457))*29,0)+IFERROR(--ISNUMBER(SEARCH("R30",G457))*30,0)+IFERROR(--ISNUMBER(SEARCH("R31",G457))*31,0)+IFERROR(--ISNUMBER(SEARCH("R32",G457))*32,0)+IFERROR(--ISNUMBER(SEARCH("R33",G457))*33,0)+IFERROR(--ISNUMBER(SEARCH("R34",G457))*34,0)+IFERROR(--ISNUMBER(SEARCH("R35",G457))*35,0)+IFERROR(--ISNUMBER(SEARCH("R36",G457))*36,0)+IFERROR(--ISNUMBER(SEARCH("R37",G457))*37,0)+IFERROR(--ISNUMBER(SEARCH("R38",G457))*38,0)+IFERROR(--ISNUMBER(SEARCH("R39",G457))*39,0)+IFERROR(--ISNUMBER(SEARCH("R40",G457))*40,0)+IFERROR(--ISNUMBER(SEARCH("R41",G457))*41,0)+IFERROR(--ISNUMBER(SEARCH("R42",G457))*42,0)+IFERROR(--ISNUMBER(SEARCH("R43",G457))*43,0)+IFERROR(--ISNUMBER(SEARCH("R44",G457))*44,0)+IFERROR(--ISNUMBER(SEARCH("R45",G457))*45,0)+IFERROR(--ISNUMBER(SEARCH("R46",G457))*46,0)+IFERROR(--ISNUMBER(SEARCH("R47",G457))*47,0)+IFERROR(--ISNUMBER(SEARCH("R48",G457))*48,0)+IFERROR(--ISNUMBER(SEARCH("R49",G457))*49,0)+IFERROR(--ISNUMBER(SEARCH("R50",G457))*50,0)+IFERROR(--ISNUMBER(SEARCH("R51",G457))*51,0)+IFERROR(--ISNUMBER(SEARCH("R52",G457))*52,0)+IFERROR(--ISNUMBER(SEARCH("R53",G457))*53,0)+IFERROR(--ISNUMBER(SEARCH("R54",G457))*54,0)+IFERROR(--ISNUMBER(SEARCH("R55",G457))*55,0)+IFERROR(--ISNUMBER(SEARCH("R56",G457))*56,0)+IFERROR(--ISNUMBER(SEARCH("R57",G457))*57,0)+IFERROR(--ISNUMBER(SEARCH("R58",G457))*58,0)+IFERROR(--ISNUMBER(SEARCH("R59",G457))*59,0)+IFERROR(--ISNUMBER(SEARCH("R60",G457))*60,0)+IFERROR(--ISNUMBER(SEARCH("R61",G457))*61,0)+IFERROR(--ISNUMBER(SEARCH("R62",G457))*62,0)+IFERROR(--ISNUMBER(SEARCH("R63",G457))*63,0)+IFERROR(--ISNUMBER(SEARCH("R64",G457))*64,0)+IFERROR(--ISNUMBER(SEARCH("R65",G457))*65,0)+IFERROR(--ISNUMBER(SEARCH("R66",G457))*66,0)+IFERROR(--ISNUMBER(SEARCH("R67",G457))*67,0)+IFERROR(--ISNUMBER(SEARCH("R68",G457))*68,0)+IFERROR(--ISNUMBER(SEARCH("R69",G457))*69,0)+IFERROR(--ISNUMBER(SEARCH("R70",G457))*70,0)+IFERROR(--ISNUMBER(SEARCH("R71",G457))*71,0)+IFERROR(--ISNUMBER(SEARCH("R72",G457))*72,0)+IFERROR(--ISNUMBER(SEARCH("R73",G457))*73,0)+IFERROR(--ISNUMBER(SEARCH("R74",G457))*74,0)+IFERROR(--ISNUMBER(SEARCH("R75",G457))*75,0)+IFERROR(--ISNUMBER(SEARCH("R76",G457))*76,0)+IFERROR(--ISNUMBER(SEARCH("R77",G457))*77,0)+IFERROR(--ISNUMBER(SEARCH("R78",G457))*78,0)+IFERROR(--ISNUMBER(SEARCH("R79",G457))*79,0)+IFERROR(--ISNUMBER(SEARCH("R80",G457))*80,0)+IFERROR(--ISNUMBER(SEARCH("R81",G457))*81,0)+IFERROR(--ISNUMBER(SEARCH("R82",G457))*82,0)+IFERROR(--ISNUMBER(SEARCH("R83",G457))*83,0)+IFERROR(--ISNUMBER(SEARCH("R84",G457))*84,0)+IFERROR(--ISNUMBER(SEARCH("R85",G457))*85,0)+IFERROR(--ISNUMBER(SEARCH("R86",G457))*86,0)+IFERROR(--ISNUMBER(SEARCH("R87",G457))*87,0)+IFERROR(--ISNUMBER(SEARCH("R88",G457))*88,0)+IFERROR(--ISNUMBER(SEARCH("R89",G457))*89,0)+IFERROR(--ISNUMBER(SEARCH("R90",G457))*90,0)+IFERROR(--ISNUMBER(SEARCH("R91",G457))*91,0)+IFERROR(--ISNUMBER(SEARCH("R92",G457))*92,0)+IFERROR(--ISNUMBER(SEARCH("R93",G457))*93,0)+IFERROR(--ISNUMBER(SEARCH("R94",G457))*94,0)+IFERROR(--ISNUMBER(SEARCH("R95",G457))*95,0)+IFERROR(--ISNUMBER(SEARCH("R96",G457))*96,0)+IFERROR(--ISNUMBER(SEARCH("R97",G457))*97,0)+IFERROR(--ISNUMBER(SEARCH("R98",G457))*98,0)+IFERROR(--ISNUMBER(SEARCH("R99",G457))*99,0)+IFERROR(--ISNUMBER(SEARCH("R100",G457))*100,0)+IFERROR(--ISNUMBER(SEARCH("R101",G457))*101,0)+IFERROR(--ISNUMBER(SEARCH("R102",G457))*102,0)+IFERROR(--ISNUMBER(SEARCH("R103",G457))*103,0)+IFERROR(--ISNUMBER(SEARCH("R104",G457))*104,0)+IFERROR(--ISNUMBER(SEARCH("R105",G457))*105,0)+IFERROR(--ISNUMBER(SEARCH("R106",G457))*106,0)+IFERROR(--ISNUMBER(SEARCH("R107",G457))*107,0)+IFERROR(--ISNUMBER(SEARCH("R108",G457))*108,0)+IFERROR(--ISNUMBER(SEARCH("R109",G457))*109,0)+IFERROR(--ISNUMBER(SEARCH("R110",G457))*110,0)+IFERROR(--ISNUMBER(SEARCH("R111",G457))*111,0)+IFERROR(--ISNUMBER(SEARCH("R112",G457))*112,0)+IFERROR(--ISNUMBER(SEARCH("R113",G457))*113,0)+IFERROR(--ISNUMBER(SEARCH("R114",G457))*114,0)+IFERROR(--ISNUMBER(SEARCH("R115",G457))*115,0)+IFERROR(--ISNUMBER(SEARCH("R116",G457))*116,0)+IFERROR(--ISNUMBER(SEARCH("R117",G457))*117,0)+IFERROR(--ISNUMBER(SEARCH("R118",G457))*118,0)+IFERROR(--ISNUMBER(SEARCH("R119",G457))*119,0)+IFERROR(--ISNUMBER(SEARCH("R120",G457))*120,0)+IFERROR(--ISNUMBER(SEARCH("R121",G457))*121,0)+IFERROR(--ISNUMBER(SEARCH("R122",G457))*122,0)+IFERROR(--ISNUMBER(SEARCH("R123",G457))*123,0)+IFERROR(--ISNUMBER(SEARCH("R124",G457))*124,0)+IFERROR(--ISNUMBER(SEARCH("R125",G457))*125,0)+IFERROR(--ISNUMBER(SEARCH("R126",G457))*126,0)+IFERROR(--ISNUMBER(SEARCH("R127",G457))*127,0)+IFERROR(--ISNUMBER(SEARCH("R128",G457))*128,0)+IFERROR(--ISNUMBER(SEARCH("R129",G457))*129,0)+IFERROR(--ISNUMBER(SEARCH("R130",G457))*130,0)+IFERROR(--ISNUMBER(SEARCH("R131",G457))*131,0)+IFERROR(--ISNUMBER(SEARCH("R132",G457))*132,0)+IFERROR(--ISNUMBER(SEARCH("R133",G457))*133,0)+IFERROR(--ISNUMBER(SEARCH("R134",G457))*134,0)+IFERROR(--ISNUMBER(SEARCH("R135",G457))*135,0)+IFERROR(--ISNUMBER(SEARCH("R136",G457))*136,0)+IFERROR(--ISNUMBER(SEARCH("R137",G457))*137,0)+IFERROR(--ISNUMBER(SEARCH("R138",G457))*138,0)+IFERROR(--ISNUMBER(SEARCH("R139",G457))*139,0)+IFERROR(--ISNUMBER(SEARCH("R140",G457))*140,0)+IFERROR(--ISNUMBER(SEARCH("R141",G457))*141,0))</f>
        <v/>
      </c>
      <c r="V457" s="59">
        <f>IF(A457="","",IF(K457&lt;&gt;"",K457,J457))</f>
        <v/>
      </c>
      <c r="W457" s="59">
        <f>IF(A457="","",IF(AND(V457=29,O457&lt;&gt;"",COUNTIFS($V$6:$V$505,29,$F$6:$F$505,F457,$C$6:$C$505,C457,$O$6:$O$505,"&lt;&gt;")&gt;1),IF(COUNTIFS($V$6:V457,29,$F$6:F457,F457,$C$6:C457,C457,$O$6:O457,"&lt;&gt;")=1,"Esta es la fila que se debe CONSERVAR (aparición 1 de "&amp;COUNTIFS($V$6:$V$505,29,$F$6:$F$505,F457,$C$6:$C$505,C457,$O$6:$O$505,"&lt;&gt;")&amp;" con el mismo tercero y valor, casilla 29). Si hay más filas iguales, bórreles el valor a ELLAS, no a esta.","DUPLICADO — ya existe otra fila con el mismo tercero y valor para casilla 29 (aparición "&amp;COUNTIFS($V$6:V457,29,$F$6:F457,F457,$C$6:C457,C457,$O$6:O457,"&lt;&gt;")&amp;" de "&amp;COUNTIFS($V$6:$V$505,29,$F$6:$F$505,F457,$C$6:$C$505,C457,$O$6:$O$505,"&lt;&gt;")&amp;"). Para resolverlo: seleccione la celda O"&amp;ROW()&amp;" (columna Valor a declarar de ESTA fila) y presione Supr."),""))</f>
        <v/>
      </c>
      <c r="X457" s="463">
        <f>IF(A457="","",F457)</f>
        <v/>
      </c>
      <c r="Y457" s="463">
        <f>IF(A457="","",SUMIF(Entrada_Manual!$I$88:$I$187,A457,Entrada_Manual!$F$88:$F$187))</f>
        <v/>
      </c>
      <c r="Z457" s="463">
        <f>IF(A457="","",X457-Y457)</f>
        <v/>
      </c>
      <c r="AA457">
        <f>IF(A457="","",SUMPRODUCT((Entrada_Manual!$I$88:$I$187=A457)*1))</f>
        <v/>
      </c>
      <c r="AB457">
        <f>IF(A457="","",IF(S457&lt;=1,"",IF(AA457=0,"PENDIENTE — SIN ASIGNAR",IF(Z457=0,"RESUELTO","PARCIAL — DIFERENCIA "&amp;TEXT(Z457,"#,##0")))))</f>
        <v/>
      </c>
    </row>
    <row r="458" ht="14.25" customHeight="1" s="235">
      <c r="A458" s="47">
        <f>IF(Exogena_RAW!E467&lt;&gt;"",ROW()-5,"")</f>
        <v/>
      </c>
      <c r="B458" s="48">
        <f>IF(A458="","",467)</f>
        <v/>
      </c>
      <c r="C458" s="48">
        <f>IF(A458="","",IFERROR(Exogena_RAW!A467,""))</f>
        <v/>
      </c>
      <c r="D458" s="48">
        <f>IF(A458="","",IFERROR(Exogena_RAW!B467,""))</f>
        <v/>
      </c>
      <c r="E458" s="48">
        <f>IF(A458="","",Exogena_RAW!E467)</f>
        <v/>
      </c>
      <c r="F458" s="461">
        <f>IF(A458="","",Exogena_RAW!F467)</f>
        <v/>
      </c>
      <c r="G458" s="48">
        <f>IF(A458="","",IFERROR(Exogena_RAW!G467,""))</f>
        <v/>
      </c>
      <c r="H458" s="48">
        <f>IF(A458="","",IFERROR(Exogena_RAW!H467,""))</f>
        <v/>
      </c>
      <c r="I458" s="48">
        <f>IF(A458="","",IFERROR(IF(S458&gt;1,"VARIAS CASILLAS",IF(S458=1,IF(T458=1,"PROPUESTA DE CASILLA","REVISIÓN: CASILLA NO DIRECTA"),IF(OR(ISNUMBER(SEARCH("TOPE",UPPER(E458))),ISNUMBER(SEARCH("TOPE",UPPER(G458)))),"SOLO CONTROL",IF(ISNUMBER(SEARCH("RETEN",UPPER(E458))),"RETENCIÓN","REVISAR")))),"REVISAR"))</f>
        <v/>
      </c>
      <c r="J458" s="48">
        <f>IF(A458="","",IF(ISNUMBER(SEARCH("ingreso laboral promedio de los últimos seis meses",E458)),"",IFERROR(IF(AND(S458=1,T458=1),U458,""),"")))</f>
        <v/>
      </c>
      <c r="K458" s="216" t="n"/>
      <c r="L458" s="48">
        <f>IF(A458="","",IFERROR(IF(K458&lt;&gt;"","Casilla elegida por usuario",IF(S458&gt;1,"Varias casillas — elegir en K",IF(J458&lt;&gt;"","Sugerencia directa",IF(S458=1,"No trasladar directo — revisar",IF(OR(ISNUMBER(SEARCH("TOPE",UPPER(E458))),ISNUMBER(SEARCH("TOPE",UPPER(G458)))),"Solo control","Revisar manualmente"))))),"Revisar manualmente"))</f>
        <v/>
      </c>
      <c r="M458" s="461">
        <f>IF(A458="","",IF(IF(K458&lt;&gt;"",K458,J458)="",0,IF(COUNTIFS(Reglas!$I$5:$I$118,IF(K458&lt;&gt;"",K458,J458),Reglas!$J$5:$J$118,"Sí")=1,F458,0)))</f>
        <v/>
      </c>
      <c r="N458" s="56" t="n"/>
      <c r="O458" s="462">
        <f>IF(A458="","",IF(M458=0,"",M458))</f>
        <v/>
      </c>
      <c r="P458" s="461">
        <f>IF(A458="","",IF(O458="",0,IF(ISNUMBER(O458),O458,0)))</f>
        <v/>
      </c>
      <c r="Q458" s="48">
        <f>IF(A458="","",IF(Exogena_RAW!$C$4="","BLOQUEADO: FALTA AÑO",IF(Exogena_RAW!$K$10&lt;&gt;Reglas!$B$5,"BLOQUEADO: AÑO",IF(IF(K458&lt;&gt;"",K458,J458)="",IF(S458&gt;1,"REQUIERE ASIGNACIÓN MANUAL (VARIAS CASILLAS)","INFORMATIVO (sin casilla — no se declara)"),IF(COUNTIFS(Reglas!$I$5:$I$118,IF(K458&lt;&gt;"",K458,J458),Reglas!$J$5:$J$118,"Sí")=0,"BLOQUEADO: CASILLA NO DIRECTA",IF(O458="","EXCLUIDO (valor borrado por el usuario)",IF(_xlfn.ISFORMULA(O458),IF(W458&lt;&gt;"","BORRADOR — VALOR SUGERIDO DIAN ⚠ VER ALERTA","BORRADOR — VALOR SUGERIDO DIAN"),IF(W458&lt;&gt;"","ACEPTADO ⚠ VER ALERTA","ACEPTADO"))))))))</f>
        <v/>
      </c>
      <c r="R458" s="218" t="n"/>
      <c r="S458" s="58">
        <f>IF(A458="","",IFERROR(--ISNUMBER(SEARCH("R28",G458)),0)+IFERROR(--ISNUMBER(SEARCH("R29",G458)),0)+IFERROR(--ISNUMBER(SEARCH("R30",G458)),0)+IFERROR(--ISNUMBER(SEARCH("R31",G458)),0)+IFERROR(--ISNUMBER(SEARCH("R32",G458)),0)+IFERROR(--ISNUMBER(SEARCH("R33",G458)),0)+IFERROR(--ISNUMBER(SEARCH("R34",G458)),0)+IFERROR(--ISNUMBER(SEARCH("R35",G458)),0)+IFERROR(--ISNUMBER(SEARCH("R36",G458)),0)+IFERROR(--ISNUMBER(SEARCH("R37",G458)),0)+IFERROR(--ISNUMBER(SEARCH("R38",G458)),0)+IFERROR(--ISNUMBER(SEARCH("R39",G458)),0)+IFERROR(--ISNUMBER(SEARCH("R40",G458)),0)+IFERROR(--ISNUMBER(SEARCH("R41",G458)),0)+IFERROR(--ISNUMBER(SEARCH("R42",G458)),0)+IFERROR(--ISNUMBER(SEARCH("R43",G458)),0)+IFERROR(--ISNUMBER(SEARCH("R44",G458)),0)+IFERROR(--ISNUMBER(SEARCH("R45",G458)),0)+IFERROR(--ISNUMBER(SEARCH("R46",G458)),0)+IFERROR(--ISNUMBER(SEARCH("R47",G458)),0)+IFERROR(--ISNUMBER(SEARCH("R48",G458)),0)+IFERROR(--ISNUMBER(SEARCH("R49",G458)),0)+IFERROR(--ISNUMBER(SEARCH("R50",G458)),0)+IFERROR(--ISNUMBER(SEARCH("R51",G458)),0)+IFERROR(--ISNUMBER(SEARCH("R52",G458)),0)+IFERROR(--ISNUMBER(SEARCH("R53",G458)),0)+IFERROR(--ISNUMBER(SEARCH("R54",G458)),0)+IFERROR(--ISNUMBER(SEARCH("R55",G458)),0)+IFERROR(--ISNUMBER(SEARCH("R56",G458)),0)+IFERROR(--ISNUMBER(SEARCH("R57",G458)),0)+IFERROR(--ISNUMBER(SEARCH("R58",G458)),0)+IFERROR(--ISNUMBER(SEARCH("R59",G458)),0)+IFERROR(--ISNUMBER(SEARCH("R60",G458)),0)+IFERROR(--ISNUMBER(SEARCH("R61",G458)),0)+IFERROR(--ISNUMBER(SEARCH("R62",G458)),0)+IFERROR(--ISNUMBER(SEARCH("R63",G458)),0)+IFERROR(--ISNUMBER(SEARCH("R64",G458)),0)+IFERROR(--ISNUMBER(SEARCH("R65",G458)),0)+IFERROR(--ISNUMBER(SEARCH("R66",G458)),0)+IFERROR(--ISNUMBER(SEARCH("R67",G458)),0)+IFERROR(--ISNUMBER(SEARCH("R68",G458)),0)+IFERROR(--ISNUMBER(SEARCH("R69",G458)),0)+IFERROR(--ISNUMBER(SEARCH("R70",G458)),0)+IFERROR(--ISNUMBER(SEARCH("R71",G458)),0)+IFERROR(--ISNUMBER(SEARCH("R72",G458)),0)+IFERROR(--ISNUMBER(SEARCH("R73",G458)),0)+IFERROR(--ISNUMBER(SEARCH("R74",G458)),0)+IFERROR(--ISNUMBER(SEARCH("R75",G458)),0)+IFERROR(--ISNUMBER(SEARCH("R76",G458)),0)+IFERROR(--ISNUMBER(SEARCH("R77",G458)),0)+IFERROR(--ISNUMBER(SEARCH("R78",G458)),0)+IFERROR(--ISNUMBER(SEARCH("R79",G458)),0)+IFERROR(--ISNUMBER(SEARCH("R80",G458)),0)+IFERROR(--ISNUMBER(SEARCH("R81",G458)),0)+IFERROR(--ISNUMBER(SEARCH("R82",G458)),0)+IFERROR(--ISNUMBER(SEARCH("R83",G458)),0)+IFERROR(--ISNUMBER(SEARCH("R84",G458)),0)+IFERROR(--ISNUMBER(SEARCH("R85",G458)),0)+IFERROR(--ISNUMBER(SEARCH("R86",G458)),0)+IFERROR(--ISNUMBER(SEARCH("R87",G458)),0)+IFERROR(--ISNUMBER(SEARCH("R88",G458)),0)+IFERROR(--ISNUMBER(SEARCH("R89",G458)),0)+IFERROR(--ISNUMBER(SEARCH("R90",G458)),0)+IFERROR(--ISNUMBER(SEARCH("R91",G458)),0)+IFERROR(--ISNUMBER(SEARCH("R92",G458)),0)+IFERROR(--ISNUMBER(SEARCH("R93",G458)),0)+IFERROR(--ISNUMBER(SEARCH("R94",G458)),0)+IFERROR(--ISNUMBER(SEARCH("R95",G458)),0)+IFERROR(--ISNUMBER(SEARCH("R96",G458)),0)+IFERROR(--ISNUMBER(SEARCH("R97",G458)),0)+IFERROR(--ISNUMBER(SEARCH("R98",G458)),0)+IFERROR(--ISNUMBER(SEARCH("R99",G458)),0)+IFERROR(--ISNUMBER(SEARCH("R100",G458)),0)+IFERROR(--ISNUMBER(SEARCH("R101",G458)),0)+IFERROR(--ISNUMBER(SEARCH("R102",G458)),0)+IFERROR(--ISNUMBER(SEARCH("R103",G458)),0)+IFERROR(--ISNUMBER(SEARCH("R104",G458)),0)+IFERROR(--ISNUMBER(SEARCH("R105",G458)),0)+IFERROR(--ISNUMBER(SEARCH("R106",G458)),0)+IFERROR(--ISNUMBER(SEARCH("R107",G458)),0)+IFERROR(--ISNUMBER(SEARCH("R108",G458)),0)+IFERROR(--ISNUMBER(SEARCH("R109",G458)),0)+IFERROR(--ISNUMBER(SEARCH("R110",G458)),0)+IFERROR(--ISNUMBER(SEARCH("R111",G458)),0)+IFERROR(--ISNUMBER(SEARCH("R112",G458)),0)+IFERROR(--ISNUMBER(SEARCH("R113",G458)),0)+IFERROR(--ISNUMBER(SEARCH("R114",G458)),0)+IFERROR(--ISNUMBER(SEARCH("R115",G458)),0)+IFERROR(--ISNUMBER(SEARCH("R116",G458)),0)+IFERROR(--ISNUMBER(SEARCH("R117",G458)),0)+IFERROR(--ISNUMBER(SEARCH("R118",G458)),0)+IFERROR(--ISNUMBER(SEARCH("R119",G458)),0)+IFERROR(--ISNUMBER(SEARCH("R120",G458)),0)+IFERROR(--ISNUMBER(SEARCH("R121",G458)),0)+IFERROR(--ISNUMBER(SEARCH("R122",G458)),0)+IFERROR(--ISNUMBER(SEARCH("R123",G458)),0)+IFERROR(--ISNUMBER(SEARCH("R124",G458)),0)+IFERROR(--ISNUMBER(SEARCH("R125",G458)),0)+IFERROR(--ISNUMBER(SEARCH("R126",G458)),0)+IFERROR(--ISNUMBER(SEARCH("R127",G458)),0)+IFERROR(--ISNUMBER(SEARCH("R128",G458)),0)+IFERROR(--ISNUMBER(SEARCH("R129",G458)),0)+IFERROR(--ISNUMBER(SEARCH("R130",G458)),0)+IFERROR(--ISNUMBER(SEARCH("R131",G458)),0)+IFERROR(--ISNUMBER(SEARCH("R132",G458)),0)+IFERROR(--ISNUMBER(SEARCH("R133",G458)),0)+IFERROR(--ISNUMBER(SEARCH("R134",G458)),0)+IFERROR(--ISNUMBER(SEARCH("R135",G458)),0)+IFERROR(--ISNUMBER(SEARCH("R136",G458)),0)+IFERROR(--ISNUMBER(SEARCH("R137",G458)),0)+IFERROR(--ISNUMBER(SEARCH("R138",G458)),0)+IFERROR(--ISNUMBER(SEARCH("R139",G458)),0)+IFERROR(--ISNUMBER(SEARCH("R140",G458)),0)+IFERROR(--ISNUMBER(SEARCH("R141",G458)),0))</f>
        <v/>
      </c>
      <c r="T458" s="58">
        <f>IF(A458="","",IFERROR(--ISNUMBER(SEARCH("R28",G458)),0)+IFERROR(--ISNUMBER(SEARCH("R29",G458)),0)+IFERROR(--ISNUMBER(SEARCH("R30",G458)),0)+IFERROR(--ISNUMBER(SEARCH("R32",G458)),0)+IFERROR(--ISNUMBER(SEARCH("R33",G458)),0)+IFERROR(--ISNUMBER(SEARCH("R35",G458)),0)+IFERROR(--ISNUMBER(SEARCH("R36",G458)),0)+IFERROR(--ISNUMBER(SEARCH("R38",G458)),0)+IFERROR(--ISNUMBER(SEARCH("R39",G458)),0)+IFERROR(--ISNUMBER(SEARCH("R43",G458)),0)+IFERROR(--ISNUMBER(SEARCH("R44",G458)),0)+IFERROR(--ISNUMBER(SEARCH("R45",G458)),0)+IFERROR(--ISNUMBER(SEARCH("R47",G458)),0)+IFERROR(--ISNUMBER(SEARCH("R48",G458)),0)+IFERROR(--ISNUMBER(SEARCH("R50",G458)),0)+IFERROR(--ISNUMBER(SEARCH("R51",G458)),0)+IFERROR(--ISNUMBER(SEARCH("R56",G458)),0)+IFERROR(--ISNUMBER(SEARCH("R58",G458)),0)+IFERROR(--ISNUMBER(SEARCH("R59",G458)),0)+IFERROR(--ISNUMBER(SEARCH("R60",G458)),0)+IFERROR(--ISNUMBER(SEARCH("R62",G458)),0)+IFERROR(--ISNUMBER(SEARCH("R63",G458)),0)+IFERROR(--ISNUMBER(SEARCH("R64",G458)),0)+IFERROR(--ISNUMBER(SEARCH("R66",G458)),0)+IFERROR(--ISNUMBER(SEARCH("R67",G458)),0)+IFERROR(--ISNUMBER(SEARCH("R72",G458)),0)+IFERROR(--ISNUMBER(SEARCH("R74",G458)),0)+IFERROR(--ISNUMBER(SEARCH("R75",G458)),0)+IFERROR(--ISNUMBER(SEARCH("R76",G458)),0)+IFERROR(--ISNUMBER(SEARCH("R77",G458)),0)+IFERROR(--ISNUMBER(SEARCH("R79",G458)),0)+IFERROR(--ISNUMBER(SEARCH("R80",G458)),0)+IFERROR(--ISNUMBER(SEARCH("R81",G458)),0)+IFERROR(--ISNUMBER(SEARCH("R83",G458)),0)+IFERROR(--ISNUMBER(SEARCH("R84",G458)),0)+IFERROR(--ISNUMBER(SEARCH("R89",G458)),0)+IFERROR(--ISNUMBER(SEARCH("R94",G458)),0)+IFERROR(--ISNUMBER(SEARCH("R95",G458)),0)+IFERROR(--ISNUMBER(SEARCH("R96",G458)),0)+IFERROR(--ISNUMBER(SEARCH("R98",G458)),0)+IFERROR(--ISNUMBER(SEARCH("R99",G458)),0)+IFERROR(--ISNUMBER(SEARCH("R100",G458)),0)+IFERROR(--ISNUMBER(SEARCH("R104",G458)),0)+IFERROR(--ISNUMBER(SEARCH("R105",G458)),0)+IFERROR(--ISNUMBER(SEARCH("R107",G458)),0)+IFERROR(--ISNUMBER(SEARCH("R108",G458)),0)+IFERROR(--ISNUMBER(SEARCH("R109",G458)),0)+IFERROR(--ISNUMBER(SEARCH("R110",G458)),0)+IFERROR(--ISNUMBER(SEARCH("R112",G458)),0)+IFERROR(--ISNUMBER(SEARCH("R113",G458)),0)+IFERROR(--ISNUMBER(SEARCH("R114",G458)),0)+IFERROR(--ISNUMBER(SEARCH("R118",G458)),0)+IFERROR(--ISNUMBER(SEARCH("R119",G458)),0)+IFERROR(--ISNUMBER(SEARCH("R120",G458)),0)+IFERROR(--ISNUMBER(SEARCH("R122",G458)),0)+IFERROR(--ISNUMBER(SEARCH("R123",G458)),0)+IFERROR(--ISNUMBER(SEARCH("R124",G458)),0)+IFERROR(--ISNUMBER(SEARCH("R128",G458)),0)+IFERROR(--ISNUMBER(SEARCH("R130",G458)),0)+IFERROR(--ISNUMBER(SEARCH("R131",G458)),0)+IFERROR(--ISNUMBER(SEARCH("R132",G458)),0)+IFERROR(--ISNUMBER(SEARCH("R135",G458)),0)+IFERROR(--ISNUMBER(SEARCH("R138",G458)),0)+IFERROR(--ISNUMBER(SEARCH("R141",G458)),0))</f>
        <v/>
      </c>
      <c r="U458" s="58">
        <f>IF(A458="","",IFERROR(--ISNUMBER(SEARCH("R28",G458))*28,0)+IFERROR(--ISNUMBER(SEARCH("R29",G458))*29,0)+IFERROR(--ISNUMBER(SEARCH("R30",G458))*30,0)+IFERROR(--ISNUMBER(SEARCH("R31",G458))*31,0)+IFERROR(--ISNUMBER(SEARCH("R32",G458))*32,0)+IFERROR(--ISNUMBER(SEARCH("R33",G458))*33,0)+IFERROR(--ISNUMBER(SEARCH("R34",G458))*34,0)+IFERROR(--ISNUMBER(SEARCH("R35",G458))*35,0)+IFERROR(--ISNUMBER(SEARCH("R36",G458))*36,0)+IFERROR(--ISNUMBER(SEARCH("R37",G458))*37,0)+IFERROR(--ISNUMBER(SEARCH("R38",G458))*38,0)+IFERROR(--ISNUMBER(SEARCH("R39",G458))*39,0)+IFERROR(--ISNUMBER(SEARCH("R40",G458))*40,0)+IFERROR(--ISNUMBER(SEARCH("R41",G458))*41,0)+IFERROR(--ISNUMBER(SEARCH("R42",G458))*42,0)+IFERROR(--ISNUMBER(SEARCH("R43",G458))*43,0)+IFERROR(--ISNUMBER(SEARCH("R44",G458))*44,0)+IFERROR(--ISNUMBER(SEARCH("R45",G458))*45,0)+IFERROR(--ISNUMBER(SEARCH("R46",G458))*46,0)+IFERROR(--ISNUMBER(SEARCH("R47",G458))*47,0)+IFERROR(--ISNUMBER(SEARCH("R48",G458))*48,0)+IFERROR(--ISNUMBER(SEARCH("R49",G458))*49,0)+IFERROR(--ISNUMBER(SEARCH("R50",G458))*50,0)+IFERROR(--ISNUMBER(SEARCH("R51",G458))*51,0)+IFERROR(--ISNUMBER(SEARCH("R52",G458))*52,0)+IFERROR(--ISNUMBER(SEARCH("R53",G458))*53,0)+IFERROR(--ISNUMBER(SEARCH("R54",G458))*54,0)+IFERROR(--ISNUMBER(SEARCH("R55",G458))*55,0)+IFERROR(--ISNUMBER(SEARCH("R56",G458))*56,0)+IFERROR(--ISNUMBER(SEARCH("R57",G458))*57,0)+IFERROR(--ISNUMBER(SEARCH("R58",G458))*58,0)+IFERROR(--ISNUMBER(SEARCH("R59",G458))*59,0)+IFERROR(--ISNUMBER(SEARCH("R60",G458))*60,0)+IFERROR(--ISNUMBER(SEARCH("R61",G458))*61,0)+IFERROR(--ISNUMBER(SEARCH("R62",G458))*62,0)+IFERROR(--ISNUMBER(SEARCH("R63",G458))*63,0)+IFERROR(--ISNUMBER(SEARCH("R64",G458))*64,0)+IFERROR(--ISNUMBER(SEARCH("R65",G458))*65,0)+IFERROR(--ISNUMBER(SEARCH("R66",G458))*66,0)+IFERROR(--ISNUMBER(SEARCH("R67",G458))*67,0)+IFERROR(--ISNUMBER(SEARCH("R68",G458))*68,0)+IFERROR(--ISNUMBER(SEARCH("R69",G458))*69,0)+IFERROR(--ISNUMBER(SEARCH("R70",G458))*70,0)+IFERROR(--ISNUMBER(SEARCH("R71",G458))*71,0)+IFERROR(--ISNUMBER(SEARCH("R72",G458))*72,0)+IFERROR(--ISNUMBER(SEARCH("R73",G458))*73,0)+IFERROR(--ISNUMBER(SEARCH("R74",G458))*74,0)+IFERROR(--ISNUMBER(SEARCH("R75",G458))*75,0)+IFERROR(--ISNUMBER(SEARCH("R76",G458))*76,0)+IFERROR(--ISNUMBER(SEARCH("R77",G458))*77,0)+IFERROR(--ISNUMBER(SEARCH("R78",G458))*78,0)+IFERROR(--ISNUMBER(SEARCH("R79",G458))*79,0)+IFERROR(--ISNUMBER(SEARCH("R80",G458))*80,0)+IFERROR(--ISNUMBER(SEARCH("R81",G458))*81,0)+IFERROR(--ISNUMBER(SEARCH("R82",G458))*82,0)+IFERROR(--ISNUMBER(SEARCH("R83",G458))*83,0)+IFERROR(--ISNUMBER(SEARCH("R84",G458))*84,0)+IFERROR(--ISNUMBER(SEARCH("R85",G458))*85,0)+IFERROR(--ISNUMBER(SEARCH("R86",G458))*86,0)+IFERROR(--ISNUMBER(SEARCH("R87",G458))*87,0)+IFERROR(--ISNUMBER(SEARCH("R88",G458))*88,0)+IFERROR(--ISNUMBER(SEARCH("R89",G458))*89,0)+IFERROR(--ISNUMBER(SEARCH("R90",G458))*90,0)+IFERROR(--ISNUMBER(SEARCH("R91",G458))*91,0)+IFERROR(--ISNUMBER(SEARCH("R92",G458))*92,0)+IFERROR(--ISNUMBER(SEARCH("R93",G458))*93,0)+IFERROR(--ISNUMBER(SEARCH("R94",G458))*94,0)+IFERROR(--ISNUMBER(SEARCH("R95",G458))*95,0)+IFERROR(--ISNUMBER(SEARCH("R96",G458))*96,0)+IFERROR(--ISNUMBER(SEARCH("R97",G458))*97,0)+IFERROR(--ISNUMBER(SEARCH("R98",G458))*98,0)+IFERROR(--ISNUMBER(SEARCH("R99",G458))*99,0)+IFERROR(--ISNUMBER(SEARCH("R100",G458))*100,0)+IFERROR(--ISNUMBER(SEARCH("R101",G458))*101,0)+IFERROR(--ISNUMBER(SEARCH("R102",G458))*102,0)+IFERROR(--ISNUMBER(SEARCH("R103",G458))*103,0)+IFERROR(--ISNUMBER(SEARCH("R104",G458))*104,0)+IFERROR(--ISNUMBER(SEARCH("R105",G458))*105,0)+IFERROR(--ISNUMBER(SEARCH("R106",G458))*106,0)+IFERROR(--ISNUMBER(SEARCH("R107",G458))*107,0)+IFERROR(--ISNUMBER(SEARCH("R108",G458))*108,0)+IFERROR(--ISNUMBER(SEARCH("R109",G458))*109,0)+IFERROR(--ISNUMBER(SEARCH("R110",G458))*110,0)+IFERROR(--ISNUMBER(SEARCH("R111",G458))*111,0)+IFERROR(--ISNUMBER(SEARCH("R112",G458))*112,0)+IFERROR(--ISNUMBER(SEARCH("R113",G458))*113,0)+IFERROR(--ISNUMBER(SEARCH("R114",G458))*114,0)+IFERROR(--ISNUMBER(SEARCH("R115",G458))*115,0)+IFERROR(--ISNUMBER(SEARCH("R116",G458))*116,0)+IFERROR(--ISNUMBER(SEARCH("R117",G458))*117,0)+IFERROR(--ISNUMBER(SEARCH("R118",G458))*118,0)+IFERROR(--ISNUMBER(SEARCH("R119",G458))*119,0)+IFERROR(--ISNUMBER(SEARCH("R120",G458))*120,0)+IFERROR(--ISNUMBER(SEARCH("R121",G458))*121,0)+IFERROR(--ISNUMBER(SEARCH("R122",G458))*122,0)+IFERROR(--ISNUMBER(SEARCH("R123",G458))*123,0)+IFERROR(--ISNUMBER(SEARCH("R124",G458))*124,0)+IFERROR(--ISNUMBER(SEARCH("R125",G458))*125,0)+IFERROR(--ISNUMBER(SEARCH("R126",G458))*126,0)+IFERROR(--ISNUMBER(SEARCH("R127",G458))*127,0)+IFERROR(--ISNUMBER(SEARCH("R128",G458))*128,0)+IFERROR(--ISNUMBER(SEARCH("R129",G458))*129,0)+IFERROR(--ISNUMBER(SEARCH("R130",G458))*130,0)+IFERROR(--ISNUMBER(SEARCH("R131",G458))*131,0)+IFERROR(--ISNUMBER(SEARCH("R132",G458))*132,0)+IFERROR(--ISNUMBER(SEARCH("R133",G458))*133,0)+IFERROR(--ISNUMBER(SEARCH("R134",G458))*134,0)+IFERROR(--ISNUMBER(SEARCH("R135",G458))*135,0)+IFERROR(--ISNUMBER(SEARCH("R136",G458))*136,0)+IFERROR(--ISNUMBER(SEARCH("R137",G458))*137,0)+IFERROR(--ISNUMBER(SEARCH("R138",G458))*138,0)+IFERROR(--ISNUMBER(SEARCH("R139",G458))*139,0)+IFERROR(--ISNUMBER(SEARCH("R140",G458))*140,0)+IFERROR(--ISNUMBER(SEARCH("R141",G458))*141,0))</f>
        <v/>
      </c>
      <c r="V458" s="59">
        <f>IF(A458="","",IF(K458&lt;&gt;"",K458,J458))</f>
        <v/>
      </c>
      <c r="W458" s="59">
        <f>IF(A458="","",IF(AND(V458=29,O458&lt;&gt;"",COUNTIFS($V$6:$V$505,29,$F$6:$F$505,F458,$C$6:$C$505,C458,$O$6:$O$505,"&lt;&gt;")&gt;1),IF(COUNTIFS($V$6:V458,29,$F$6:F458,F458,$C$6:C458,C458,$O$6:O458,"&lt;&gt;")=1,"Esta es la fila que se debe CONSERVAR (aparición 1 de "&amp;COUNTIFS($V$6:$V$505,29,$F$6:$F$505,F458,$C$6:$C$505,C458,$O$6:$O$505,"&lt;&gt;")&amp;" con el mismo tercero y valor, casilla 29). Si hay más filas iguales, bórreles el valor a ELLAS, no a esta.","DUPLICADO — ya existe otra fila con el mismo tercero y valor para casilla 29 (aparición "&amp;COUNTIFS($V$6:V458,29,$F$6:F458,F458,$C$6:C458,C458,$O$6:O458,"&lt;&gt;")&amp;" de "&amp;COUNTIFS($V$6:$V$505,29,$F$6:$F$505,F458,$C$6:$C$505,C458,$O$6:$O$505,"&lt;&gt;")&amp;"). Para resolverlo: seleccione la celda O"&amp;ROW()&amp;" (columna Valor a declarar de ESTA fila) y presione Supr."),""))</f>
        <v/>
      </c>
      <c r="X458" s="463">
        <f>IF(A458="","",F458)</f>
        <v/>
      </c>
      <c r="Y458" s="463">
        <f>IF(A458="","",SUMIF(Entrada_Manual!$I$88:$I$187,A458,Entrada_Manual!$F$88:$F$187))</f>
        <v/>
      </c>
      <c r="Z458" s="463">
        <f>IF(A458="","",X458-Y458)</f>
        <v/>
      </c>
      <c r="AA458">
        <f>IF(A458="","",SUMPRODUCT((Entrada_Manual!$I$88:$I$187=A458)*1))</f>
        <v/>
      </c>
      <c r="AB458">
        <f>IF(A458="","",IF(S458&lt;=1,"",IF(AA458=0,"PENDIENTE — SIN ASIGNAR",IF(Z458=0,"RESUELTO","PARCIAL — DIFERENCIA "&amp;TEXT(Z458,"#,##0")))))</f>
        <v/>
      </c>
    </row>
    <row r="459" ht="14.25" customHeight="1" s="235">
      <c r="A459" s="47">
        <f>IF(Exogena_RAW!E468&lt;&gt;"",ROW()-5,"")</f>
        <v/>
      </c>
      <c r="B459" s="48">
        <f>IF(A459="","",468)</f>
        <v/>
      </c>
      <c r="C459" s="48">
        <f>IF(A459="","",IFERROR(Exogena_RAW!A468,""))</f>
        <v/>
      </c>
      <c r="D459" s="48">
        <f>IF(A459="","",IFERROR(Exogena_RAW!B468,""))</f>
        <v/>
      </c>
      <c r="E459" s="48">
        <f>IF(A459="","",Exogena_RAW!E468)</f>
        <v/>
      </c>
      <c r="F459" s="461">
        <f>IF(A459="","",Exogena_RAW!F468)</f>
        <v/>
      </c>
      <c r="G459" s="48">
        <f>IF(A459="","",IFERROR(Exogena_RAW!G468,""))</f>
        <v/>
      </c>
      <c r="H459" s="48">
        <f>IF(A459="","",IFERROR(Exogena_RAW!H468,""))</f>
        <v/>
      </c>
      <c r="I459" s="48">
        <f>IF(A459="","",IFERROR(IF(S459&gt;1,"VARIAS CASILLAS",IF(S459=1,IF(T459=1,"PROPUESTA DE CASILLA","REVISIÓN: CASILLA NO DIRECTA"),IF(OR(ISNUMBER(SEARCH("TOPE",UPPER(E459))),ISNUMBER(SEARCH("TOPE",UPPER(G459)))),"SOLO CONTROL",IF(ISNUMBER(SEARCH("RETEN",UPPER(E459))),"RETENCIÓN","REVISAR")))),"REVISAR"))</f>
        <v/>
      </c>
      <c r="J459" s="48">
        <f>IF(A459="","",IF(ISNUMBER(SEARCH("ingreso laboral promedio de los últimos seis meses",E459)),"",IFERROR(IF(AND(S459=1,T459=1),U459,""),"")))</f>
        <v/>
      </c>
      <c r="K459" s="216" t="n"/>
      <c r="L459" s="48">
        <f>IF(A459="","",IFERROR(IF(K459&lt;&gt;"","Casilla elegida por usuario",IF(S459&gt;1,"Varias casillas — elegir en K",IF(J459&lt;&gt;"","Sugerencia directa",IF(S459=1,"No trasladar directo — revisar",IF(OR(ISNUMBER(SEARCH("TOPE",UPPER(E459))),ISNUMBER(SEARCH("TOPE",UPPER(G459)))),"Solo control","Revisar manualmente"))))),"Revisar manualmente"))</f>
        <v/>
      </c>
      <c r="M459" s="461">
        <f>IF(A459="","",IF(IF(K459&lt;&gt;"",K459,J459)="",0,IF(COUNTIFS(Reglas!$I$5:$I$118,IF(K459&lt;&gt;"",K459,J459),Reglas!$J$5:$J$118,"Sí")=1,F459,0)))</f>
        <v/>
      </c>
      <c r="N459" s="56" t="n"/>
      <c r="O459" s="462">
        <f>IF(A459="","",IF(M459=0,"",M459))</f>
        <v/>
      </c>
      <c r="P459" s="461">
        <f>IF(A459="","",IF(O459="",0,IF(ISNUMBER(O459),O459,0)))</f>
        <v/>
      </c>
      <c r="Q459" s="48">
        <f>IF(A459="","",IF(Exogena_RAW!$C$4="","BLOQUEADO: FALTA AÑO",IF(Exogena_RAW!$K$10&lt;&gt;Reglas!$B$5,"BLOQUEADO: AÑO",IF(IF(K459&lt;&gt;"",K459,J459)="",IF(S459&gt;1,"REQUIERE ASIGNACIÓN MANUAL (VARIAS CASILLAS)","INFORMATIVO (sin casilla — no se declara)"),IF(COUNTIFS(Reglas!$I$5:$I$118,IF(K459&lt;&gt;"",K459,J459),Reglas!$J$5:$J$118,"Sí")=0,"BLOQUEADO: CASILLA NO DIRECTA",IF(O459="","EXCLUIDO (valor borrado por el usuario)",IF(_xlfn.ISFORMULA(O459),IF(W459&lt;&gt;"","BORRADOR — VALOR SUGERIDO DIAN ⚠ VER ALERTA","BORRADOR — VALOR SUGERIDO DIAN"),IF(W459&lt;&gt;"","ACEPTADO ⚠ VER ALERTA","ACEPTADO"))))))))</f>
        <v/>
      </c>
      <c r="R459" s="218" t="n"/>
      <c r="S459" s="58">
        <f>IF(A459="","",IFERROR(--ISNUMBER(SEARCH("R28",G459)),0)+IFERROR(--ISNUMBER(SEARCH("R29",G459)),0)+IFERROR(--ISNUMBER(SEARCH("R30",G459)),0)+IFERROR(--ISNUMBER(SEARCH("R31",G459)),0)+IFERROR(--ISNUMBER(SEARCH("R32",G459)),0)+IFERROR(--ISNUMBER(SEARCH("R33",G459)),0)+IFERROR(--ISNUMBER(SEARCH("R34",G459)),0)+IFERROR(--ISNUMBER(SEARCH("R35",G459)),0)+IFERROR(--ISNUMBER(SEARCH("R36",G459)),0)+IFERROR(--ISNUMBER(SEARCH("R37",G459)),0)+IFERROR(--ISNUMBER(SEARCH("R38",G459)),0)+IFERROR(--ISNUMBER(SEARCH("R39",G459)),0)+IFERROR(--ISNUMBER(SEARCH("R40",G459)),0)+IFERROR(--ISNUMBER(SEARCH("R41",G459)),0)+IFERROR(--ISNUMBER(SEARCH("R42",G459)),0)+IFERROR(--ISNUMBER(SEARCH("R43",G459)),0)+IFERROR(--ISNUMBER(SEARCH("R44",G459)),0)+IFERROR(--ISNUMBER(SEARCH("R45",G459)),0)+IFERROR(--ISNUMBER(SEARCH("R46",G459)),0)+IFERROR(--ISNUMBER(SEARCH("R47",G459)),0)+IFERROR(--ISNUMBER(SEARCH("R48",G459)),0)+IFERROR(--ISNUMBER(SEARCH("R49",G459)),0)+IFERROR(--ISNUMBER(SEARCH("R50",G459)),0)+IFERROR(--ISNUMBER(SEARCH("R51",G459)),0)+IFERROR(--ISNUMBER(SEARCH("R52",G459)),0)+IFERROR(--ISNUMBER(SEARCH("R53",G459)),0)+IFERROR(--ISNUMBER(SEARCH("R54",G459)),0)+IFERROR(--ISNUMBER(SEARCH("R55",G459)),0)+IFERROR(--ISNUMBER(SEARCH("R56",G459)),0)+IFERROR(--ISNUMBER(SEARCH("R57",G459)),0)+IFERROR(--ISNUMBER(SEARCH("R58",G459)),0)+IFERROR(--ISNUMBER(SEARCH("R59",G459)),0)+IFERROR(--ISNUMBER(SEARCH("R60",G459)),0)+IFERROR(--ISNUMBER(SEARCH("R61",G459)),0)+IFERROR(--ISNUMBER(SEARCH("R62",G459)),0)+IFERROR(--ISNUMBER(SEARCH("R63",G459)),0)+IFERROR(--ISNUMBER(SEARCH("R64",G459)),0)+IFERROR(--ISNUMBER(SEARCH("R65",G459)),0)+IFERROR(--ISNUMBER(SEARCH("R66",G459)),0)+IFERROR(--ISNUMBER(SEARCH("R67",G459)),0)+IFERROR(--ISNUMBER(SEARCH("R68",G459)),0)+IFERROR(--ISNUMBER(SEARCH("R69",G459)),0)+IFERROR(--ISNUMBER(SEARCH("R70",G459)),0)+IFERROR(--ISNUMBER(SEARCH("R71",G459)),0)+IFERROR(--ISNUMBER(SEARCH("R72",G459)),0)+IFERROR(--ISNUMBER(SEARCH("R73",G459)),0)+IFERROR(--ISNUMBER(SEARCH("R74",G459)),0)+IFERROR(--ISNUMBER(SEARCH("R75",G459)),0)+IFERROR(--ISNUMBER(SEARCH("R76",G459)),0)+IFERROR(--ISNUMBER(SEARCH("R77",G459)),0)+IFERROR(--ISNUMBER(SEARCH("R78",G459)),0)+IFERROR(--ISNUMBER(SEARCH("R79",G459)),0)+IFERROR(--ISNUMBER(SEARCH("R80",G459)),0)+IFERROR(--ISNUMBER(SEARCH("R81",G459)),0)+IFERROR(--ISNUMBER(SEARCH("R82",G459)),0)+IFERROR(--ISNUMBER(SEARCH("R83",G459)),0)+IFERROR(--ISNUMBER(SEARCH("R84",G459)),0)+IFERROR(--ISNUMBER(SEARCH("R85",G459)),0)+IFERROR(--ISNUMBER(SEARCH("R86",G459)),0)+IFERROR(--ISNUMBER(SEARCH("R87",G459)),0)+IFERROR(--ISNUMBER(SEARCH("R88",G459)),0)+IFERROR(--ISNUMBER(SEARCH("R89",G459)),0)+IFERROR(--ISNUMBER(SEARCH("R90",G459)),0)+IFERROR(--ISNUMBER(SEARCH("R91",G459)),0)+IFERROR(--ISNUMBER(SEARCH("R92",G459)),0)+IFERROR(--ISNUMBER(SEARCH("R93",G459)),0)+IFERROR(--ISNUMBER(SEARCH("R94",G459)),0)+IFERROR(--ISNUMBER(SEARCH("R95",G459)),0)+IFERROR(--ISNUMBER(SEARCH("R96",G459)),0)+IFERROR(--ISNUMBER(SEARCH("R97",G459)),0)+IFERROR(--ISNUMBER(SEARCH("R98",G459)),0)+IFERROR(--ISNUMBER(SEARCH("R99",G459)),0)+IFERROR(--ISNUMBER(SEARCH("R100",G459)),0)+IFERROR(--ISNUMBER(SEARCH("R101",G459)),0)+IFERROR(--ISNUMBER(SEARCH("R102",G459)),0)+IFERROR(--ISNUMBER(SEARCH("R103",G459)),0)+IFERROR(--ISNUMBER(SEARCH("R104",G459)),0)+IFERROR(--ISNUMBER(SEARCH("R105",G459)),0)+IFERROR(--ISNUMBER(SEARCH("R106",G459)),0)+IFERROR(--ISNUMBER(SEARCH("R107",G459)),0)+IFERROR(--ISNUMBER(SEARCH("R108",G459)),0)+IFERROR(--ISNUMBER(SEARCH("R109",G459)),0)+IFERROR(--ISNUMBER(SEARCH("R110",G459)),0)+IFERROR(--ISNUMBER(SEARCH("R111",G459)),0)+IFERROR(--ISNUMBER(SEARCH("R112",G459)),0)+IFERROR(--ISNUMBER(SEARCH("R113",G459)),0)+IFERROR(--ISNUMBER(SEARCH("R114",G459)),0)+IFERROR(--ISNUMBER(SEARCH("R115",G459)),0)+IFERROR(--ISNUMBER(SEARCH("R116",G459)),0)+IFERROR(--ISNUMBER(SEARCH("R117",G459)),0)+IFERROR(--ISNUMBER(SEARCH("R118",G459)),0)+IFERROR(--ISNUMBER(SEARCH("R119",G459)),0)+IFERROR(--ISNUMBER(SEARCH("R120",G459)),0)+IFERROR(--ISNUMBER(SEARCH("R121",G459)),0)+IFERROR(--ISNUMBER(SEARCH("R122",G459)),0)+IFERROR(--ISNUMBER(SEARCH("R123",G459)),0)+IFERROR(--ISNUMBER(SEARCH("R124",G459)),0)+IFERROR(--ISNUMBER(SEARCH("R125",G459)),0)+IFERROR(--ISNUMBER(SEARCH("R126",G459)),0)+IFERROR(--ISNUMBER(SEARCH("R127",G459)),0)+IFERROR(--ISNUMBER(SEARCH("R128",G459)),0)+IFERROR(--ISNUMBER(SEARCH("R129",G459)),0)+IFERROR(--ISNUMBER(SEARCH("R130",G459)),0)+IFERROR(--ISNUMBER(SEARCH("R131",G459)),0)+IFERROR(--ISNUMBER(SEARCH("R132",G459)),0)+IFERROR(--ISNUMBER(SEARCH("R133",G459)),0)+IFERROR(--ISNUMBER(SEARCH("R134",G459)),0)+IFERROR(--ISNUMBER(SEARCH("R135",G459)),0)+IFERROR(--ISNUMBER(SEARCH("R136",G459)),0)+IFERROR(--ISNUMBER(SEARCH("R137",G459)),0)+IFERROR(--ISNUMBER(SEARCH("R138",G459)),0)+IFERROR(--ISNUMBER(SEARCH("R139",G459)),0)+IFERROR(--ISNUMBER(SEARCH("R140",G459)),0)+IFERROR(--ISNUMBER(SEARCH("R141",G459)),0))</f>
        <v/>
      </c>
      <c r="T459" s="58">
        <f>IF(A459="","",IFERROR(--ISNUMBER(SEARCH("R28",G459)),0)+IFERROR(--ISNUMBER(SEARCH("R29",G459)),0)+IFERROR(--ISNUMBER(SEARCH("R30",G459)),0)+IFERROR(--ISNUMBER(SEARCH("R32",G459)),0)+IFERROR(--ISNUMBER(SEARCH("R33",G459)),0)+IFERROR(--ISNUMBER(SEARCH("R35",G459)),0)+IFERROR(--ISNUMBER(SEARCH("R36",G459)),0)+IFERROR(--ISNUMBER(SEARCH("R38",G459)),0)+IFERROR(--ISNUMBER(SEARCH("R39",G459)),0)+IFERROR(--ISNUMBER(SEARCH("R43",G459)),0)+IFERROR(--ISNUMBER(SEARCH("R44",G459)),0)+IFERROR(--ISNUMBER(SEARCH("R45",G459)),0)+IFERROR(--ISNUMBER(SEARCH("R47",G459)),0)+IFERROR(--ISNUMBER(SEARCH("R48",G459)),0)+IFERROR(--ISNUMBER(SEARCH("R50",G459)),0)+IFERROR(--ISNUMBER(SEARCH("R51",G459)),0)+IFERROR(--ISNUMBER(SEARCH("R56",G459)),0)+IFERROR(--ISNUMBER(SEARCH("R58",G459)),0)+IFERROR(--ISNUMBER(SEARCH("R59",G459)),0)+IFERROR(--ISNUMBER(SEARCH("R60",G459)),0)+IFERROR(--ISNUMBER(SEARCH("R62",G459)),0)+IFERROR(--ISNUMBER(SEARCH("R63",G459)),0)+IFERROR(--ISNUMBER(SEARCH("R64",G459)),0)+IFERROR(--ISNUMBER(SEARCH("R66",G459)),0)+IFERROR(--ISNUMBER(SEARCH("R67",G459)),0)+IFERROR(--ISNUMBER(SEARCH("R72",G459)),0)+IFERROR(--ISNUMBER(SEARCH("R74",G459)),0)+IFERROR(--ISNUMBER(SEARCH("R75",G459)),0)+IFERROR(--ISNUMBER(SEARCH("R76",G459)),0)+IFERROR(--ISNUMBER(SEARCH("R77",G459)),0)+IFERROR(--ISNUMBER(SEARCH("R79",G459)),0)+IFERROR(--ISNUMBER(SEARCH("R80",G459)),0)+IFERROR(--ISNUMBER(SEARCH("R81",G459)),0)+IFERROR(--ISNUMBER(SEARCH("R83",G459)),0)+IFERROR(--ISNUMBER(SEARCH("R84",G459)),0)+IFERROR(--ISNUMBER(SEARCH("R89",G459)),0)+IFERROR(--ISNUMBER(SEARCH("R94",G459)),0)+IFERROR(--ISNUMBER(SEARCH("R95",G459)),0)+IFERROR(--ISNUMBER(SEARCH("R96",G459)),0)+IFERROR(--ISNUMBER(SEARCH("R98",G459)),0)+IFERROR(--ISNUMBER(SEARCH("R99",G459)),0)+IFERROR(--ISNUMBER(SEARCH("R100",G459)),0)+IFERROR(--ISNUMBER(SEARCH("R104",G459)),0)+IFERROR(--ISNUMBER(SEARCH("R105",G459)),0)+IFERROR(--ISNUMBER(SEARCH("R107",G459)),0)+IFERROR(--ISNUMBER(SEARCH("R108",G459)),0)+IFERROR(--ISNUMBER(SEARCH("R109",G459)),0)+IFERROR(--ISNUMBER(SEARCH("R110",G459)),0)+IFERROR(--ISNUMBER(SEARCH("R112",G459)),0)+IFERROR(--ISNUMBER(SEARCH("R113",G459)),0)+IFERROR(--ISNUMBER(SEARCH("R114",G459)),0)+IFERROR(--ISNUMBER(SEARCH("R118",G459)),0)+IFERROR(--ISNUMBER(SEARCH("R119",G459)),0)+IFERROR(--ISNUMBER(SEARCH("R120",G459)),0)+IFERROR(--ISNUMBER(SEARCH("R122",G459)),0)+IFERROR(--ISNUMBER(SEARCH("R123",G459)),0)+IFERROR(--ISNUMBER(SEARCH("R124",G459)),0)+IFERROR(--ISNUMBER(SEARCH("R128",G459)),0)+IFERROR(--ISNUMBER(SEARCH("R130",G459)),0)+IFERROR(--ISNUMBER(SEARCH("R131",G459)),0)+IFERROR(--ISNUMBER(SEARCH("R132",G459)),0)+IFERROR(--ISNUMBER(SEARCH("R135",G459)),0)+IFERROR(--ISNUMBER(SEARCH("R138",G459)),0)+IFERROR(--ISNUMBER(SEARCH("R141",G459)),0))</f>
        <v/>
      </c>
      <c r="U459" s="58">
        <f>IF(A459="","",IFERROR(--ISNUMBER(SEARCH("R28",G459))*28,0)+IFERROR(--ISNUMBER(SEARCH("R29",G459))*29,0)+IFERROR(--ISNUMBER(SEARCH("R30",G459))*30,0)+IFERROR(--ISNUMBER(SEARCH("R31",G459))*31,0)+IFERROR(--ISNUMBER(SEARCH("R32",G459))*32,0)+IFERROR(--ISNUMBER(SEARCH("R33",G459))*33,0)+IFERROR(--ISNUMBER(SEARCH("R34",G459))*34,0)+IFERROR(--ISNUMBER(SEARCH("R35",G459))*35,0)+IFERROR(--ISNUMBER(SEARCH("R36",G459))*36,0)+IFERROR(--ISNUMBER(SEARCH("R37",G459))*37,0)+IFERROR(--ISNUMBER(SEARCH("R38",G459))*38,0)+IFERROR(--ISNUMBER(SEARCH("R39",G459))*39,0)+IFERROR(--ISNUMBER(SEARCH("R40",G459))*40,0)+IFERROR(--ISNUMBER(SEARCH("R41",G459))*41,0)+IFERROR(--ISNUMBER(SEARCH("R42",G459))*42,0)+IFERROR(--ISNUMBER(SEARCH("R43",G459))*43,0)+IFERROR(--ISNUMBER(SEARCH("R44",G459))*44,0)+IFERROR(--ISNUMBER(SEARCH("R45",G459))*45,0)+IFERROR(--ISNUMBER(SEARCH("R46",G459))*46,0)+IFERROR(--ISNUMBER(SEARCH("R47",G459))*47,0)+IFERROR(--ISNUMBER(SEARCH("R48",G459))*48,0)+IFERROR(--ISNUMBER(SEARCH("R49",G459))*49,0)+IFERROR(--ISNUMBER(SEARCH("R50",G459))*50,0)+IFERROR(--ISNUMBER(SEARCH("R51",G459))*51,0)+IFERROR(--ISNUMBER(SEARCH("R52",G459))*52,0)+IFERROR(--ISNUMBER(SEARCH("R53",G459))*53,0)+IFERROR(--ISNUMBER(SEARCH("R54",G459))*54,0)+IFERROR(--ISNUMBER(SEARCH("R55",G459))*55,0)+IFERROR(--ISNUMBER(SEARCH("R56",G459))*56,0)+IFERROR(--ISNUMBER(SEARCH("R57",G459))*57,0)+IFERROR(--ISNUMBER(SEARCH("R58",G459))*58,0)+IFERROR(--ISNUMBER(SEARCH("R59",G459))*59,0)+IFERROR(--ISNUMBER(SEARCH("R60",G459))*60,0)+IFERROR(--ISNUMBER(SEARCH("R61",G459))*61,0)+IFERROR(--ISNUMBER(SEARCH("R62",G459))*62,0)+IFERROR(--ISNUMBER(SEARCH("R63",G459))*63,0)+IFERROR(--ISNUMBER(SEARCH("R64",G459))*64,0)+IFERROR(--ISNUMBER(SEARCH("R65",G459))*65,0)+IFERROR(--ISNUMBER(SEARCH("R66",G459))*66,0)+IFERROR(--ISNUMBER(SEARCH("R67",G459))*67,0)+IFERROR(--ISNUMBER(SEARCH("R68",G459))*68,0)+IFERROR(--ISNUMBER(SEARCH("R69",G459))*69,0)+IFERROR(--ISNUMBER(SEARCH("R70",G459))*70,0)+IFERROR(--ISNUMBER(SEARCH("R71",G459))*71,0)+IFERROR(--ISNUMBER(SEARCH("R72",G459))*72,0)+IFERROR(--ISNUMBER(SEARCH("R73",G459))*73,0)+IFERROR(--ISNUMBER(SEARCH("R74",G459))*74,0)+IFERROR(--ISNUMBER(SEARCH("R75",G459))*75,0)+IFERROR(--ISNUMBER(SEARCH("R76",G459))*76,0)+IFERROR(--ISNUMBER(SEARCH("R77",G459))*77,0)+IFERROR(--ISNUMBER(SEARCH("R78",G459))*78,0)+IFERROR(--ISNUMBER(SEARCH("R79",G459))*79,0)+IFERROR(--ISNUMBER(SEARCH("R80",G459))*80,0)+IFERROR(--ISNUMBER(SEARCH("R81",G459))*81,0)+IFERROR(--ISNUMBER(SEARCH("R82",G459))*82,0)+IFERROR(--ISNUMBER(SEARCH("R83",G459))*83,0)+IFERROR(--ISNUMBER(SEARCH("R84",G459))*84,0)+IFERROR(--ISNUMBER(SEARCH("R85",G459))*85,0)+IFERROR(--ISNUMBER(SEARCH("R86",G459))*86,0)+IFERROR(--ISNUMBER(SEARCH("R87",G459))*87,0)+IFERROR(--ISNUMBER(SEARCH("R88",G459))*88,0)+IFERROR(--ISNUMBER(SEARCH("R89",G459))*89,0)+IFERROR(--ISNUMBER(SEARCH("R90",G459))*90,0)+IFERROR(--ISNUMBER(SEARCH("R91",G459))*91,0)+IFERROR(--ISNUMBER(SEARCH("R92",G459))*92,0)+IFERROR(--ISNUMBER(SEARCH("R93",G459))*93,0)+IFERROR(--ISNUMBER(SEARCH("R94",G459))*94,0)+IFERROR(--ISNUMBER(SEARCH("R95",G459))*95,0)+IFERROR(--ISNUMBER(SEARCH("R96",G459))*96,0)+IFERROR(--ISNUMBER(SEARCH("R97",G459))*97,0)+IFERROR(--ISNUMBER(SEARCH("R98",G459))*98,0)+IFERROR(--ISNUMBER(SEARCH("R99",G459))*99,0)+IFERROR(--ISNUMBER(SEARCH("R100",G459))*100,0)+IFERROR(--ISNUMBER(SEARCH("R101",G459))*101,0)+IFERROR(--ISNUMBER(SEARCH("R102",G459))*102,0)+IFERROR(--ISNUMBER(SEARCH("R103",G459))*103,0)+IFERROR(--ISNUMBER(SEARCH("R104",G459))*104,0)+IFERROR(--ISNUMBER(SEARCH("R105",G459))*105,0)+IFERROR(--ISNUMBER(SEARCH("R106",G459))*106,0)+IFERROR(--ISNUMBER(SEARCH("R107",G459))*107,0)+IFERROR(--ISNUMBER(SEARCH("R108",G459))*108,0)+IFERROR(--ISNUMBER(SEARCH("R109",G459))*109,0)+IFERROR(--ISNUMBER(SEARCH("R110",G459))*110,0)+IFERROR(--ISNUMBER(SEARCH("R111",G459))*111,0)+IFERROR(--ISNUMBER(SEARCH("R112",G459))*112,0)+IFERROR(--ISNUMBER(SEARCH("R113",G459))*113,0)+IFERROR(--ISNUMBER(SEARCH("R114",G459))*114,0)+IFERROR(--ISNUMBER(SEARCH("R115",G459))*115,0)+IFERROR(--ISNUMBER(SEARCH("R116",G459))*116,0)+IFERROR(--ISNUMBER(SEARCH("R117",G459))*117,0)+IFERROR(--ISNUMBER(SEARCH("R118",G459))*118,0)+IFERROR(--ISNUMBER(SEARCH("R119",G459))*119,0)+IFERROR(--ISNUMBER(SEARCH("R120",G459))*120,0)+IFERROR(--ISNUMBER(SEARCH("R121",G459))*121,0)+IFERROR(--ISNUMBER(SEARCH("R122",G459))*122,0)+IFERROR(--ISNUMBER(SEARCH("R123",G459))*123,0)+IFERROR(--ISNUMBER(SEARCH("R124",G459))*124,0)+IFERROR(--ISNUMBER(SEARCH("R125",G459))*125,0)+IFERROR(--ISNUMBER(SEARCH("R126",G459))*126,0)+IFERROR(--ISNUMBER(SEARCH("R127",G459))*127,0)+IFERROR(--ISNUMBER(SEARCH("R128",G459))*128,0)+IFERROR(--ISNUMBER(SEARCH("R129",G459))*129,0)+IFERROR(--ISNUMBER(SEARCH("R130",G459))*130,0)+IFERROR(--ISNUMBER(SEARCH("R131",G459))*131,0)+IFERROR(--ISNUMBER(SEARCH("R132",G459))*132,0)+IFERROR(--ISNUMBER(SEARCH("R133",G459))*133,0)+IFERROR(--ISNUMBER(SEARCH("R134",G459))*134,0)+IFERROR(--ISNUMBER(SEARCH("R135",G459))*135,0)+IFERROR(--ISNUMBER(SEARCH("R136",G459))*136,0)+IFERROR(--ISNUMBER(SEARCH("R137",G459))*137,0)+IFERROR(--ISNUMBER(SEARCH("R138",G459))*138,0)+IFERROR(--ISNUMBER(SEARCH("R139",G459))*139,0)+IFERROR(--ISNUMBER(SEARCH("R140",G459))*140,0)+IFERROR(--ISNUMBER(SEARCH("R141",G459))*141,0))</f>
        <v/>
      </c>
      <c r="V459" s="59">
        <f>IF(A459="","",IF(K459&lt;&gt;"",K459,J459))</f>
        <v/>
      </c>
      <c r="W459" s="59">
        <f>IF(A459="","",IF(AND(V459=29,O459&lt;&gt;"",COUNTIFS($V$6:$V$505,29,$F$6:$F$505,F459,$C$6:$C$505,C459,$O$6:$O$505,"&lt;&gt;")&gt;1),IF(COUNTIFS($V$6:V459,29,$F$6:F459,F459,$C$6:C459,C459,$O$6:O459,"&lt;&gt;")=1,"Esta es la fila que se debe CONSERVAR (aparición 1 de "&amp;COUNTIFS($V$6:$V$505,29,$F$6:$F$505,F459,$C$6:$C$505,C459,$O$6:$O$505,"&lt;&gt;")&amp;" con el mismo tercero y valor, casilla 29). Si hay más filas iguales, bórreles el valor a ELLAS, no a esta.","DUPLICADO — ya existe otra fila con el mismo tercero y valor para casilla 29 (aparición "&amp;COUNTIFS($V$6:V459,29,$F$6:F459,F459,$C$6:C459,C459,$O$6:O459,"&lt;&gt;")&amp;" de "&amp;COUNTIFS($V$6:$V$505,29,$F$6:$F$505,F459,$C$6:$C$505,C459,$O$6:$O$505,"&lt;&gt;")&amp;"). Para resolverlo: seleccione la celda O"&amp;ROW()&amp;" (columna Valor a declarar de ESTA fila) y presione Supr."),""))</f>
        <v/>
      </c>
      <c r="X459" s="463">
        <f>IF(A459="","",F459)</f>
        <v/>
      </c>
      <c r="Y459" s="463">
        <f>IF(A459="","",SUMIF(Entrada_Manual!$I$88:$I$187,A459,Entrada_Manual!$F$88:$F$187))</f>
        <v/>
      </c>
      <c r="Z459" s="463">
        <f>IF(A459="","",X459-Y459)</f>
        <v/>
      </c>
      <c r="AA459">
        <f>IF(A459="","",SUMPRODUCT((Entrada_Manual!$I$88:$I$187=A459)*1))</f>
        <v/>
      </c>
      <c r="AB459">
        <f>IF(A459="","",IF(S459&lt;=1,"",IF(AA459=0,"PENDIENTE — SIN ASIGNAR",IF(Z459=0,"RESUELTO","PARCIAL — DIFERENCIA "&amp;TEXT(Z459,"#,##0")))))</f>
        <v/>
      </c>
    </row>
    <row r="460" ht="14.25" customHeight="1" s="235">
      <c r="A460" s="47">
        <f>IF(Exogena_RAW!E469&lt;&gt;"",ROW()-5,"")</f>
        <v/>
      </c>
      <c r="B460" s="48">
        <f>IF(A460="","",469)</f>
        <v/>
      </c>
      <c r="C460" s="48">
        <f>IF(A460="","",IFERROR(Exogena_RAW!A469,""))</f>
        <v/>
      </c>
      <c r="D460" s="48">
        <f>IF(A460="","",IFERROR(Exogena_RAW!B469,""))</f>
        <v/>
      </c>
      <c r="E460" s="48">
        <f>IF(A460="","",Exogena_RAW!E469)</f>
        <v/>
      </c>
      <c r="F460" s="461">
        <f>IF(A460="","",Exogena_RAW!F469)</f>
        <v/>
      </c>
      <c r="G460" s="48">
        <f>IF(A460="","",IFERROR(Exogena_RAW!G469,""))</f>
        <v/>
      </c>
      <c r="H460" s="48">
        <f>IF(A460="","",IFERROR(Exogena_RAW!H469,""))</f>
        <v/>
      </c>
      <c r="I460" s="48">
        <f>IF(A460="","",IFERROR(IF(S460&gt;1,"VARIAS CASILLAS",IF(S460=1,IF(T460=1,"PROPUESTA DE CASILLA","REVISIÓN: CASILLA NO DIRECTA"),IF(OR(ISNUMBER(SEARCH("TOPE",UPPER(E460))),ISNUMBER(SEARCH("TOPE",UPPER(G460)))),"SOLO CONTROL",IF(ISNUMBER(SEARCH("RETEN",UPPER(E460))),"RETENCIÓN","REVISAR")))),"REVISAR"))</f>
        <v/>
      </c>
      <c r="J460" s="48">
        <f>IF(A460="","",IF(ISNUMBER(SEARCH("ingreso laboral promedio de los últimos seis meses",E460)),"",IFERROR(IF(AND(S460=1,T460=1),U460,""),"")))</f>
        <v/>
      </c>
      <c r="K460" s="216" t="n"/>
      <c r="L460" s="48">
        <f>IF(A460="","",IFERROR(IF(K460&lt;&gt;"","Casilla elegida por usuario",IF(S460&gt;1,"Varias casillas — elegir en K",IF(J460&lt;&gt;"","Sugerencia directa",IF(S460=1,"No trasladar directo — revisar",IF(OR(ISNUMBER(SEARCH("TOPE",UPPER(E460))),ISNUMBER(SEARCH("TOPE",UPPER(G460)))),"Solo control","Revisar manualmente"))))),"Revisar manualmente"))</f>
        <v/>
      </c>
      <c r="M460" s="461">
        <f>IF(A460="","",IF(IF(K460&lt;&gt;"",K460,J460)="",0,IF(COUNTIFS(Reglas!$I$5:$I$118,IF(K460&lt;&gt;"",K460,J460),Reglas!$J$5:$J$118,"Sí")=1,F460,0)))</f>
        <v/>
      </c>
      <c r="N460" s="56" t="n"/>
      <c r="O460" s="462">
        <f>IF(A460="","",IF(M460=0,"",M460))</f>
        <v/>
      </c>
      <c r="P460" s="461">
        <f>IF(A460="","",IF(O460="",0,IF(ISNUMBER(O460),O460,0)))</f>
        <v/>
      </c>
      <c r="Q460" s="48">
        <f>IF(A460="","",IF(Exogena_RAW!$C$4="","BLOQUEADO: FALTA AÑO",IF(Exogena_RAW!$K$10&lt;&gt;Reglas!$B$5,"BLOQUEADO: AÑO",IF(IF(K460&lt;&gt;"",K460,J460)="",IF(S460&gt;1,"REQUIERE ASIGNACIÓN MANUAL (VARIAS CASILLAS)","INFORMATIVO (sin casilla — no se declara)"),IF(COUNTIFS(Reglas!$I$5:$I$118,IF(K460&lt;&gt;"",K460,J460),Reglas!$J$5:$J$118,"Sí")=0,"BLOQUEADO: CASILLA NO DIRECTA",IF(O460="","EXCLUIDO (valor borrado por el usuario)",IF(_xlfn.ISFORMULA(O460),IF(W460&lt;&gt;"","BORRADOR — VALOR SUGERIDO DIAN ⚠ VER ALERTA","BORRADOR — VALOR SUGERIDO DIAN"),IF(W460&lt;&gt;"","ACEPTADO ⚠ VER ALERTA","ACEPTADO"))))))))</f>
        <v/>
      </c>
      <c r="R460" s="218" t="n"/>
      <c r="S460" s="58">
        <f>IF(A460="","",IFERROR(--ISNUMBER(SEARCH("R28",G460)),0)+IFERROR(--ISNUMBER(SEARCH("R29",G460)),0)+IFERROR(--ISNUMBER(SEARCH("R30",G460)),0)+IFERROR(--ISNUMBER(SEARCH("R31",G460)),0)+IFERROR(--ISNUMBER(SEARCH("R32",G460)),0)+IFERROR(--ISNUMBER(SEARCH("R33",G460)),0)+IFERROR(--ISNUMBER(SEARCH("R34",G460)),0)+IFERROR(--ISNUMBER(SEARCH("R35",G460)),0)+IFERROR(--ISNUMBER(SEARCH("R36",G460)),0)+IFERROR(--ISNUMBER(SEARCH("R37",G460)),0)+IFERROR(--ISNUMBER(SEARCH("R38",G460)),0)+IFERROR(--ISNUMBER(SEARCH("R39",G460)),0)+IFERROR(--ISNUMBER(SEARCH("R40",G460)),0)+IFERROR(--ISNUMBER(SEARCH("R41",G460)),0)+IFERROR(--ISNUMBER(SEARCH("R42",G460)),0)+IFERROR(--ISNUMBER(SEARCH("R43",G460)),0)+IFERROR(--ISNUMBER(SEARCH("R44",G460)),0)+IFERROR(--ISNUMBER(SEARCH("R45",G460)),0)+IFERROR(--ISNUMBER(SEARCH("R46",G460)),0)+IFERROR(--ISNUMBER(SEARCH("R47",G460)),0)+IFERROR(--ISNUMBER(SEARCH("R48",G460)),0)+IFERROR(--ISNUMBER(SEARCH("R49",G460)),0)+IFERROR(--ISNUMBER(SEARCH("R50",G460)),0)+IFERROR(--ISNUMBER(SEARCH("R51",G460)),0)+IFERROR(--ISNUMBER(SEARCH("R52",G460)),0)+IFERROR(--ISNUMBER(SEARCH("R53",G460)),0)+IFERROR(--ISNUMBER(SEARCH("R54",G460)),0)+IFERROR(--ISNUMBER(SEARCH("R55",G460)),0)+IFERROR(--ISNUMBER(SEARCH("R56",G460)),0)+IFERROR(--ISNUMBER(SEARCH("R57",G460)),0)+IFERROR(--ISNUMBER(SEARCH("R58",G460)),0)+IFERROR(--ISNUMBER(SEARCH("R59",G460)),0)+IFERROR(--ISNUMBER(SEARCH("R60",G460)),0)+IFERROR(--ISNUMBER(SEARCH("R61",G460)),0)+IFERROR(--ISNUMBER(SEARCH("R62",G460)),0)+IFERROR(--ISNUMBER(SEARCH("R63",G460)),0)+IFERROR(--ISNUMBER(SEARCH("R64",G460)),0)+IFERROR(--ISNUMBER(SEARCH("R65",G460)),0)+IFERROR(--ISNUMBER(SEARCH("R66",G460)),0)+IFERROR(--ISNUMBER(SEARCH("R67",G460)),0)+IFERROR(--ISNUMBER(SEARCH("R68",G460)),0)+IFERROR(--ISNUMBER(SEARCH("R69",G460)),0)+IFERROR(--ISNUMBER(SEARCH("R70",G460)),0)+IFERROR(--ISNUMBER(SEARCH("R71",G460)),0)+IFERROR(--ISNUMBER(SEARCH("R72",G460)),0)+IFERROR(--ISNUMBER(SEARCH("R73",G460)),0)+IFERROR(--ISNUMBER(SEARCH("R74",G460)),0)+IFERROR(--ISNUMBER(SEARCH("R75",G460)),0)+IFERROR(--ISNUMBER(SEARCH("R76",G460)),0)+IFERROR(--ISNUMBER(SEARCH("R77",G460)),0)+IFERROR(--ISNUMBER(SEARCH("R78",G460)),0)+IFERROR(--ISNUMBER(SEARCH("R79",G460)),0)+IFERROR(--ISNUMBER(SEARCH("R80",G460)),0)+IFERROR(--ISNUMBER(SEARCH("R81",G460)),0)+IFERROR(--ISNUMBER(SEARCH("R82",G460)),0)+IFERROR(--ISNUMBER(SEARCH("R83",G460)),0)+IFERROR(--ISNUMBER(SEARCH("R84",G460)),0)+IFERROR(--ISNUMBER(SEARCH("R85",G460)),0)+IFERROR(--ISNUMBER(SEARCH("R86",G460)),0)+IFERROR(--ISNUMBER(SEARCH("R87",G460)),0)+IFERROR(--ISNUMBER(SEARCH("R88",G460)),0)+IFERROR(--ISNUMBER(SEARCH("R89",G460)),0)+IFERROR(--ISNUMBER(SEARCH("R90",G460)),0)+IFERROR(--ISNUMBER(SEARCH("R91",G460)),0)+IFERROR(--ISNUMBER(SEARCH("R92",G460)),0)+IFERROR(--ISNUMBER(SEARCH("R93",G460)),0)+IFERROR(--ISNUMBER(SEARCH("R94",G460)),0)+IFERROR(--ISNUMBER(SEARCH("R95",G460)),0)+IFERROR(--ISNUMBER(SEARCH("R96",G460)),0)+IFERROR(--ISNUMBER(SEARCH("R97",G460)),0)+IFERROR(--ISNUMBER(SEARCH("R98",G460)),0)+IFERROR(--ISNUMBER(SEARCH("R99",G460)),0)+IFERROR(--ISNUMBER(SEARCH("R100",G460)),0)+IFERROR(--ISNUMBER(SEARCH("R101",G460)),0)+IFERROR(--ISNUMBER(SEARCH("R102",G460)),0)+IFERROR(--ISNUMBER(SEARCH("R103",G460)),0)+IFERROR(--ISNUMBER(SEARCH("R104",G460)),0)+IFERROR(--ISNUMBER(SEARCH("R105",G460)),0)+IFERROR(--ISNUMBER(SEARCH("R106",G460)),0)+IFERROR(--ISNUMBER(SEARCH("R107",G460)),0)+IFERROR(--ISNUMBER(SEARCH("R108",G460)),0)+IFERROR(--ISNUMBER(SEARCH("R109",G460)),0)+IFERROR(--ISNUMBER(SEARCH("R110",G460)),0)+IFERROR(--ISNUMBER(SEARCH("R111",G460)),0)+IFERROR(--ISNUMBER(SEARCH("R112",G460)),0)+IFERROR(--ISNUMBER(SEARCH("R113",G460)),0)+IFERROR(--ISNUMBER(SEARCH("R114",G460)),0)+IFERROR(--ISNUMBER(SEARCH("R115",G460)),0)+IFERROR(--ISNUMBER(SEARCH("R116",G460)),0)+IFERROR(--ISNUMBER(SEARCH("R117",G460)),0)+IFERROR(--ISNUMBER(SEARCH("R118",G460)),0)+IFERROR(--ISNUMBER(SEARCH("R119",G460)),0)+IFERROR(--ISNUMBER(SEARCH("R120",G460)),0)+IFERROR(--ISNUMBER(SEARCH("R121",G460)),0)+IFERROR(--ISNUMBER(SEARCH("R122",G460)),0)+IFERROR(--ISNUMBER(SEARCH("R123",G460)),0)+IFERROR(--ISNUMBER(SEARCH("R124",G460)),0)+IFERROR(--ISNUMBER(SEARCH("R125",G460)),0)+IFERROR(--ISNUMBER(SEARCH("R126",G460)),0)+IFERROR(--ISNUMBER(SEARCH("R127",G460)),0)+IFERROR(--ISNUMBER(SEARCH("R128",G460)),0)+IFERROR(--ISNUMBER(SEARCH("R129",G460)),0)+IFERROR(--ISNUMBER(SEARCH("R130",G460)),0)+IFERROR(--ISNUMBER(SEARCH("R131",G460)),0)+IFERROR(--ISNUMBER(SEARCH("R132",G460)),0)+IFERROR(--ISNUMBER(SEARCH("R133",G460)),0)+IFERROR(--ISNUMBER(SEARCH("R134",G460)),0)+IFERROR(--ISNUMBER(SEARCH("R135",G460)),0)+IFERROR(--ISNUMBER(SEARCH("R136",G460)),0)+IFERROR(--ISNUMBER(SEARCH("R137",G460)),0)+IFERROR(--ISNUMBER(SEARCH("R138",G460)),0)+IFERROR(--ISNUMBER(SEARCH("R139",G460)),0)+IFERROR(--ISNUMBER(SEARCH("R140",G460)),0)+IFERROR(--ISNUMBER(SEARCH("R141",G460)),0))</f>
        <v/>
      </c>
      <c r="T460" s="58">
        <f>IF(A460="","",IFERROR(--ISNUMBER(SEARCH("R28",G460)),0)+IFERROR(--ISNUMBER(SEARCH("R29",G460)),0)+IFERROR(--ISNUMBER(SEARCH("R30",G460)),0)+IFERROR(--ISNUMBER(SEARCH("R32",G460)),0)+IFERROR(--ISNUMBER(SEARCH("R33",G460)),0)+IFERROR(--ISNUMBER(SEARCH("R35",G460)),0)+IFERROR(--ISNUMBER(SEARCH("R36",G460)),0)+IFERROR(--ISNUMBER(SEARCH("R38",G460)),0)+IFERROR(--ISNUMBER(SEARCH("R39",G460)),0)+IFERROR(--ISNUMBER(SEARCH("R43",G460)),0)+IFERROR(--ISNUMBER(SEARCH("R44",G460)),0)+IFERROR(--ISNUMBER(SEARCH("R45",G460)),0)+IFERROR(--ISNUMBER(SEARCH("R47",G460)),0)+IFERROR(--ISNUMBER(SEARCH("R48",G460)),0)+IFERROR(--ISNUMBER(SEARCH("R50",G460)),0)+IFERROR(--ISNUMBER(SEARCH("R51",G460)),0)+IFERROR(--ISNUMBER(SEARCH("R56",G460)),0)+IFERROR(--ISNUMBER(SEARCH("R58",G460)),0)+IFERROR(--ISNUMBER(SEARCH("R59",G460)),0)+IFERROR(--ISNUMBER(SEARCH("R60",G460)),0)+IFERROR(--ISNUMBER(SEARCH("R62",G460)),0)+IFERROR(--ISNUMBER(SEARCH("R63",G460)),0)+IFERROR(--ISNUMBER(SEARCH("R64",G460)),0)+IFERROR(--ISNUMBER(SEARCH("R66",G460)),0)+IFERROR(--ISNUMBER(SEARCH("R67",G460)),0)+IFERROR(--ISNUMBER(SEARCH("R72",G460)),0)+IFERROR(--ISNUMBER(SEARCH("R74",G460)),0)+IFERROR(--ISNUMBER(SEARCH("R75",G460)),0)+IFERROR(--ISNUMBER(SEARCH("R76",G460)),0)+IFERROR(--ISNUMBER(SEARCH("R77",G460)),0)+IFERROR(--ISNUMBER(SEARCH("R79",G460)),0)+IFERROR(--ISNUMBER(SEARCH("R80",G460)),0)+IFERROR(--ISNUMBER(SEARCH("R81",G460)),0)+IFERROR(--ISNUMBER(SEARCH("R83",G460)),0)+IFERROR(--ISNUMBER(SEARCH("R84",G460)),0)+IFERROR(--ISNUMBER(SEARCH("R89",G460)),0)+IFERROR(--ISNUMBER(SEARCH("R94",G460)),0)+IFERROR(--ISNUMBER(SEARCH("R95",G460)),0)+IFERROR(--ISNUMBER(SEARCH("R96",G460)),0)+IFERROR(--ISNUMBER(SEARCH("R98",G460)),0)+IFERROR(--ISNUMBER(SEARCH("R99",G460)),0)+IFERROR(--ISNUMBER(SEARCH("R100",G460)),0)+IFERROR(--ISNUMBER(SEARCH("R104",G460)),0)+IFERROR(--ISNUMBER(SEARCH("R105",G460)),0)+IFERROR(--ISNUMBER(SEARCH("R107",G460)),0)+IFERROR(--ISNUMBER(SEARCH("R108",G460)),0)+IFERROR(--ISNUMBER(SEARCH("R109",G460)),0)+IFERROR(--ISNUMBER(SEARCH("R110",G460)),0)+IFERROR(--ISNUMBER(SEARCH("R112",G460)),0)+IFERROR(--ISNUMBER(SEARCH("R113",G460)),0)+IFERROR(--ISNUMBER(SEARCH("R114",G460)),0)+IFERROR(--ISNUMBER(SEARCH("R118",G460)),0)+IFERROR(--ISNUMBER(SEARCH("R119",G460)),0)+IFERROR(--ISNUMBER(SEARCH("R120",G460)),0)+IFERROR(--ISNUMBER(SEARCH("R122",G460)),0)+IFERROR(--ISNUMBER(SEARCH("R123",G460)),0)+IFERROR(--ISNUMBER(SEARCH("R124",G460)),0)+IFERROR(--ISNUMBER(SEARCH("R128",G460)),0)+IFERROR(--ISNUMBER(SEARCH("R130",G460)),0)+IFERROR(--ISNUMBER(SEARCH("R131",G460)),0)+IFERROR(--ISNUMBER(SEARCH("R132",G460)),0)+IFERROR(--ISNUMBER(SEARCH("R135",G460)),0)+IFERROR(--ISNUMBER(SEARCH("R138",G460)),0)+IFERROR(--ISNUMBER(SEARCH("R141",G460)),0))</f>
        <v/>
      </c>
      <c r="U460" s="58">
        <f>IF(A460="","",IFERROR(--ISNUMBER(SEARCH("R28",G460))*28,0)+IFERROR(--ISNUMBER(SEARCH("R29",G460))*29,0)+IFERROR(--ISNUMBER(SEARCH("R30",G460))*30,0)+IFERROR(--ISNUMBER(SEARCH("R31",G460))*31,0)+IFERROR(--ISNUMBER(SEARCH("R32",G460))*32,0)+IFERROR(--ISNUMBER(SEARCH("R33",G460))*33,0)+IFERROR(--ISNUMBER(SEARCH("R34",G460))*34,0)+IFERROR(--ISNUMBER(SEARCH("R35",G460))*35,0)+IFERROR(--ISNUMBER(SEARCH("R36",G460))*36,0)+IFERROR(--ISNUMBER(SEARCH("R37",G460))*37,0)+IFERROR(--ISNUMBER(SEARCH("R38",G460))*38,0)+IFERROR(--ISNUMBER(SEARCH("R39",G460))*39,0)+IFERROR(--ISNUMBER(SEARCH("R40",G460))*40,0)+IFERROR(--ISNUMBER(SEARCH("R41",G460))*41,0)+IFERROR(--ISNUMBER(SEARCH("R42",G460))*42,0)+IFERROR(--ISNUMBER(SEARCH("R43",G460))*43,0)+IFERROR(--ISNUMBER(SEARCH("R44",G460))*44,0)+IFERROR(--ISNUMBER(SEARCH("R45",G460))*45,0)+IFERROR(--ISNUMBER(SEARCH("R46",G460))*46,0)+IFERROR(--ISNUMBER(SEARCH("R47",G460))*47,0)+IFERROR(--ISNUMBER(SEARCH("R48",G460))*48,0)+IFERROR(--ISNUMBER(SEARCH("R49",G460))*49,0)+IFERROR(--ISNUMBER(SEARCH("R50",G460))*50,0)+IFERROR(--ISNUMBER(SEARCH("R51",G460))*51,0)+IFERROR(--ISNUMBER(SEARCH("R52",G460))*52,0)+IFERROR(--ISNUMBER(SEARCH("R53",G460))*53,0)+IFERROR(--ISNUMBER(SEARCH("R54",G460))*54,0)+IFERROR(--ISNUMBER(SEARCH("R55",G460))*55,0)+IFERROR(--ISNUMBER(SEARCH("R56",G460))*56,0)+IFERROR(--ISNUMBER(SEARCH("R57",G460))*57,0)+IFERROR(--ISNUMBER(SEARCH("R58",G460))*58,0)+IFERROR(--ISNUMBER(SEARCH("R59",G460))*59,0)+IFERROR(--ISNUMBER(SEARCH("R60",G460))*60,0)+IFERROR(--ISNUMBER(SEARCH("R61",G460))*61,0)+IFERROR(--ISNUMBER(SEARCH("R62",G460))*62,0)+IFERROR(--ISNUMBER(SEARCH("R63",G460))*63,0)+IFERROR(--ISNUMBER(SEARCH("R64",G460))*64,0)+IFERROR(--ISNUMBER(SEARCH("R65",G460))*65,0)+IFERROR(--ISNUMBER(SEARCH("R66",G460))*66,0)+IFERROR(--ISNUMBER(SEARCH("R67",G460))*67,0)+IFERROR(--ISNUMBER(SEARCH("R68",G460))*68,0)+IFERROR(--ISNUMBER(SEARCH("R69",G460))*69,0)+IFERROR(--ISNUMBER(SEARCH("R70",G460))*70,0)+IFERROR(--ISNUMBER(SEARCH("R71",G460))*71,0)+IFERROR(--ISNUMBER(SEARCH("R72",G460))*72,0)+IFERROR(--ISNUMBER(SEARCH("R73",G460))*73,0)+IFERROR(--ISNUMBER(SEARCH("R74",G460))*74,0)+IFERROR(--ISNUMBER(SEARCH("R75",G460))*75,0)+IFERROR(--ISNUMBER(SEARCH("R76",G460))*76,0)+IFERROR(--ISNUMBER(SEARCH("R77",G460))*77,0)+IFERROR(--ISNUMBER(SEARCH("R78",G460))*78,0)+IFERROR(--ISNUMBER(SEARCH("R79",G460))*79,0)+IFERROR(--ISNUMBER(SEARCH("R80",G460))*80,0)+IFERROR(--ISNUMBER(SEARCH("R81",G460))*81,0)+IFERROR(--ISNUMBER(SEARCH("R82",G460))*82,0)+IFERROR(--ISNUMBER(SEARCH("R83",G460))*83,0)+IFERROR(--ISNUMBER(SEARCH("R84",G460))*84,0)+IFERROR(--ISNUMBER(SEARCH("R85",G460))*85,0)+IFERROR(--ISNUMBER(SEARCH("R86",G460))*86,0)+IFERROR(--ISNUMBER(SEARCH("R87",G460))*87,0)+IFERROR(--ISNUMBER(SEARCH("R88",G460))*88,0)+IFERROR(--ISNUMBER(SEARCH("R89",G460))*89,0)+IFERROR(--ISNUMBER(SEARCH("R90",G460))*90,0)+IFERROR(--ISNUMBER(SEARCH("R91",G460))*91,0)+IFERROR(--ISNUMBER(SEARCH("R92",G460))*92,0)+IFERROR(--ISNUMBER(SEARCH("R93",G460))*93,0)+IFERROR(--ISNUMBER(SEARCH("R94",G460))*94,0)+IFERROR(--ISNUMBER(SEARCH("R95",G460))*95,0)+IFERROR(--ISNUMBER(SEARCH("R96",G460))*96,0)+IFERROR(--ISNUMBER(SEARCH("R97",G460))*97,0)+IFERROR(--ISNUMBER(SEARCH("R98",G460))*98,0)+IFERROR(--ISNUMBER(SEARCH("R99",G460))*99,0)+IFERROR(--ISNUMBER(SEARCH("R100",G460))*100,0)+IFERROR(--ISNUMBER(SEARCH("R101",G460))*101,0)+IFERROR(--ISNUMBER(SEARCH("R102",G460))*102,0)+IFERROR(--ISNUMBER(SEARCH("R103",G460))*103,0)+IFERROR(--ISNUMBER(SEARCH("R104",G460))*104,0)+IFERROR(--ISNUMBER(SEARCH("R105",G460))*105,0)+IFERROR(--ISNUMBER(SEARCH("R106",G460))*106,0)+IFERROR(--ISNUMBER(SEARCH("R107",G460))*107,0)+IFERROR(--ISNUMBER(SEARCH("R108",G460))*108,0)+IFERROR(--ISNUMBER(SEARCH("R109",G460))*109,0)+IFERROR(--ISNUMBER(SEARCH("R110",G460))*110,0)+IFERROR(--ISNUMBER(SEARCH("R111",G460))*111,0)+IFERROR(--ISNUMBER(SEARCH("R112",G460))*112,0)+IFERROR(--ISNUMBER(SEARCH("R113",G460))*113,0)+IFERROR(--ISNUMBER(SEARCH("R114",G460))*114,0)+IFERROR(--ISNUMBER(SEARCH("R115",G460))*115,0)+IFERROR(--ISNUMBER(SEARCH("R116",G460))*116,0)+IFERROR(--ISNUMBER(SEARCH("R117",G460))*117,0)+IFERROR(--ISNUMBER(SEARCH("R118",G460))*118,0)+IFERROR(--ISNUMBER(SEARCH("R119",G460))*119,0)+IFERROR(--ISNUMBER(SEARCH("R120",G460))*120,0)+IFERROR(--ISNUMBER(SEARCH("R121",G460))*121,0)+IFERROR(--ISNUMBER(SEARCH("R122",G460))*122,0)+IFERROR(--ISNUMBER(SEARCH("R123",G460))*123,0)+IFERROR(--ISNUMBER(SEARCH("R124",G460))*124,0)+IFERROR(--ISNUMBER(SEARCH("R125",G460))*125,0)+IFERROR(--ISNUMBER(SEARCH("R126",G460))*126,0)+IFERROR(--ISNUMBER(SEARCH("R127",G460))*127,0)+IFERROR(--ISNUMBER(SEARCH("R128",G460))*128,0)+IFERROR(--ISNUMBER(SEARCH("R129",G460))*129,0)+IFERROR(--ISNUMBER(SEARCH("R130",G460))*130,0)+IFERROR(--ISNUMBER(SEARCH("R131",G460))*131,0)+IFERROR(--ISNUMBER(SEARCH("R132",G460))*132,0)+IFERROR(--ISNUMBER(SEARCH("R133",G460))*133,0)+IFERROR(--ISNUMBER(SEARCH("R134",G460))*134,0)+IFERROR(--ISNUMBER(SEARCH("R135",G460))*135,0)+IFERROR(--ISNUMBER(SEARCH("R136",G460))*136,0)+IFERROR(--ISNUMBER(SEARCH("R137",G460))*137,0)+IFERROR(--ISNUMBER(SEARCH("R138",G460))*138,0)+IFERROR(--ISNUMBER(SEARCH("R139",G460))*139,0)+IFERROR(--ISNUMBER(SEARCH("R140",G460))*140,0)+IFERROR(--ISNUMBER(SEARCH("R141",G460))*141,0))</f>
        <v/>
      </c>
      <c r="V460" s="59">
        <f>IF(A460="","",IF(K460&lt;&gt;"",K460,J460))</f>
        <v/>
      </c>
      <c r="W460" s="59">
        <f>IF(A460="","",IF(AND(V460=29,O460&lt;&gt;"",COUNTIFS($V$6:$V$505,29,$F$6:$F$505,F460,$C$6:$C$505,C460,$O$6:$O$505,"&lt;&gt;")&gt;1),IF(COUNTIFS($V$6:V460,29,$F$6:F460,F460,$C$6:C460,C460,$O$6:O460,"&lt;&gt;")=1,"Esta es la fila que se debe CONSERVAR (aparición 1 de "&amp;COUNTIFS($V$6:$V$505,29,$F$6:$F$505,F460,$C$6:$C$505,C460,$O$6:$O$505,"&lt;&gt;")&amp;" con el mismo tercero y valor, casilla 29). Si hay más filas iguales, bórreles el valor a ELLAS, no a esta.","DUPLICADO — ya existe otra fila con el mismo tercero y valor para casilla 29 (aparición "&amp;COUNTIFS($V$6:V460,29,$F$6:F460,F460,$C$6:C460,C460,$O$6:O460,"&lt;&gt;")&amp;" de "&amp;COUNTIFS($V$6:$V$505,29,$F$6:$F$505,F460,$C$6:$C$505,C460,$O$6:$O$505,"&lt;&gt;")&amp;"). Para resolverlo: seleccione la celda O"&amp;ROW()&amp;" (columna Valor a declarar de ESTA fila) y presione Supr."),""))</f>
        <v/>
      </c>
      <c r="X460" s="463">
        <f>IF(A460="","",F460)</f>
        <v/>
      </c>
      <c r="Y460" s="463">
        <f>IF(A460="","",SUMIF(Entrada_Manual!$I$88:$I$187,A460,Entrada_Manual!$F$88:$F$187))</f>
        <v/>
      </c>
      <c r="Z460" s="463">
        <f>IF(A460="","",X460-Y460)</f>
        <v/>
      </c>
      <c r="AA460">
        <f>IF(A460="","",SUMPRODUCT((Entrada_Manual!$I$88:$I$187=A460)*1))</f>
        <v/>
      </c>
      <c r="AB460">
        <f>IF(A460="","",IF(S460&lt;=1,"",IF(AA460=0,"PENDIENTE — SIN ASIGNAR",IF(Z460=0,"RESUELTO","PARCIAL — DIFERENCIA "&amp;TEXT(Z460,"#,##0")))))</f>
        <v/>
      </c>
    </row>
    <row r="461" ht="14.25" customHeight="1" s="235">
      <c r="A461" s="47">
        <f>IF(Exogena_RAW!E470&lt;&gt;"",ROW()-5,"")</f>
        <v/>
      </c>
      <c r="B461" s="48">
        <f>IF(A461="","",470)</f>
        <v/>
      </c>
      <c r="C461" s="48">
        <f>IF(A461="","",IFERROR(Exogena_RAW!A470,""))</f>
        <v/>
      </c>
      <c r="D461" s="48">
        <f>IF(A461="","",IFERROR(Exogena_RAW!B470,""))</f>
        <v/>
      </c>
      <c r="E461" s="48">
        <f>IF(A461="","",Exogena_RAW!E470)</f>
        <v/>
      </c>
      <c r="F461" s="461">
        <f>IF(A461="","",Exogena_RAW!F470)</f>
        <v/>
      </c>
      <c r="G461" s="48">
        <f>IF(A461="","",IFERROR(Exogena_RAW!G470,""))</f>
        <v/>
      </c>
      <c r="H461" s="48">
        <f>IF(A461="","",IFERROR(Exogena_RAW!H470,""))</f>
        <v/>
      </c>
      <c r="I461" s="48">
        <f>IF(A461="","",IFERROR(IF(S461&gt;1,"VARIAS CASILLAS",IF(S461=1,IF(T461=1,"PROPUESTA DE CASILLA","REVISIÓN: CASILLA NO DIRECTA"),IF(OR(ISNUMBER(SEARCH("TOPE",UPPER(E461))),ISNUMBER(SEARCH("TOPE",UPPER(G461)))),"SOLO CONTROL",IF(ISNUMBER(SEARCH("RETEN",UPPER(E461))),"RETENCIÓN","REVISAR")))),"REVISAR"))</f>
        <v/>
      </c>
      <c r="J461" s="48">
        <f>IF(A461="","",IF(ISNUMBER(SEARCH("ingreso laboral promedio de los últimos seis meses",E461)),"",IFERROR(IF(AND(S461=1,T461=1),U461,""),"")))</f>
        <v/>
      </c>
      <c r="K461" s="216" t="n"/>
      <c r="L461" s="48">
        <f>IF(A461="","",IFERROR(IF(K461&lt;&gt;"","Casilla elegida por usuario",IF(S461&gt;1,"Varias casillas — elegir en K",IF(J461&lt;&gt;"","Sugerencia directa",IF(S461=1,"No trasladar directo — revisar",IF(OR(ISNUMBER(SEARCH("TOPE",UPPER(E461))),ISNUMBER(SEARCH("TOPE",UPPER(G461)))),"Solo control","Revisar manualmente"))))),"Revisar manualmente"))</f>
        <v/>
      </c>
      <c r="M461" s="461">
        <f>IF(A461="","",IF(IF(K461&lt;&gt;"",K461,J461)="",0,IF(COUNTIFS(Reglas!$I$5:$I$118,IF(K461&lt;&gt;"",K461,J461),Reglas!$J$5:$J$118,"Sí")=1,F461,0)))</f>
        <v/>
      </c>
      <c r="N461" s="56" t="n"/>
      <c r="O461" s="462">
        <f>IF(A461="","",IF(M461=0,"",M461))</f>
        <v/>
      </c>
      <c r="P461" s="461">
        <f>IF(A461="","",IF(O461="",0,IF(ISNUMBER(O461),O461,0)))</f>
        <v/>
      </c>
      <c r="Q461" s="48">
        <f>IF(A461="","",IF(Exogena_RAW!$C$4="","BLOQUEADO: FALTA AÑO",IF(Exogena_RAW!$K$10&lt;&gt;Reglas!$B$5,"BLOQUEADO: AÑO",IF(IF(K461&lt;&gt;"",K461,J461)="",IF(S461&gt;1,"REQUIERE ASIGNACIÓN MANUAL (VARIAS CASILLAS)","INFORMATIVO (sin casilla — no se declara)"),IF(COUNTIFS(Reglas!$I$5:$I$118,IF(K461&lt;&gt;"",K461,J461),Reglas!$J$5:$J$118,"Sí")=0,"BLOQUEADO: CASILLA NO DIRECTA",IF(O461="","EXCLUIDO (valor borrado por el usuario)",IF(_xlfn.ISFORMULA(O461),IF(W461&lt;&gt;"","BORRADOR — VALOR SUGERIDO DIAN ⚠ VER ALERTA","BORRADOR — VALOR SUGERIDO DIAN"),IF(W461&lt;&gt;"","ACEPTADO ⚠ VER ALERTA","ACEPTADO"))))))))</f>
        <v/>
      </c>
      <c r="R461" s="218" t="n"/>
      <c r="S461" s="58">
        <f>IF(A461="","",IFERROR(--ISNUMBER(SEARCH("R28",G461)),0)+IFERROR(--ISNUMBER(SEARCH("R29",G461)),0)+IFERROR(--ISNUMBER(SEARCH("R30",G461)),0)+IFERROR(--ISNUMBER(SEARCH("R31",G461)),0)+IFERROR(--ISNUMBER(SEARCH("R32",G461)),0)+IFERROR(--ISNUMBER(SEARCH("R33",G461)),0)+IFERROR(--ISNUMBER(SEARCH("R34",G461)),0)+IFERROR(--ISNUMBER(SEARCH("R35",G461)),0)+IFERROR(--ISNUMBER(SEARCH("R36",G461)),0)+IFERROR(--ISNUMBER(SEARCH("R37",G461)),0)+IFERROR(--ISNUMBER(SEARCH("R38",G461)),0)+IFERROR(--ISNUMBER(SEARCH("R39",G461)),0)+IFERROR(--ISNUMBER(SEARCH("R40",G461)),0)+IFERROR(--ISNUMBER(SEARCH("R41",G461)),0)+IFERROR(--ISNUMBER(SEARCH("R42",G461)),0)+IFERROR(--ISNUMBER(SEARCH("R43",G461)),0)+IFERROR(--ISNUMBER(SEARCH("R44",G461)),0)+IFERROR(--ISNUMBER(SEARCH("R45",G461)),0)+IFERROR(--ISNUMBER(SEARCH("R46",G461)),0)+IFERROR(--ISNUMBER(SEARCH("R47",G461)),0)+IFERROR(--ISNUMBER(SEARCH("R48",G461)),0)+IFERROR(--ISNUMBER(SEARCH("R49",G461)),0)+IFERROR(--ISNUMBER(SEARCH("R50",G461)),0)+IFERROR(--ISNUMBER(SEARCH("R51",G461)),0)+IFERROR(--ISNUMBER(SEARCH("R52",G461)),0)+IFERROR(--ISNUMBER(SEARCH("R53",G461)),0)+IFERROR(--ISNUMBER(SEARCH("R54",G461)),0)+IFERROR(--ISNUMBER(SEARCH("R55",G461)),0)+IFERROR(--ISNUMBER(SEARCH("R56",G461)),0)+IFERROR(--ISNUMBER(SEARCH("R57",G461)),0)+IFERROR(--ISNUMBER(SEARCH("R58",G461)),0)+IFERROR(--ISNUMBER(SEARCH("R59",G461)),0)+IFERROR(--ISNUMBER(SEARCH("R60",G461)),0)+IFERROR(--ISNUMBER(SEARCH("R61",G461)),0)+IFERROR(--ISNUMBER(SEARCH("R62",G461)),0)+IFERROR(--ISNUMBER(SEARCH("R63",G461)),0)+IFERROR(--ISNUMBER(SEARCH("R64",G461)),0)+IFERROR(--ISNUMBER(SEARCH("R65",G461)),0)+IFERROR(--ISNUMBER(SEARCH("R66",G461)),0)+IFERROR(--ISNUMBER(SEARCH("R67",G461)),0)+IFERROR(--ISNUMBER(SEARCH("R68",G461)),0)+IFERROR(--ISNUMBER(SEARCH("R69",G461)),0)+IFERROR(--ISNUMBER(SEARCH("R70",G461)),0)+IFERROR(--ISNUMBER(SEARCH("R71",G461)),0)+IFERROR(--ISNUMBER(SEARCH("R72",G461)),0)+IFERROR(--ISNUMBER(SEARCH("R73",G461)),0)+IFERROR(--ISNUMBER(SEARCH("R74",G461)),0)+IFERROR(--ISNUMBER(SEARCH("R75",G461)),0)+IFERROR(--ISNUMBER(SEARCH("R76",G461)),0)+IFERROR(--ISNUMBER(SEARCH("R77",G461)),0)+IFERROR(--ISNUMBER(SEARCH("R78",G461)),0)+IFERROR(--ISNUMBER(SEARCH("R79",G461)),0)+IFERROR(--ISNUMBER(SEARCH("R80",G461)),0)+IFERROR(--ISNUMBER(SEARCH("R81",G461)),0)+IFERROR(--ISNUMBER(SEARCH("R82",G461)),0)+IFERROR(--ISNUMBER(SEARCH("R83",G461)),0)+IFERROR(--ISNUMBER(SEARCH("R84",G461)),0)+IFERROR(--ISNUMBER(SEARCH("R85",G461)),0)+IFERROR(--ISNUMBER(SEARCH("R86",G461)),0)+IFERROR(--ISNUMBER(SEARCH("R87",G461)),0)+IFERROR(--ISNUMBER(SEARCH("R88",G461)),0)+IFERROR(--ISNUMBER(SEARCH("R89",G461)),0)+IFERROR(--ISNUMBER(SEARCH("R90",G461)),0)+IFERROR(--ISNUMBER(SEARCH("R91",G461)),0)+IFERROR(--ISNUMBER(SEARCH("R92",G461)),0)+IFERROR(--ISNUMBER(SEARCH("R93",G461)),0)+IFERROR(--ISNUMBER(SEARCH("R94",G461)),0)+IFERROR(--ISNUMBER(SEARCH("R95",G461)),0)+IFERROR(--ISNUMBER(SEARCH("R96",G461)),0)+IFERROR(--ISNUMBER(SEARCH("R97",G461)),0)+IFERROR(--ISNUMBER(SEARCH("R98",G461)),0)+IFERROR(--ISNUMBER(SEARCH("R99",G461)),0)+IFERROR(--ISNUMBER(SEARCH("R100",G461)),0)+IFERROR(--ISNUMBER(SEARCH("R101",G461)),0)+IFERROR(--ISNUMBER(SEARCH("R102",G461)),0)+IFERROR(--ISNUMBER(SEARCH("R103",G461)),0)+IFERROR(--ISNUMBER(SEARCH("R104",G461)),0)+IFERROR(--ISNUMBER(SEARCH("R105",G461)),0)+IFERROR(--ISNUMBER(SEARCH("R106",G461)),0)+IFERROR(--ISNUMBER(SEARCH("R107",G461)),0)+IFERROR(--ISNUMBER(SEARCH("R108",G461)),0)+IFERROR(--ISNUMBER(SEARCH("R109",G461)),0)+IFERROR(--ISNUMBER(SEARCH("R110",G461)),0)+IFERROR(--ISNUMBER(SEARCH("R111",G461)),0)+IFERROR(--ISNUMBER(SEARCH("R112",G461)),0)+IFERROR(--ISNUMBER(SEARCH("R113",G461)),0)+IFERROR(--ISNUMBER(SEARCH("R114",G461)),0)+IFERROR(--ISNUMBER(SEARCH("R115",G461)),0)+IFERROR(--ISNUMBER(SEARCH("R116",G461)),0)+IFERROR(--ISNUMBER(SEARCH("R117",G461)),0)+IFERROR(--ISNUMBER(SEARCH("R118",G461)),0)+IFERROR(--ISNUMBER(SEARCH("R119",G461)),0)+IFERROR(--ISNUMBER(SEARCH("R120",G461)),0)+IFERROR(--ISNUMBER(SEARCH("R121",G461)),0)+IFERROR(--ISNUMBER(SEARCH("R122",G461)),0)+IFERROR(--ISNUMBER(SEARCH("R123",G461)),0)+IFERROR(--ISNUMBER(SEARCH("R124",G461)),0)+IFERROR(--ISNUMBER(SEARCH("R125",G461)),0)+IFERROR(--ISNUMBER(SEARCH("R126",G461)),0)+IFERROR(--ISNUMBER(SEARCH("R127",G461)),0)+IFERROR(--ISNUMBER(SEARCH("R128",G461)),0)+IFERROR(--ISNUMBER(SEARCH("R129",G461)),0)+IFERROR(--ISNUMBER(SEARCH("R130",G461)),0)+IFERROR(--ISNUMBER(SEARCH("R131",G461)),0)+IFERROR(--ISNUMBER(SEARCH("R132",G461)),0)+IFERROR(--ISNUMBER(SEARCH("R133",G461)),0)+IFERROR(--ISNUMBER(SEARCH("R134",G461)),0)+IFERROR(--ISNUMBER(SEARCH("R135",G461)),0)+IFERROR(--ISNUMBER(SEARCH("R136",G461)),0)+IFERROR(--ISNUMBER(SEARCH("R137",G461)),0)+IFERROR(--ISNUMBER(SEARCH("R138",G461)),0)+IFERROR(--ISNUMBER(SEARCH("R139",G461)),0)+IFERROR(--ISNUMBER(SEARCH("R140",G461)),0)+IFERROR(--ISNUMBER(SEARCH("R141",G461)),0))</f>
        <v/>
      </c>
      <c r="T461" s="58">
        <f>IF(A461="","",IFERROR(--ISNUMBER(SEARCH("R28",G461)),0)+IFERROR(--ISNUMBER(SEARCH("R29",G461)),0)+IFERROR(--ISNUMBER(SEARCH("R30",G461)),0)+IFERROR(--ISNUMBER(SEARCH("R32",G461)),0)+IFERROR(--ISNUMBER(SEARCH("R33",G461)),0)+IFERROR(--ISNUMBER(SEARCH("R35",G461)),0)+IFERROR(--ISNUMBER(SEARCH("R36",G461)),0)+IFERROR(--ISNUMBER(SEARCH("R38",G461)),0)+IFERROR(--ISNUMBER(SEARCH("R39",G461)),0)+IFERROR(--ISNUMBER(SEARCH("R43",G461)),0)+IFERROR(--ISNUMBER(SEARCH("R44",G461)),0)+IFERROR(--ISNUMBER(SEARCH("R45",G461)),0)+IFERROR(--ISNUMBER(SEARCH("R47",G461)),0)+IFERROR(--ISNUMBER(SEARCH("R48",G461)),0)+IFERROR(--ISNUMBER(SEARCH("R50",G461)),0)+IFERROR(--ISNUMBER(SEARCH("R51",G461)),0)+IFERROR(--ISNUMBER(SEARCH("R56",G461)),0)+IFERROR(--ISNUMBER(SEARCH("R58",G461)),0)+IFERROR(--ISNUMBER(SEARCH("R59",G461)),0)+IFERROR(--ISNUMBER(SEARCH("R60",G461)),0)+IFERROR(--ISNUMBER(SEARCH("R62",G461)),0)+IFERROR(--ISNUMBER(SEARCH("R63",G461)),0)+IFERROR(--ISNUMBER(SEARCH("R64",G461)),0)+IFERROR(--ISNUMBER(SEARCH("R66",G461)),0)+IFERROR(--ISNUMBER(SEARCH("R67",G461)),0)+IFERROR(--ISNUMBER(SEARCH("R72",G461)),0)+IFERROR(--ISNUMBER(SEARCH("R74",G461)),0)+IFERROR(--ISNUMBER(SEARCH("R75",G461)),0)+IFERROR(--ISNUMBER(SEARCH("R76",G461)),0)+IFERROR(--ISNUMBER(SEARCH("R77",G461)),0)+IFERROR(--ISNUMBER(SEARCH("R79",G461)),0)+IFERROR(--ISNUMBER(SEARCH("R80",G461)),0)+IFERROR(--ISNUMBER(SEARCH("R81",G461)),0)+IFERROR(--ISNUMBER(SEARCH("R83",G461)),0)+IFERROR(--ISNUMBER(SEARCH("R84",G461)),0)+IFERROR(--ISNUMBER(SEARCH("R89",G461)),0)+IFERROR(--ISNUMBER(SEARCH("R94",G461)),0)+IFERROR(--ISNUMBER(SEARCH("R95",G461)),0)+IFERROR(--ISNUMBER(SEARCH("R96",G461)),0)+IFERROR(--ISNUMBER(SEARCH("R98",G461)),0)+IFERROR(--ISNUMBER(SEARCH("R99",G461)),0)+IFERROR(--ISNUMBER(SEARCH("R100",G461)),0)+IFERROR(--ISNUMBER(SEARCH("R104",G461)),0)+IFERROR(--ISNUMBER(SEARCH("R105",G461)),0)+IFERROR(--ISNUMBER(SEARCH("R107",G461)),0)+IFERROR(--ISNUMBER(SEARCH("R108",G461)),0)+IFERROR(--ISNUMBER(SEARCH("R109",G461)),0)+IFERROR(--ISNUMBER(SEARCH("R110",G461)),0)+IFERROR(--ISNUMBER(SEARCH("R112",G461)),0)+IFERROR(--ISNUMBER(SEARCH("R113",G461)),0)+IFERROR(--ISNUMBER(SEARCH("R114",G461)),0)+IFERROR(--ISNUMBER(SEARCH("R118",G461)),0)+IFERROR(--ISNUMBER(SEARCH("R119",G461)),0)+IFERROR(--ISNUMBER(SEARCH("R120",G461)),0)+IFERROR(--ISNUMBER(SEARCH("R122",G461)),0)+IFERROR(--ISNUMBER(SEARCH("R123",G461)),0)+IFERROR(--ISNUMBER(SEARCH("R124",G461)),0)+IFERROR(--ISNUMBER(SEARCH("R128",G461)),0)+IFERROR(--ISNUMBER(SEARCH("R130",G461)),0)+IFERROR(--ISNUMBER(SEARCH("R131",G461)),0)+IFERROR(--ISNUMBER(SEARCH("R132",G461)),0)+IFERROR(--ISNUMBER(SEARCH("R135",G461)),0)+IFERROR(--ISNUMBER(SEARCH("R138",G461)),0)+IFERROR(--ISNUMBER(SEARCH("R141",G461)),0))</f>
        <v/>
      </c>
      <c r="U461" s="58">
        <f>IF(A461="","",IFERROR(--ISNUMBER(SEARCH("R28",G461))*28,0)+IFERROR(--ISNUMBER(SEARCH("R29",G461))*29,0)+IFERROR(--ISNUMBER(SEARCH("R30",G461))*30,0)+IFERROR(--ISNUMBER(SEARCH("R31",G461))*31,0)+IFERROR(--ISNUMBER(SEARCH("R32",G461))*32,0)+IFERROR(--ISNUMBER(SEARCH("R33",G461))*33,0)+IFERROR(--ISNUMBER(SEARCH("R34",G461))*34,0)+IFERROR(--ISNUMBER(SEARCH("R35",G461))*35,0)+IFERROR(--ISNUMBER(SEARCH("R36",G461))*36,0)+IFERROR(--ISNUMBER(SEARCH("R37",G461))*37,0)+IFERROR(--ISNUMBER(SEARCH("R38",G461))*38,0)+IFERROR(--ISNUMBER(SEARCH("R39",G461))*39,0)+IFERROR(--ISNUMBER(SEARCH("R40",G461))*40,0)+IFERROR(--ISNUMBER(SEARCH("R41",G461))*41,0)+IFERROR(--ISNUMBER(SEARCH("R42",G461))*42,0)+IFERROR(--ISNUMBER(SEARCH("R43",G461))*43,0)+IFERROR(--ISNUMBER(SEARCH("R44",G461))*44,0)+IFERROR(--ISNUMBER(SEARCH("R45",G461))*45,0)+IFERROR(--ISNUMBER(SEARCH("R46",G461))*46,0)+IFERROR(--ISNUMBER(SEARCH("R47",G461))*47,0)+IFERROR(--ISNUMBER(SEARCH("R48",G461))*48,0)+IFERROR(--ISNUMBER(SEARCH("R49",G461))*49,0)+IFERROR(--ISNUMBER(SEARCH("R50",G461))*50,0)+IFERROR(--ISNUMBER(SEARCH("R51",G461))*51,0)+IFERROR(--ISNUMBER(SEARCH("R52",G461))*52,0)+IFERROR(--ISNUMBER(SEARCH("R53",G461))*53,0)+IFERROR(--ISNUMBER(SEARCH("R54",G461))*54,0)+IFERROR(--ISNUMBER(SEARCH("R55",G461))*55,0)+IFERROR(--ISNUMBER(SEARCH("R56",G461))*56,0)+IFERROR(--ISNUMBER(SEARCH("R57",G461))*57,0)+IFERROR(--ISNUMBER(SEARCH("R58",G461))*58,0)+IFERROR(--ISNUMBER(SEARCH("R59",G461))*59,0)+IFERROR(--ISNUMBER(SEARCH("R60",G461))*60,0)+IFERROR(--ISNUMBER(SEARCH("R61",G461))*61,0)+IFERROR(--ISNUMBER(SEARCH("R62",G461))*62,0)+IFERROR(--ISNUMBER(SEARCH("R63",G461))*63,0)+IFERROR(--ISNUMBER(SEARCH("R64",G461))*64,0)+IFERROR(--ISNUMBER(SEARCH("R65",G461))*65,0)+IFERROR(--ISNUMBER(SEARCH("R66",G461))*66,0)+IFERROR(--ISNUMBER(SEARCH("R67",G461))*67,0)+IFERROR(--ISNUMBER(SEARCH("R68",G461))*68,0)+IFERROR(--ISNUMBER(SEARCH("R69",G461))*69,0)+IFERROR(--ISNUMBER(SEARCH("R70",G461))*70,0)+IFERROR(--ISNUMBER(SEARCH("R71",G461))*71,0)+IFERROR(--ISNUMBER(SEARCH("R72",G461))*72,0)+IFERROR(--ISNUMBER(SEARCH("R73",G461))*73,0)+IFERROR(--ISNUMBER(SEARCH("R74",G461))*74,0)+IFERROR(--ISNUMBER(SEARCH("R75",G461))*75,0)+IFERROR(--ISNUMBER(SEARCH("R76",G461))*76,0)+IFERROR(--ISNUMBER(SEARCH("R77",G461))*77,0)+IFERROR(--ISNUMBER(SEARCH("R78",G461))*78,0)+IFERROR(--ISNUMBER(SEARCH("R79",G461))*79,0)+IFERROR(--ISNUMBER(SEARCH("R80",G461))*80,0)+IFERROR(--ISNUMBER(SEARCH("R81",G461))*81,0)+IFERROR(--ISNUMBER(SEARCH("R82",G461))*82,0)+IFERROR(--ISNUMBER(SEARCH("R83",G461))*83,0)+IFERROR(--ISNUMBER(SEARCH("R84",G461))*84,0)+IFERROR(--ISNUMBER(SEARCH("R85",G461))*85,0)+IFERROR(--ISNUMBER(SEARCH("R86",G461))*86,0)+IFERROR(--ISNUMBER(SEARCH("R87",G461))*87,0)+IFERROR(--ISNUMBER(SEARCH("R88",G461))*88,0)+IFERROR(--ISNUMBER(SEARCH("R89",G461))*89,0)+IFERROR(--ISNUMBER(SEARCH("R90",G461))*90,0)+IFERROR(--ISNUMBER(SEARCH("R91",G461))*91,0)+IFERROR(--ISNUMBER(SEARCH("R92",G461))*92,0)+IFERROR(--ISNUMBER(SEARCH("R93",G461))*93,0)+IFERROR(--ISNUMBER(SEARCH("R94",G461))*94,0)+IFERROR(--ISNUMBER(SEARCH("R95",G461))*95,0)+IFERROR(--ISNUMBER(SEARCH("R96",G461))*96,0)+IFERROR(--ISNUMBER(SEARCH("R97",G461))*97,0)+IFERROR(--ISNUMBER(SEARCH("R98",G461))*98,0)+IFERROR(--ISNUMBER(SEARCH("R99",G461))*99,0)+IFERROR(--ISNUMBER(SEARCH("R100",G461))*100,0)+IFERROR(--ISNUMBER(SEARCH("R101",G461))*101,0)+IFERROR(--ISNUMBER(SEARCH("R102",G461))*102,0)+IFERROR(--ISNUMBER(SEARCH("R103",G461))*103,0)+IFERROR(--ISNUMBER(SEARCH("R104",G461))*104,0)+IFERROR(--ISNUMBER(SEARCH("R105",G461))*105,0)+IFERROR(--ISNUMBER(SEARCH("R106",G461))*106,0)+IFERROR(--ISNUMBER(SEARCH("R107",G461))*107,0)+IFERROR(--ISNUMBER(SEARCH("R108",G461))*108,0)+IFERROR(--ISNUMBER(SEARCH("R109",G461))*109,0)+IFERROR(--ISNUMBER(SEARCH("R110",G461))*110,0)+IFERROR(--ISNUMBER(SEARCH("R111",G461))*111,0)+IFERROR(--ISNUMBER(SEARCH("R112",G461))*112,0)+IFERROR(--ISNUMBER(SEARCH("R113",G461))*113,0)+IFERROR(--ISNUMBER(SEARCH("R114",G461))*114,0)+IFERROR(--ISNUMBER(SEARCH("R115",G461))*115,0)+IFERROR(--ISNUMBER(SEARCH("R116",G461))*116,0)+IFERROR(--ISNUMBER(SEARCH("R117",G461))*117,0)+IFERROR(--ISNUMBER(SEARCH("R118",G461))*118,0)+IFERROR(--ISNUMBER(SEARCH("R119",G461))*119,0)+IFERROR(--ISNUMBER(SEARCH("R120",G461))*120,0)+IFERROR(--ISNUMBER(SEARCH("R121",G461))*121,0)+IFERROR(--ISNUMBER(SEARCH("R122",G461))*122,0)+IFERROR(--ISNUMBER(SEARCH("R123",G461))*123,0)+IFERROR(--ISNUMBER(SEARCH("R124",G461))*124,0)+IFERROR(--ISNUMBER(SEARCH("R125",G461))*125,0)+IFERROR(--ISNUMBER(SEARCH("R126",G461))*126,0)+IFERROR(--ISNUMBER(SEARCH("R127",G461))*127,0)+IFERROR(--ISNUMBER(SEARCH("R128",G461))*128,0)+IFERROR(--ISNUMBER(SEARCH("R129",G461))*129,0)+IFERROR(--ISNUMBER(SEARCH("R130",G461))*130,0)+IFERROR(--ISNUMBER(SEARCH("R131",G461))*131,0)+IFERROR(--ISNUMBER(SEARCH("R132",G461))*132,0)+IFERROR(--ISNUMBER(SEARCH("R133",G461))*133,0)+IFERROR(--ISNUMBER(SEARCH("R134",G461))*134,0)+IFERROR(--ISNUMBER(SEARCH("R135",G461))*135,0)+IFERROR(--ISNUMBER(SEARCH("R136",G461))*136,0)+IFERROR(--ISNUMBER(SEARCH("R137",G461))*137,0)+IFERROR(--ISNUMBER(SEARCH("R138",G461))*138,0)+IFERROR(--ISNUMBER(SEARCH("R139",G461))*139,0)+IFERROR(--ISNUMBER(SEARCH("R140",G461))*140,0)+IFERROR(--ISNUMBER(SEARCH("R141",G461))*141,0))</f>
        <v/>
      </c>
      <c r="V461" s="59">
        <f>IF(A461="","",IF(K461&lt;&gt;"",K461,J461))</f>
        <v/>
      </c>
      <c r="W461" s="59">
        <f>IF(A461="","",IF(AND(V461=29,O461&lt;&gt;"",COUNTIFS($V$6:$V$505,29,$F$6:$F$505,F461,$C$6:$C$505,C461,$O$6:$O$505,"&lt;&gt;")&gt;1),IF(COUNTIFS($V$6:V461,29,$F$6:F461,F461,$C$6:C461,C461,$O$6:O461,"&lt;&gt;")=1,"Esta es la fila que se debe CONSERVAR (aparición 1 de "&amp;COUNTIFS($V$6:$V$505,29,$F$6:$F$505,F461,$C$6:$C$505,C461,$O$6:$O$505,"&lt;&gt;")&amp;" con el mismo tercero y valor, casilla 29). Si hay más filas iguales, bórreles el valor a ELLAS, no a esta.","DUPLICADO — ya existe otra fila con el mismo tercero y valor para casilla 29 (aparición "&amp;COUNTIFS($V$6:V461,29,$F$6:F461,F461,$C$6:C461,C461,$O$6:O461,"&lt;&gt;")&amp;" de "&amp;COUNTIFS($V$6:$V$505,29,$F$6:$F$505,F461,$C$6:$C$505,C461,$O$6:$O$505,"&lt;&gt;")&amp;"). Para resolverlo: seleccione la celda O"&amp;ROW()&amp;" (columna Valor a declarar de ESTA fila) y presione Supr."),""))</f>
        <v/>
      </c>
      <c r="X461" s="463">
        <f>IF(A461="","",F461)</f>
        <v/>
      </c>
      <c r="Y461" s="463">
        <f>IF(A461="","",SUMIF(Entrada_Manual!$I$88:$I$187,A461,Entrada_Manual!$F$88:$F$187))</f>
        <v/>
      </c>
      <c r="Z461" s="463">
        <f>IF(A461="","",X461-Y461)</f>
        <v/>
      </c>
      <c r="AA461">
        <f>IF(A461="","",SUMPRODUCT((Entrada_Manual!$I$88:$I$187=A461)*1))</f>
        <v/>
      </c>
      <c r="AB461">
        <f>IF(A461="","",IF(S461&lt;=1,"",IF(AA461=0,"PENDIENTE — SIN ASIGNAR",IF(Z461=0,"RESUELTO","PARCIAL — DIFERENCIA "&amp;TEXT(Z461,"#,##0")))))</f>
        <v/>
      </c>
    </row>
    <row r="462" ht="14.25" customHeight="1" s="235">
      <c r="A462" s="47">
        <f>IF(Exogena_RAW!E471&lt;&gt;"",ROW()-5,"")</f>
        <v/>
      </c>
      <c r="B462" s="48">
        <f>IF(A462="","",471)</f>
        <v/>
      </c>
      <c r="C462" s="48">
        <f>IF(A462="","",IFERROR(Exogena_RAW!A471,""))</f>
        <v/>
      </c>
      <c r="D462" s="48">
        <f>IF(A462="","",IFERROR(Exogena_RAW!B471,""))</f>
        <v/>
      </c>
      <c r="E462" s="48">
        <f>IF(A462="","",Exogena_RAW!E471)</f>
        <v/>
      </c>
      <c r="F462" s="461">
        <f>IF(A462="","",Exogena_RAW!F471)</f>
        <v/>
      </c>
      <c r="G462" s="48">
        <f>IF(A462="","",IFERROR(Exogena_RAW!G471,""))</f>
        <v/>
      </c>
      <c r="H462" s="48">
        <f>IF(A462="","",IFERROR(Exogena_RAW!H471,""))</f>
        <v/>
      </c>
      <c r="I462" s="48">
        <f>IF(A462="","",IFERROR(IF(S462&gt;1,"VARIAS CASILLAS",IF(S462=1,IF(T462=1,"PROPUESTA DE CASILLA","REVISIÓN: CASILLA NO DIRECTA"),IF(OR(ISNUMBER(SEARCH("TOPE",UPPER(E462))),ISNUMBER(SEARCH("TOPE",UPPER(G462)))),"SOLO CONTROL",IF(ISNUMBER(SEARCH("RETEN",UPPER(E462))),"RETENCIÓN","REVISAR")))),"REVISAR"))</f>
        <v/>
      </c>
      <c r="J462" s="48">
        <f>IF(A462="","",IF(ISNUMBER(SEARCH("ingreso laboral promedio de los últimos seis meses",E462)),"",IFERROR(IF(AND(S462=1,T462=1),U462,""),"")))</f>
        <v/>
      </c>
      <c r="K462" s="216" t="n"/>
      <c r="L462" s="48">
        <f>IF(A462="","",IFERROR(IF(K462&lt;&gt;"","Casilla elegida por usuario",IF(S462&gt;1,"Varias casillas — elegir en K",IF(J462&lt;&gt;"","Sugerencia directa",IF(S462=1,"No trasladar directo — revisar",IF(OR(ISNUMBER(SEARCH("TOPE",UPPER(E462))),ISNUMBER(SEARCH("TOPE",UPPER(G462)))),"Solo control","Revisar manualmente"))))),"Revisar manualmente"))</f>
        <v/>
      </c>
      <c r="M462" s="461">
        <f>IF(A462="","",IF(IF(K462&lt;&gt;"",K462,J462)="",0,IF(COUNTIFS(Reglas!$I$5:$I$118,IF(K462&lt;&gt;"",K462,J462),Reglas!$J$5:$J$118,"Sí")=1,F462,0)))</f>
        <v/>
      </c>
      <c r="N462" s="56" t="n"/>
      <c r="O462" s="462">
        <f>IF(A462="","",IF(M462=0,"",M462))</f>
        <v/>
      </c>
      <c r="P462" s="461">
        <f>IF(A462="","",IF(O462="",0,IF(ISNUMBER(O462),O462,0)))</f>
        <v/>
      </c>
      <c r="Q462" s="48">
        <f>IF(A462="","",IF(Exogena_RAW!$C$4="","BLOQUEADO: FALTA AÑO",IF(Exogena_RAW!$K$10&lt;&gt;Reglas!$B$5,"BLOQUEADO: AÑO",IF(IF(K462&lt;&gt;"",K462,J462)="",IF(S462&gt;1,"REQUIERE ASIGNACIÓN MANUAL (VARIAS CASILLAS)","INFORMATIVO (sin casilla — no se declara)"),IF(COUNTIFS(Reglas!$I$5:$I$118,IF(K462&lt;&gt;"",K462,J462),Reglas!$J$5:$J$118,"Sí")=0,"BLOQUEADO: CASILLA NO DIRECTA",IF(O462="","EXCLUIDO (valor borrado por el usuario)",IF(_xlfn.ISFORMULA(O462),IF(W462&lt;&gt;"","BORRADOR — VALOR SUGERIDO DIAN ⚠ VER ALERTA","BORRADOR — VALOR SUGERIDO DIAN"),IF(W462&lt;&gt;"","ACEPTADO ⚠ VER ALERTA","ACEPTADO"))))))))</f>
        <v/>
      </c>
      <c r="R462" s="218" t="n"/>
      <c r="S462" s="58">
        <f>IF(A462="","",IFERROR(--ISNUMBER(SEARCH("R28",G462)),0)+IFERROR(--ISNUMBER(SEARCH("R29",G462)),0)+IFERROR(--ISNUMBER(SEARCH("R30",G462)),0)+IFERROR(--ISNUMBER(SEARCH("R31",G462)),0)+IFERROR(--ISNUMBER(SEARCH("R32",G462)),0)+IFERROR(--ISNUMBER(SEARCH("R33",G462)),0)+IFERROR(--ISNUMBER(SEARCH("R34",G462)),0)+IFERROR(--ISNUMBER(SEARCH("R35",G462)),0)+IFERROR(--ISNUMBER(SEARCH("R36",G462)),0)+IFERROR(--ISNUMBER(SEARCH("R37",G462)),0)+IFERROR(--ISNUMBER(SEARCH("R38",G462)),0)+IFERROR(--ISNUMBER(SEARCH("R39",G462)),0)+IFERROR(--ISNUMBER(SEARCH("R40",G462)),0)+IFERROR(--ISNUMBER(SEARCH("R41",G462)),0)+IFERROR(--ISNUMBER(SEARCH("R42",G462)),0)+IFERROR(--ISNUMBER(SEARCH("R43",G462)),0)+IFERROR(--ISNUMBER(SEARCH("R44",G462)),0)+IFERROR(--ISNUMBER(SEARCH("R45",G462)),0)+IFERROR(--ISNUMBER(SEARCH("R46",G462)),0)+IFERROR(--ISNUMBER(SEARCH("R47",G462)),0)+IFERROR(--ISNUMBER(SEARCH("R48",G462)),0)+IFERROR(--ISNUMBER(SEARCH("R49",G462)),0)+IFERROR(--ISNUMBER(SEARCH("R50",G462)),0)+IFERROR(--ISNUMBER(SEARCH("R51",G462)),0)+IFERROR(--ISNUMBER(SEARCH("R52",G462)),0)+IFERROR(--ISNUMBER(SEARCH("R53",G462)),0)+IFERROR(--ISNUMBER(SEARCH("R54",G462)),0)+IFERROR(--ISNUMBER(SEARCH("R55",G462)),0)+IFERROR(--ISNUMBER(SEARCH("R56",G462)),0)+IFERROR(--ISNUMBER(SEARCH("R57",G462)),0)+IFERROR(--ISNUMBER(SEARCH("R58",G462)),0)+IFERROR(--ISNUMBER(SEARCH("R59",G462)),0)+IFERROR(--ISNUMBER(SEARCH("R60",G462)),0)+IFERROR(--ISNUMBER(SEARCH("R61",G462)),0)+IFERROR(--ISNUMBER(SEARCH("R62",G462)),0)+IFERROR(--ISNUMBER(SEARCH("R63",G462)),0)+IFERROR(--ISNUMBER(SEARCH("R64",G462)),0)+IFERROR(--ISNUMBER(SEARCH("R65",G462)),0)+IFERROR(--ISNUMBER(SEARCH("R66",G462)),0)+IFERROR(--ISNUMBER(SEARCH("R67",G462)),0)+IFERROR(--ISNUMBER(SEARCH("R68",G462)),0)+IFERROR(--ISNUMBER(SEARCH("R69",G462)),0)+IFERROR(--ISNUMBER(SEARCH("R70",G462)),0)+IFERROR(--ISNUMBER(SEARCH("R71",G462)),0)+IFERROR(--ISNUMBER(SEARCH("R72",G462)),0)+IFERROR(--ISNUMBER(SEARCH("R73",G462)),0)+IFERROR(--ISNUMBER(SEARCH("R74",G462)),0)+IFERROR(--ISNUMBER(SEARCH("R75",G462)),0)+IFERROR(--ISNUMBER(SEARCH("R76",G462)),0)+IFERROR(--ISNUMBER(SEARCH("R77",G462)),0)+IFERROR(--ISNUMBER(SEARCH("R78",G462)),0)+IFERROR(--ISNUMBER(SEARCH("R79",G462)),0)+IFERROR(--ISNUMBER(SEARCH("R80",G462)),0)+IFERROR(--ISNUMBER(SEARCH("R81",G462)),0)+IFERROR(--ISNUMBER(SEARCH("R82",G462)),0)+IFERROR(--ISNUMBER(SEARCH("R83",G462)),0)+IFERROR(--ISNUMBER(SEARCH("R84",G462)),0)+IFERROR(--ISNUMBER(SEARCH("R85",G462)),0)+IFERROR(--ISNUMBER(SEARCH("R86",G462)),0)+IFERROR(--ISNUMBER(SEARCH("R87",G462)),0)+IFERROR(--ISNUMBER(SEARCH("R88",G462)),0)+IFERROR(--ISNUMBER(SEARCH("R89",G462)),0)+IFERROR(--ISNUMBER(SEARCH("R90",G462)),0)+IFERROR(--ISNUMBER(SEARCH("R91",G462)),0)+IFERROR(--ISNUMBER(SEARCH("R92",G462)),0)+IFERROR(--ISNUMBER(SEARCH("R93",G462)),0)+IFERROR(--ISNUMBER(SEARCH("R94",G462)),0)+IFERROR(--ISNUMBER(SEARCH("R95",G462)),0)+IFERROR(--ISNUMBER(SEARCH("R96",G462)),0)+IFERROR(--ISNUMBER(SEARCH("R97",G462)),0)+IFERROR(--ISNUMBER(SEARCH("R98",G462)),0)+IFERROR(--ISNUMBER(SEARCH("R99",G462)),0)+IFERROR(--ISNUMBER(SEARCH("R100",G462)),0)+IFERROR(--ISNUMBER(SEARCH("R101",G462)),0)+IFERROR(--ISNUMBER(SEARCH("R102",G462)),0)+IFERROR(--ISNUMBER(SEARCH("R103",G462)),0)+IFERROR(--ISNUMBER(SEARCH("R104",G462)),0)+IFERROR(--ISNUMBER(SEARCH("R105",G462)),0)+IFERROR(--ISNUMBER(SEARCH("R106",G462)),0)+IFERROR(--ISNUMBER(SEARCH("R107",G462)),0)+IFERROR(--ISNUMBER(SEARCH("R108",G462)),0)+IFERROR(--ISNUMBER(SEARCH("R109",G462)),0)+IFERROR(--ISNUMBER(SEARCH("R110",G462)),0)+IFERROR(--ISNUMBER(SEARCH("R111",G462)),0)+IFERROR(--ISNUMBER(SEARCH("R112",G462)),0)+IFERROR(--ISNUMBER(SEARCH("R113",G462)),0)+IFERROR(--ISNUMBER(SEARCH("R114",G462)),0)+IFERROR(--ISNUMBER(SEARCH("R115",G462)),0)+IFERROR(--ISNUMBER(SEARCH("R116",G462)),0)+IFERROR(--ISNUMBER(SEARCH("R117",G462)),0)+IFERROR(--ISNUMBER(SEARCH("R118",G462)),0)+IFERROR(--ISNUMBER(SEARCH("R119",G462)),0)+IFERROR(--ISNUMBER(SEARCH("R120",G462)),0)+IFERROR(--ISNUMBER(SEARCH("R121",G462)),0)+IFERROR(--ISNUMBER(SEARCH("R122",G462)),0)+IFERROR(--ISNUMBER(SEARCH("R123",G462)),0)+IFERROR(--ISNUMBER(SEARCH("R124",G462)),0)+IFERROR(--ISNUMBER(SEARCH("R125",G462)),0)+IFERROR(--ISNUMBER(SEARCH("R126",G462)),0)+IFERROR(--ISNUMBER(SEARCH("R127",G462)),0)+IFERROR(--ISNUMBER(SEARCH("R128",G462)),0)+IFERROR(--ISNUMBER(SEARCH("R129",G462)),0)+IFERROR(--ISNUMBER(SEARCH("R130",G462)),0)+IFERROR(--ISNUMBER(SEARCH("R131",G462)),0)+IFERROR(--ISNUMBER(SEARCH("R132",G462)),0)+IFERROR(--ISNUMBER(SEARCH("R133",G462)),0)+IFERROR(--ISNUMBER(SEARCH("R134",G462)),0)+IFERROR(--ISNUMBER(SEARCH("R135",G462)),0)+IFERROR(--ISNUMBER(SEARCH("R136",G462)),0)+IFERROR(--ISNUMBER(SEARCH("R137",G462)),0)+IFERROR(--ISNUMBER(SEARCH("R138",G462)),0)+IFERROR(--ISNUMBER(SEARCH("R139",G462)),0)+IFERROR(--ISNUMBER(SEARCH("R140",G462)),0)+IFERROR(--ISNUMBER(SEARCH("R141",G462)),0))</f>
        <v/>
      </c>
      <c r="T462" s="58">
        <f>IF(A462="","",IFERROR(--ISNUMBER(SEARCH("R28",G462)),0)+IFERROR(--ISNUMBER(SEARCH("R29",G462)),0)+IFERROR(--ISNUMBER(SEARCH("R30",G462)),0)+IFERROR(--ISNUMBER(SEARCH("R32",G462)),0)+IFERROR(--ISNUMBER(SEARCH("R33",G462)),0)+IFERROR(--ISNUMBER(SEARCH("R35",G462)),0)+IFERROR(--ISNUMBER(SEARCH("R36",G462)),0)+IFERROR(--ISNUMBER(SEARCH("R38",G462)),0)+IFERROR(--ISNUMBER(SEARCH("R39",G462)),0)+IFERROR(--ISNUMBER(SEARCH("R43",G462)),0)+IFERROR(--ISNUMBER(SEARCH("R44",G462)),0)+IFERROR(--ISNUMBER(SEARCH("R45",G462)),0)+IFERROR(--ISNUMBER(SEARCH("R47",G462)),0)+IFERROR(--ISNUMBER(SEARCH("R48",G462)),0)+IFERROR(--ISNUMBER(SEARCH("R50",G462)),0)+IFERROR(--ISNUMBER(SEARCH("R51",G462)),0)+IFERROR(--ISNUMBER(SEARCH("R56",G462)),0)+IFERROR(--ISNUMBER(SEARCH("R58",G462)),0)+IFERROR(--ISNUMBER(SEARCH("R59",G462)),0)+IFERROR(--ISNUMBER(SEARCH("R60",G462)),0)+IFERROR(--ISNUMBER(SEARCH("R62",G462)),0)+IFERROR(--ISNUMBER(SEARCH("R63",G462)),0)+IFERROR(--ISNUMBER(SEARCH("R64",G462)),0)+IFERROR(--ISNUMBER(SEARCH("R66",G462)),0)+IFERROR(--ISNUMBER(SEARCH("R67",G462)),0)+IFERROR(--ISNUMBER(SEARCH("R72",G462)),0)+IFERROR(--ISNUMBER(SEARCH("R74",G462)),0)+IFERROR(--ISNUMBER(SEARCH("R75",G462)),0)+IFERROR(--ISNUMBER(SEARCH("R76",G462)),0)+IFERROR(--ISNUMBER(SEARCH("R77",G462)),0)+IFERROR(--ISNUMBER(SEARCH("R79",G462)),0)+IFERROR(--ISNUMBER(SEARCH("R80",G462)),0)+IFERROR(--ISNUMBER(SEARCH("R81",G462)),0)+IFERROR(--ISNUMBER(SEARCH("R83",G462)),0)+IFERROR(--ISNUMBER(SEARCH("R84",G462)),0)+IFERROR(--ISNUMBER(SEARCH("R89",G462)),0)+IFERROR(--ISNUMBER(SEARCH("R94",G462)),0)+IFERROR(--ISNUMBER(SEARCH("R95",G462)),0)+IFERROR(--ISNUMBER(SEARCH("R96",G462)),0)+IFERROR(--ISNUMBER(SEARCH("R98",G462)),0)+IFERROR(--ISNUMBER(SEARCH("R99",G462)),0)+IFERROR(--ISNUMBER(SEARCH("R100",G462)),0)+IFERROR(--ISNUMBER(SEARCH("R104",G462)),0)+IFERROR(--ISNUMBER(SEARCH("R105",G462)),0)+IFERROR(--ISNUMBER(SEARCH("R107",G462)),0)+IFERROR(--ISNUMBER(SEARCH("R108",G462)),0)+IFERROR(--ISNUMBER(SEARCH("R109",G462)),0)+IFERROR(--ISNUMBER(SEARCH("R110",G462)),0)+IFERROR(--ISNUMBER(SEARCH("R112",G462)),0)+IFERROR(--ISNUMBER(SEARCH("R113",G462)),0)+IFERROR(--ISNUMBER(SEARCH("R114",G462)),0)+IFERROR(--ISNUMBER(SEARCH("R118",G462)),0)+IFERROR(--ISNUMBER(SEARCH("R119",G462)),0)+IFERROR(--ISNUMBER(SEARCH("R120",G462)),0)+IFERROR(--ISNUMBER(SEARCH("R122",G462)),0)+IFERROR(--ISNUMBER(SEARCH("R123",G462)),0)+IFERROR(--ISNUMBER(SEARCH("R124",G462)),0)+IFERROR(--ISNUMBER(SEARCH("R128",G462)),0)+IFERROR(--ISNUMBER(SEARCH("R130",G462)),0)+IFERROR(--ISNUMBER(SEARCH("R131",G462)),0)+IFERROR(--ISNUMBER(SEARCH("R132",G462)),0)+IFERROR(--ISNUMBER(SEARCH("R135",G462)),0)+IFERROR(--ISNUMBER(SEARCH("R138",G462)),0)+IFERROR(--ISNUMBER(SEARCH("R141",G462)),0))</f>
        <v/>
      </c>
      <c r="U462" s="58">
        <f>IF(A462="","",IFERROR(--ISNUMBER(SEARCH("R28",G462))*28,0)+IFERROR(--ISNUMBER(SEARCH("R29",G462))*29,0)+IFERROR(--ISNUMBER(SEARCH("R30",G462))*30,0)+IFERROR(--ISNUMBER(SEARCH("R31",G462))*31,0)+IFERROR(--ISNUMBER(SEARCH("R32",G462))*32,0)+IFERROR(--ISNUMBER(SEARCH("R33",G462))*33,0)+IFERROR(--ISNUMBER(SEARCH("R34",G462))*34,0)+IFERROR(--ISNUMBER(SEARCH("R35",G462))*35,0)+IFERROR(--ISNUMBER(SEARCH("R36",G462))*36,0)+IFERROR(--ISNUMBER(SEARCH("R37",G462))*37,0)+IFERROR(--ISNUMBER(SEARCH("R38",G462))*38,0)+IFERROR(--ISNUMBER(SEARCH("R39",G462))*39,0)+IFERROR(--ISNUMBER(SEARCH("R40",G462))*40,0)+IFERROR(--ISNUMBER(SEARCH("R41",G462))*41,0)+IFERROR(--ISNUMBER(SEARCH("R42",G462))*42,0)+IFERROR(--ISNUMBER(SEARCH("R43",G462))*43,0)+IFERROR(--ISNUMBER(SEARCH("R44",G462))*44,0)+IFERROR(--ISNUMBER(SEARCH("R45",G462))*45,0)+IFERROR(--ISNUMBER(SEARCH("R46",G462))*46,0)+IFERROR(--ISNUMBER(SEARCH("R47",G462))*47,0)+IFERROR(--ISNUMBER(SEARCH("R48",G462))*48,0)+IFERROR(--ISNUMBER(SEARCH("R49",G462))*49,0)+IFERROR(--ISNUMBER(SEARCH("R50",G462))*50,0)+IFERROR(--ISNUMBER(SEARCH("R51",G462))*51,0)+IFERROR(--ISNUMBER(SEARCH("R52",G462))*52,0)+IFERROR(--ISNUMBER(SEARCH("R53",G462))*53,0)+IFERROR(--ISNUMBER(SEARCH("R54",G462))*54,0)+IFERROR(--ISNUMBER(SEARCH("R55",G462))*55,0)+IFERROR(--ISNUMBER(SEARCH("R56",G462))*56,0)+IFERROR(--ISNUMBER(SEARCH("R57",G462))*57,0)+IFERROR(--ISNUMBER(SEARCH("R58",G462))*58,0)+IFERROR(--ISNUMBER(SEARCH("R59",G462))*59,0)+IFERROR(--ISNUMBER(SEARCH("R60",G462))*60,0)+IFERROR(--ISNUMBER(SEARCH("R61",G462))*61,0)+IFERROR(--ISNUMBER(SEARCH("R62",G462))*62,0)+IFERROR(--ISNUMBER(SEARCH("R63",G462))*63,0)+IFERROR(--ISNUMBER(SEARCH("R64",G462))*64,0)+IFERROR(--ISNUMBER(SEARCH("R65",G462))*65,0)+IFERROR(--ISNUMBER(SEARCH("R66",G462))*66,0)+IFERROR(--ISNUMBER(SEARCH("R67",G462))*67,0)+IFERROR(--ISNUMBER(SEARCH("R68",G462))*68,0)+IFERROR(--ISNUMBER(SEARCH("R69",G462))*69,0)+IFERROR(--ISNUMBER(SEARCH("R70",G462))*70,0)+IFERROR(--ISNUMBER(SEARCH("R71",G462))*71,0)+IFERROR(--ISNUMBER(SEARCH("R72",G462))*72,0)+IFERROR(--ISNUMBER(SEARCH("R73",G462))*73,0)+IFERROR(--ISNUMBER(SEARCH("R74",G462))*74,0)+IFERROR(--ISNUMBER(SEARCH("R75",G462))*75,0)+IFERROR(--ISNUMBER(SEARCH("R76",G462))*76,0)+IFERROR(--ISNUMBER(SEARCH("R77",G462))*77,0)+IFERROR(--ISNUMBER(SEARCH("R78",G462))*78,0)+IFERROR(--ISNUMBER(SEARCH("R79",G462))*79,0)+IFERROR(--ISNUMBER(SEARCH("R80",G462))*80,0)+IFERROR(--ISNUMBER(SEARCH("R81",G462))*81,0)+IFERROR(--ISNUMBER(SEARCH("R82",G462))*82,0)+IFERROR(--ISNUMBER(SEARCH("R83",G462))*83,0)+IFERROR(--ISNUMBER(SEARCH("R84",G462))*84,0)+IFERROR(--ISNUMBER(SEARCH("R85",G462))*85,0)+IFERROR(--ISNUMBER(SEARCH("R86",G462))*86,0)+IFERROR(--ISNUMBER(SEARCH("R87",G462))*87,0)+IFERROR(--ISNUMBER(SEARCH("R88",G462))*88,0)+IFERROR(--ISNUMBER(SEARCH("R89",G462))*89,0)+IFERROR(--ISNUMBER(SEARCH("R90",G462))*90,0)+IFERROR(--ISNUMBER(SEARCH("R91",G462))*91,0)+IFERROR(--ISNUMBER(SEARCH("R92",G462))*92,0)+IFERROR(--ISNUMBER(SEARCH("R93",G462))*93,0)+IFERROR(--ISNUMBER(SEARCH("R94",G462))*94,0)+IFERROR(--ISNUMBER(SEARCH("R95",G462))*95,0)+IFERROR(--ISNUMBER(SEARCH("R96",G462))*96,0)+IFERROR(--ISNUMBER(SEARCH("R97",G462))*97,0)+IFERROR(--ISNUMBER(SEARCH("R98",G462))*98,0)+IFERROR(--ISNUMBER(SEARCH("R99",G462))*99,0)+IFERROR(--ISNUMBER(SEARCH("R100",G462))*100,0)+IFERROR(--ISNUMBER(SEARCH("R101",G462))*101,0)+IFERROR(--ISNUMBER(SEARCH("R102",G462))*102,0)+IFERROR(--ISNUMBER(SEARCH("R103",G462))*103,0)+IFERROR(--ISNUMBER(SEARCH("R104",G462))*104,0)+IFERROR(--ISNUMBER(SEARCH("R105",G462))*105,0)+IFERROR(--ISNUMBER(SEARCH("R106",G462))*106,0)+IFERROR(--ISNUMBER(SEARCH("R107",G462))*107,0)+IFERROR(--ISNUMBER(SEARCH("R108",G462))*108,0)+IFERROR(--ISNUMBER(SEARCH("R109",G462))*109,0)+IFERROR(--ISNUMBER(SEARCH("R110",G462))*110,0)+IFERROR(--ISNUMBER(SEARCH("R111",G462))*111,0)+IFERROR(--ISNUMBER(SEARCH("R112",G462))*112,0)+IFERROR(--ISNUMBER(SEARCH("R113",G462))*113,0)+IFERROR(--ISNUMBER(SEARCH("R114",G462))*114,0)+IFERROR(--ISNUMBER(SEARCH("R115",G462))*115,0)+IFERROR(--ISNUMBER(SEARCH("R116",G462))*116,0)+IFERROR(--ISNUMBER(SEARCH("R117",G462))*117,0)+IFERROR(--ISNUMBER(SEARCH("R118",G462))*118,0)+IFERROR(--ISNUMBER(SEARCH("R119",G462))*119,0)+IFERROR(--ISNUMBER(SEARCH("R120",G462))*120,0)+IFERROR(--ISNUMBER(SEARCH("R121",G462))*121,0)+IFERROR(--ISNUMBER(SEARCH("R122",G462))*122,0)+IFERROR(--ISNUMBER(SEARCH("R123",G462))*123,0)+IFERROR(--ISNUMBER(SEARCH("R124",G462))*124,0)+IFERROR(--ISNUMBER(SEARCH("R125",G462))*125,0)+IFERROR(--ISNUMBER(SEARCH("R126",G462))*126,0)+IFERROR(--ISNUMBER(SEARCH("R127",G462))*127,0)+IFERROR(--ISNUMBER(SEARCH("R128",G462))*128,0)+IFERROR(--ISNUMBER(SEARCH("R129",G462))*129,0)+IFERROR(--ISNUMBER(SEARCH("R130",G462))*130,0)+IFERROR(--ISNUMBER(SEARCH("R131",G462))*131,0)+IFERROR(--ISNUMBER(SEARCH("R132",G462))*132,0)+IFERROR(--ISNUMBER(SEARCH("R133",G462))*133,0)+IFERROR(--ISNUMBER(SEARCH("R134",G462))*134,0)+IFERROR(--ISNUMBER(SEARCH("R135",G462))*135,0)+IFERROR(--ISNUMBER(SEARCH("R136",G462))*136,0)+IFERROR(--ISNUMBER(SEARCH("R137",G462))*137,0)+IFERROR(--ISNUMBER(SEARCH("R138",G462))*138,0)+IFERROR(--ISNUMBER(SEARCH("R139",G462))*139,0)+IFERROR(--ISNUMBER(SEARCH("R140",G462))*140,0)+IFERROR(--ISNUMBER(SEARCH("R141",G462))*141,0))</f>
        <v/>
      </c>
      <c r="V462" s="59">
        <f>IF(A462="","",IF(K462&lt;&gt;"",K462,J462))</f>
        <v/>
      </c>
      <c r="W462" s="59">
        <f>IF(A462="","",IF(AND(V462=29,O462&lt;&gt;"",COUNTIFS($V$6:$V$505,29,$F$6:$F$505,F462,$C$6:$C$505,C462,$O$6:$O$505,"&lt;&gt;")&gt;1),IF(COUNTIFS($V$6:V462,29,$F$6:F462,F462,$C$6:C462,C462,$O$6:O462,"&lt;&gt;")=1,"Esta es la fila que se debe CONSERVAR (aparición 1 de "&amp;COUNTIFS($V$6:$V$505,29,$F$6:$F$505,F462,$C$6:$C$505,C462,$O$6:$O$505,"&lt;&gt;")&amp;" con el mismo tercero y valor, casilla 29). Si hay más filas iguales, bórreles el valor a ELLAS, no a esta.","DUPLICADO — ya existe otra fila con el mismo tercero y valor para casilla 29 (aparición "&amp;COUNTIFS($V$6:V462,29,$F$6:F462,F462,$C$6:C462,C462,$O$6:O462,"&lt;&gt;")&amp;" de "&amp;COUNTIFS($V$6:$V$505,29,$F$6:$F$505,F462,$C$6:$C$505,C462,$O$6:$O$505,"&lt;&gt;")&amp;"). Para resolverlo: seleccione la celda O"&amp;ROW()&amp;" (columna Valor a declarar de ESTA fila) y presione Supr."),""))</f>
        <v/>
      </c>
      <c r="X462" s="463">
        <f>IF(A462="","",F462)</f>
        <v/>
      </c>
      <c r="Y462" s="463">
        <f>IF(A462="","",SUMIF(Entrada_Manual!$I$88:$I$187,A462,Entrada_Manual!$F$88:$F$187))</f>
        <v/>
      </c>
      <c r="Z462" s="463">
        <f>IF(A462="","",X462-Y462)</f>
        <v/>
      </c>
      <c r="AA462">
        <f>IF(A462="","",SUMPRODUCT((Entrada_Manual!$I$88:$I$187=A462)*1))</f>
        <v/>
      </c>
      <c r="AB462">
        <f>IF(A462="","",IF(S462&lt;=1,"",IF(AA462=0,"PENDIENTE — SIN ASIGNAR",IF(Z462=0,"RESUELTO","PARCIAL — DIFERENCIA "&amp;TEXT(Z462,"#,##0")))))</f>
        <v/>
      </c>
    </row>
    <row r="463" ht="14.25" customHeight="1" s="235">
      <c r="A463" s="47">
        <f>IF(Exogena_RAW!E472&lt;&gt;"",ROW()-5,"")</f>
        <v/>
      </c>
      <c r="B463" s="48">
        <f>IF(A463="","",472)</f>
        <v/>
      </c>
      <c r="C463" s="48">
        <f>IF(A463="","",IFERROR(Exogena_RAW!A472,""))</f>
        <v/>
      </c>
      <c r="D463" s="48">
        <f>IF(A463="","",IFERROR(Exogena_RAW!B472,""))</f>
        <v/>
      </c>
      <c r="E463" s="48">
        <f>IF(A463="","",Exogena_RAW!E472)</f>
        <v/>
      </c>
      <c r="F463" s="461">
        <f>IF(A463="","",Exogena_RAW!F472)</f>
        <v/>
      </c>
      <c r="G463" s="48">
        <f>IF(A463="","",IFERROR(Exogena_RAW!G472,""))</f>
        <v/>
      </c>
      <c r="H463" s="48">
        <f>IF(A463="","",IFERROR(Exogena_RAW!H472,""))</f>
        <v/>
      </c>
      <c r="I463" s="48">
        <f>IF(A463="","",IFERROR(IF(S463&gt;1,"VARIAS CASILLAS",IF(S463=1,IF(T463=1,"PROPUESTA DE CASILLA","REVISIÓN: CASILLA NO DIRECTA"),IF(OR(ISNUMBER(SEARCH("TOPE",UPPER(E463))),ISNUMBER(SEARCH("TOPE",UPPER(G463)))),"SOLO CONTROL",IF(ISNUMBER(SEARCH("RETEN",UPPER(E463))),"RETENCIÓN","REVISAR")))),"REVISAR"))</f>
        <v/>
      </c>
      <c r="J463" s="48">
        <f>IF(A463="","",IF(ISNUMBER(SEARCH("ingreso laboral promedio de los últimos seis meses",E463)),"",IFERROR(IF(AND(S463=1,T463=1),U463,""),"")))</f>
        <v/>
      </c>
      <c r="K463" s="216" t="n"/>
      <c r="L463" s="48">
        <f>IF(A463="","",IFERROR(IF(K463&lt;&gt;"","Casilla elegida por usuario",IF(S463&gt;1,"Varias casillas — elegir en K",IF(J463&lt;&gt;"","Sugerencia directa",IF(S463=1,"No trasladar directo — revisar",IF(OR(ISNUMBER(SEARCH("TOPE",UPPER(E463))),ISNUMBER(SEARCH("TOPE",UPPER(G463)))),"Solo control","Revisar manualmente"))))),"Revisar manualmente"))</f>
        <v/>
      </c>
      <c r="M463" s="461">
        <f>IF(A463="","",IF(IF(K463&lt;&gt;"",K463,J463)="",0,IF(COUNTIFS(Reglas!$I$5:$I$118,IF(K463&lt;&gt;"",K463,J463),Reglas!$J$5:$J$118,"Sí")=1,F463,0)))</f>
        <v/>
      </c>
      <c r="N463" s="56" t="n"/>
      <c r="O463" s="462">
        <f>IF(A463="","",IF(M463=0,"",M463))</f>
        <v/>
      </c>
      <c r="P463" s="461">
        <f>IF(A463="","",IF(O463="",0,IF(ISNUMBER(O463),O463,0)))</f>
        <v/>
      </c>
      <c r="Q463" s="48">
        <f>IF(A463="","",IF(Exogena_RAW!$C$4="","BLOQUEADO: FALTA AÑO",IF(Exogena_RAW!$K$10&lt;&gt;Reglas!$B$5,"BLOQUEADO: AÑO",IF(IF(K463&lt;&gt;"",K463,J463)="",IF(S463&gt;1,"REQUIERE ASIGNACIÓN MANUAL (VARIAS CASILLAS)","INFORMATIVO (sin casilla — no se declara)"),IF(COUNTIFS(Reglas!$I$5:$I$118,IF(K463&lt;&gt;"",K463,J463),Reglas!$J$5:$J$118,"Sí")=0,"BLOQUEADO: CASILLA NO DIRECTA",IF(O463="","EXCLUIDO (valor borrado por el usuario)",IF(_xlfn.ISFORMULA(O463),IF(W463&lt;&gt;"","BORRADOR — VALOR SUGERIDO DIAN ⚠ VER ALERTA","BORRADOR — VALOR SUGERIDO DIAN"),IF(W463&lt;&gt;"","ACEPTADO ⚠ VER ALERTA","ACEPTADO"))))))))</f>
        <v/>
      </c>
      <c r="R463" s="218" t="n"/>
      <c r="S463" s="58">
        <f>IF(A463="","",IFERROR(--ISNUMBER(SEARCH("R28",G463)),0)+IFERROR(--ISNUMBER(SEARCH("R29",G463)),0)+IFERROR(--ISNUMBER(SEARCH("R30",G463)),0)+IFERROR(--ISNUMBER(SEARCH("R31",G463)),0)+IFERROR(--ISNUMBER(SEARCH("R32",G463)),0)+IFERROR(--ISNUMBER(SEARCH("R33",G463)),0)+IFERROR(--ISNUMBER(SEARCH("R34",G463)),0)+IFERROR(--ISNUMBER(SEARCH("R35",G463)),0)+IFERROR(--ISNUMBER(SEARCH("R36",G463)),0)+IFERROR(--ISNUMBER(SEARCH("R37",G463)),0)+IFERROR(--ISNUMBER(SEARCH("R38",G463)),0)+IFERROR(--ISNUMBER(SEARCH("R39",G463)),0)+IFERROR(--ISNUMBER(SEARCH("R40",G463)),0)+IFERROR(--ISNUMBER(SEARCH("R41",G463)),0)+IFERROR(--ISNUMBER(SEARCH("R42",G463)),0)+IFERROR(--ISNUMBER(SEARCH("R43",G463)),0)+IFERROR(--ISNUMBER(SEARCH("R44",G463)),0)+IFERROR(--ISNUMBER(SEARCH("R45",G463)),0)+IFERROR(--ISNUMBER(SEARCH("R46",G463)),0)+IFERROR(--ISNUMBER(SEARCH("R47",G463)),0)+IFERROR(--ISNUMBER(SEARCH("R48",G463)),0)+IFERROR(--ISNUMBER(SEARCH("R49",G463)),0)+IFERROR(--ISNUMBER(SEARCH("R50",G463)),0)+IFERROR(--ISNUMBER(SEARCH("R51",G463)),0)+IFERROR(--ISNUMBER(SEARCH("R52",G463)),0)+IFERROR(--ISNUMBER(SEARCH("R53",G463)),0)+IFERROR(--ISNUMBER(SEARCH("R54",G463)),0)+IFERROR(--ISNUMBER(SEARCH("R55",G463)),0)+IFERROR(--ISNUMBER(SEARCH("R56",G463)),0)+IFERROR(--ISNUMBER(SEARCH("R57",G463)),0)+IFERROR(--ISNUMBER(SEARCH("R58",G463)),0)+IFERROR(--ISNUMBER(SEARCH("R59",G463)),0)+IFERROR(--ISNUMBER(SEARCH("R60",G463)),0)+IFERROR(--ISNUMBER(SEARCH("R61",G463)),0)+IFERROR(--ISNUMBER(SEARCH("R62",G463)),0)+IFERROR(--ISNUMBER(SEARCH("R63",G463)),0)+IFERROR(--ISNUMBER(SEARCH("R64",G463)),0)+IFERROR(--ISNUMBER(SEARCH("R65",G463)),0)+IFERROR(--ISNUMBER(SEARCH("R66",G463)),0)+IFERROR(--ISNUMBER(SEARCH("R67",G463)),0)+IFERROR(--ISNUMBER(SEARCH("R68",G463)),0)+IFERROR(--ISNUMBER(SEARCH("R69",G463)),0)+IFERROR(--ISNUMBER(SEARCH("R70",G463)),0)+IFERROR(--ISNUMBER(SEARCH("R71",G463)),0)+IFERROR(--ISNUMBER(SEARCH("R72",G463)),0)+IFERROR(--ISNUMBER(SEARCH("R73",G463)),0)+IFERROR(--ISNUMBER(SEARCH("R74",G463)),0)+IFERROR(--ISNUMBER(SEARCH("R75",G463)),0)+IFERROR(--ISNUMBER(SEARCH("R76",G463)),0)+IFERROR(--ISNUMBER(SEARCH("R77",G463)),0)+IFERROR(--ISNUMBER(SEARCH("R78",G463)),0)+IFERROR(--ISNUMBER(SEARCH("R79",G463)),0)+IFERROR(--ISNUMBER(SEARCH("R80",G463)),0)+IFERROR(--ISNUMBER(SEARCH("R81",G463)),0)+IFERROR(--ISNUMBER(SEARCH("R82",G463)),0)+IFERROR(--ISNUMBER(SEARCH("R83",G463)),0)+IFERROR(--ISNUMBER(SEARCH("R84",G463)),0)+IFERROR(--ISNUMBER(SEARCH("R85",G463)),0)+IFERROR(--ISNUMBER(SEARCH("R86",G463)),0)+IFERROR(--ISNUMBER(SEARCH("R87",G463)),0)+IFERROR(--ISNUMBER(SEARCH("R88",G463)),0)+IFERROR(--ISNUMBER(SEARCH("R89",G463)),0)+IFERROR(--ISNUMBER(SEARCH("R90",G463)),0)+IFERROR(--ISNUMBER(SEARCH("R91",G463)),0)+IFERROR(--ISNUMBER(SEARCH("R92",G463)),0)+IFERROR(--ISNUMBER(SEARCH("R93",G463)),0)+IFERROR(--ISNUMBER(SEARCH("R94",G463)),0)+IFERROR(--ISNUMBER(SEARCH("R95",G463)),0)+IFERROR(--ISNUMBER(SEARCH("R96",G463)),0)+IFERROR(--ISNUMBER(SEARCH("R97",G463)),0)+IFERROR(--ISNUMBER(SEARCH("R98",G463)),0)+IFERROR(--ISNUMBER(SEARCH("R99",G463)),0)+IFERROR(--ISNUMBER(SEARCH("R100",G463)),0)+IFERROR(--ISNUMBER(SEARCH("R101",G463)),0)+IFERROR(--ISNUMBER(SEARCH("R102",G463)),0)+IFERROR(--ISNUMBER(SEARCH("R103",G463)),0)+IFERROR(--ISNUMBER(SEARCH("R104",G463)),0)+IFERROR(--ISNUMBER(SEARCH("R105",G463)),0)+IFERROR(--ISNUMBER(SEARCH("R106",G463)),0)+IFERROR(--ISNUMBER(SEARCH("R107",G463)),0)+IFERROR(--ISNUMBER(SEARCH("R108",G463)),0)+IFERROR(--ISNUMBER(SEARCH("R109",G463)),0)+IFERROR(--ISNUMBER(SEARCH("R110",G463)),0)+IFERROR(--ISNUMBER(SEARCH("R111",G463)),0)+IFERROR(--ISNUMBER(SEARCH("R112",G463)),0)+IFERROR(--ISNUMBER(SEARCH("R113",G463)),0)+IFERROR(--ISNUMBER(SEARCH("R114",G463)),0)+IFERROR(--ISNUMBER(SEARCH("R115",G463)),0)+IFERROR(--ISNUMBER(SEARCH("R116",G463)),0)+IFERROR(--ISNUMBER(SEARCH("R117",G463)),0)+IFERROR(--ISNUMBER(SEARCH("R118",G463)),0)+IFERROR(--ISNUMBER(SEARCH("R119",G463)),0)+IFERROR(--ISNUMBER(SEARCH("R120",G463)),0)+IFERROR(--ISNUMBER(SEARCH("R121",G463)),0)+IFERROR(--ISNUMBER(SEARCH("R122",G463)),0)+IFERROR(--ISNUMBER(SEARCH("R123",G463)),0)+IFERROR(--ISNUMBER(SEARCH("R124",G463)),0)+IFERROR(--ISNUMBER(SEARCH("R125",G463)),0)+IFERROR(--ISNUMBER(SEARCH("R126",G463)),0)+IFERROR(--ISNUMBER(SEARCH("R127",G463)),0)+IFERROR(--ISNUMBER(SEARCH("R128",G463)),0)+IFERROR(--ISNUMBER(SEARCH("R129",G463)),0)+IFERROR(--ISNUMBER(SEARCH("R130",G463)),0)+IFERROR(--ISNUMBER(SEARCH("R131",G463)),0)+IFERROR(--ISNUMBER(SEARCH("R132",G463)),0)+IFERROR(--ISNUMBER(SEARCH("R133",G463)),0)+IFERROR(--ISNUMBER(SEARCH("R134",G463)),0)+IFERROR(--ISNUMBER(SEARCH("R135",G463)),0)+IFERROR(--ISNUMBER(SEARCH("R136",G463)),0)+IFERROR(--ISNUMBER(SEARCH("R137",G463)),0)+IFERROR(--ISNUMBER(SEARCH("R138",G463)),0)+IFERROR(--ISNUMBER(SEARCH("R139",G463)),0)+IFERROR(--ISNUMBER(SEARCH("R140",G463)),0)+IFERROR(--ISNUMBER(SEARCH("R141",G463)),0))</f>
        <v/>
      </c>
      <c r="T463" s="58">
        <f>IF(A463="","",IFERROR(--ISNUMBER(SEARCH("R28",G463)),0)+IFERROR(--ISNUMBER(SEARCH("R29",G463)),0)+IFERROR(--ISNUMBER(SEARCH("R30",G463)),0)+IFERROR(--ISNUMBER(SEARCH("R32",G463)),0)+IFERROR(--ISNUMBER(SEARCH("R33",G463)),0)+IFERROR(--ISNUMBER(SEARCH("R35",G463)),0)+IFERROR(--ISNUMBER(SEARCH("R36",G463)),0)+IFERROR(--ISNUMBER(SEARCH("R38",G463)),0)+IFERROR(--ISNUMBER(SEARCH("R39",G463)),0)+IFERROR(--ISNUMBER(SEARCH("R43",G463)),0)+IFERROR(--ISNUMBER(SEARCH("R44",G463)),0)+IFERROR(--ISNUMBER(SEARCH("R45",G463)),0)+IFERROR(--ISNUMBER(SEARCH("R47",G463)),0)+IFERROR(--ISNUMBER(SEARCH("R48",G463)),0)+IFERROR(--ISNUMBER(SEARCH("R50",G463)),0)+IFERROR(--ISNUMBER(SEARCH("R51",G463)),0)+IFERROR(--ISNUMBER(SEARCH("R56",G463)),0)+IFERROR(--ISNUMBER(SEARCH("R58",G463)),0)+IFERROR(--ISNUMBER(SEARCH("R59",G463)),0)+IFERROR(--ISNUMBER(SEARCH("R60",G463)),0)+IFERROR(--ISNUMBER(SEARCH("R62",G463)),0)+IFERROR(--ISNUMBER(SEARCH("R63",G463)),0)+IFERROR(--ISNUMBER(SEARCH("R64",G463)),0)+IFERROR(--ISNUMBER(SEARCH("R66",G463)),0)+IFERROR(--ISNUMBER(SEARCH("R67",G463)),0)+IFERROR(--ISNUMBER(SEARCH("R72",G463)),0)+IFERROR(--ISNUMBER(SEARCH("R74",G463)),0)+IFERROR(--ISNUMBER(SEARCH("R75",G463)),0)+IFERROR(--ISNUMBER(SEARCH("R76",G463)),0)+IFERROR(--ISNUMBER(SEARCH("R77",G463)),0)+IFERROR(--ISNUMBER(SEARCH("R79",G463)),0)+IFERROR(--ISNUMBER(SEARCH("R80",G463)),0)+IFERROR(--ISNUMBER(SEARCH("R81",G463)),0)+IFERROR(--ISNUMBER(SEARCH("R83",G463)),0)+IFERROR(--ISNUMBER(SEARCH("R84",G463)),0)+IFERROR(--ISNUMBER(SEARCH("R89",G463)),0)+IFERROR(--ISNUMBER(SEARCH("R94",G463)),0)+IFERROR(--ISNUMBER(SEARCH("R95",G463)),0)+IFERROR(--ISNUMBER(SEARCH("R96",G463)),0)+IFERROR(--ISNUMBER(SEARCH("R98",G463)),0)+IFERROR(--ISNUMBER(SEARCH("R99",G463)),0)+IFERROR(--ISNUMBER(SEARCH("R100",G463)),0)+IFERROR(--ISNUMBER(SEARCH("R104",G463)),0)+IFERROR(--ISNUMBER(SEARCH("R105",G463)),0)+IFERROR(--ISNUMBER(SEARCH("R107",G463)),0)+IFERROR(--ISNUMBER(SEARCH("R108",G463)),0)+IFERROR(--ISNUMBER(SEARCH("R109",G463)),0)+IFERROR(--ISNUMBER(SEARCH("R110",G463)),0)+IFERROR(--ISNUMBER(SEARCH("R112",G463)),0)+IFERROR(--ISNUMBER(SEARCH("R113",G463)),0)+IFERROR(--ISNUMBER(SEARCH("R114",G463)),0)+IFERROR(--ISNUMBER(SEARCH("R118",G463)),0)+IFERROR(--ISNUMBER(SEARCH("R119",G463)),0)+IFERROR(--ISNUMBER(SEARCH("R120",G463)),0)+IFERROR(--ISNUMBER(SEARCH("R122",G463)),0)+IFERROR(--ISNUMBER(SEARCH("R123",G463)),0)+IFERROR(--ISNUMBER(SEARCH("R124",G463)),0)+IFERROR(--ISNUMBER(SEARCH("R128",G463)),0)+IFERROR(--ISNUMBER(SEARCH("R130",G463)),0)+IFERROR(--ISNUMBER(SEARCH("R131",G463)),0)+IFERROR(--ISNUMBER(SEARCH("R132",G463)),0)+IFERROR(--ISNUMBER(SEARCH("R135",G463)),0)+IFERROR(--ISNUMBER(SEARCH("R138",G463)),0)+IFERROR(--ISNUMBER(SEARCH("R141",G463)),0))</f>
        <v/>
      </c>
      <c r="U463" s="58">
        <f>IF(A463="","",IFERROR(--ISNUMBER(SEARCH("R28",G463))*28,0)+IFERROR(--ISNUMBER(SEARCH("R29",G463))*29,0)+IFERROR(--ISNUMBER(SEARCH("R30",G463))*30,0)+IFERROR(--ISNUMBER(SEARCH("R31",G463))*31,0)+IFERROR(--ISNUMBER(SEARCH("R32",G463))*32,0)+IFERROR(--ISNUMBER(SEARCH("R33",G463))*33,0)+IFERROR(--ISNUMBER(SEARCH("R34",G463))*34,0)+IFERROR(--ISNUMBER(SEARCH("R35",G463))*35,0)+IFERROR(--ISNUMBER(SEARCH("R36",G463))*36,0)+IFERROR(--ISNUMBER(SEARCH("R37",G463))*37,0)+IFERROR(--ISNUMBER(SEARCH("R38",G463))*38,0)+IFERROR(--ISNUMBER(SEARCH("R39",G463))*39,0)+IFERROR(--ISNUMBER(SEARCH("R40",G463))*40,0)+IFERROR(--ISNUMBER(SEARCH("R41",G463))*41,0)+IFERROR(--ISNUMBER(SEARCH("R42",G463))*42,0)+IFERROR(--ISNUMBER(SEARCH("R43",G463))*43,0)+IFERROR(--ISNUMBER(SEARCH("R44",G463))*44,0)+IFERROR(--ISNUMBER(SEARCH("R45",G463))*45,0)+IFERROR(--ISNUMBER(SEARCH("R46",G463))*46,0)+IFERROR(--ISNUMBER(SEARCH("R47",G463))*47,0)+IFERROR(--ISNUMBER(SEARCH("R48",G463))*48,0)+IFERROR(--ISNUMBER(SEARCH("R49",G463))*49,0)+IFERROR(--ISNUMBER(SEARCH("R50",G463))*50,0)+IFERROR(--ISNUMBER(SEARCH("R51",G463))*51,0)+IFERROR(--ISNUMBER(SEARCH("R52",G463))*52,0)+IFERROR(--ISNUMBER(SEARCH("R53",G463))*53,0)+IFERROR(--ISNUMBER(SEARCH("R54",G463))*54,0)+IFERROR(--ISNUMBER(SEARCH("R55",G463))*55,0)+IFERROR(--ISNUMBER(SEARCH("R56",G463))*56,0)+IFERROR(--ISNUMBER(SEARCH("R57",G463))*57,0)+IFERROR(--ISNUMBER(SEARCH("R58",G463))*58,0)+IFERROR(--ISNUMBER(SEARCH("R59",G463))*59,0)+IFERROR(--ISNUMBER(SEARCH("R60",G463))*60,0)+IFERROR(--ISNUMBER(SEARCH("R61",G463))*61,0)+IFERROR(--ISNUMBER(SEARCH("R62",G463))*62,0)+IFERROR(--ISNUMBER(SEARCH("R63",G463))*63,0)+IFERROR(--ISNUMBER(SEARCH("R64",G463))*64,0)+IFERROR(--ISNUMBER(SEARCH("R65",G463))*65,0)+IFERROR(--ISNUMBER(SEARCH("R66",G463))*66,0)+IFERROR(--ISNUMBER(SEARCH("R67",G463))*67,0)+IFERROR(--ISNUMBER(SEARCH("R68",G463))*68,0)+IFERROR(--ISNUMBER(SEARCH("R69",G463))*69,0)+IFERROR(--ISNUMBER(SEARCH("R70",G463))*70,0)+IFERROR(--ISNUMBER(SEARCH("R71",G463))*71,0)+IFERROR(--ISNUMBER(SEARCH("R72",G463))*72,0)+IFERROR(--ISNUMBER(SEARCH("R73",G463))*73,0)+IFERROR(--ISNUMBER(SEARCH("R74",G463))*74,0)+IFERROR(--ISNUMBER(SEARCH("R75",G463))*75,0)+IFERROR(--ISNUMBER(SEARCH("R76",G463))*76,0)+IFERROR(--ISNUMBER(SEARCH("R77",G463))*77,0)+IFERROR(--ISNUMBER(SEARCH("R78",G463))*78,0)+IFERROR(--ISNUMBER(SEARCH("R79",G463))*79,0)+IFERROR(--ISNUMBER(SEARCH("R80",G463))*80,0)+IFERROR(--ISNUMBER(SEARCH("R81",G463))*81,0)+IFERROR(--ISNUMBER(SEARCH("R82",G463))*82,0)+IFERROR(--ISNUMBER(SEARCH("R83",G463))*83,0)+IFERROR(--ISNUMBER(SEARCH("R84",G463))*84,0)+IFERROR(--ISNUMBER(SEARCH("R85",G463))*85,0)+IFERROR(--ISNUMBER(SEARCH("R86",G463))*86,0)+IFERROR(--ISNUMBER(SEARCH("R87",G463))*87,0)+IFERROR(--ISNUMBER(SEARCH("R88",G463))*88,0)+IFERROR(--ISNUMBER(SEARCH("R89",G463))*89,0)+IFERROR(--ISNUMBER(SEARCH("R90",G463))*90,0)+IFERROR(--ISNUMBER(SEARCH("R91",G463))*91,0)+IFERROR(--ISNUMBER(SEARCH("R92",G463))*92,0)+IFERROR(--ISNUMBER(SEARCH("R93",G463))*93,0)+IFERROR(--ISNUMBER(SEARCH("R94",G463))*94,0)+IFERROR(--ISNUMBER(SEARCH("R95",G463))*95,0)+IFERROR(--ISNUMBER(SEARCH("R96",G463))*96,0)+IFERROR(--ISNUMBER(SEARCH("R97",G463))*97,0)+IFERROR(--ISNUMBER(SEARCH("R98",G463))*98,0)+IFERROR(--ISNUMBER(SEARCH("R99",G463))*99,0)+IFERROR(--ISNUMBER(SEARCH("R100",G463))*100,0)+IFERROR(--ISNUMBER(SEARCH("R101",G463))*101,0)+IFERROR(--ISNUMBER(SEARCH("R102",G463))*102,0)+IFERROR(--ISNUMBER(SEARCH("R103",G463))*103,0)+IFERROR(--ISNUMBER(SEARCH("R104",G463))*104,0)+IFERROR(--ISNUMBER(SEARCH("R105",G463))*105,0)+IFERROR(--ISNUMBER(SEARCH("R106",G463))*106,0)+IFERROR(--ISNUMBER(SEARCH("R107",G463))*107,0)+IFERROR(--ISNUMBER(SEARCH("R108",G463))*108,0)+IFERROR(--ISNUMBER(SEARCH("R109",G463))*109,0)+IFERROR(--ISNUMBER(SEARCH("R110",G463))*110,0)+IFERROR(--ISNUMBER(SEARCH("R111",G463))*111,0)+IFERROR(--ISNUMBER(SEARCH("R112",G463))*112,0)+IFERROR(--ISNUMBER(SEARCH("R113",G463))*113,0)+IFERROR(--ISNUMBER(SEARCH("R114",G463))*114,0)+IFERROR(--ISNUMBER(SEARCH("R115",G463))*115,0)+IFERROR(--ISNUMBER(SEARCH("R116",G463))*116,0)+IFERROR(--ISNUMBER(SEARCH("R117",G463))*117,0)+IFERROR(--ISNUMBER(SEARCH("R118",G463))*118,0)+IFERROR(--ISNUMBER(SEARCH("R119",G463))*119,0)+IFERROR(--ISNUMBER(SEARCH("R120",G463))*120,0)+IFERROR(--ISNUMBER(SEARCH("R121",G463))*121,0)+IFERROR(--ISNUMBER(SEARCH("R122",G463))*122,0)+IFERROR(--ISNUMBER(SEARCH("R123",G463))*123,0)+IFERROR(--ISNUMBER(SEARCH("R124",G463))*124,0)+IFERROR(--ISNUMBER(SEARCH("R125",G463))*125,0)+IFERROR(--ISNUMBER(SEARCH("R126",G463))*126,0)+IFERROR(--ISNUMBER(SEARCH("R127",G463))*127,0)+IFERROR(--ISNUMBER(SEARCH("R128",G463))*128,0)+IFERROR(--ISNUMBER(SEARCH("R129",G463))*129,0)+IFERROR(--ISNUMBER(SEARCH("R130",G463))*130,0)+IFERROR(--ISNUMBER(SEARCH("R131",G463))*131,0)+IFERROR(--ISNUMBER(SEARCH("R132",G463))*132,0)+IFERROR(--ISNUMBER(SEARCH("R133",G463))*133,0)+IFERROR(--ISNUMBER(SEARCH("R134",G463))*134,0)+IFERROR(--ISNUMBER(SEARCH("R135",G463))*135,0)+IFERROR(--ISNUMBER(SEARCH("R136",G463))*136,0)+IFERROR(--ISNUMBER(SEARCH("R137",G463))*137,0)+IFERROR(--ISNUMBER(SEARCH("R138",G463))*138,0)+IFERROR(--ISNUMBER(SEARCH("R139",G463))*139,0)+IFERROR(--ISNUMBER(SEARCH("R140",G463))*140,0)+IFERROR(--ISNUMBER(SEARCH("R141",G463))*141,0))</f>
        <v/>
      </c>
      <c r="V463" s="59">
        <f>IF(A463="","",IF(K463&lt;&gt;"",K463,J463))</f>
        <v/>
      </c>
      <c r="W463" s="59">
        <f>IF(A463="","",IF(AND(V463=29,O463&lt;&gt;"",COUNTIFS($V$6:$V$505,29,$F$6:$F$505,F463,$C$6:$C$505,C463,$O$6:$O$505,"&lt;&gt;")&gt;1),IF(COUNTIFS($V$6:V463,29,$F$6:F463,F463,$C$6:C463,C463,$O$6:O463,"&lt;&gt;")=1,"Esta es la fila que se debe CONSERVAR (aparición 1 de "&amp;COUNTIFS($V$6:$V$505,29,$F$6:$F$505,F463,$C$6:$C$505,C463,$O$6:$O$505,"&lt;&gt;")&amp;" con el mismo tercero y valor, casilla 29). Si hay más filas iguales, bórreles el valor a ELLAS, no a esta.","DUPLICADO — ya existe otra fila con el mismo tercero y valor para casilla 29 (aparición "&amp;COUNTIFS($V$6:V463,29,$F$6:F463,F463,$C$6:C463,C463,$O$6:O463,"&lt;&gt;")&amp;" de "&amp;COUNTIFS($V$6:$V$505,29,$F$6:$F$505,F463,$C$6:$C$505,C463,$O$6:$O$505,"&lt;&gt;")&amp;"). Para resolverlo: seleccione la celda O"&amp;ROW()&amp;" (columna Valor a declarar de ESTA fila) y presione Supr."),""))</f>
        <v/>
      </c>
      <c r="X463" s="463">
        <f>IF(A463="","",F463)</f>
        <v/>
      </c>
      <c r="Y463" s="463">
        <f>IF(A463="","",SUMIF(Entrada_Manual!$I$88:$I$187,A463,Entrada_Manual!$F$88:$F$187))</f>
        <v/>
      </c>
      <c r="Z463" s="463">
        <f>IF(A463="","",X463-Y463)</f>
        <v/>
      </c>
      <c r="AA463">
        <f>IF(A463="","",SUMPRODUCT((Entrada_Manual!$I$88:$I$187=A463)*1))</f>
        <v/>
      </c>
      <c r="AB463">
        <f>IF(A463="","",IF(S463&lt;=1,"",IF(AA463=0,"PENDIENTE — SIN ASIGNAR",IF(Z463=0,"RESUELTO","PARCIAL — DIFERENCIA "&amp;TEXT(Z463,"#,##0")))))</f>
        <v/>
      </c>
    </row>
    <row r="464" ht="14.25" customHeight="1" s="235">
      <c r="A464" s="47">
        <f>IF(Exogena_RAW!E473&lt;&gt;"",ROW()-5,"")</f>
        <v/>
      </c>
      <c r="B464" s="48">
        <f>IF(A464="","",473)</f>
        <v/>
      </c>
      <c r="C464" s="48">
        <f>IF(A464="","",IFERROR(Exogena_RAW!A473,""))</f>
        <v/>
      </c>
      <c r="D464" s="48">
        <f>IF(A464="","",IFERROR(Exogena_RAW!B473,""))</f>
        <v/>
      </c>
      <c r="E464" s="48">
        <f>IF(A464="","",Exogena_RAW!E473)</f>
        <v/>
      </c>
      <c r="F464" s="461">
        <f>IF(A464="","",Exogena_RAW!F473)</f>
        <v/>
      </c>
      <c r="G464" s="48">
        <f>IF(A464="","",IFERROR(Exogena_RAW!G473,""))</f>
        <v/>
      </c>
      <c r="H464" s="48">
        <f>IF(A464="","",IFERROR(Exogena_RAW!H473,""))</f>
        <v/>
      </c>
      <c r="I464" s="48">
        <f>IF(A464="","",IFERROR(IF(S464&gt;1,"VARIAS CASILLAS",IF(S464=1,IF(T464=1,"PROPUESTA DE CASILLA","REVISIÓN: CASILLA NO DIRECTA"),IF(OR(ISNUMBER(SEARCH("TOPE",UPPER(E464))),ISNUMBER(SEARCH("TOPE",UPPER(G464)))),"SOLO CONTROL",IF(ISNUMBER(SEARCH("RETEN",UPPER(E464))),"RETENCIÓN","REVISAR")))),"REVISAR"))</f>
        <v/>
      </c>
      <c r="J464" s="48">
        <f>IF(A464="","",IF(ISNUMBER(SEARCH("ingreso laboral promedio de los últimos seis meses",E464)),"",IFERROR(IF(AND(S464=1,T464=1),U464,""),"")))</f>
        <v/>
      </c>
      <c r="K464" s="216" t="n"/>
      <c r="L464" s="48">
        <f>IF(A464="","",IFERROR(IF(K464&lt;&gt;"","Casilla elegida por usuario",IF(S464&gt;1,"Varias casillas — elegir en K",IF(J464&lt;&gt;"","Sugerencia directa",IF(S464=1,"No trasladar directo — revisar",IF(OR(ISNUMBER(SEARCH("TOPE",UPPER(E464))),ISNUMBER(SEARCH("TOPE",UPPER(G464)))),"Solo control","Revisar manualmente"))))),"Revisar manualmente"))</f>
        <v/>
      </c>
      <c r="M464" s="461">
        <f>IF(A464="","",IF(IF(K464&lt;&gt;"",K464,J464)="",0,IF(COUNTIFS(Reglas!$I$5:$I$118,IF(K464&lt;&gt;"",K464,J464),Reglas!$J$5:$J$118,"Sí")=1,F464,0)))</f>
        <v/>
      </c>
      <c r="N464" s="56" t="n"/>
      <c r="O464" s="462">
        <f>IF(A464="","",IF(M464=0,"",M464))</f>
        <v/>
      </c>
      <c r="P464" s="461">
        <f>IF(A464="","",IF(O464="",0,IF(ISNUMBER(O464),O464,0)))</f>
        <v/>
      </c>
      <c r="Q464" s="48">
        <f>IF(A464="","",IF(Exogena_RAW!$C$4="","BLOQUEADO: FALTA AÑO",IF(Exogena_RAW!$K$10&lt;&gt;Reglas!$B$5,"BLOQUEADO: AÑO",IF(IF(K464&lt;&gt;"",K464,J464)="",IF(S464&gt;1,"REQUIERE ASIGNACIÓN MANUAL (VARIAS CASILLAS)","INFORMATIVO (sin casilla — no se declara)"),IF(COUNTIFS(Reglas!$I$5:$I$118,IF(K464&lt;&gt;"",K464,J464),Reglas!$J$5:$J$118,"Sí")=0,"BLOQUEADO: CASILLA NO DIRECTA",IF(O464="","EXCLUIDO (valor borrado por el usuario)",IF(_xlfn.ISFORMULA(O464),IF(W464&lt;&gt;"","BORRADOR — VALOR SUGERIDO DIAN ⚠ VER ALERTA","BORRADOR — VALOR SUGERIDO DIAN"),IF(W464&lt;&gt;"","ACEPTADO ⚠ VER ALERTA","ACEPTADO"))))))))</f>
        <v/>
      </c>
      <c r="R464" s="218" t="n"/>
      <c r="S464" s="58">
        <f>IF(A464="","",IFERROR(--ISNUMBER(SEARCH("R28",G464)),0)+IFERROR(--ISNUMBER(SEARCH("R29",G464)),0)+IFERROR(--ISNUMBER(SEARCH("R30",G464)),0)+IFERROR(--ISNUMBER(SEARCH("R31",G464)),0)+IFERROR(--ISNUMBER(SEARCH("R32",G464)),0)+IFERROR(--ISNUMBER(SEARCH("R33",G464)),0)+IFERROR(--ISNUMBER(SEARCH("R34",G464)),0)+IFERROR(--ISNUMBER(SEARCH("R35",G464)),0)+IFERROR(--ISNUMBER(SEARCH("R36",G464)),0)+IFERROR(--ISNUMBER(SEARCH("R37",G464)),0)+IFERROR(--ISNUMBER(SEARCH("R38",G464)),0)+IFERROR(--ISNUMBER(SEARCH("R39",G464)),0)+IFERROR(--ISNUMBER(SEARCH("R40",G464)),0)+IFERROR(--ISNUMBER(SEARCH("R41",G464)),0)+IFERROR(--ISNUMBER(SEARCH("R42",G464)),0)+IFERROR(--ISNUMBER(SEARCH("R43",G464)),0)+IFERROR(--ISNUMBER(SEARCH("R44",G464)),0)+IFERROR(--ISNUMBER(SEARCH("R45",G464)),0)+IFERROR(--ISNUMBER(SEARCH("R46",G464)),0)+IFERROR(--ISNUMBER(SEARCH("R47",G464)),0)+IFERROR(--ISNUMBER(SEARCH("R48",G464)),0)+IFERROR(--ISNUMBER(SEARCH("R49",G464)),0)+IFERROR(--ISNUMBER(SEARCH("R50",G464)),0)+IFERROR(--ISNUMBER(SEARCH("R51",G464)),0)+IFERROR(--ISNUMBER(SEARCH("R52",G464)),0)+IFERROR(--ISNUMBER(SEARCH("R53",G464)),0)+IFERROR(--ISNUMBER(SEARCH("R54",G464)),0)+IFERROR(--ISNUMBER(SEARCH("R55",G464)),0)+IFERROR(--ISNUMBER(SEARCH("R56",G464)),0)+IFERROR(--ISNUMBER(SEARCH("R57",G464)),0)+IFERROR(--ISNUMBER(SEARCH("R58",G464)),0)+IFERROR(--ISNUMBER(SEARCH("R59",G464)),0)+IFERROR(--ISNUMBER(SEARCH("R60",G464)),0)+IFERROR(--ISNUMBER(SEARCH("R61",G464)),0)+IFERROR(--ISNUMBER(SEARCH("R62",G464)),0)+IFERROR(--ISNUMBER(SEARCH("R63",G464)),0)+IFERROR(--ISNUMBER(SEARCH("R64",G464)),0)+IFERROR(--ISNUMBER(SEARCH("R65",G464)),0)+IFERROR(--ISNUMBER(SEARCH("R66",G464)),0)+IFERROR(--ISNUMBER(SEARCH("R67",G464)),0)+IFERROR(--ISNUMBER(SEARCH("R68",G464)),0)+IFERROR(--ISNUMBER(SEARCH("R69",G464)),0)+IFERROR(--ISNUMBER(SEARCH("R70",G464)),0)+IFERROR(--ISNUMBER(SEARCH("R71",G464)),0)+IFERROR(--ISNUMBER(SEARCH("R72",G464)),0)+IFERROR(--ISNUMBER(SEARCH("R73",G464)),0)+IFERROR(--ISNUMBER(SEARCH("R74",G464)),0)+IFERROR(--ISNUMBER(SEARCH("R75",G464)),0)+IFERROR(--ISNUMBER(SEARCH("R76",G464)),0)+IFERROR(--ISNUMBER(SEARCH("R77",G464)),0)+IFERROR(--ISNUMBER(SEARCH("R78",G464)),0)+IFERROR(--ISNUMBER(SEARCH("R79",G464)),0)+IFERROR(--ISNUMBER(SEARCH("R80",G464)),0)+IFERROR(--ISNUMBER(SEARCH("R81",G464)),0)+IFERROR(--ISNUMBER(SEARCH("R82",G464)),0)+IFERROR(--ISNUMBER(SEARCH("R83",G464)),0)+IFERROR(--ISNUMBER(SEARCH("R84",G464)),0)+IFERROR(--ISNUMBER(SEARCH("R85",G464)),0)+IFERROR(--ISNUMBER(SEARCH("R86",G464)),0)+IFERROR(--ISNUMBER(SEARCH("R87",G464)),0)+IFERROR(--ISNUMBER(SEARCH("R88",G464)),0)+IFERROR(--ISNUMBER(SEARCH("R89",G464)),0)+IFERROR(--ISNUMBER(SEARCH("R90",G464)),0)+IFERROR(--ISNUMBER(SEARCH("R91",G464)),0)+IFERROR(--ISNUMBER(SEARCH("R92",G464)),0)+IFERROR(--ISNUMBER(SEARCH("R93",G464)),0)+IFERROR(--ISNUMBER(SEARCH("R94",G464)),0)+IFERROR(--ISNUMBER(SEARCH("R95",G464)),0)+IFERROR(--ISNUMBER(SEARCH("R96",G464)),0)+IFERROR(--ISNUMBER(SEARCH("R97",G464)),0)+IFERROR(--ISNUMBER(SEARCH("R98",G464)),0)+IFERROR(--ISNUMBER(SEARCH("R99",G464)),0)+IFERROR(--ISNUMBER(SEARCH("R100",G464)),0)+IFERROR(--ISNUMBER(SEARCH("R101",G464)),0)+IFERROR(--ISNUMBER(SEARCH("R102",G464)),0)+IFERROR(--ISNUMBER(SEARCH("R103",G464)),0)+IFERROR(--ISNUMBER(SEARCH("R104",G464)),0)+IFERROR(--ISNUMBER(SEARCH("R105",G464)),0)+IFERROR(--ISNUMBER(SEARCH("R106",G464)),0)+IFERROR(--ISNUMBER(SEARCH("R107",G464)),0)+IFERROR(--ISNUMBER(SEARCH("R108",G464)),0)+IFERROR(--ISNUMBER(SEARCH("R109",G464)),0)+IFERROR(--ISNUMBER(SEARCH("R110",G464)),0)+IFERROR(--ISNUMBER(SEARCH("R111",G464)),0)+IFERROR(--ISNUMBER(SEARCH("R112",G464)),0)+IFERROR(--ISNUMBER(SEARCH("R113",G464)),0)+IFERROR(--ISNUMBER(SEARCH("R114",G464)),0)+IFERROR(--ISNUMBER(SEARCH("R115",G464)),0)+IFERROR(--ISNUMBER(SEARCH("R116",G464)),0)+IFERROR(--ISNUMBER(SEARCH("R117",G464)),0)+IFERROR(--ISNUMBER(SEARCH("R118",G464)),0)+IFERROR(--ISNUMBER(SEARCH("R119",G464)),0)+IFERROR(--ISNUMBER(SEARCH("R120",G464)),0)+IFERROR(--ISNUMBER(SEARCH("R121",G464)),0)+IFERROR(--ISNUMBER(SEARCH("R122",G464)),0)+IFERROR(--ISNUMBER(SEARCH("R123",G464)),0)+IFERROR(--ISNUMBER(SEARCH("R124",G464)),0)+IFERROR(--ISNUMBER(SEARCH("R125",G464)),0)+IFERROR(--ISNUMBER(SEARCH("R126",G464)),0)+IFERROR(--ISNUMBER(SEARCH("R127",G464)),0)+IFERROR(--ISNUMBER(SEARCH("R128",G464)),0)+IFERROR(--ISNUMBER(SEARCH("R129",G464)),0)+IFERROR(--ISNUMBER(SEARCH("R130",G464)),0)+IFERROR(--ISNUMBER(SEARCH("R131",G464)),0)+IFERROR(--ISNUMBER(SEARCH("R132",G464)),0)+IFERROR(--ISNUMBER(SEARCH("R133",G464)),0)+IFERROR(--ISNUMBER(SEARCH("R134",G464)),0)+IFERROR(--ISNUMBER(SEARCH("R135",G464)),0)+IFERROR(--ISNUMBER(SEARCH("R136",G464)),0)+IFERROR(--ISNUMBER(SEARCH("R137",G464)),0)+IFERROR(--ISNUMBER(SEARCH("R138",G464)),0)+IFERROR(--ISNUMBER(SEARCH("R139",G464)),0)+IFERROR(--ISNUMBER(SEARCH("R140",G464)),0)+IFERROR(--ISNUMBER(SEARCH("R141",G464)),0))</f>
        <v/>
      </c>
      <c r="T464" s="58">
        <f>IF(A464="","",IFERROR(--ISNUMBER(SEARCH("R28",G464)),0)+IFERROR(--ISNUMBER(SEARCH("R29",G464)),0)+IFERROR(--ISNUMBER(SEARCH("R30",G464)),0)+IFERROR(--ISNUMBER(SEARCH("R32",G464)),0)+IFERROR(--ISNUMBER(SEARCH("R33",G464)),0)+IFERROR(--ISNUMBER(SEARCH("R35",G464)),0)+IFERROR(--ISNUMBER(SEARCH("R36",G464)),0)+IFERROR(--ISNUMBER(SEARCH("R38",G464)),0)+IFERROR(--ISNUMBER(SEARCH("R39",G464)),0)+IFERROR(--ISNUMBER(SEARCH("R43",G464)),0)+IFERROR(--ISNUMBER(SEARCH("R44",G464)),0)+IFERROR(--ISNUMBER(SEARCH("R45",G464)),0)+IFERROR(--ISNUMBER(SEARCH("R47",G464)),0)+IFERROR(--ISNUMBER(SEARCH("R48",G464)),0)+IFERROR(--ISNUMBER(SEARCH("R50",G464)),0)+IFERROR(--ISNUMBER(SEARCH("R51",G464)),0)+IFERROR(--ISNUMBER(SEARCH("R56",G464)),0)+IFERROR(--ISNUMBER(SEARCH("R58",G464)),0)+IFERROR(--ISNUMBER(SEARCH("R59",G464)),0)+IFERROR(--ISNUMBER(SEARCH("R60",G464)),0)+IFERROR(--ISNUMBER(SEARCH("R62",G464)),0)+IFERROR(--ISNUMBER(SEARCH("R63",G464)),0)+IFERROR(--ISNUMBER(SEARCH("R64",G464)),0)+IFERROR(--ISNUMBER(SEARCH("R66",G464)),0)+IFERROR(--ISNUMBER(SEARCH("R67",G464)),0)+IFERROR(--ISNUMBER(SEARCH("R72",G464)),0)+IFERROR(--ISNUMBER(SEARCH("R74",G464)),0)+IFERROR(--ISNUMBER(SEARCH("R75",G464)),0)+IFERROR(--ISNUMBER(SEARCH("R76",G464)),0)+IFERROR(--ISNUMBER(SEARCH("R77",G464)),0)+IFERROR(--ISNUMBER(SEARCH("R79",G464)),0)+IFERROR(--ISNUMBER(SEARCH("R80",G464)),0)+IFERROR(--ISNUMBER(SEARCH("R81",G464)),0)+IFERROR(--ISNUMBER(SEARCH("R83",G464)),0)+IFERROR(--ISNUMBER(SEARCH("R84",G464)),0)+IFERROR(--ISNUMBER(SEARCH("R89",G464)),0)+IFERROR(--ISNUMBER(SEARCH("R94",G464)),0)+IFERROR(--ISNUMBER(SEARCH("R95",G464)),0)+IFERROR(--ISNUMBER(SEARCH("R96",G464)),0)+IFERROR(--ISNUMBER(SEARCH("R98",G464)),0)+IFERROR(--ISNUMBER(SEARCH("R99",G464)),0)+IFERROR(--ISNUMBER(SEARCH("R100",G464)),0)+IFERROR(--ISNUMBER(SEARCH("R104",G464)),0)+IFERROR(--ISNUMBER(SEARCH("R105",G464)),0)+IFERROR(--ISNUMBER(SEARCH("R107",G464)),0)+IFERROR(--ISNUMBER(SEARCH("R108",G464)),0)+IFERROR(--ISNUMBER(SEARCH("R109",G464)),0)+IFERROR(--ISNUMBER(SEARCH("R110",G464)),0)+IFERROR(--ISNUMBER(SEARCH("R112",G464)),0)+IFERROR(--ISNUMBER(SEARCH("R113",G464)),0)+IFERROR(--ISNUMBER(SEARCH("R114",G464)),0)+IFERROR(--ISNUMBER(SEARCH("R118",G464)),0)+IFERROR(--ISNUMBER(SEARCH("R119",G464)),0)+IFERROR(--ISNUMBER(SEARCH("R120",G464)),0)+IFERROR(--ISNUMBER(SEARCH("R122",G464)),0)+IFERROR(--ISNUMBER(SEARCH("R123",G464)),0)+IFERROR(--ISNUMBER(SEARCH("R124",G464)),0)+IFERROR(--ISNUMBER(SEARCH("R128",G464)),0)+IFERROR(--ISNUMBER(SEARCH("R130",G464)),0)+IFERROR(--ISNUMBER(SEARCH("R131",G464)),0)+IFERROR(--ISNUMBER(SEARCH("R132",G464)),0)+IFERROR(--ISNUMBER(SEARCH("R135",G464)),0)+IFERROR(--ISNUMBER(SEARCH("R138",G464)),0)+IFERROR(--ISNUMBER(SEARCH("R141",G464)),0))</f>
        <v/>
      </c>
      <c r="U464" s="58">
        <f>IF(A464="","",IFERROR(--ISNUMBER(SEARCH("R28",G464))*28,0)+IFERROR(--ISNUMBER(SEARCH("R29",G464))*29,0)+IFERROR(--ISNUMBER(SEARCH("R30",G464))*30,0)+IFERROR(--ISNUMBER(SEARCH("R31",G464))*31,0)+IFERROR(--ISNUMBER(SEARCH("R32",G464))*32,0)+IFERROR(--ISNUMBER(SEARCH("R33",G464))*33,0)+IFERROR(--ISNUMBER(SEARCH("R34",G464))*34,0)+IFERROR(--ISNUMBER(SEARCH("R35",G464))*35,0)+IFERROR(--ISNUMBER(SEARCH("R36",G464))*36,0)+IFERROR(--ISNUMBER(SEARCH("R37",G464))*37,0)+IFERROR(--ISNUMBER(SEARCH("R38",G464))*38,0)+IFERROR(--ISNUMBER(SEARCH("R39",G464))*39,0)+IFERROR(--ISNUMBER(SEARCH("R40",G464))*40,0)+IFERROR(--ISNUMBER(SEARCH("R41",G464))*41,0)+IFERROR(--ISNUMBER(SEARCH("R42",G464))*42,0)+IFERROR(--ISNUMBER(SEARCH("R43",G464))*43,0)+IFERROR(--ISNUMBER(SEARCH("R44",G464))*44,0)+IFERROR(--ISNUMBER(SEARCH("R45",G464))*45,0)+IFERROR(--ISNUMBER(SEARCH("R46",G464))*46,0)+IFERROR(--ISNUMBER(SEARCH("R47",G464))*47,0)+IFERROR(--ISNUMBER(SEARCH("R48",G464))*48,0)+IFERROR(--ISNUMBER(SEARCH("R49",G464))*49,0)+IFERROR(--ISNUMBER(SEARCH("R50",G464))*50,0)+IFERROR(--ISNUMBER(SEARCH("R51",G464))*51,0)+IFERROR(--ISNUMBER(SEARCH("R52",G464))*52,0)+IFERROR(--ISNUMBER(SEARCH("R53",G464))*53,0)+IFERROR(--ISNUMBER(SEARCH("R54",G464))*54,0)+IFERROR(--ISNUMBER(SEARCH("R55",G464))*55,0)+IFERROR(--ISNUMBER(SEARCH("R56",G464))*56,0)+IFERROR(--ISNUMBER(SEARCH("R57",G464))*57,0)+IFERROR(--ISNUMBER(SEARCH("R58",G464))*58,0)+IFERROR(--ISNUMBER(SEARCH("R59",G464))*59,0)+IFERROR(--ISNUMBER(SEARCH("R60",G464))*60,0)+IFERROR(--ISNUMBER(SEARCH("R61",G464))*61,0)+IFERROR(--ISNUMBER(SEARCH("R62",G464))*62,0)+IFERROR(--ISNUMBER(SEARCH("R63",G464))*63,0)+IFERROR(--ISNUMBER(SEARCH("R64",G464))*64,0)+IFERROR(--ISNUMBER(SEARCH("R65",G464))*65,0)+IFERROR(--ISNUMBER(SEARCH("R66",G464))*66,0)+IFERROR(--ISNUMBER(SEARCH("R67",G464))*67,0)+IFERROR(--ISNUMBER(SEARCH("R68",G464))*68,0)+IFERROR(--ISNUMBER(SEARCH("R69",G464))*69,0)+IFERROR(--ISNUMBER(SEARCH("R70",G464))*70,0)+IFERROR(--ISNUMBER(SEARCH("R71",G464))*71,0)+IFERROR(--ISNUMBER(SEARCH("R72",G464))*72,0)+IFERROR(--ISNUMBER(SEARCH("R73",G464))*73,0)+IFERROR(--ISNUMBER(SEARCH("R74",G464))*74,0)+IFERROR(--ISNUMBER(SEARCH("R75",G464))*75,0)+IFERROR(--ISNUMBER(SEARCH("R76",G464))*76,0)+IFERROR(--ISNUMBER(SEARCH("R77",G464))*77,0)+IFERROR(--ISNUMBER(SEARCH("R78",G464))*78,0)+IFERROR(--ISNUMBER(SEARCH("R79",G464))*79,0)+IFERROR(--ISNUMBER(SEARCH("R80",G464))*80,0)+IFERROR(--ISNUMBER(SEARCH("R81",G464))*81,0)+IFERROR(--ISNUMBER(SEARCH("R82",G464))*82,0)+IFERROR(--ISNUMBER(SEARCH("R83",G464))*83,0)+IFERROR(--ISNUMBER(SEARCH("R84",G464))*84,0)+IFERROR(--ISNUMBER(SEARCH("R85",G464))*85,0)+IFERROR(--ISNUMBER(SEARCH("R86",G464))*86,0)+IFERROR(--ISNUMBER(SEARCH("R87",G464))*87,0)+IFERROR(--ISNUMBER(SEARCH("R88",G464))*88,0)+IFERROR(--ISNUMBER(SEARCH("R89",G464))*89,0)+IFERROR(--ISNUMBER(SEARCH("R90",G464))*90,0)+IFERROR(--ISNUMBER(SEARCH("R91",G464))*91,0)+IFERROR(--ISNUMBER(SEARCH("R92",G464))*92,0)+IFERROR(--ISNUMBER(SEARCH("R93",G464))*93,0)+IFERROR(--ISNUMBER(SEARCH("R94",G464))*94,0)+IFERROR(--ISNUMBER(SEARCH("R95",G464))*95,0)+IFERROR(--ISNUMBER(SEARCH("R96",G464))*96,0)+IFERROR(--ISNUMBER(SEARCH("R97",G464))*97,0)+IFERROR(--ISNUMBER(SEARCH("R98",G464))*98,0)+IFERROR(--ISNUMBER(SEARCH("R99",G464))*99,0)+IFERROR(--ISNUMBER(SEARCH("R100",G464))*100,0)+IFERROR(--ISNUMBER(SEARCH("R101",G464))*101,0)+IFERROR(--ISNUMBER(SEARCH("R102",G464))*102,0)+IFERROR(--ISNUMBER(SEARCH("R103",G464))*103,0)+IFERROR(--ISNUMBER(SEARCH("R104",G464))*104,0)+IFERROR(--ISNUMBER(SEARCH("R105",G464))*105,0)+IFERROR(--ISNUMBER(SEARCH("R106",G464))*106,0)+IFERROR(--ISNUMBER(SEARCH("R107",G464))*107,0)+IFERROR(--ISNUMBER(SEARCH("R108",G464))*108,0)+IFERROR(--ISNUMBER(SEARCH("R109",G464))*109,0)+IFERROR(--ISNUMBER(SEARCH("R110",G464))*110,0)+IFERROR(--ISNUMBER(SEARCH("R111",G464))*111,0)+IFERROR(--ISNUMBER(SEARCH("R112",G464))*112,0)+IFERROR(--ISNUMBER(SEARCH("R113",G464))*113,0)+IFERROR(--ISNUMBER(SEARCH("R114",G464))*114,0)+IFERROR(--ISNUMBER(SEARCH("R115",G464))*115,0)+IFERROR(--ISNUMBER(SEARCH("R116",G464))*116,0)+IFERROR(--ISNUMBER(SEARCH("R117",G464))*117,0)+IFERROR(--ISNUMBER(SEARCH("R118",G464))*118,0)+IFERROR(--ISNUMBER(SEARCH("R119",G464))*119,0)+IFERROR(--ISNUMBER(SEARCH("R120",G464))*120,0)+IFERROR(--ISNUMBER(SEARCH("R121",G464))*121,0)+IFERROR(--ISNUMBER(SEARCH("R122",G464))*122,0)+IFERROR(--ISNUMBER(SEARCH("R123",G464))*123,0)+IFERROR(--ISNUMBER(SEARCH("R124",G464))*124,0)+IFERROR(--ISNUMBER(SEARCH("R125",G464))*125,0)+IFERROR(--ISNUMBER(SEARCH("R126",G464))*126,0)+IFERROR(--ISNUMBER(SEARCH("R127",G464))*127,0)+IFERROR(--ISNUMBER(SEARCH("R128",G464))*128,0)+IFERROR(--ISNUMBER(SEARCH("R129",G464))*129,0)+IFERROR(--ISNUMBER(SEARCH("R130",G464))*130,0)+IFERROR(--ISNUMBER(SEARCH("R131",G464))*131,0)+IFERROR(--ISNUMBER(SEARCH("R132",G464))*132,0)+IFERROR(--ISNUMBER(SEARCH("R133",G464))*133,0)+IFERROR(--ISNUMBER(SEARCH("R134",G464))*134,0)+IFERROR(--ISNUMBER(SEARCH("R135",G464))*135,0)+IFERROR(--ISNUMBER(SEARCH("R136",G464))*136,0)+IFERROR(--ISNUMBER(SEARCH("R137",G464))*137,0)+IFERROR(--ISNUMBER(SEARCH("R138",G464))*138,0)+IFERROR(--ISNUMBER(SEARCH("R139",G464))*139,0)+IFERROR(--ISNUMBER(SEARCH("R140",G464))*140,0)+IFERROR(--ISNUMBER(SEARCH("R141",G464))*141,0))</f>
        <v/>
      </c>
      <c r="V464" s="59">
        <f>IF(A464="","",IF(K464&lt;&gt;"",K464,J464))</f>
        <v/>
      </c>
      <c r="W464" s="59">
        <f>IF(A464="","",IF(AND(V464=29,O464&lt;&gt;"",COUNTIFS($V$6:$V$505,29,$F$6:$F$505,F464,$C$6:$C$505,C464,$O$6:$O$505,"&lt;&gt;")&gt;1),IF(COUNTIFS($V$6:V464,29,$F$6:F464,F464,$C$6:C464,C464,$O$6:O464,"&lt;&gt;")=1,"Esta es la fila que se debe CONSERVAR (aparición 1 de "&amp;COUNTIFS($V$6:$V$505,29,$F$6:$F$505,F464,$C$6:$C$505,C464,$O$6:$O$505,"&lt;&gt;")&amp;" con el mismo tercero y valor, casilla 29). Si hay más filas iguales, bórreles el valor a ELLAS, no a esta.","DUPLICADO — ya existe otra fila con el mismo tercero y valor para casilla 29 (aparición "&amp;COUNTIFS($V$6:V464,29,$F$6:F464,F464,$C$6:C464,C464,$O$6:O464,"&lt;&gt;")&amp;" de "&amp;COUNTIFS($V$6:$V$505,29,$F$6:$F$505,F464,$C$6:$C$505,C464,$O$6:$O$505,"&lt;&gt;")&amp;"). Para resolverlo: seleccione la celda O"&amp;ROW()&amp;" (columna Valor a declarar de ESTA fila) y presione Supr."),""))</f>
        <v/>
      </c>
      <c r="X464" s="463">
        <f>IF(A464="","",F464)</f>
        <v/>
      </c>
      <c r="Y464" s="463">
        <f>IF(A464="","",SUMIF(Entrada_Manual!$I$88:$I$187,A464,Entrada_Manual!$F$88:$F$187))</f>
        <v/>
      </c>
      <c r="Z464" s="463">
        <f>IF(A464="","",X464-Y464)</f>
        <v/>
      </c>
      <c r="AA464">
        <f>IF(A464="","",SUMPRODUCT((Entrada_Manual!$I$88:$I$187=A464)*1))</f>
        <v/>
      </c>
      <c r="AB464">
        <f>IF(A464="","",IF(S464&lt;=1,"",IF(AA464=0,"PENDIENTE — SIN ASIGNAR",IF(Z464=0,"RESUELTO","PARCIAL — DIFERENCIA "&amp;TEXT(Z464,"#,##0")))))</f>
        <v/>
      </c>
    </row>
    <row r="465" ht="14.25" customHeight="1" s="235">
      <c r="A465" s="47">
        <f>IF(Exogena_RAW!E474&lt;&gt;"",ROW()-5,"")</f>
        <v/>
      </c>
      <c r="B465" s="48">
        <f>IF(A465="","",474)</f>
        <v/>
      </c>
      <c r="C465" s="48">
        <f>IF(A465="","",IFERROR(Exogena_RAW!A474,""))</f>
        <v/>
      </c>
      <c r="D465" s="48">
        <f>IF(A465="","",IFERROR(Exogena_RAW!B474,""))</f>
        <v/>
      </c>
      <c r="E465" s="48">
        <f>IF(A465="","",Exogena_RAW!E474)</f>
        <v/>
      </c>
      <c r="F465" s="461">
        <f>IF(A465="","",Exogena_RAW!F474)</f>
        <v/>
      </c>
      <c r="G465" s="48">
        <f>IF(A465="","",IFERROR(Exogena_RAW!G474,""))</f>
        <v/>
      </c>
      <c r="H465" s="48">
        <f>IF(A465="","",IFERROR(Exogena_RAW!H474,""))</f>
        <v/>
      </c>
      <c r="I465" s="48">
        <f>IF(A465="","",IFERROR(IF(S465&gt;1,"VARIAS CASILLAS",IF(S465=1,IF(T465=1,"PROPUESTA DE CASILLA","REVISIÓN: CASILLA NO DIRECTA"),IF(OR(ISNUMBER(SEARCH("TOPE",UPPER(E465))),ISNUMBER(SEARCH("TOPE",UPPER(G465)))),"SOLO CONTROL",IF(ISNUMBER(SEARCH("RETEN",UPPER(E465))),"RETENCIÓN","REVISAR")))),"REVISAR"))</f>
        <v/>
      </c>
      <c r="J465" s="48">
        <f>IF(A465="","",IF(ISNUMBER(SEARCH("ingreso laboral promedio de los últimos seis meses",E465)),"",IFERROR(IF(AND(S465=1,T465=1),U465,""),"")))</f>
        <v/>
      </c>
      <c r="K465" s="216" t="n"/>
      <c r="L465" s="48">
        <f>IF(A465="","",IFERROR(IF(K465&lt;&gt;"","Casilla elegida por usuario",IF(S465&gt;1,"Varias casillas — elegir en K",IF(J465&lt;&gt;"","Sugerencia directa",IF(S465=1,"No trasladar directo — revisar",IF(OR(ISNUMBER(SEARCH("TOPE",UPPER(E465))),ISNUMBER(SEARCH("TOPE",UPPER(G465)))),"Solo control","Revisar manualmente"))))),"Revisar manualmente"))</f>
        <v/>
      </c>
      <c r="M465" s="461">
        <f>IF(A465="","",IF(IF(K465&lt;&gt;"",K465,J465)="",0,IF(COUNTIFS(Reglas!$I$5:$I$118,IF(K465&lt;&gt;"",K465,J465),Reglas!$J$5:$J$118,"Sí")=1,F465,0)))</f>
        <v/>
      </c>
      <c r="N465" s="56" t="n"/>
      <c r="O465" s="462">
        <f>IF(A465="","",IF(M465=0,"",M465))</f>
        <v/>
      </c>
      <c r="P465" s="461">
        <f>IF(A465="","",IF(O465="",0,IF(ISNUMBER(O465),O465,0)))</f>
        <v/>
      </c>
      <c r="Q465" s="48">
        <f>IF(A465="","",IF(Exogena_RAW!$C$4="","BLOQUEADO: FALTA AÑO",IF(Exogena_RAW!$K$10&lt;&gt;Reglas!$B$5,"BLOQUEADO: AÑO",IF(IF(K465&lt;&gt;"",K465,J465)="",IF(S465&gt;1,"REQUIERE ASIGNACIÓN MANUAL (VARIAS CASILLAS)","INFORMATIVO (sin casilla — no se declara)"),IF(COUNTIFS(Reglas!$I$5:$I$118,IF(K465&lt;&gt;"",K465,J465),Reglas!$J$5:$J$118,"Sí")=0,"BLOQUEADO: CASILLA NO DIRECTA",IF(O465="","EXCLUIDO (valor borrado por el usuario)",IF(_xlfn.ISFORMULA(O465),IF(W465&lt;&gt;"","BORRADOR — VALOR SUGERIDO DIAN ⚠ VER ALERTA","BORRADOR — VALOR SUGERIDO DIAN"),IF(W465&lt;&gt;"","ACEPTADO ⚠ VER ALERTA","ACEPTADO"))))))))</f>
        <v/>
      </c>
      <c r="R465" s="218" t="n"/>
      <c r="S465" s="58">
        <f>IF(A465="","",IFERROR(--ISNUMBER(SEARCH("R28",G465)),0)+IFERROR(--ISNUMBER(SEARCH("R29",G465)),0)+IFERROR(--ISNUMBER(SEARCH("R30",G465)),0)+IFERROR(--ISNUMBER(SEARCH("R31",G465)),0)+IFERROR(--ISNUMBER(SEARCH("R32",G465)),0)+IFERROR(--ISNUMBER(SEARCH("R33",G465)),0)+IFERROR(--ISNUMBER(SEARCH("R34",G465)),0)+IFERROR(--ISNUMBER(SEARCH("R35",G465)),0)+IFERROR(--ISNUMBER(SEARCH("R36",G465)),0)+IFERROR(--ISNUMBER(SEARCH("R37",G465)),0)+IFERROR(--ISNUMBER(SEARCH("R38",G465)),0)+IFERROR(--ISNUMBER(SEARCH("R39",G465)),0)+IFERROR(--ISNUMBER(SEARCH("R40",G465)),0)+IFERROR(--ISNUMBER(SEARCH("R41",G465)),0)+IFERROR(--ISNUMBER(SEARCH("R42",G465)),0)+IFERROR(--ISNUMBER(SEARCH("R43",G465)),0)+IFERROR(--ISNUMBER(SEARCH("R44",G465)),0)+IFERROR(--ISNUMBER(SEARCH("R45",G465)),0)+IFERROR(--ISNUMBER(SEARCH("R46",G465)),0)+IFERROR(--ISNUMBER(SEARCH("R47",G465)),0)+IFERROR(--ISNUMBER(SEARCH("R48",G465)),0)+IFERROR(--ISNUMBER(SEARCH("R49",G465)),0)+IFERROR(--ISNUMBER(SEARCH("R50",G465)),0)+IFERROR(--ISNUMBER(SEARCH("R51",G465)),0)+IFERROR(--ISNUMBER(SEARCH("R52",G465)),0)+IFERROR(--ISNUMBER(SEARCH("R53",G465)),0)+IFERROR(--ISNUMBER(SEARCH("R54",G465)),0)+IFERROR(--ISNUMBER(SEARCH("R55",G465)),0)+IFERROR(--ISNUMBER(SEARCH("R56",G465)),0)+IFERROR(--ISNUMBER(SEARCH("R57",G465)),0)+IFERROR(--ISNUMBER(SEARCH("R58",G465)),0)+IFERROR(--ISNUMBER(SEARCH("R59",G465)),0)+IFERROR(--ISNUMBER(SEARCH("R60",G465)),0)+IFERROR(--ISNUMBER(SEARCH("R61",G465)),0)+IFERROR(--ISNUMBER(SEARCH("R62",G465)),0)+IFERROR(--ISNUMBER(SEARCH("R63",G465)),0)+IFERROR(--ISNUMBER(SEARCH("R64",G465)),0)+IFERROR(--ISNUMBER(SEARCH("R65",G465)),0)+IFERROR(--ISNUMBER(SEARCH("R66",G465)),0)+IFERROR(--ISNUMBER(SEARCH("R67",G465)),0)+IFERROR(--ISNUMBER(SEARCH("R68",G465)),0)+IFERROR(--ISNUMBER(SEARCH("R69",G465)),0)+IFERROR(--ISNUMBER(SEARCH("R70",G465)),0)+IFERROR(--ISNUMBER(SEARCH("R71",G465)),0)+IFERROR(--ISNUMBER(SEARCH("R72",G465)),0)+IFERROR(--ISNUMBER(SEARCH("R73",G465)),0)+IFERROR(--ISNUMBER(SEARCH("R74",G465)),0)+IFERROR(--ISNUMBER(SEARCH("R75",G465)),0)+IFERROR(--ISNUMBER(SEARCH("R76",G465)),0)+IFERROR(--ISNUMBER(SEARCH("R77",G465)),0)+IFERROR(--ISNUMBER(SEARCH("R78",G465)),0)+IFERROR(--ISNUMBER(SEARCH("R79",G465)),0)+IFERROR(--ISNUMBER(SEARCH("R80",G465)),0)+IFERROR(--ISNUMBER(SEARCH("R81",G465)),0)+IFERROR(--ISNUMBER(SEARCH("R82",G465)),0)+IFERROR(--ISNUMBER(SEARCH("R83",G465)),0)+IFERROR(--ISNUMBER(SEARCH("R84",G465)),0)+IFERROR(--ISNUMBER(SEARCH("R85",G465)),0)+IFERROR(--ISNUMBER(SEARCH("R86",G465)),0)+IFERROR(--ISNUMBER(SEARCH("R87",G465)),0)+IFERROR(--ISNUMBER(SEARCH("R88",G465)),0)+IFERROR(--ISNUMBER(SEARCH("R89",G465)),0)+IFERROR(--ISNUMBER(SEARCH("R90",G465)),0)+IFERROR(--ISNUMBER(SEARCH("R91",G465)),0)+IFERROR(--ISNUMBER(SEARCH("R92",G465)),0)+IFERROR(--ISNUMBER(SEARCH("R93",G465)),0)+IFERROR(--ISNUMBER(SEARCH("R94",G465)),0)+IFERROR(--ISNUMBER(SEARCH("R95",G465)),0)+IFERROR(--ISNUMBER(SEARCH("R96",G465)),0)+IFERROR(--ISNUMBER(SEARCH("R97",G465)),0)+IFERROR(--ISNUMBER(SEARCH("R98",G465)),0)+IFERROR(--ISNUMBER(SEARCH("R99",G465)),0)+IFERROR(--ISNUMBER(SEARCH("R100",G465)),0)+IFERROR(--ISNUMBER(SEARCH("R101",G465)),0)+IFERROR(--ISNUMBER(SEARCH("R102",G465)),0)+IFERROR(--ISNUMBER(SEARCH("R103",G465)),0)+IFERROR(--ISNUMBER(SEARCH("R104",G465)),0)+IFERROR(--ISNUMBER(SEARCH("R105",G465)),0)+IFERROR(--ISNUMBER(SEARCH("R106",G465)),0)+IFERROR(--ISNUMBER(SEARCH("R107",G465)),0)+IFERROR(--ISNUMBER(SEARCH("R108",G465)),0)+IFERROR(--ISNUMBER(SEARCH("R109",G465)),0)+IFERROR(--ISNUMBER(SEARCH("R110",G465)),0)+IFERROR(--ISNUMBER(SEARCH("R111",G465)),0)+IFERROR(--ISNUMBER(SEARCH("R112",G465)),0)+IFERROR(--ISNUMBER(SEARCH("R113",G465)),0)+IFERROR(--ISNUMBER(SEARCH("R114",G465)),0)+IFERROR(--ISNUMBER(SEARCH("R115",G465)),0)+IFERROR(--ISNUMBER(SEARCH("R116",G465)),0)+IFERROR(--ISNUMBER(SEARCH("R117",G465)),0)+IFERROR(--ISNUMBER(SEARCH("R118",G465)),0)+IFERROR(--ISNUMBER(SEARCH("R119",G465)),0)+IFERROR(--ISNUMBER(SEARCH("R120",G465)),0)+IFERROR(--ISNUMBER(SEARCH("R121",G465)),0)+IFERROR(--ISNUMBER(SEARCH("R122",G465)),0)+IFERROR(--ISNUMBER(SEARCH("R123",G465)),0)+IFERROR(--ISNUMBER(SEARCH("R124",G465)),0)+IFERROR(--ISNUMBER(SEARCH("R125",G465)),0)+IFERROR(--ISNUMBER(SEARCH("R126",G465)),0)+IFERROR(--ISNUMBER(SEARCH("R127",G465)),0)+IFERROR(--ISNUMBER(SEARCH("R128",G465)),0)+IFERROR(--ISNUMBER(SEARCH("R129",G465)),0)+IFERROR(--ISNUMBER(SEARCH("R130",G465)),0)+IFERROR(--ISNUMBER(SEARCH("R131",G465)),0)+IFERROR(--ISNUMBER(SEARCH("R132",G465)),0)+IFERROR(--ISNUMBER(SEARCH("R133",G465)),0)+IFERROR(--ISNUMBER(SEARCH("R134",G465)),0)+IFERROR(--ISNUMBER(SEARCH("R135",G465)),0)+IFERROR(--ISNUMBER(SEARCH("R136",G465)),0)+IFERROR(--ISNUMBER(SEARCH("R137",G465)),0)+IFERROR(--ISNUMBER(SEARCH("R138",G465)),0)+IFERROR(--ISNUMBER(SEARCH("R139",G465)),0)+IFERROR(--ISNUMBER(SEARCH("R140",G465)),0)+IFERROR(--ISNUMBER(SEARCH("R141",G465)),0))</f>
        <v/>
      </c>
      <c r="T465" s="58">
        <f>IF(A465="","",IFERROR(--ISNUMBER(SEARCH("R28",G465)),0)+IFERROR(--ISNUMBER(SEARCH("R29",G465)),0)+IFERROR(--ISNUMBER(SEARCH("R30",G465)),0)+IFERROR(--ISNUMBER(SEARCH("R32",G465)),0)+IFERROR(--ISNUMBER(SEARCH("R33",G465)),0)+IFERROR(--ISNUMBER(SEARCH("R35",G465)),0)+IFERROR(--ISNUMBER(SEARCH("R36",G465)),0)+IFERROR(--ISNUMBER(SEARCH("R38",G465)),0)+IFERROR(--ISNUMBER(SEARCH("R39",G465)),0)+IFERROR(--ISNUMBER(SEARCH("R43",G465)),0)+IFERROR(--ISNUMBER(SEARCH("R44",G465)),0)+IFERROR(--ISNUMBER(SEARCH("R45",G465)),0)+IFERROR(--ISNUMBER(SEARCH("R47",G465)),0)+IFERROR(--ISNUMBER(SEARCH("R48",G465)),0)+IFERROR(--ISNUMBER(SEARCH("R50",G465)),0)+IFERROR(--ISNUMBER(SEARCH("R51",G465)),0)+IFERROR(--ISNUMBER(SEARCH("R56",G465)),0)+IFERROR(--ISNUMBER(SEARCH("R58",G465)),0)+IFERROR(--ISNUMBER(SEARCH("R59",G465)),0)+IFERROR(--ISNUMBER(SEARCH("R60",G465)),0)+IFERROR(--ISNUMBER(SEARCH("R62",G465)),0)+IFERROR(--ISNUMBER(SEARCH("R63",G465)),0)+IFERROR(--ISNUMBER(SEARCH("R64",G465)),0)+IFERROR(--ISNUMBER(SEARCH("R66",G465)),0)+IFERROR(--ISNUMBER(SEARCH("R67",G465)),0)+IFERROR(--ISNUMBER(SEARCH("R72",G465)),0)+IFERROR(--ISNUMBER(SEARCH("R74",G465)),0)+IFERROR(--ISNUMBER(SEARCH("R75",G465)),0)+IFERROR(--ISNUMBER(SEARCH("R76",G465)),0)+IFERROR(--ISNUMBER(SEARCH("R77",G465)),0)+IFERROR(--ISNUMBER(SEARCH("R79",G465)),0)+IFERROR(--ISNUMBER(SEARCH("R80",G465)),0)+IFERROR(--ISNUMBER(SEARCH("R81",G465)),0)+IFERROR(--ISNUMBER(SEARCH("R83",G465)),0)+IFERROR(--ISNUMBER(SEARCH("R84",G465)),0)+IFERROR(--ISNUMBER(SEARCH("R89",G465)),0)+IFERROR(--ISNUMBER(SEARCH("R94",G465)),0)+IFERROR(--ISNUMBER(SEARCH("R95",G465)),0)+IFERROR(--ISNUMBER(SEARCH("R96",G465)),0)+IFERROR(--ISNUMBER(SEARCH("R98",G465)),0)+IFERROR(--ISNUMBER(SEARCH("R99",G465)),0)+IFERROR(--ISNUMBER(SEARCH("R100",G465)),0)+IFERROR(--ISNUMBER(SEARCH("R104",G465)),0)+IFERROR(--ISNUMBER(SEARCH("R105",G465)),0)+IFERROR(--ISNUMBER(SEARCH("R107",G465)),0)+IFERROR(--ISNUMBER(SEARCH("R108",G465)),0)+IFERROR(--ISNUMBER(SEARCH("R109",G465)),0)+IFERROR(--ISNUMBER(SEARCH("R110",G465)),0)+IFERROR(--ISNUMBER(SEARCH("R112",G465)),0)+IFERROR(--ISNUMBER(SEARCH("R113",G465)),0)+IFERROR(--ISNUMBER(SEARCH("R114",G465)),0)+IFERROR(--ISNUMBER(SEARCH("R118",G465)),0)+IFERROR(--ISNUMBER(SEARCH("R119",G465)),0)+IFERROR(--ISNUMBER(SEARCH("R120",G465)),0)+IFERROR(--ISNUMBER(SEARCH("R122",G465)),0)+IFERROR(--ISNUMBER(SEARCH("R123",G465)),0)+IFERROR(--ISNUMBER(SEARCH("R124",G465)),0)+IFERROR(--ISNUMBER(SEARCH("R128",G465)),0)+IFERROR(--ISNUMBER(SEARCH("R130",G465)),0)+IFERROR(--ISNUMBER(SEARCH("R131",G465)),0)+IFERROR(--ISNUMBER(SEARCH("R132",G465)),0)+IFERROR(--ISNUMBER(SEARCH("R135",G465)),0)+IFERROR(--ISNUMBER(SEARCH("R138",G465)),0)+IFERROR(--ISNUMBER(SEARCH("R141",G465)),0))</f>
        <v/>
      </c>
      <c r="U465" s="58">
        <f>IF(A465="","",IFERROR(--ISNUMBER(SEARCH("R28",G465))*28,0)+IFERROR(--ISNUMBER(SEARCH("R29",G465))*29,0)+IFERROR(--ISNUMBER(SEARCH("R30",G465))*30,0)+IFERROR(--ISNUMBER(SEARCH("R31",G465))*31,0)+IFERROR(--ISNUMBER(SEARCH("R32",G465))*32,0)+IFERROR(--ISNUMBER(SEARCH("R33",G465))*33,0)+IFERROR(--ISNUMBER(SEARCH("R34",G465))*34,0)+IFERROR(--ISNUMBER(SEARCH("R35",G465))*35,0)+IFERROR(--ISNUMBER(SEARCH("R36",G465))*36,0)+IFERROR(--ISNUMBER(SEARCH("R37",G465))*37,0)+IFERROR(--ISNUMBER(SEARCH("R38",G465))*38,0)+IFERROR(--ISNUMBER(SEARCH("R39",G465))*39,0)+IFERROR(--ISNUMBER(SEARCH("R40",G465))*40,0)+IFERROR(--ISNUMBER(SEARCH("R41",G465))*41,0)+IFERROR(--ISNUMBER(SEARCH("R42",G465))*42,0)+IFERROR(--ISNUMBER(SEARCH("R43",G465))*43,0)+IFERROR(--ISNUMBER(SEARCH("R44",G465))*44,0)+IFERROR(--ISNUMBER(SEARCH("R45",G465))*45,0)+IFERROR(--ISNUMBER(SEARCH("R46",G465))*46,0)+IFERROR(--ISNUMBER(SEARCH("R47",G465))*47,0)+IFERROR(--ISNUMBER(SEARCH("R48",G465))*48,0)+IFERROR(--ISNUMBER(SEARCH("R49",G465))*49,0)+IFERROR(--ISNUMBER(SEARCH("R50",G465))*50,0)+IFERROR(--ISNUMBER(SEARCH("R51",G465))*51,0)+IFERROR(--ISNUMBER(SEARCH("R52",G465))*52,0)+IFERROR(--ISNUMBER(SEARCH("R53",G465))*53,0)+IFERROR(--ISNUMBER(SEARCH("R54",G465))*54,0)+IFERROR(--ISNUMBER(SEARCH("R55",G465))*55,0)+IFERROR(--ISNUMBER(SEARCH("R56",G465))*56,0)+IFERROR(--ISNUMBER(SEARCH("R57",G465))*57,0)+IFERROR(--ISNUMBER(SEARCH("R58",G465))*58,0)+IFERROR(--ISNUMBER(SEARCH("R59",G465))*59,0)+IFERROR(--ISNUMBER(SEARCH("R60",G465))*60,0)+IFERROR(--ISNUMBER(SEARCH("R61",G465))*61,0)+IFERROR(--ISNUMBER(SEARCH("R62",G465))*62,0)+IFERROR(--ISNUMBER(SEARCH("R63",G465))*63,0)+IFERROR(--ISNUMBER(SEARCH("R64",G465))*64,0)+IFERROR(--ISNUMBER(SEARCH("R65",G465))*65,0)+IFERROR(--ISNUMBER(SEARCH("R66",G465))*66,0)+IFERROR(--ISNUMBER(SEARCH("R67",G465))*67,0)+IFERROR(--ISNUMBER(SEARCH("R68",G465))*68,0)+IFERROR(--ISNUMBER(SEARCH("R69",G465))*69,0)+IFERROR(--ISNUMBER(SEARCH("R70",G465))*70,0)+IFERROR(--ISNUMBER(SEARCH("R71",G465))*71,0)+IFERROR(--ISNUMBER(SEARCH("R72",G465))*72,0)+IFERROR(--ISNUMBER(SEARCH("R73",G465))*73,0)+IFERROR(--ISNUMBER(SEARCH("R74",G465))*74,0)+IFERROR(--ISNUMBER(SEARCH("R75",G465))*75,0)+IFERROR(--ISNUMBER(SEARCH("R76",G465))*76,0)+IFERROR(--ISNUMBER(SEARCH("R77",G465))*77,0)+IFERROR(--ISNUMBER(SEARCH("R78",G465))*78,0)+IFERROR(--ISNUMBER(SEARCH("R79",G465))*79,0)+IFERROR(--ISNUMBER(SEARCH("R80",G465))*80,0)+IFERROR(--ISNUMBER(SEARCH("R81",G465))*81,0)+IFERROR(--ISNUMBER(SEARCH("R82",G465))*82,0)+IFERROR(--ISNUMBER(SEARCH("R83",G465))*83,0)+IFERROR(--ISNUMBER(SEARCH("R84",G465))*84,0)+IFERROR(--ISNUMBER(SEARCH("R85",G465))*85,0)+IFERROR(--ISNUMBER(SEARCH("R86",G465))*86,0)+IFERROR(--ISNUMBER(SEARCH("R87",G465))*87,0)+IFERROR(--ISNUMBER(SEARCH("R88",G465))*88,0)+IFERROR(--ISNUMBER(SEARCH("R89",G465))*89,0)+IFERROR(--ISNUMBER(SEARCH("R90",G465))*90,0)+IFERROR(--ISNUMBER(SEARCH("R91",G465))*91,0)+IFERROR(--ISNUMBER(SEARCH("R92",G465))*92,0)+IFERROR(--ISNUMBER(SEARCH("R93",G465))*93,0)+IFERROR(--ISNUMBER(SEARCH("R94",G465))*94,0)+IFERROR(--ISNUMBER(SEARCH("R95",G465))*95,0)+IFERROR(--ISNUMBER(SEARCH("R96",G465))*96,0)+IFERROR(--ISNUMBER(SEARCH("R97",G465))*97,0)+IFERROR(--ISNUMBER(SEARCH("R98",G465))*98,0)+IFERROR(--ISNUMBER(SEARCH("R99",G465))*99,0)+IFERROR(--ISNUMBER(SEARCH("R100",G465))*100,0)+IFERROR(--ISNUMBER(SEARCH("R101",G465))*101,0)+IFERROR(--ISNUMBER(SEARCH("R102",G465))*102,0)+IFERROR(--ISNUMBER(SEARCH("R103",G465))*103,0)+IFERROR(--ISNUMBER(SEARCH("R104",G465))*104,0)+IFERROR(--ISNUMBER(SEARCH("R105",G465))*105,0)+IFERROR(--ISNUMBER(SEARCH("R106",G465))*106,0)+IFERROR(--ISNUMBER(SEARCH("R107",G465))*107,0)+IFERROR(--ISNUMBER(SEARCH("R108",G465))*108,0)+IFERROR(--ISNUMBER(SEARCH("R109",G465))*109,0)+IFERROR(--ISNUMBER(SEARCH("R110",G465))*110,0)+IFERROR(--ISNUMBER(SEARCH("R111",G465))*111,0)+IFERROR(--ISNUMBER(SEARCH("R112",G465))*112,0)+IFERROR(--ISNUMBER(SEARCH("R113",G465))*113,0)+IFERROR(--ISNUMBER(SEARCH("R114",G465))*114,0)+IFERROR(--ISNUMBER(SEARCH("R115",G465))*115,0)+IFERROR(--ISNUMBER(SEARCH("R116",G465))*116,0)+IFERROR(--ISNUMBER(SEARCH("R117",G465))*117,0)+IFERROR(--ISNUMBER(SEARCH("R118",G465))*118,0)+IFERROR(--ISNUMBER(SEARCH("R119",G465))*119,0)+IFERROR(--ISNUMBER(SEARCH("R120",G465))*120,0)+IFERROR(--ISNUMBER(SEARCH("R121",G465))*121,0)+IFERROR(--ISNUMBER(SEARCH("R122",G465))*122,0)+IFERROR(--ISNUMBER(SEARCH("R123",G465))*123,0)+IFERROR(--ISNUMBER(SEARCH("R124",G465))*124,0)+IFERROR(--ISNUMBER(SEARCH("R125",G465))*125,0)+IFERROR(--ISNUMBER(SEARCH("R126",G465))*126,0)+IFERROR(--ISNUMBER(SEARCH("R127",G465))*127,0)+IFERROR(--ISNUMBER(SEARCH("R128",G465))*128,0)+IFERROR(--ISNUMBER(SEARCH("R129",G465))*129,0)+IFERROR(--ISNUMBER(SEARCH("R130",G465))*130,0)+IFERROR(--ISNUMBER(SEARCH("R131",G465))*131,0)+IFERROR(--ISNUMBER(SEARCH("R132",G465))*132,0)+IFERROR(--ISNUMBER(SEARCH("R133",G465))*133,0)+IFERROR(--ISNUMBER(SEARCH("R134",G465))*134,0)+IFERROR(--ISNUMBER(SEARCH("R135",G465))*135,0)+IFERROR(--ISNUMBER(SEARCH("R136",G465))*136,0)+IFERROR(--ISNUMBER(SEARCH("R137",G465))*137,0)+IFERROR(--ISNUMBER(SEARCH("R138",G465))*138,0)+IFERROR(--ISNUMBER(SEARCH("R139",G465))*139,0)+IFERROR(--ISNUMBER(SEARCH("R140",G465))*140,0)+IFERROR(--ISNUMBER(SEARCH("R141",G465))*141,0))</f>
        <v/>
      </c>
      <c r="V465" s="59">
        <f>IF(A465="","",IF(K465&lt;&gt;"",K465,J465))</f>
        <v/>
      </c>
      <c r="W465" s="59">
        <f>IF(A465="","",IF(AND(V465=29,O465&lt;&gt;"",COUNTIFS($V$6:$V$505,29,$F$6:$F$505,F465,$C$6:$C$505,C465,$O$6:$O$505,"&lt;&gt;")&gt;1),IF(COUNTIFS($V$6:V465,29,$F$6:F465,F465,$C$6:C465,C465,$O$6:O465,"&lt;&gt;")=1,"Esta es la fila que se debe CONSERVAR (aparición 1 de "&amp;COUNTIFS($V$6:$V$505,29,$F$6:$F$505,F465,$C$6:$C$505,C465,$O$6:$O$505,"&lt;&gt;")&amp;" con el mismo tercero y valor, casilla 29). Si hay más filas iguales, bórreles el valor a ELLAS, no a esta.","DUPLICADO — ya existe otra fila con el mismo tercero y valor para casilla 29 (aparición "&amp;COUNTIFS($V$6:V465,29,$F$6:F465,F465,$C$6:C465,C465,$O$6:O465,"&lt;&gt;")&amp;" de "&amp;COUNTIFS($V$6:$V$505,29,$F$6:$F$505,F465,$C$6:$C$505,C465,$O$6:$O$505,"&lt;&gt;")&amp;"). Para resolverlo: seleccione la celda O"&amp;ROW()&amp;" (columna Valor a declarar de ESTA fila) y presione Supr."),""))</f>
        <v/>
      </c>
      <c r="X465" s="463">
        <f>IF(A465="","",F465)</f>
        <v/>
      </c>
      <c r="Y465" s="463">
        <f>IF(A465="","",SUMIF(Entrada_Manual!$I$88:$I$187,A465,Entrada_Manual!$F$88:$F$187))</f>
        <v/>
      </c>
      <c r="Z465" s="463">
        <f>IF(A465="","",X465-Y465)</f>
        <v/>
      </c>
      <c r="AA465">
        <f>IF(A465="","",SUMPRODUCT((Entrada_Manual!$I$88:$I$187=A465)*1))</f>
        <v/>
      </c>
      <c r="AB465">
        <f>IF(A465="","",IF(S465&lt;=1,"",IF(AA465=0,"PENDIENTE — SIN ASIGNAR",IF(Z465=0,"RESUELTO","PARCIAL — DIFERENCIA "&amp;TEXT(Z465,"#,##0")))))</f>
        <v/>
      </c>
    </row>
    <row r="466" ht="14.25" customHeight="1" s="235">
      <c r="A466" s="47">
        <f>IF(Exogena_RAW!E475&lt;&gt;"",ROW()-5,"")</f>
        <v/>
      </c>
      <c r="B466" s="48">
        <f>IF(A466="","",475)</f>
        <v/>
      </c>
      <c r="C466" s="48">
        <f>IF(A466="","",IFERROR(Exogena_RAW!A475,""))</f>
        <v/>
      </c>
      <c r="D466" s="48">
        <f>IF(A466="","",IFERROR(Exogena_RAW!B475,""))</f>
        <v/>
      </c>
      <c r="E466" s="48">
        <f>IF(A466="","",Exogena_RAW!E475)</f>
        <v/>
      </c>
      <c r="F466" s="461">
        <f>IF(A466="","",Exogena_RAW!F475)</f>
        <v/>
      </c>
      <c r="G466" s="48">
        <f>IF(A466="","",IFERROR(Exogena_RAW!G475,""))</f>
        <v/>
      </c>
      <c r="H466" s="48">
        <f>IF(A466="","",IFERROR(Exogena_RAW!H475,""))</f>
        <v/>
      </c>
      <c r="I466" s="48">
        <f>IF(A466="","",IFERROR(IF(S466&gt;1,"VARIAS CASILLAS",IF(S466=1,IF(T466=1,"PROPUESTA DE CASILLA","REVISIÓN: CASILLA NO DIRECTA"),IF(OR(ISNUMBER(SEARCH("TOPE",UPPER(E466))),ISNUMBER(SEARCH("TOPE",UPPER(G466)))),"SOLO CONTROL",IF(ISNUMBER(SEARCH("RETEN",UPPER(E466))),"RETENCIÓN","REVISAR")))),"REVISAR"))</f>
        <v/>
      </c>
      <c r="J466" s="48">
        <f>IF(A466="","",IF(ISNUMBER(SEARCH("ingreso laboral promedio de los últimos seis meses",E466)),"",IFERROR(IF(AND(S466=1,T466=1),U466,""),"")))</f>
        <v/>
      </c>
      <c r="K466" s="216" t="n"/>
      <c r="L466" s="48">
        <f>IF(A466="","",IFERROR(IF(K466&lt;&gt;"","Casilla elegida por usuario",IF(S466&gt;1,"Varias casillas — elegir en K",IF(J466&lt;&gt;"","Sugerencia directa",IF(S466=1,"No trasladar directo — revisar",IF(OR(ISNUMBER(SEARCH("TOPE",UPPER(E466))),ISNUMBER(SEARCH("TOPE",UPPER(G466)))),"Solo control","Revisar manualmente"))))),"Revisar manualmente"))</f>
        <v/>
      </c>
      <c r="M466" s="461">
        <f>IF(A466="","",IF(IF(K466&lt;&gt;"",K466,J466)="",0,IF(COUNTIFS(Reglas!$I$5:$I$118,IF(K466&lt;&gt;"",K466,J466),Reglas!$J$5:$J$118,"Sí")=1,F466,0)))</f>
        <v/>
      </c>
      <c r="N466" s="56" t="n"/>
      <c r="O466" s="462">
        <f>IF(A466="","",IF(M466=0,"",M466))</f>
        <v/>
      </c>
      <c r="P466" s="461">
        <f>IF(A466="","",IF(O466="",0,IF(ISNUMBER(O466),O466,0)))</f>
        <v/>
      </c>
      <c r="Q466" s="48">
        <f>IF(A466="","",IF(Exogena_RAW!$C$4="","BLOQUEADO: FALTA AÑO",IF(Exogena_RAW!$K$10&lt;&gt;Reglas!$B$5,"BLOQUEADO: AÑO",IF(IF(K466&lt;&gt;"",K466,J466)="",IF(S466&gt;1,"REQUIERE ASIGNACIÓN MANUAL (VARIAS CASILLAS)","INFORMATIVO (sin casilla — no se declara)"),IF(COUNTIFS(Reglas!$I$5:$I$118,IF(K466&lt;&gt;"",K466,J466),Reglas!$J$5:$J$118,"Sí")=0,"BLOQUEADO: CASILLA NO DIRECTA",IF(O466="","EXCLUIDO (valor borrado por el usuario)",IF(_xlfn.ISFORMULA(O466),IF(W466&lt;&gt;"","BORRADOR — VALOR SUGERIDO DIAN ⚠ VER ALERTA","BORRADOR — VALOR SUGERIDO DIAN"),IF(W466&lt;&gt;"","ACEPTADO ⚠ VER ALERTA","ACEPTADO"))))))))</f>
        <v/>
      </c>
      <c r="R466" s="218" t="n"/>
      <c r="S466" s="58">
        <f>IF(A466="","",IFERROR(--ISNUMBER(SEARCH("R28",G466)),0)+IFERROR(--ISNUMBER(SEARCH("R29",G466)),0)+IFERROR(--ISNUMBER(SEARCH("R30",G466)),0)+IFERROR(--ISNUMBER(SEARCH("R31",G466)),0)+IFERROR(--ISNUMBER(SEARCH("R32",G466)),0)+IFERROR(--ISNUMBER(SEARCH("R33",G466)),0)+IFERROR(--ISNUMBER(SEARCH("R34",G466)),0)+IFERROR(--ISNUMBER(SEARCH("R35",G466)),0)+IFERROR(--ISNUMBER(SEARCH("R36",G466)),0)+IFERROR(--ISNUMBER(SEARCH("R37",G466)),0)+IFERROR(--ISNUMBER(SEARCH("R38",G466)),0)+IFERROR(--ISNUMBER(SEARCH("R39",G466)),0)+IFERROR(--ISNUMBER(SEARCH("R40",G466)),0)+IFERROR(--ISNUMBER(SEARCH("R41",G466)),0)+IFERROR(--ISNUMBER(SEARCH("R42",G466)),0)+IFERROR(--ISNUMBER(SEARCH("R43",G466)),0)+IFERROR(--ISNUMBER(SEARCH("R44",G466)),0)+IFERROR(--ISNUMBER(SEARCH("R45",G466)),0)+IFERROR(--ISNUMBER(SEARCH("R46",G466)),0)+IFERROR(--ISNUMBER(SEARCH("R47",G466)),0)+IFERROR(--ISNUMBER(SEARCH("R48",G466)),0)+IFERROR(--ISNUMBER(SEARCH("R49",G466)),0)+IFERROR(--ISNUMBER(SEARCH("R50",G466)),0)+IFERROR(--ISNUMBER(SEARCH("R51",G466)),0)+IFERROR(--ISNUMBER(SEARCH("R52",G466)),0)+IFERROR(--ISNUMBER(SEARCH("R53",G466)),0)+IFERROR(--ISNUMBER(SEARCH("R54",G466)),0)+IFERROR(--ISNUMBER(SEARCH("R55",G466)),0)+IFERROR(--ISNUMBER(SEARCH("R56",G466)),0)+IFERROR(--ISNUMBER(SEARCH("R57",G466)),0)+IFERROR(--ISNUMBER(SEARCH("R58",G466)),0)+IFERROR(--ISNUMBER(SEARCH("R59",G466)),0)+IFERROR(--ISNUMBER(SEARCH("R60",G466)),0)+IFERROR(--ISNUMBER(SEARCH("R61",G466)),0)+IFERROR(--ISNUMBER(SEARCH("R62",G466)),0)+IFERROR(--ISNUMBER(SEARCH("R63",G466)),0)+IFERROR(--ISNUMBER(SEARCH("R64",G466)),0)+IFERROR(--ISNUMBER(SEARCH("R65",G466)),0)+IFERROR(--ISNUMBER(SEARCH("R66",G466)),0)+IFERROR(--ISNUMBER(SEARCH("R67",G466)),0)+IFERROR(--ISNUMBER(SEARCH("R68",G466)),0)+IFERROR(--ISNUMBER(SEARCH("R69",G466)),0)+IFERROR(--ISNUMBER(SEARCH("R70",G466)),0)+IFERROR(--ISNUMBER(SEARCH("R71",G466)),0)+IFERROR(--ISNUMBER(SEARCH("R72",G466)),0)+IFERROR(--ISNUMBER(SEARCH("R73",G466)),0)+IFERROR(--ISNUMBER(SEARCH("R74",G466)),0)+IFERROR(--ISNUMBER(SEARCH("R75",G466)),0)+IFERROR(--ISNUMBER(SEARCH("R76",G466)),0)+IFERROR(--ISNUMBER(SEARCH("R77",G466)),0)+IFERROR(--ISNUMBER(SEARCH("R78",G466)),0)+IFERROR(--ISNUMBER(SEARCH("R79",G466)),0)+IFERROR(--ISNUMBER(SEARCH("R80",G466)),0)+IFERROR(--ISNUMBER(SEARCH("R81",G466)),0)+IFERROR(--ISNUMBER(SEARCH("R82",G466)),0)+IFERROR(--ISNUMBER(SEARCH("R83",G466)),0)+IFERROR(--ISNUMBER(SEARCH("R84",G466)),0)+IFERROR(--ISNUMBER(SEARCH("R85",G466)),0)+IFERROR(--ISNUMBER(SEARCH("R86",G466)),0)+IFERROR(--ISNUMBER(SEARCH("R87",G466)),0)+IFERROR(--ISNUMBER(SEARCH("R88",G466)),0)+IFERROR(--ISNUMBER(SEARCH("R89",G466)),0)+IFERROR(--ISNUMBER(SEARCH("R90",G466)),0)+IFERROR(--ISNUMBER(SEARCH("R91",G466)),0)+IFERROR(--ISNUMBER(SEARCH("R92",G466)),0)+IFERROR(--ISNUMBER(SEARCH("R93",G466)),0)+IFERROR(--ISNUMBER(SEARCH("R94",G466)),0)+IFERROR(--ISNUMBER(SEARCH("R95",G466)),0)+IFERROR(--ISNUMBER(SEARCH("R96",G466)),0)+IFERROR(--ISNUMBER(SEARCH("R97",G466)),0)+IFERROR(--ISNUMBER(SEARCH("R98",G466)),0)+IFERROR(--ISNUMBER(SEARCH("R99",G466)),0)+IFERROR(--ISNUMBER(SEARCH("R100",G466)),0)+IFERROR(--ISNUMBER(SEARCH("R101",G466)),0)+IFERROR(--ISNUMBER(SEARCH("R102",G466)),0)+IFERROR(--ISNUMBER(SEARCH("R103",G466)),0)+IFERROR(--ISNUMBER(SEARCH("R104",G466)),0)+IFERROR(--ISNUMBER(SEARCH("R105",G466)),0)+IFERROR(--ISNUMBER(SEARCH("R106",G466)),0)+IFERROR(--ISNUMBER(SEARCH("R107",G466)),0)+IFERROR(--ISNUMBER(SEARCH("R108",G466)),0)+IFERROR(--ISNUMBER(SEARCH("R109",G466)),0)+IFERROR(--ISNUMBER(SEARCH("R110",G466)),0)+IFERROR(--ISNUMBER(SEARCH("R111",G466)),0)+IFERROR(--ISNUMBER(SEARCH("R112",G466)),0)+IFERROR(--ISNUMBER(SEARCH("R113",G466)),0)+IFERROR(--ISNUMBER(SEARCH("R114",G466)),0)+IFERROR(--ISNUMBER(SEARCH("R115",G466)),0)+IFERROR(--ISNUMBER(SEARCH("R116",G466)),0)+IFERROR(--ISNUMBER(SEARCH("R117",G466)),0)+IFERROR(--ISNUMBER(SEARCH("R118",G466)),0)+IFERROR(--ISNUMBER(SEARCH("R119",G466)),0)+IFERROR(--ISNUMBER(SEARCH("R120",G466)),0)+IFERROR(--ISNUMBER(SEARCH("R121",G466)),0)+IFERROR(--ISNUMBER(SEARCH("R122",G466)),0)+IFERROR(--ISNUMBER(SEARCH("R123",G466)),0)+IFERROR(--ISNUMBER(SEARCH("R124",G466)),0)+IFERROR(--ISNUMBER(SEARCH("R125",G466)),0)+IFERROR(--ISNUMBER(SEARCH("R126",G466)),0)+IFERROR(--ISNUMBER(SEARCH("R127",G466)),0)+IFERROR(--ISNUMBER(SEARCH("R128",G466)),0)+IFERROR(--ISNUMBER(SEARCH("R129",G466)),0)+IFERROR(--ISNUMBER(SEARCH("R130",G466)),0)+IFERROR(--ISNUMBER(SEARCH("R131",G466)),0)+IFERROR(--ISNUMBER(SEARCH("R132",G466)),0)+IFERROR(--ISNUMBER(SEARCH("R133",G466)),0)+IFERROR(--ISNUMBER(SEARCH("R134",G466)),0)+IFERROR(--ISNUMBER(SEARCH("R135",G466)),0)+IFERROR(--ISNUMBER(SEARCH("R136",G466)),0)+IFERROR(--ISNUMBER(SEARCH("R137",G466)),0)+IFERROR(--ISNUMBER(SEARCH("R138",G466)),0)+IFERROR(--ISNUMBER(SEARCH("R139",G466)),0)+IFERROR(--ISNUMBER(SEARCH("R140",G466)),0)+IFERROR(--ISNUMBER(SEARCH("R141",G466)),0))</f>
        <v/>
      </c>
      <c r="T466" s="58">
        <f>IF(A466="","",IFERROR(--ISNUMBER(SEARCH("R28",G466)),0)+IFERROR(--ISNUMBER(SEARCH("R29",G466)),0)+IFERROR(--ISNUMBER(SEARCH("R30",G466)),0)+IFERROR(--ISNUMBER(SEARCH("R32",G466)),0)+IFERROR(--ISNUMBER(SEARCH("R33",G466)),0)+IFERROR(--ISNUMBER(SEARCH("R35",G466)),0)+IFERROR(--ISNUMBER(SEARCH("R36",G466)),0)+IFERROR(--ISNUMBER(SEARCH("R38",G466)),0)+IFERROR(--ISNUMBER(SEARCH("R39",G466)),0)+IFERROR(--ISNUMBER(SEARCH("R43",G466)),0)+IFERROR(--ISNUMBER(SEARCH("R44",G466)),0)+IFERROR(--ISNUMBER(SEARCH("R45",G466)),0)+IFERROR(--ISNUMBER(SEARCH("R47",G466)),0)+IFERROR(--ISNUMBER(SEARCH("R48",G466)),0)+IFERROR(--ISNUMBER(SEARCH("R50",G466)),0)+IFERROR(--ISNUMBER(SEARCH("R51",G466)),0)+IFERROR(--ISNUMBER(SEARCH("R56",G466)),0)+IFERROR(--ISNUMBER(SEARCH("R58",G466)),0)+IFERROR(--ISNUMBER(SEARCH("R59",G466)),0)+IFERROR(--ISNUMBER(SEARCH("R60",G466)),0)+IFERROR(--ISNUMBER(SEARCH("R62",G466)),0)+IFERROR(--ISNUMBER(SEARCH("R63",G466)),0)+IFERROR(--ISNUMBER(SEARCH("R64",G466)),0)+IFERROR(--ISNUMBER(SEARCH("R66",G466)),0)+IFERROR(--ISNUMBER(SEARCH("R67",G466)),0)+IFERROR(--ISNUMBER(SEARCH("R72",G466)),0)+IFERROR(--ISNUMBER(SEARCH("R74",G466)),0)+IFERROR(--ISNUMBER(SEARCH("R75",G466)),0)+IFERROR(--ISNUMBER(SEARCH("R76",G466)),0)+IFERROR(--ISNUMBER(SEARCH("R77",G466)),0)+IFERROR(--ISNUMBER(SEARCH("R79",G466)),0)+IFERROR(--ISNUMBER(SEARCH("R80",G466)),0)+IFERROR(--ISNUMBER(SEARCH("R81",G466)),0)+IFERROR(--ISNUMBER(SEARCH("R83",G466)),0)+IFERROR(--ISNUMBER(SEARCH("R84",G466)),0)+IFERROR(--ISNUMBER(SEARCH("R89",G466)),0)+IFERROR(--ISNUMBER(SEARCH("R94",G466)),0)+IFERROR(--ISNUMBER(SEARCH("R95",G466)),0)+IFERROR(--ISNUMBER(SEARCH("R96",G466)),0)+IFERROR(--ISNUMBER(SEARCH("R98",G466)),0)+IFERROR(--ISNUMBER(SEARCH("R99",G466)),0)+IFERROR(--ISNUMBER(SEARCH("R100",G466)),0)+IFERROR(--ISNUMBER(SEARCH("R104",G466)),0)+IFERROR(--ISNUMBER(SEARCH("R105",G466)),0)+IFERROR(--ISNUMBER(SEARCH("R107",G466)),0)+IFERROR(--ISNUMBER(SEARCH("R108",G466)),0)+IFERROR(--ISNUMBER(SEARCH("R109",G466)),0)+IFERROR(--ISNUMBER(SEARCH("R110",G466)),0)+IFERROR(--ISNUMBER(SEARCH("R112",G466)),0)+IFERROR(--ISNUMBER(SEARCH("R113",G466)),0)+IFERROR(--ISNUMBER(SEARCH("R114",G466)),0)+IFERROR(--ISNUMBER(SEARCH("R118",G466)),0)+IFERROR(--ISNUMBER(SEARCH("R119",G466)),0)+IFERROR(--ISNUMBER(SEARCH("R120",G466)),0)+IFERROR(--ISNUMBER(SEARCH("R122",G466)),0)+IFERROR(--ISNUMBER(SEARCH("R123",G466)),0)+IFERROR(--ISNUMBER(SEARCH("R124",G466)),0)+IFERROR(--ISNUMBER(SEARCH("R128",G466)),0)+IFERROR(--ISNUMBER(SEARCH("R130",G466)),0)+IFERROR(--ISNUMBER(SEARCH("R131",G466)),0)+IFERROR(--ISNUMBER(SEARCH("R132",G466)),0)+IFERROR(--ISNUMBER(SEARCH("R135",G466)),0)+IFERROR(--ISNUMBER(SEARCH("R138",G466)),0)+IFERROR(--ISNUMBER(SEARCH("R141",G466)),0))</f>
        <v/>
      </c>
      <c r="U466" s="58">
        <f>IF(A466="","",IFERROR(--ISNUMBER(SEARCH("R28",G466))*28,0)+IFERROR(--ISNUMBER(SEARCH("R29",G466))*29,0)+IFERROR(--ISNUMBER(SEARCH("R30",G466))*30,0)+IFERROR(--ISNUMBER(SEARCH("R31",G466))*31,0)+IFERROR(--ISNUMBER(SEARCH("R32",G466))*32,0)+IFERROR(--ISNUMBER(SEARCH("R33",G466))*33,0)+IFERROR(--ISNUMBER(SEARCH("R34",G466))*34,0)+IFERROR(--ISNUMBER(SEARCH("R35",G466))*35,0)+IFERROR(--ISNUMBER(SEARCH("R36",G466))*36,0)+IFERROR(--ISNUMBER(SEARCH("R37",G466))*37,0)+IFERROR(--ISNUMBER(SEARCH("R38",G466))*38,0)+IFERROR(--ISNUMBER(SEARCH("R39",G466))*39,0)+IFERROR(--ISNUMBER(SEARCH("R40",G466))*40,0)+IFERROR(--ISNUMBER(SEARCH("R41",G466))*41,0)+IFERROR(--ISNUMBER(SEARCH("R42",G466))*42,0)+IFERROR(--ISNUMBER(SEARCH("R43",G466))*43,0)+IFERROR(--ISNUMBER(SEARCH("R44",G466))*44,0)+IFERROR(--ISNUMBER(SEARCH("R45",G466))*45,0)+IFERROR(--ISNUMBER(SEARCH("R46",G466))*46,0)+IFERROR(--ISNUMBER(SEARCH("R47",G466))*47,0)+IFERROR(--ISNUMBER(SEARCH("R48",G466))*48,0)+IFERROR(--ISNUMBER(SEARCH("R49",G466))*49,0)+IFERROR(--ISNUMBER(SEARCH("R50",G466))*50,0)+IFERROR(--ISNUMBER(SEARCH("R51",G466))*51,0)+IFERROR(--ISNUMBER(SEARCH("R52",G466))*52,0)+IFERROR(--ISNUMBER(SEARCH("R53",G466))*53,0)+IFERROR(--ISNUMBER(SEARCH("R54",G466))*54,0)+IFERROR(--ISNUMBER(SEARCH("R55",G466))*55,0)+IFERROR(--ISNUMBER(SEARCH("R56",G466))*56,0)+IFERROR(--ISNUMBER(SEARCH("R57",G466))*57,0)+IFERROR(--ISNUMBER(SEARCH("R58",G466))*58,0)+IFERROR(--ISNUMBER(SEARCH("R59",G466))*59,0)+IFERROR(--ISNUMBER(SEARCH("R60",G466))*60,0)+IFERROR(--ISNUMBER(SEARCH("R61",G466))*61,0)+IFERROR(--ISNUMBER(SEARCH("R62",G466))*62,0)+IFERROR(--ISNUMBER(SEARCH("R63",G466))*63,0)+IFERROR(--ISNUMBER(SEARCH("R64",G466))*64,0)+IFERROR(--ISNUMBER(SEARCH("R65",G466))*65,0)+IFERROR(--ISNUMBER(SEARCH("R66",G466))*66,0)+IFERROR(--ISNUMBER(SEARCH("R67",G466))*67,0)+IFERROR(--ISNUMBER(SEARCH("R68",G466))*68,0)+IFERROR(--ISNUMBER(SEARCH("R69",G466))*69,0)+IFERROR(--ISNUMBER(SEARCH("R70",G466))*70,0)+IFERROR(--ISNUMBER(SEARCH("R71",G466))*71,0)+IFERROR(--ISNUMBER(SEARCH("R72",G466))*72,0)+IFERROR(--ISNUMBER(SEARCH("R73",G466))*73,0)+IFERROR(--ISNUMBER(SEARCH("R74",G466))*74,0)+IFERROR(--ISNUMBER(SEARCH("R75",G466))*75,0)+IFERROR(--ISNUMBER(SEARCH("R76",G466))*76,0)+IFERROR(--ISNUMBER(SEARCH("R77",G466))*77,0)+IFERROR(--ISNUMBER(SEARCH("R78",G466))*78,0)+IFERROR(--ISNUMBER(SEARCH("R79",G466))*79,0)+IFERROR(--ISNUMBER(SEARCH("R80",G466))*80,0)+IFERROR(--ISNUMBER(SEARCH("R81",G466))*81,0)+IFERROR(--ISNUMBER(SEARCH("R82",G466))*82,0)+IFERROR(--ISNUMBER(SEARCH("R83",G466))*83,0)+IFERROR(--ISNUMBER(SEARCH("R84",G466))*84,0)+IFERROR(--ISNUMBER(SEARCH("R85",G466))*85,0)+IFERROR(--ISNUMBER(SEARCH("R86",G466))*86,0)+IFERROR(--ISNUMBER(SEARCH("R87",G466))*87,0)+IFERROR(--ISNUMBER(SEARCH("R88",G466))*88,0)+IFERROR(--ISNUMBER(SEARCH("R89",G466))*89,0)+IFERROR(--ISNUMBER(SEARCH("R90",G466))*90,0)+IFERROR(--ISNUMBER(SEARCH("R91",G466))*91,0)+IFERROR(--ISNUMBER(SEARCH("R92",G466))*92,0)+IFERROR(--ISNUMBER(SEARCH("R93",G466))*93,0)+IFERROR(--ISNUMBER(SEARCH("R94",G466))*94,0)+IFERROR(--ISNUMBER(SEARCH("R95",G466))*95,0)+IFERROR(--ISNUMBER(SEARCH("R96",G466))*96,0)+IFERROR(--ISNUMBER(SEARCH("R97",G466))*97,0)+IFERROR(--ISNUMBER(SEARCH("R98",G466))*98,0)+IFERROR(--ISNUMBER(SEARCH("R99",G466))*99,0)+IFERROR(--ISNUMBER(SEARCH("R100",G466))*100,0)+IFERROR(--ISNUMBER(SEARCH("R101",G466))*101,0)+IFERROR(--ISNUMBER(SEARCH("R102",G466))*102,0)+IFERROR(--ISNUMBER(SEARCH("R103",G466))*103,0)+IFERROR(--ISNUMBER(SEARCH("R104",G466))*104,0)+IFERROR(--ISNUMBER(SEARCH("R105",G466))*105,0)+IFERROR(--ISNUMBER(SEARCH("R106",G466))*106,0)+IFERROR(--ISNUMBER(SEARCH("R107",G466))*107,0)+IFERROR(--ISNUMBER(SEARCH("R108",G466))*108,0)+IFERROR(--ISNUMBER(SEARCH("R109",G466))*109,0)+IFERROR(--ISNUMBER(SEARCH("R110",G466))*110,0)+IFERROR(--ISNUMBER(SEARCH("R111",G466))*111,0)+IFERROR(--ISNUMBER(SEARCH("R112",G466))*112,0)+IFERROR(--ISNUMBER(SEARCH("R113",G466))*113,0)+IFERROR(--ISNUMBER(SEARCH("R114",G466))*114,0)+IFERROR(--ISNUMBER(SEARCH("R115",G466))*115,0)+IFERROR(--ISNUMBER(SEARCH("R116",G466))*116,0)+IFERROR(--ISNUMBER(SEARCH("R117",G466))*117,0)+IFERROR(--ISNUMBER(SEARCH("R118",G466))*118,0)+IFERROR(--ISNUMBER(SEARCH("R119",G466))*119,0)+IFERROR(--ISNUMBER(SEARCH("R120",G466))*120,0)+IFERROR(--ISNUMBER(SEARCH("R121",G466))*121,0)+IFERROR(--ISNUMBER(SEARCH("R122",G466))*122,0)+IFERROR(--ISNUMBER(SEARCH("R123",G466))*123,0)+IFERROR(--ISNUMBER(SEARCH("R124",G466))*124,0)+IFERROR(--ISNUMBER(SEARCH("R125",G466))*125,0)+IFERROR(--ISNUMBER(SEARCH("R126",G466))*126,0)+IFERROR(--ISNUMBER(SEARCH("R127",G466))*127,0)+IFERROR(--ISNUMBER(SEARCH("R128",G466))*128,0)+IFERROR(--ISNUMBER(SEARCH("R129",G466))*129,0)+IFERROR(--ISNUMBER(SEARCH("R130",G466))*130,0)+IFERROR(--ISNUMBER(SEARCH("R131",G466))*131,0)+IFERROR(--ISNUMBER(SEARCH("R132",G466))*132,0)+IFERROR(--ISNUMBER(SEARCH("R133",G466))*133,0)+IFERROR(--ISNUMBER(SEARCH("R134",G466))*134,0)+IFERROR(--ISNUMBER(SEARCH("R135",G466))*135,0)+IFERROR(--ISNUMBER(SEARCH("R136",G466))*136,0)+IFERROR(--ISNUMBER(SEARCH("R137",G466))*137,0)+IFERROR(--ISNUMBER(SEARCH("R138",G466))*138,0)+IFERROR(--ISNUMBER(SEARCH("R139",G466))*139,0)+IFERROR(--ISNUMBER(SEARCH("R140",G466))*140,0)+IFERROR(--ISNUMBER(SEARCH("R141",G466))*141,0))</f>
        <v/>
      </c>
      <c r="V466" s="59">
        <f>IF(A466="","",IF(K466&lt;&gt;"",K466,J466))</f>
        <v/>
      </c>
      <c r="W466" s="59">
        <f>IF(A466="","",IF(AND(V466=29,O466&lt;&gt;"",COUNTIFS($V$6:$V$505,29,$F$6:$F$505,F466,$C$6:$C$505,C466,$O$6:$O$505,"&lt;&gt;")&gt;1),IF(COUNTIFS($V$6:V466,29,$F$6:F466,F466,$C$6:C466,C466,$O$6:O466,"&lt;&gt;")=1,"Esta es la fila que se debe CONSERVAR (aparición 1 de "&amp;COUNTIFS($V$6:$V$505,29,$F$6:$F$505,F466,$C$6:$C$505,C466,$O$6:$O$505,"&lt;&gt;")&amp;" con el mismo tercero y valor, casilla 29). Si hay más filas iguales, bórreles el valor a ELLAS, no a esta.","DUPLICADO — ya existe otra fila con el mismo tercero y valor para casilla 29 (aparición "&amp;COUNTIFS($V$6:V466,29,$F$6:F466,F466,$C$6:C466,C466,$O$6:O466,"&lt;&gt;")&amp;" de "&amp;COUNTIFS($V$6:$V$505,29,$F$6:$F$505,F466,$C$6:$C$505,C466,$O$6:$O$505,"&lt;&gt;")&amp;"). Para resolverlo: seleccione la celda O"&amp;ROW()&amp;" (columna Valor a declarar de ESTA fila) y presione Supr."),""))</f>
        <v/>
      </c>
      <c r="X466" s="463">
        <f>IF(A466="","",F466)</f>
        <v/>
      </c>
      <c r="Y466" s="463">
        <f>IF(A466="","",SUMIF(Entrada_Manual!$I$88:$I$187,A466,Entrada_Manual!$F$88:$F$187))</f>
        <v/>
      </c>
      <c r="Z466" s="463">
        <f>IF(A466="","",X466-Y466)</f>
        <v/>
      </c>
      <c r="AA466">
        <f>IF(A466="","",SUMPRODUCT((Entrada_Manual!$I$88:$I$187=A466)*1))</f>
        <v/>
      </c>
      <c r="AB466">
        <f>IF(A466="","",IF(S466&lt;=1,"",IF(AA466=0,"PENDIENTE — SIN ASIGNAR",IF(Z466=0,"RESUELTO","PARCIAL — DIFERENCIA "&amp;TEXT(Z466,"#,##0")))))</f>
        <v/>
      </c>
    </row>
    <row r="467" ht="14.25" customHeight="1" s="235">
      <c r="A467" s="47">
        <f>IF(Exogena_RAW!E476&lt;&gt;"",ROW()-5,"")</f>
        <v/>
      </c>
      <c r="B467" s="48">
        <f>IF(A467="","",476)</f>
        <v/>
      </c>
      <c r="C467" s="48">
        <f>IF(A467="","",IFERROR(Exogena_RAW!A476,""))</f>
        <v/>
      </c>
      <c r="D467" s="48">
        <f>IF(A467="","",IFERROR(Exogena_RAW!B476,""))</f>
        <v/>
      </c>
      <c r="E467" s="48">
        <f>IF(A467="","",Exogena_RAW!E476)</f>
        <v/>
      </c>
      <c r="F467" s="461">
        <f>IF(A467="","",Exogena_RAW!F476)</f>
        <v/>
      </c>
      <c r="G467" s="48">
        <f>IF(A467="","",IFERROR(Exogena_RAW!G476,""))</f>
        <v/>
      </c>
      <c r="H467" s="48">
        <f>IF(A467="","",IFERROR(Exogena_RAW!H476,""))</f>
        <v/>
      </c>
      <c r="I467" s="48">
        <f>IF(A467="","",IFERROR(IF(S467&gt;1,"VARIAS CASILLAS",IF(S467=1,IF(T467=1,"PROPUESTA DE CASILLA","REVISIÓN: CASILLA NO DIRECTA"),IF(OR(ISNUMBER(SEARCH("TOPE",UPPER(E467))),ISNUMBER(SEARCH("TOPE",UPPER(G467)))),"SOLO CONTROL",IF(ISNUMBER(SEARCH("RETEN",UPPER(E467))),"RETENCIÓN","REVISAR")))),"REVISAR"))</f>
        <v/>
      </c>
      <c r="J467" s="48">
        <f>IF(A467="","",IF(ISNUMBER(SEARCH("ingreso laboral promedio de los últimos seis meses",E467)),"",IFERROR(IF(AND(S467=1,T467=1),U467,""),"")))</f>
        <v/>
      </c>
      <c r="K467" s="216" t="n"/>
      <c r="L467" s="48">
        <f>IF(A467="","",IFERROR(IF(K467&lt;&gt;"","Casilla elegida por usuario",IF(S467&gt;1,"Varias casillas — elegir en K",IF(J467&lt;&gt;"","Sugerencia directa",IF(S467=1,"No trasladar directo — revisar",IF(OR(ISNUMBER(SEARCH("TOPE",UPPER(E467))),ISNUMBER(SEARCH("TOPE",UPPER(G467)))),"Solo control","Revisar manualmente"))))),"Revisar manualmente"))</f>
        <v/>
      </c>
      <c r="M467" s="461">
        <f>IF(A467="","",IF(IF(K467&lt;&gt;"",K467,J467)="",0,IF(COUNTIFS(Reglas!$I$5:$I$118,IF(K467&lt;&gt;"",K467,J467),Reglas!$J$5:$J$118,"Sí")=1,F467,0)))</f>
        <v/>
      </c>
      <c r="N467" s="56" t="n"/>
      <c r="O467" s="462">
        <f>IF(A467="","",IF(M467=0,"",M467))</f>
        <v/>
      </c>
      <c r="P467" s="461">
        <f>IF(A467="","",IF(O467="",0,IF(ISNUMBER(O467),O467,0)))</f>
        <v/>
      </c>
      <c r="Q467" s="48">
        <f>IF(A467="","",IF(Exogena_RAW!$C$4="","BLOQUEADO: FALTA AÑO",IF(Exogena_RAW!$K$10&lt;&gt;Reglas!$B$5,"BLOQUEADO: AÑO",IF(IF(K467&lt;&gt;"",K467,J467)="",IF(S467&gt;1,"REQUIERE ASIGNACIÓN MANUAL (VARIAS CASILLAS)","INFORMATIVO (sin casilla — no se declara)"),IF(COUNTIFS(Reglas!$I$5:$I$118,IF(K467&lt;&gt;"",K467,J467),Reglas!$J$5:$J$118,"Sí")=0,"BLOQUEADO: CASILLA NO DIRECTA",IF(O467="","EXCLUIDO (valor borrado por el usuario)",IF(_xlfn.ISFORMULA(O467),IF(W467&lt;&gt;"","BORRADOR — VALOR SUGERIDO DIAN ⚠ VER ALERTA","BORRADOR — VALOR SUGERIDO DIAN"),IF(W467&lt;&gt;"","ACEPTADO ⚠ VER ALERTA","ACEPTADO"))))))))</f>
        <v/>
      </c>
      <c r="R467" s="218" t="n"/>
      <c r="S467" s="58">
        <f>IF(A467="","",IFERROR(--ISNUMBER(SEARCH("R28",G467)),0)+IFERROR(--ISNUMBER(SEARCH("R29",G467)),0)+IFERROR(--ISNUMBER(SEARCH("R30",G467)),0)+IFERROR(--ISNUMBER(SEARCH("R31",G467)),0)+IFERROR(--ISNUMBER(SEARCH("R32",G467)),0)+IFERROR(--ISNUMBER(SEARCH("R33",G467)),0)+IFERROR(--ISNUMBER(SEARCH("R34",G467)),0)+IFERROR(--ISNUMBER(SEARCH("R35",G467)),0)+IFERROR(--ISNUMBER(SEARCH("R36",G467)),0)+IFERROR(--ISNUMBER(SEARCH("R37",G467)),0)+IFERROR(--ISNUMBER(SEARCH("R38",G467)),0)+IFERROR(--ISNUMBER(SEARCH("R39",G467)),0)+IFERROR(--ISNUMBER(SEARCH("R40",G467)),0)+IFERROR(--ISNUMBER(SEARCH("R41",G467)),0)+IFERROR(--ISNUMBER(SEARCH("R42",G467)),0)+IFERROR(--ISNUMBER(SEARCH("R43",G467)),0)+IFERROR(--ISNUMBER(SEARCH("R44",G467)),0)+IFERROR(--ISNUMBER(SEARCH("R45",G467)),0)+IFERROR(--ISNUMBER(SEARCH("R46",G467)),0)+IFERROR(--ISNUMBER(SEARCH("R47",G467)),0)+IFERROR(--ISNUMBER(SEARCH("R48",G467)),0)+IFERROR(--ISNUMBER(SEARCH("R49",G467)),0)+IFERROR(--ISNUMBER(SEARCH("R50",G467)),0)+IFERROR(--ISNUMBER(SEARCH("R51",G467)),0)+IFERROR(--ISNUMBER(SEARCH("R52",G467)),0)+IFERROR(--ISNUMBER(SEARCH("R53",G467)),0)+IFERROR(--ISNUMBER(SEARCH("R54",G467)),0)+IFERROR(--ISNUMBER(SEARCH("R55",G467)),0)+IFERROR(--ISNUMBER(SEARCH("R56",G467)),0)+IFERROR(--ISNUMBER(SEARCH("R57",G467)),0)+IFERROR(--ISNUMBER(SEARCH("R58",G467)),0)+IFERROR(--ISNUMBER(SEARCH("R59",G467)),0)+IFERROR(--ISNUMBER(SEARCH("R60",G467)),0)+IFERROR(--ISNUMBER(SEARCH("R61",G467)),0)+IFERROR(--ISNUMBER(SEARCH("R62",G467)),0)+IFERROR(--ISNUMBER(SEARCH("R63",G467)),0)+IFERROR(--ISNUMBER(SEARCH("R64",G467)),0)+IFERROR(--ISNUMBER(SEARCH("R65",G467)),0)+IFERROR(--ISNUMBER(SEARCH("R66",G467)),0)+IFERROR(--ISNUMBER(SEARCH("R67",G467)),0)+IFERROR(--ISNUMBER(SEARCH("R68",G467)),0)+IFERROR(--ISNUMBER(SEARCH("R69",G467)),0)+IFERROR(--ISNUMBER(SEARCH("R70",G467)),0)+IFERROR(--ISNUMBER(SEARCH("R71",G467)),0)+IFERROR(--ISNUMBER(SEARCH("R72",G467)),0)+IFERROR(--ISNUMBER(SEARCH("R73",G467)),0)+IFERROR(--ISNUMBER(SEARCH("R74",G467)),0)+IFERROR(--ISNUMBER(SEARCH("R75",G467)),0)+IFERROR(--ISNUMBER(SEARCH("R76",G467)),0)+IFERROR(--ISNUMBER(SEARCH("R77",G467)),0)+IFERROR(--ISNUMBER(SEARCH("R78",G467)),0)+IFERROR(--ISNUMBER(SEARCH("R79",G467)),0)+IFERROR(--ISNUMBER(SEARCH("R80",G467)),0)+IFERROR(--ISNUMBER(SEARCH("R81",G467)),0)+IFERROR(--ISNUMBER(SEARCH("R82",G467)),0)+IFERROR(--ISNUMBER(SEARCH("R83",G467)),0)+IFERROR(--ISNUMBER(SEARCH("R84",G467)),0)+IFERROR(--ISNUMBER(SEARCH("R85",G467)),0)+IFERROR(--ISNUMBER(SEARCH("R86",G467)),0)+IFERROR(--ISNUMBER(SEARCH("R87",G467)),0)+IFERROR(--ISNUMBER(SEARCH("R88",G467)),0)+IFERROR(--ISNUMBER(SEARCH("R89",G467)),0)+IFERROR(--ISNUMBER(SEARCH("R90",G467)),0)+IFERROR(--ISNUMBER(SEARCH("R91",G467)),0)+IFERROR(--ISNUMBER(SEARCH("R92",G467)),0)+IFERROR(--ISNUMBER(SEARCH("R93",G467)),0)+IFERROR(--ISNUMBER(SEARCH("R94",G467)),0)+IFERROR(--ISNUMBER(SEARCH("R95",G467)),0)+IFERROR(--ISNUMBER(SEARCH("R96",G467)),0)+IFERROR(--ISNUMBER(SEARCH("R97",G467)),0)+IFERROR(--ISNUMBER(SEARCH("R98",G467)),0)+IFERROR(--ISNUMBER(SEARCH("R99",G467)),0)+IFERROR(--ISNUMBER(SEARCH("R100",G467)),0)+IFERROR(--ISNUMBER(SEARCH("R101",G467)),0)+IFERROR(--ISNUMBER(SEARCH("R102",G467)),0)+IFERROR(--ISNUMBER(SEARCH("R103",G467)),0)+IFERROR(--ISNUMBER(SEARCH("R104",G467)),0)+IFERROR(--ISNUMBER(SEARCH("R105",G467)),0)+IFERROR(--ISNUMBER(SEARCH("R106",G467)),0)+IFERROR(--ISNUMBER(SEARCH("R107",G467)),0)+IFERROR(--ISNUMBER(SEARCH("R108",G467)),0)+IFERROR(--ISNUMBER(SEARCH("R109",G467)),0)+IFERROR(--ISNUMBER(SEARCH("R110",G467)),0)+IFERROR(--ISNUMBER(SEARCH("R111",G467)),0)+IFERROR(--ISNUMBER(SEARCH("R112",G467)),0)+IFERROR(--ISNUMBER(SEARCH("R113",G467)),0)+IFERROR(--ISNUMBER(SEARCH("R114",G467)),0)+IFERROR(--ISNUMBER(SEARCH("R115",G467)),0)+IFERROR(--ISNUMBER(SEARCH("R116",G467)),0)+IFERROR(--ISNUMBER(SEARCH("R117",G467)),0)+IFERROR(--ISNUMBER(SEARCH("R118",G467)),0)+IFERROR(--ISNUMBER(SEARCH("R119",G467)),0)+IFERROR(--ISNUMBER(SEARCH("R120",G467)),0)+IFERROR(--ISNUMBER(SEARCH("R121",G467)),0)+IFERROR(--ISNUMBER(SEARCH("R122",G467)),0)+IFERROR(--ISNUMBER(SEARCH("R123",G467)),0)+IFERROR(--ISNUMBER(SEARCH("R124",G467)),0)+IFERROR(--ISNUMBER(SEARCH("R125",G467)),0)+IFERROR(--ISNUMBER(SEARCH("R126",G467)),0)+IFERROR(--ISNUMBER(SEARCH("R127",G467)),0)+IFERROR(--ISNUMBER(SEARCH("R128",G467)),0)+IFERROR(--ISNUMBER(SEARCH("R129",G467)),0)+IFERROR(--ISNUMBER(SEARCH("R130",G467)),0)+IFERROR(--ISNUMBER(SEARCH("R131",G467)),0)+IFERROR(--ISNUMBER(SEARCH("R132",G467)),0)+IFERROR(--ISNUMBER(SEARCH("R133",G467)),0)+IFERROR(--ISNUMBER(SEARCH("R134",G467)),0)+IFERROR(--ISNUMBER(SEARCH("R135",G467)),0)+IFERROR(--ISNUMBER(SEARCH("R136",G467)),0)+IFERROR(--ISNUMBER(SEARCH("R137",G467)),0)+IFERROR(--ISNUMBER(SEARCH("R138",G467)),0)+IFERROR(--ISNUMBER(SEARCH("R139",G467)),0)+IFERROR(--ISNUMBER(SEARCH("R140",G467)),0)+IFERROR(--ISNUMBER(SEARCH("R141",G467)),0))</f>
        <v/>
      </c>
      <c r="T467" s="58">
        <f>IF(A467="","",IFERROR(--ISNUMBER(SEARCH("R28",G467)),0)+IFERROR(--ISNUMBER(SEARCH("R29",G467)),0)+IFERROR(--ISNUMBER(SEARCH("R30",G467)),0)+IFERROR(--ISNUMBER(SEARCH("R32",G467)),0)+IFERROR(--ISNUMBER(SEARCH("R33",G467)),0)+IFERROR(--ISNUMBER(SEARCH("R35",G467)),0)+IFERROR(--ISNUMBER(SEARCH("R36",G467)),0)+IFERROR(--ISNUMBER(SEARCH("R38",G467)),0)+IFERROR(--ISNUMBER(SEARCH("R39",G467)),0)+IFERROR(--ISNUMBER(SEARCH("R43",G467)),0)+IFERROR(--ISNUMBER(SEARCH("R44",G467)),0)+IFERROR(--ISNUMBER(SEARCH("R45",G467)),0)+IFERROR(--ISNUMBER(SEARCH("R47",G467)),0)+IFERROR(--ISNUMBER(SEARCH("R48",G467)),0)+IFERROR(--ISNUMBER(SEARCH("R50",G467)),0)+IFERROR(--ISNUMBER(SEARCH("R51",G467)),0)+IFERROR(--ISNUMBER(SEARCH("R56",G467)),0)+IFERROR(--ISNUMBER(SEARCH("R58",G467)),0)+IFERROR(--ISNUMBER(SEARCH("R59",G467)),0)+IFERROR(--ISNUMBER(SEARCH("R60",G467)),0)+IFERROR(--ISNUMBER(SEARCH("R62",G467)),0)+IFERROR(--ISNUMBER(SEARCH("R63",G467)),0)+IFERROR(--ISNUMBER(SEARCH("R64",G467)),0)+IFERROR(--ISNUMBER(SEARCH("R66",G467)),0)+IFERROR(--ISNUMBER(SEARCH("R67",G467)),0)+IFERROR(--ISNUMBER(SEARCH("R72",G467)),0)+IFERROR(--ISNUMBER(SEARCH("R74",G467)),0)+IFERROR(--ISNUMBER(SEARCH("R75",G467)),0)+IFERROR(--ISNUMBER(SEARCH("R76",G467)),0)+IFERROR(--ISNUMBER(SEARCH("R77",G467)),0)+IFERROR(--ISNUMBER(SEARCH("R79",G467)),0)+IFERROR(--ISNUMBER(SEARCH("R80",G467)),0)+IFERROR(--ISNUMBER(SEARCH("R81",G467)),0)+IFERROR(--ISNUMBER(SEARCH("R83",G467)),0)+IFERROR(--ISNUMBER(SEARCH("R84",G467)),0)+IFERROR(--ISNUMBER(SEARCH("R89",G467)),0)+IFERROR(--ISNUMBER(SEARCH("R94",G467)),0)+IFERROR(--ISNUMBER(SEARCH("R95",G467)),0)+IFERROR(--ISNUMBER(SEARCH("R96",G467)),0)+IFERROR(--ISNUMBER(SEARCH("R98",G467)),0)+IFERROR(--ISNUMBER(SEARCH("R99",G467)),0)+IFERROR(--ISNUMBER(SEARCH("R100",G467)),0)+IFERROR(--ISNUMBER(SEARCH("R104",G467)),0)+IFERROR(--ISNUMBER(SEARCH("R105",G467)),0)+IFERROR(--ISNUMBER(SEARCH("R107",G467)),0)+IFERROR(--ISNUMBER(SEARCH("R108",G467)),0)+IFERROR(--ISNUMBER(SEARCH("R109",G467)),0)+IFERROR(--ISNUMBER(SEARCH("R110",G467)),0)+IFERROR(--ISNUMBER(SEARCH("R112",G467)),0)+IFERROR(--ISNUMBER(SEARCH("R113",G467)),0)+IFERROR(--ISNUMBER(SEARCH("R114",G467)),0)+IFERROR(--ISNUMBER(SEARCH("R118",G467)),0)+IFERROR(--ISNUMBER(SEARCH("R119",G467)),0)+IFERROR(--ISNUMBER(SEARCH("R120",G467)),0)+IFERROR(--ISNUMBER(SEARCH("R122",G467)),0)+IFERROR(--ISNUMBER(SEARCH("R123",G467)),0)+IFERROR(--ISNUMBER(SEARCH("R124",G467)),0)+IFERROR(--ISNUMBER(SEARCH("R128",G467)),0)+IFERROR(--ISNUMBER(SEARCH("R130",G467)),0)+IFERROR(--ISNUMBER(SEARCH("R131",G467)),0)+IFERROR(--ISNUMBER(SEARCH("R132",G467)),0)+IFERROR(--ISNUMBER(SEARCH("R135",G467)),0)+IFERROR(--ISNUMBER(SEARCH("R138",G467)),0)+IFERROR(--ISNUMBER(SEARCH("R141",G467)),0))</f>
        <v/>
      </c>
      <c r="U467" s="58">
        <f>IF(A467="","",IFERROR(--ISNUMBER(SEARCH("R28",G467))*28,0)+IFERROR(--ISNUMBER(SEARCH("R29",G467))*29,0)+IFERROR(--ISNUMBER(SEARCH("R30",G467))*30,0)+IFERROR(--ISNUMBER(SEARCH("R31",G467))*31,0)+IFERROR(--ISNUMBER(SEARCH("R32",G467))*32,0)+IFERROR(--ISNUMBER(SEARCH("R33",G467))*33,0)+IFERROR(--ISNUMBER(SEARCH("R34",G467))*34,0)+IFERROR(--ISNUMBER(SEARCH("R35",G467))*35,0)+IFERROR(--ISNUMBER(SEARCH("R36",G467))*36,0)+IFERROR(--ISNUMBER(SEARCH("R37",G467))*37,0)+IFERROR(--ISNUMBER(SEARCH("R38",G467))*38,0)+IFERROR(--ISNUMBER(SEARCH("R39",G467))*39,0)+IFERROR(--ISNUMBER(SEARCH("R40",G467))*40,0)+IFERROR(--ISNUMBER(SEARCH("R41",G467))*41,0)+IFERROR(--ISNUMBER(SEARCH("R42",G467))*42,0)+IFERROR(--ISNUMBER(SEARCH("R43",G467))*43,0)+IFERROR(--ISNUMBER(SEARCH("R44",G467))*44,0)+IFERROR(--ISNUMBER(SEARCH("R45",G467))*45,0)+IFERROR(--ISNUMBER(SEARCH("R46",G467))*46,0)+IFERROR(--ISNUMBER(SEARCH("R47",G467))*47,0)+IFERROR(--ISNUMBER(SEARCH("R48",G467))*48,0)+IFERROR(--ISNUMBER(SEARCH("R49",G467))*49,0)+IFERROR(--ISNUMBER(SEARCH("R50",G467))*50,0)+IFERROR(--ISNUMBER(SEARCH("R51",G467))*51,0)+IFERROR(--ISNUMBER(SEARCH("R52",G467))*52,0)+IFERROR(--ISNUMBER(SEARCH("R53",G467))*53,0)+IFERROR(--ISNUMBER(SEARCH("R54",G467))*54,0)+IFERROR(--ISNUMBER(SEARCH("R55",G467))*55,0)+IFERROR(--ISNUMBER(SEARCH("R56",G467))*56,0)+IFERROR(--ISNUMBER(SEARCH("R57",G467))*57,0)+IFERROR(--ISNUMBER(SEARCH("R58",G467))*58,0)+IFERROR(--ISNUMBER(SEARCH("R59",G467))*59,0)+IFERROR(--ISNUMBER(SEARCH("R60",G467))*60,0)+IFERROR(--ISNUMBER(SEARCH("R61",G467))*61,0)+IFERROR(--ISNUMBER(SEARCH("R62",G467))*62,0)+IFERROR(--ISNUMBER(SEARCH("R63",G467))*63,0)+IFERROR(--ISNUMBER(SEARCH("R64",G467))*64,0)+IFERROR(--ISNUMBER(SEARCH("R65",G467))*65,0)+IFERROR(--ISNUMBER(SEARCH("R66",G467))*66,0)+IFERROR(--ISNUMBER(SEARCH("R67",G467))*67,0)+IFERROR(--ISNUMBER(SEARCH("R68",G467))*68,0)+IFERROR(--ISNUMBER(SEARCH("R69",G467))*69,0)+IFERROR(--ISNUMBER(SEARCH("R70",G467))*70,0)+IFERROR(--ISNUMBER(SEARCH("R71",G467))*71,0)+IFERROR(--ISNUMBER(SEARCH("R72",G467))*72,0)+IFERROR(--ISNUMBER(SEARCH("R73",G467))*73,0)+IFERROR(--ISNUMBER(SEARCH("R74",G467))*74,0)+IFERROR(--ISNUMBER(SEARCH("R75",G467))*75,0)+IFERROR(--ISNUMBER(SEARCH("R76",G467))*76,0)+IFERROR(--ISNUMBER(SEARCH("R77",G467))*77,0)+IFERROR(--ISNUMBER(SEARCH("R78",G467))*78,0)+IFERROR(--ISNUMBER(SEARCH("R79",G467))*79,0)+IFERROR(--ISNUMBER(SEARCH("R80",G467))*80,0)+IFERROR(--ISNUMBER(SEARCH("R81",G467))*81,0)+IFERROR(--ISNUMBER(SEARCH("R82",G467))*82,0)+IFERROR(--ISNUMBER(SEARCH("R83",G467))*83,0)+IFERROR(--ISNUMBER(SEARCH("R84",G467))*84,0)+IFERROR(--ISNUMBER(SEARCH("R85",G467))*85,0)+IFERROR(--ISNUMBER(SEARCH("R86",G467))*86,0)+IFERROR(--ISNUMBER(SEARCH("R87",G467))*87,0)+IFERROR(--ISNUMBER(SEARCH("R88",G467))*88,0)+IFERROR(--ISNUMBER(SEARCH("R89",G467))*89,0)+IFERROR(--ISNUMBER(SEARCH("R90",G467))*90,0)+IFERROR(--ISNUMBER(SEARCH("R91",G467))*91,0)+IFERROR(--ISNUMBER(SEARCH("R92",G467))*92,0)+IFERROR(--ISNUMBER(SEARCH("R93",G467))*93,0)+IFERROR(--ISNUMBER(SEARCH("R94",G467))*94,0)+IFERROR(--ISNUMBER(SEARCH("R95",G467))*95,0)+IFERROR(--ISNUMBER(SEARCH("R96",G467))*96,0)+IFERROR(--ISNUMBER(SEARCH("R97",G467))*97,0)+IFERROR(--ISNUMBER(SEARCH("R98",G467))*98,0)+IFERROR(--ISNUMBER(SEARCH("R99",G467))*99,0)+IFERROR(--ISNUMBER(SEARCH("R100",G467))*100,0)+IFERROR(--ISNUMBER(SEARCH("R101",G467))*101,0)+IFERROR(--ISNUMBER(SEARCH("R102",G467))*102,0)+IFERROR(--ISNUMBER(SEARCH("R103",G467))*103,0)+IFERROR(--ISNUMBER(SEARCH("R104",G467))*104,0)+IFERROR(--ISNUMBER(SEARCH("R105",G467))*105,0)+IFERROR(--ISNUMBER(SEARCH("R106",G467))*106,0)+IFERROR(--ISNUMBER(SEARCH("R107",G467))*107,0)+IFERROR(--ISNUMBER(SEARCH("R108",G467))*108,0)+IFERROR(--ISNUMBER(SEARCH("R109",G467))*109,0)+IFERROR(--ISNUMBER(SEARCH("R110",G467))*110,0)+IFERROR(--ISNUMBER(SEARCH("R111",G467))*111,0)+IFERROR(--ISNUMBER(SEARCH("R112",G467))*112,0)+IFERROR(--ISNUMBER(SEARCH("R113",G467))*113,0)+IFERROR(--ISNUMBER(SEARCH("R114",G467))*114,0)+IFERROR(--ISNUMBER(SEARCH("R115",G467))*115,0)+IFERROR(--ISNUMBER(SEARCH("R116",G467))*116,0)+IFERROR(--ISNUMBER(SEARCH("R117",G467))*117,0)+IFERROR(--ISNUMBER(SEARCH("R118",G467))*118,0)+IFERROR(--ISNUMBER(SEARCH("R119",G467))*119,0)+IFERROR(--ISNUMBER(SEARCH("R120",G467))*120,0)+IFERROR(--ISNUMBER(SEARCH("R121",G467))*121,0)+IFERROR(--ISNUMBER(SEARCH("R122",G467))*122,0)+IFERROR(--ISNUMBER(SEARCH("R123",G467))*123,0)+IFERROR(--ISNUMBER(SEARCH("R124",G467))*124,0)+IFERROR(--ISNUMBER(SEARCH("R125",G467))*125,0)+IFERROR(--ISNUMBER(SEARCH("R126",G467))*126,0)+IFERROR(--ISNUMBER(SEARCH("R127",G467))*127,0)+IFERROR(--ISNUMBER(SEARCH("R128",G467))*128,0)+IFERROR(--ISNUMBER(SEARCH("R129",G467))*129,0)+IFERROR(--ISNUMBER(SEARCH("R130",G467))*130,0)+IFERROR(--ISNUMBER(SEARCH("R131",G467))*131,0)+IFERROR(--ISNUMBER(SEARCH("R132",G467))*132,0)+IFERROR(--ISNUMBER(SEARCH("R133",G467))*133,0)+IFERROR(--ISNUMBER(SEARCH("R134",G467))*134,0)+IFERROR(--ISNUMBER(SEARCH("R135",G467))*135,0)+IFERROR(--ISNUMBER(SEARCH("R136",G467))*136,0)+IFERROR(--ISNUMBER(SEARCH("R137",G467))*137,0)+IFERROR(--ISNUMBER(SEARCH("R138",G467))*138,0)+IFERROR(--ISNUMBER(SEARCH("R139",G467))*139,0)+IFERROR(--ISNUMBER(SEARCH("R140",G467))*140,0)+IFERROR(--ISNUMBER(SEARCH("R141",G467))*141,0))</f>
        <v/>
      </c>
      <c r="V467" s="59">
        <f>IF(A467="","",IF(K467&lt;&gt;"",K467,J467))</f>
        <v/>
      </c>
      <c r="W467" s="59">
        <f>IF(A467="","",IF(AND(V467=29,O467&lt;&gt;"",COUNTIFS($V$6:$V$505,29,$F$6:$F$505,F467,$C$6:$C$505,C467,$O$6:$O$505,"&lt;&gt;")&gt;1),IF(COUNTIFS($V$6:V467,29,$F$6:F467,F467,$C$6:C467,C467,$O$6:O467,"&lt;&gt;")=1,"Esta es la fila que se debe CONSERVAR (aparición 1 de "&amp;COUNTIFS($V$6:$V$505,29,$F$6:$F$505,F467,$C$6:$C$505,C467,$O$6:$O$505,"&lt;&gt;")&amp;" con el mismo tercero y valor, casilla 29). Si hay más filas iguales, bórreles el valor a ELLAS, no a esta.","DUPLICADO — ya existe otra fila con el mismo tercero y valor para casilla 29 (aparición "&amp;COUNTIFS($V$6:V467,29,$F$6:F467,F467,$C$6:C467,C467,$O$6:O467,"&lt;&gt;")&amp;" de "&amp;COUNTIFS($V$6:$V$505,29,$F$6:$F$505,F467,$C$6:$C$505,C467,$O$6:$O$505,"&lt;&gt;")&amp;"). Para resolverlo: seleccione la celda O"&amp;ROW()&amp;" (columna Valor a declarar de ESTA fila) y presione Supr."),""))</f>
        <v/>
      </c>
      <c r="X467" s="463">
        <f>IF(A467="","",F467)</f>
        <v/>
      </c>
      <c r="Y467" s="463">
        <f>IF(A467="","",SUMIF(Entrada_Manual!$I$88:$I$187,A467,Entrada_Manual!$F$88:$F$187))</f>
        <v/>
      </c>
      <c r="Z467" s="463">
        <f>IF(A467="","",X467-Y467)</f>
        <v/>
      </c>
      <c r="AA467">
        <f>IF(A467="","",SUMPRODUCT((Entrada_Manual!$I$88:$I$187=A467)*1))</f>
        <v/>
      </c>
      <c r="AB467">
        <f>IF(A467="","",IF(S467&lt;=1,"",IF(AA467=0,"PENDIENTE — SIN ASIGNAR",IF(Z467=0,"RESUELTO","PARCIAL — DIFERENCIA "&amp;TEXT(Z467,"#,##0")))))</f>
        <v/>
      </c>
    </row>
    <row r="468" ht="14.25" customHeight="1" s="235">
      <c r="A468" s="47">
        <f>IF(Exogena_RAW!E477&lt;&gt;"",ROW()-5,"")</f>
        <v/>
      </c>
      <c r="B468" s="48">
        <f>IF(A468="","",477)</f>
        <v/>
      </c>
      <c r="C468" s="48">
        <f>IF(A468="","",IFERROR(Exogena_RAW!A477,""))</f>
        <v/>
      </c>
      <c r="D468" s="48">
        <f>IF(A468="","",IFERROR(Exogena_RAW!B477,""))</f>
        <v/>
      </c>
      <c r="E468" s="48">
        <f>IF(A468="","",Exogena_RAW!E477)</f>
        <v/>
      </c>
      <c r="F468" s="461">
        <f>IF(A468="","",Exogena_RAW!F477)</f>
        <v/>
      </c>
      <c r="G468" s="48">
        <f>IF(A468="","",IFERROR(Exogena_RAW!G477,""))</f>
        <v/>
      </c>
      <c r="H468" s="48">
        <f>IF(A468="","",IFERROR(Exogena_RAW!H477,""))</f>
        <v/>
      </c>
      <c r="I468" s="48">
        <f>IF(A468="","",IFERROR(IF(S468&gt;1,"VARIAS CASILLAS",IF(S468=1,IF(T468=1,"PROPUESTA DE CASILLA","REVISIÓN: CASILLA NO DIRECTA"),IF(OR(ISNUMBER(SEARCH("TOPE",UPPER(E468))),ISNUMBER(SEARCH("TOPE",UPPER(G468)))),"SOLO CONTROL",IF(ISNUMBER(SEARCH("RETEN",UPPER(E468))),"RETENCIÓN","REVISAR")))),"REVISAR"))</f>
        <v/>
      </c>
      <c r="J468" s="48">
        <f>IF(A468="","",IF(ISNUMBER(SEARCH("ingreso laboral promedio de los últimos seis meses",E468)),"",IFERROR(IF(AND(S468=1,T468=1),U468,""),"")))</f>
        <v/>
      </c>
      <c r="K468" s="216" t="n"/>
      <c r="L468" s="48">
        <f>IF(A468="","",IFERROR(IF(K468&lt;&gt;"","Casilla elegida por usuario",IF(S468&gt;1,"Varias casillas — elegir en K",IF(J468&lt;&gt;"","Sugerencia directa",IF(S468=1,"No trasladar directo — revisar",IF(OR(ISNUMBER(SEARCH("TOPE",UPPER(E468))),ISNUMBER(SEARCH("TOPE",UPPER(G468)))),"Solo control","Revisar manualmente"))))),"Revisar manualmente"))</f>
        <v/>
      </c>
      <c r="M468" s="461">
        <f>IF(A468="","",IF(IF(K468&lt;&gt;"",K468,J468)="",0,IF(COUNTIFS(Reglas!$I$5:$I$118,IF(K468&lt;&gt;"",K468,J468),Reglas!$J$5:$J$118,"Sí")=1,F468,0)))</f>
        <v/>
      </c>
      <c r="N468" s="56" t="n"/>
      <c r="O468" s="462">
        <f>IF(A468="","",IF(M468=0,"",M468))</f>
        <v/>
      </c>
      <c r="P468" s="461">
        <f>IF(A468="","",IF(O468="",0,IF(ISNUMBER(O468),O468,0)))</f>
        <v/>
      </c>
      <c r="Q468" s="48">
        <f>IF(A468="","",IF(Exogena_RAW!$C$4="","BLOQUEADO: FALTA AÑO",IF(Exogena_RAW!$K$10&lt;&gt;Reglas!$B$5,"BLOQUEADO: AÑO",IF(IF(K468&lt;&gt;"",K468,J468)="",IF(S468&gt;1,"REQUIERE ASIGNACIÓN MANUAL (VARIAS CASILLAS)","INFORMATIVO (sin casilla — no se declara)"),IF(COUNTIFS(Reglas!$I$5:$I$118,IF(K468&lt;&gt;"",K468,J468),Reglas!$J$5:$J$118,"Sí")=0,"BLOQUEADO: CASILLA NO DIRECTA",IF(O468="","EXCLUIDO (valor borrado por el usuario)",IF(_xlfn.ISFORMULA(O468),IF(W468&lt;&gt;"","BORRADOR — VALOR SUGERIDO DIAN ⚠ VER ALERTA","BORRADOR — VALOR SUGERIDO DIAN"),IF(W468&lt;&gt;"","ACEPTADO ⚠ VER ALERTA","ACEPTADO"))))))))</f>
        <v/>
      </c>
      <c r="R468" s="218" t="n"/>
      <c r="S468" s="58">
        <f>IF(A468="","",IFERROR(--ISNUMBER(SEARCH("R28",G468)),0)+IFERROR(--ISNUMBER(SEARCH("R29",G468)),0)+IFERROR(--ISNUMBER(SEARCH("R30",G468)),0)+IFERROR(--ISNUMBER(SEARCH("R31",G468)),0)+IFERROR(--ISNUMBER(SEARCH("R32",G468)),0)+IFERROR(--ISNUMBER(SEARCH("R33",G468)),0)+IFERROR(--ISNUMBER(SEARCH("R34",G468)),0)+IFERROR(--ISNUMBER(SEARCH("R35",G468)),0)+IFERROR(--ISNUMBER(SEARCH("R36",G468)),0)+IFERROR(--ISNUMBER(SEARCH("R37",G468)),0)+IFERROR(--ISNUMBER(SEARCH("R38",G468)),0)+IFERROR(--ISNUMBER(SEARCH("R39",G468)),0)+IFERROR(--ISNUMBER(SEARCH("R40",G468)),0)+IFERROR(--ISNUMBER(SEARCH("R41",G468)),0)+IFERROR(--ISNUMBER(SEARCH("R42",G468)),0)+IFERROR(--ISNUMBER(SEARCH("R43",G468)),0)+IFERROR(--ISNUMBER(SEARCH("R44",G468)),0)+IFERROR(--ISNUMBER(SEARCH("R45",G468)),0)+IFERROR(--ISNUMBER(SEARCH("R46",G468)),0)+IFERROR(--ISNUMBER(SEARCH("R47",G468)),0)+IFERROR(--ISNUMBER(SEARCH("R48",G468)),0)+IFERROR(--ISNUMBER(SEARCH("R49",G468)),0)+IFERROR(--ISNUMBER(SEARCH("R50",G468)),0)+IFERROR(--ISNUMBER(SEARCH("R51",G468)),0)+IFERROR(--ISNUMBER(SEARCH("R52",G468)),0)+IFERROR(--ISNUMBER(SEARCH("R53",G468)),0)+IFERROR(--ISNUMBER(SEARCH("R54",G468)),0)+IFERROR(--ISNUMBER(SEARCH("R55",G468)),0)+IFERROR(--ISNUMBER(SEARCH("R56",G468)),0)+IFERROR(--ISNUMBER(SEARCH("R57",G468)),0)+IFERROR(--ISNUMBER(SEARCH("R58",G468)),0)+IFERROR(--ISNUMBER(SEARCH("R59",G468)),0)+IFERROR(--ISNUMBER(SEARCH("R60",G468)),0)+IFERROR(--ISNUMBER(SEARCH("R61",G468)),0)+IFERROR(--ISNUMBER(SEARCH("R62",G468)),0)+IFERROR(--ISNUMBER(SEARCH("R63",G468)),0)+IFERROR(--ISNUMBER(SEARCH("R64",G468)),0)+IFERROR(--ISNUMBER(SEARCH("R65",G468)),0)+IFERROR(--ISNUMBER(SEARCH("R66",G468)),0)+IFERROR(--ISNUMBER(SEARCH("R67",G468)),0)+IFERROR(--ISNUMBER(SEARCH("R68",G468)),0)+IFERROR(--ISNUMBER(SEARCH("R69",G468)),0)+IFERROR(--ISNUMBER(SEARCH("R70",G468)),0)+IFERROR(--ISNUMBER(SEARCH("R71",G468)),0)+IFERROR(--ISNUMBER(SEARCH("R72",G468)),0)+IFERROR(--ISNUMBER(SEARCH("R73",G468)),0)+IFERROR(--ISNUMBER(SEARCH("R74",G468)),0)+IFERROR(--ISNUMBER(SEARCH("R75",G468)),0)+IFERROR(--ISNUMBER(SEARCH("R76",G468)),0)+IFERROR(--ISNUMBER(SEARCH("R77",G468)),0)+IFERROR(--ISNUMBER(SEARCH("R78",G468)),0)+IFERROR(--ISNUMBER(SEARCH("R79",G468)),0)+IFERROR(--ISNUMBER(SEARCH("R80",G468)),0)+IFERROR(--ISNUMBER(SEARCH("R81",G468)),0)+IFERROR(--ISNUMBER(SEARCH("R82",G468)),0)+IFERROR(--ISNUMBER(SEARCH("R83",G468)),0)+IFERROR(--ISNUMBER(SEARCH("R84",G468)),0)+IFERROR(--ISNUMBER(SEARCH("R85",G468)),0)+IFERROR(--ISNUMBER(SEARCH("R86",G468)),0)+IFERROR(--ISNUMBER(SEARCH("R87",G468)),0)+IFERROR(--ISNUMBER(SEARCH("R88",G468)),0)+IFERROR(--ISNUMBER(SEARCH("R89",G468)),0)+IFERROR(--ISNUMBER(SEARCH("R90",G468)),0)+IFERROR(--ISNUMBER(SEARCH("R91",G468)),0)+IFERROR(--ISNUMBER(SEARCH("R92",G468)),0)+IFERROR(--ISNUMBER(SEARCH("R93",G468)),0)+IFERROR(--ISNUMBER(SEARCH("R94",G468)),0)+IFERROR(--ISNUMBER(SEARCH("R95",G468)),0)+IFERROR(--ISNUMBER(SEARCH("R96",G468)),0)+IFERROR(--ISNUMBER(SEARCH("R97",G468)),0)+IFERROR(--ISNUMBER(SEARCH("R98",G468)),0)+IFERROR(--ISNUMBER(SEARCH("R99",G468)),0)+IFERROR(--ISNUMBER(SEARCH("R100",G468)),0)+IFERROR(--ISNUMBER(SEARCH("R101",G468)),0)+IFERROR(--ISNUMBER(SEARCH("R102",G468)),0)+IFERROR(--ISNUMBER(SEARCH("R103",G468)),0)+IFERROR(--ISNUMBER(SEARCH("R104",G468)),0)+IFERROR(--ISNUMBER(SEARCH("R105",G468)),0)+IFERROR(--ISNUMBER(SEARCH("R106",G468)),0)+IFERROR(--ISNUMBER(SEARCH("R107",G468)),0)+IFERROR(--ISNUMBER(SEARCH("R108",G468)),0)+IFERROR(--ISNUMBER(SEARCH("R109",G468)),0)+IFERROR(--ISNUMBER(SEARCH("R110",G468)),0)+IFERROR(--ISNUMBER(SEARCH("R111",G468)),0)+IFERROR(--ISNUMBER(SEARCH("R112",G468)),0)+IFERROR(--ISNUMBER(SEARCH("R113",G468)),0)+IFERROR(--ISNUMBER(SEARCH("R114",G468)),0)+IFERROR(--ISNUMBER(SEARCH("R115",G468)),0)+IFERROR(--ISNUMBER(SEARCH("R116",G468)),0)+IFERROR(--ISNUMBER(SEARCH("R117",G468)),0)+IFERROR(--ISNUMBER(SEARCH("R118",G468)),0)+IFERROR(--ISNUMBER(SEARCH("R119",G468)),0)+IFERROR(--ISNUMBER(SEARCH("R120",G468)),0)+IFERROR(--ISNUMBER(SEARCH("R121",G468)),0)+IFERROR(--ISNUMBER(SEARCH("R122",G468)),0)+IFERROR(--ISNUMBER(SEARCH("R123",G468)),0)+IFERROR(--ISNUMBER(SEARCH("R124",G468)),0)+IFERROR(--ISNUMBER(SEARCH("R125",G468)),0)+IFERROR(--ISNUMBER(SEARCH("R126",G468)),0)+IFERROR(--ISNUMBER(SEARCH("R127",G468)),0)+IFERROR(--ISNUMBER(SEARCH("R128",G468)),0)+IFERROR(--ISNUMBER(SEARCH("R129",G468)),0)+IFERROR(--ISNUMBER(SEARCH("R130",G468)),0)+IFERROR(--ISNUMBER(SEARCH("R131",G468)),0)+IFERROR(--ISNUMBER(SEARCH("R132",G468)),0)+IFERROR(--ISNUMBER(SEARCH("R133",G468)),0)+IFERROR(--ISNUMBER(SEARCH("R134",G468)),0)+IFERROR(--ISNUMBER(SEARCH("R135",G468)),0)+IFERROR(--ISNUMBER(SEARCH("R136",G468)),0)+IFERROR(--ISNUMBER(SEARCH("R137",G468)),0)+IFERROR(--ISNUMBER(SEARCH("R138",G468)),0)+IFERROR(--ISNUMBER(SEARCH("R139",G468)),0)+IFERROR(--ISNUMBER(SEARCH("R140",G468)),0)+IFERROR(--ISNUMBER(SEARCH("R141",G468)),0))</f>
        <v/>
      </c>
      <c r="T468" s="58">
        <f>IF(A468="","",IFERROR(--ISNUMBER(SEARCH("R28",G468)),0)+IFERROR(--ISNUMBER(SEARCH("R29",G468)),0)+IFERROR(--ISNUMBER(SEARCH("R30",G468)),0)+IFERROR(--ISNUMBER(SEARCH("R32",G468)),0)+IFERROR(--ISNUMBER(SEARCH("R33",G468)),0)+IFERROR(--ISNUMBER(SEARCH("R35",G468)),0)+IFERROR(--ISNUMBER(SEARCH("R36",G468)),0)+IFERROR(--ISNUMBER(SEARCH("R38",G468)),0)+IFERROR(--ISNUMBER(SEARCH("R39",G468)),0)+IFERROR(--ISNUMBER(SEARCH("R43",G468)),0)+IFERROR(--ISNUMBER(SEARCH("R44",G468)),0)+IFERROR(--ISNUMBER(SEARCH("R45",G468)),0)+IFERROR(--ISNUMBER(SEARCH("R47",G468)),0)+IFERROR(--ISNUMBER(SEARCH("R48",G468)),0)+IFERROR(--ISNUMBER(SEARCH("R50",G468)),0)+IFERROR(--ISNUMBER(SEARCH("R51",G468)),0)+IFERROR(--ISNUMBER(SEARCH("R56",G468)),0)+IFERROR(--ISNUMBER(SEARCH("R58",G468)),0)+IFERROR(--ISNUMBER(SEARCH("R59",G468)),0)+IFERROR(--ISNUMBER(SEARCH("R60",G468)),0)+IFERROR(--ISNUMBER(SEARCH("R62",G468)),0)+IFERROR(--ISNUMBER(SEARCH("R63",G468)),0)+IFERROR(--ISNUMBER(SEARCH("R64",G468)),0)+IFERROR(--ISNUMBER(SEARCH("R66",G468)),0)+IFERROR(--ISNUMBER(SEARCH("R67",G468)),0)+IFERROR(--ISNUMBER(SEARCH("R72",G468)),0)+IFERROR(--ISNUMBER(SEARCH("R74",G468)),0)+IFERROR(--ISNUMBER(SEARCH("R75",G468)),0)+IFERROR(--ISNUMBER(SEARCH("R76",G468)),0)+IFERROR(--ISNUMBER(SEARCH("R77",G468)),0)+IFERROR(--ISNUMBER(SEARCH("R79",G468)),0)+IFERROR(--ISNUMBER(SEARCH("R80",G468)),0)+IFERROR(--ISNUMBER(SEARCH("R81",G468)),0)+IFERROR(--ISNUMBER(SEARCH("R83",G468)),0)+IFERROR(--ISNUMBER(SEARCH("R84",G468)),0)+IFERROR(--ISNUMBER(SEARCH("R89",G468)),0)+IFERROR(--ISNUMBER(SEARCH("R94",G468)),0)+IFERROR(--ISNUMBER(SEARCH("R95",G468)),0)+IFERROR(--ISNUMBER(SEARCH("R96",G468)),0)+IFERROR(--ISNUMBER(SEARCH("R98",G468)),0)+IFERROR(--ISNUMBER(SEARCH("R99",G468)),0)+IFERROR(--ISNUMBER(SEARCH("R100",G468)),0)+IFERROR(--ISNUMBER(SEARCH("R104",G468)),0)+IFERROR(--ISNUMBER(SEARCH("R105",G468)),0)+IFERROR(--ISNUMBER(SEARCH("R107",G468)),0)+IFERROR(--ISNUMBER(SEARCH("R108",G468)),0)+IFERROR(--ISNUMBER(SEARCH("R109",G468)),0)+IFERROR(--ISNUMBER(SEARCH("R110",G468)),0)+IFERROR(--ISNUMBER(SEARCH("R112",G468)),0)+IFERROR(--ISNUMBER(SEARCH("R113",G468)),0)+IFERROR(--ISNUMBER(SEARCH("R114",G468)),0)+IFERROR(--ISNUMBER(SEARCH("R118",G468)),0)+IFERROR(--ISNUMBER(SEARCH("R119",G468)),0)+IFERROR(--ISNUMBER(SEARCH("R120",G468)),0)+IFERROR(--ISNUMBER(SEARCH("R122",G468)),0)+IFERROR(--ISNUMBER(SEARCH("R123",G468)),0)+IFERROR(--ISNUMBER(SEARCH("R124",G468)),0)+IFERROR(--ISNUMBER(SEARCH("R128",G468)),0)+IFERROR(--ISNUMBER(SEARCH("R130",G468)),0)+IFERROR(--ISNUMBER(SEARCH("R131",G468)),0)+IFERROR(--ISNUMBER(SEARCH("R132",G468)),0)+IFERROR(--ISNUMBER(SEARCH("R135",G468)),0)+IFERROR(--ISNUMBER(SEARCH("R138",G468)),0)+IFERROR(--ISNUMBER(SEARCH("R141",G468)),0))</f>
        <v/>
      </c>
      <c r="U468" s="58">
        <f>IF(A468="","",IFERROR(--ISNUMBER(SEARCH("R28",G468))*28,0)+IFERROR(--ISNUMBER(SEARCH("R29",G468))*29,0)+IFERROR(--ISNUMBER(SEARCH("R30",G468))*30,0)+IFERROR(--ISNUMBER(SEARCH("R31",G468))*31,0)+IFERROR(--ISNUMBER(SEARCH("R32",G468))*32,0)+IFERROR(--ISNUMBER(SEARCH("R33",G468))*33,0)+IFERROR(--ISNUMBER(SEARCH("R34",G468))*34,0)+IFERROR(--ISNUMBER(SEARCH("R35",G468))*35,0)+IFERROR(--ISNUMBER(SEARCH("R36",G468))*36,0)+IFERROR(--ISNUMBER(SEARCH("R37",G468))*37,0)+IFERROR(--ISNUMBER(SEARCH("R38",G468))*38,0)+IFERROR(--ISNUMBER(SEARCH("R39",G468))*39,0)+IFERROR(--ISNUMBER(SEARCH("R40",G468))*40,0)+IFERROR(--ISNUMBER(SEARCH("R41",G468))*41,0)+IFERROR(--ISNUMBER(SEARCH("R42",G468))*42,0)+IFERROR(--ISNUMBER(SEARCH("R43",G468))*43,0)+IFERROR(--ISNUMBER(SEARCH("R44",G468))*44,0)+IFERROR(--ISNUMBER(SEARCH("R45",G468))*45,0)+IFERROR(--ISNUMBER(SEARCH("R46",G468))*46,0)+IFERROR(--ISNUMBER(SEARCH("R47",G468))*47,0)+IFERROR(--ISNUMBER(SEARCH("R48",G468))*48,0)+IFERROR(--ISNUMBER(SEARCH("R49",G468))*49,0)+IFERROR(--ISNUMBER(SEARCH("R50",G468))*50,0)+IFERROR(--ISNUMBER(SEARCH("R51",G468))*51,0)+IFERROR(--ISNUMBER(SEARCH("R52",G468))*52,0)+IFERROR(--ISNUMBER(SEARCH("R53",G468))*53,0)+IFERROR(--ISNUMBER(SEARCH("R54",G468))*54,0)+IFERROR(--ISNUMBER(SEARCH("R55",G468))*55,0)+IFERROR(--ISNUMBER(SEARCH("R56",G468))*56,0)+IFERROR(--ISNUMBER(SEARCH("R57",G468))*57,0)+IFERROR(--ISNUMBER(SEARCH("R58",G468))*58,0)+IFERROR(--ISNUMBER(SEARCH("R59",G468))*59,0)+IFERROR(--ISNUMBER(SEARCH("R60",G468))*60,0)+IFERROR(--ISNUMBER(SEARCH("R61",G468))*61,0)+IFERROR(--ISNUMBER(SEARCH("R62",G468))*62,0)+IFERROR(--ISNUMBER(SEARCH("R63",G468))*63,0)+IFERROR(--ISNUMBER(SEARCH("R64",G468))*64,0)+IFERROR(--ISNUMBER(SEARCH("R65",G468))*65,0)+IFERROR(--ISNUMBER(SEARCH("R66",G468))*66,0)+IFERROR(--ISNUMBER(SEARCH("R67",G468))*67,0)+IFERROR(--ISNUMBER(SEARCH("R68",G468))*68,0)+IFERROR(--ISNUMBER(SEARCH("R69",G468))*69,0)+IFERROR(--ISNUMBER(SEARCH("R70",G468))*70,0)+IFERROR(--ISNUMBER(SEARCH("R71",G468))*71,0)+IFERROR(--ISNUMBER(SEARCH("R72",G468))*72,0)+IFERROR(--ISNUMBER(SEARCH("R73",G468))*73,0)+IFERROR(--ISNUMBER(SEARCH("R74",G468))*74,0)+IFERROR(--ISNUMBER(SEARCH("R75",G468))*75,0)+IFERROR(--ISNUMBER(SEARCH("R76",G468))*76,0)+IFERROR(--ISNUMBER(SEARCH("R77",G468))*77,0)+IFERROR(--ISNUMBER(SEARCH("R78",G468))*78,0)+IFERROR(--ISNUMBER(SEARCH("R79",G468))*79,0)+IFERROR(--ISNUMBER(SEARCH("R80",G468))*80,0)+IFERROR(--ISNUMBER(SEARCH("R81",G468))*81,0)+IFERROR(--ISNUMBER(SEARCH("R82",G468))*82,0)+IFERROR(--ISNUMBER(SEARCH("R83",G468))*83,0)+IFERROR(--ISNUMBER(SEARCH("R84",G468))*84,0)+IFERROR(--ISNUMBER(SEARCH("R85",G468))*85,0)+IFERROR(--ISNUMBER(SEARCH("R86",G468))*86,0)+IFERROR(--ISNUMBER(SEARCH("R87",G468))*87,0)+IFERROR(--ISNUMBER(SEARCH("R88",G468))*88,0)+IFERROR(--ISNUMBER(SEARCH("R89",G468))*89,0)+IFERROR(--ISNUMBER(SEARCH("R90",G468))*90,0)+IFERROR(--ISNUMBER(SEARCH("R91",G468))*91,0)+IFERROR(--ISNUMBER(SEARCH("R92",G468))*92,0)+IFERROR(--ISNUMBER(SEARCH("R93",G468))*93,0)+IFERROR(--ISNUMBER(SEARCH("R94",G468))*94,0)+IFERROR(--ISNUMBER(SEARCH("R95",G468))*95,0)+IFERROR(--ISNUMBER(SEARCH("R96",G468))*96,0)+IFERROR(--ISNUMBER(SEARCH("R97",G468))*97,0)+IFERROR(--ISNUMBER(SEARCH("R98",G468))*98,0)+IFERROR(--ISNUMBER(SEARCH("R99",G468))*99,0)+IFERROR(--ISNUMBER(SEARCH("R100",G468))*100,0)+IFERROR(--ISNUMBER(SEARCH("R101",G468))*101,0)+IFERROR(--ISNUMBER(SEARCH("R102",G468))*102,0)+IFERROR(--ISNUMBER(SEARCH("R103",G468))*103,0)+IFERROR(--ISNUMBER(SEARCH("R104",G468))*104,0)+IFERROR(--ISNUMBER(SEARCH("R105",G468))*105,0)+IFERROR(--ISNUMBER(SEARCH("R106",G468))*106,0)+IFERROR(--ISNUMBER(SEARCH("R107",G468))*107,0)+IFERROR(--ISNUMBER(SEARCH("R108",G468))*108,0)+IFERROR(--ISNUMBER(SEARCH("R109",G468))*109,0)+IFERROR(--ISNUMBER(SEARCH("R110",G468))*110,0)+IFERROR(--ISNUMBER(SEARCH("R111",G468))*111,0)+IFERROR(--ISNUMBER(SEARCH("R112",G468))*112,0)+IFERROR(--ISNUMBER(SEARCH("R113",G468))*113,0)+IFERROR(--ISNUMBER(SEARCH("R114",G468))*114,0)+IFERROR(--ISNUMBER(SEARCH("R115",G468))*115,0)+IFERROR(--ISNUMBER(SEARCH("R116",G468))*116,0)+IFERROR(--ISNUMBER(SEARCH("R117",G468))*117,0)+IFERROR(--ISNUMBER(SEARCH("R118",G468))*118,0)+IFERROR(--ISNUMBER(SEARCH("R119",G468))*119,0)+IFERROR(--ISNUMBER(SEARCH("R120",G468))*120,0)+IFERROR(--ISNUMBER(SEARCH("R121",G468))*121,0)+IFERROR(--ISNUMBER(SEARCH("R122",G468))*122,0)+IFERROR(--ISNUMBER(SEARCH("R123",G468))*123,0)+IFERROR(--ISNUMBER(SEARCH("R124",G468))*124,0)+IFERROR(--ISNUMBER(SEARCH("R125",G468))*125,0)+IFERROR(--ISNUMBER(SEARCH("R126",G468))*126,0)+IFERROR(--ISNUMBER(SEARCH("R127",G468))*127,0)+IFERROR(--ISNUMBER(SEARCH("R128",G468))*128,0)+IFERROR(--ISNUMBER(SEARCH("R129",G468))*129,0)+IFERROR(--ISNUMBER(SEARCH("R130",G468))*130,0)+IFERROR(--ISNUMBER(SEARCH("R131",G468))*131,0)+IFERROR(--ISNUMBER(SEARCH("R132",G468))*132,0)+IFERROR(--ISNUMBER(SEARCH("R133",G468))*133,0)+IFERROR(--ISNUMBER(SEARCH("R134",G468))*134,0)+IFERROR(--ISNUMBER(SEARCH("R135",G468))*135,0)+IFERROR(--ISNUMBER(SEARCH("R136",G468))*136,0)+IFERROR(--ISNUMBER(SEARCH("R137",G468))*137,0)+IFERROR(--ISNUMBER(SEARCH("R138",G468))*138,0)+IFERROR(--ISNUMBER(SEARCH("R139",G468))*139,0)+IFERROR(--ISNUMBER(SEARCH("R140",G468))*140,0)+IFERROR(--ISNUMBER(SEARCH("R141",G468))*141,0))</f>
        <v/>
      </c>
      <c r="V468" s="59">
        <f>IF(A468="","",IF(K468&lt;&gt;"",K468,J468))</f>
        <v/>
      </c>
      <c r="W468" s="59">
        <f>IF(A468="","",IF(AND(V468=29,O468&lt;&gt;"",COUNTIFS($V$6:$V$505,29,$F$6:$F$505,F468,$C$6:$C$505,C468,$O$6:$O$505,"&lt;&gt;")&gt;1),IF(COUNTIFS($V$6:V468,29,$F$6:F468,F468,$C$6:C468,C468,$O$6:O468,"&lt;&gt;")=1,"Esta es la fila que se debe CONSERVAR (aparición 1 de "&amp;COUNTIFS($V$6:$V$505,29,$F$6:$F$505,F468,$C$6:$C$505,C468,$O$6:$O$505,"&lt;&gt;")&amp;" con el mismo tercero y valor, casilla 29). Si hay más filas iguales, bórreles el valor a ELLAS, no a esta.","DUPLICADO — ya existe otra fila con el mismo tercero y valor para casilla 29 (aparición "&amp;COUNTIFS($V$6:V468,29,$F$6:F468,F468,$C$6:C468,C468,$O$6:O468,"&lt;&gt;")&amp;" de "&amp;COUNTIFS($V$6:$V$505,29,$F$6:$F$505,F468,$C$6:$C$505,C468,$O$6:$O$505,"&lt;&gt;")&amp;"). Para resolverlo: seleccione la celda O"&amp;ROW()&amp;" (columna Valor a declarar de ESTA fila) y presione Supr."),""))</f>
        <v/>
      </c>
      <c r="X468" s="463">
        <f>IF(A468="","",F468)</f>
        <v/>
      </c>
      <c r="Y468" s="463">
        <f>IF(A468="","",SUMIF(Entrada_Manual!$I$88:$I$187,A468,Entrada_Manual!$F$88:$F$187))</f>
        <v/>
      </c>
      <c r="Z468" s="463">
        <f>IF(A468="","",X468-Y468)</f>
        <v/>
      </c>
      <c r="AA468">
        <f>IF(A468="","",SUMPRODUCT((Entrada_Manual!$I$88:$I$187=A468)*1))</f>
        <v/>
      </c>
      <c r="AB468">
        <f>IF(A468="","",IF(S468&lt;=1,"",IF(AA468=0,"PENDIENTE — SIN ASIGNAR",IF(Z468=0,"RESUELTO","PARCIAL — DIFERENCIA "&amp;TEXT(Z468,"#,##0")))))</f>
        <v/>
      </c>
    </row>
    <row r="469" ht="14.25" customHeight="1" s="235">
      <c r="A469" s="47">
        <f>IF(Exogena_RAW!E478&lt;&gt;"",ROW()-5,"")</f>
        <v/>
      </c>
      <c r="B469" s="48">
        <f>IF(A469="","",478)</f>
        <v/>
      </c>
      <c r="C469" s="48">
        <f>IF(A469="","",IFERROR(Exogena_RAW!A478,""))</f>
        <v/>
      </c>
      <c r="D469" s="48">
        <f>IF(A469="","",IFERROR(Exogena_RAW!B478,""))</f>
        <v/>
      </c>
      <c r="E469" s="48">
        <f>IF(A469="","",Exogena_RAW!E478)</f>
        <v/>
      </c>
      <c r="F469" s="461">
        <f>IF(A469="","",Exogena_RAW!F478)</f>
        <v/>
      </c>
      <c r="G469" s="48">
        <f>IF(A469="","",IFERROR(Exogena_RAW!G478,""))</f>
        <v/>
      </c>
      <c r="H469" s="48">
        <f>IF(A469="","",IFERROR(Exogena_RAW!H478,""))</f>
        <v/>
      </c>
      <c r="I469" s="48">
        <f>IF(A469="","",IFERROR(IF(S469&gt;1,"VARIAS CASILLAS",IF(S469=1,IF(T469=1,"PROPUESTA DE CASILLA","REVISIÓN: CASILLA NO DIRECTA"),IF(OR(ISNUMBER(SEARCH("TOPE",UPPER(E469))),ISNUMBER(SEARCH("TOPE",UPPER(G469)))),"SOLO CONTROL",IF(ISNUMBER(SEARCH("RETEN",UPPER(E469))),"RETENCIÓN","REVISAR")))),"REVISAR"))</f>
        <v/>
      </c>
      <c r="J469" s="48">
        <f>IF(A469="","",IF(ISNUMBER(SEARCH("ingreso laboral promedio de los últimos seis meses",E469)),"",IFERROR(IF(AND(S469=1,T469=1),U469,""),"")))</f>
        <v/>
      </c>
      <c r="K469" s="216" t="n"/>
      <c r="L469" s="48">
        <f>IF(A469="","",IFERROR(IF(K469&lt;&gt;"","Casilla elegida por usuario",IF(S469&gt;1,"Varias casillas — elegir en K",IF(J469&lt;&gt;"","Sugerencia directa",IF(S469=1,"No trasladar directo — revisar",IF(OR(ISNUMBER(SEARCH("TOPE",UPPER(E469))),ISNUMBER(SEARCH("TOPE",UPPER(G469)))),"Solo control","Revisar manualmente"))))),"Revisar manualmente"))</f>
        <v/>
      </c>
      <c r="M469" s="461">
        <f>IF(A469="","",IF(IF(K469&lt;&gt;"",K469,J469)="",0,IF(COUNTIFS(Reglas!$I$5:$I$118,IF(K469&lt;&gt;"",K469,J469),Reglas!$J$5:$J$118,"Sí")=1,F469,0)))</f>
        <v/>
      </c>
      <c r="N469" s="56" t="n"/>
      <c r="O469" s="462">
        <f>IF(A469="","",IF(M469=0,"",M469))</f>
        <v/>
      </c>
      <c r="P469" s="461">
        <f>IF(A469="","",IF(O469="",0,IF(ISNUMBER(O469),O469,0)))</f>
        <v/>
      </c>
      <c r="Q469" s="48">
        <f>IF(A469="","",IF(Exogena_RAW!$C$4="","BLOQUEADO: FALTA AÑO",IF(Exogena_RAW!$K$10&lt;&gt;Reglas!$B$5,"BLOQUEADO: AÑO",IF(IF(K469&lt;&gt;"",K469,J469)="",IF(S469&gt;1,"REQUIERE ASIGNACIÓN MANUAL (VARIAS CASILLAS)","INFORMATIVO (sin casilla — no se declara)"),IF(COUNTIFS(Reglas!$I$5:$I$118,IF(K469&lt;&gt;"",K469,J469),Reglas!$J$5:$J$118,"Sí")=0,"BLOQUEADO: CASILLA NO DIRECTA",IF(O469="","EXCLUIDO (valor borrado por el usuario)",IF(_xlfn.ISFORMULA(O469),IF(W469&lt;&gt;"","BORRADOR — VALOR SUGERIDO DIAN ⚠ VER ALERTA","BORRADOR — VALOR SUGERIDO DIAN"),IF(W469&lt;&gt;"","ACEPTADO ⚠ VER ALERTA","ACEPTADO"))))))))</f>
        <v/>
      </c>
      <c r="R469" s="218" t="n"/>
      <c r="S469" s="58">
        <f>IF(A469="","",IFERROR(--ISNUMBER(SEARCH("R28",G469)),0)+IFERROR(--ISNUMBER(SEARCH("R29",G469)),0)+IFERROR(--ISNUMBER(SEARCH("R30",G469)),0)+IFERROR(--ISNUMBER(SEARCH("R31",G469)),0)+IFERROR(--ISNUMBER(SEARCH("R32",G469)),0)+IFERROR(--ISNUMBER(SEARCH("R33",G469)),0)+IFERROR(--ISNUMBER(SEARCH("R34",G469)),0)+IFERROR(--ISNUMBER(SEARCH("R35",G469)),0)+IFERROR(--ISNUMBER(SEARCH("R36",G469)),0)+IFERROR(--ISNUMBER(SEARCH("R37",G469)),0)+IFERROR(--ISNUMBER(SEARCH("R38",G469)),0)+IFERROR(--ISNUMBER(SEARCH("R39",G469)),0)+IFERROR(--ISNUMBER(SEARCH("R40",G469)),0)+IFERROR(--ISNUMBER(SEARCH("R41",G469)),0)+IFERROR(--ISNUMBER(SEARCH("R42",G469)),0)+IFERROR(--ISNUMBER(SEARCH("R43",G469)),0)+IFERROR(--ISNUMBER(SEARCH("R44",G469)),0)+IFERROR(--ISNUMBER(SEARCH("R45",G469)),0)+IFERROR(--ISNUMBER(SEARCH("R46",G469)),0)+IFERROR(--ISNUMBER(SEARCH("R47",G469)),0)+IFERROR(--ISNUMBER(SEARCH("R48",G469)),0)+IFERROR(--ISNUMBER(SEARCH("R49",G469)),0)+IFERROR(--ISNUMBER(SEARCH("R50",G469)),0)+IFERROR(--ISNUMBER(SEARCH("R51",G469)),0)+IFERROR(--ISNUMBER(SEARCH("R52",G469)),0)+IFERROR(--ISNUMBER(SEARCH("R53",G469)),0)+IFERROR(--ISNUMBER(SEARCH("R54",G469)),0)+IFERROR(--ISNUMBER(SEARCH("R55",G469)),0)+IFERROR(--ISNUMBER(SEARCH("R56",G469)),0)+IFERROR(--ISNUMBER(SEARCH("R57",G469)),0)+IFERROR(--ISNUMBER(SEARCH("R58",G469)),0)+IFERROR(--ISNUMBER(SEARCH("R59",G469)),0)+IFERROR(--ISNUMBER(SEARCH("R60",G469)),0)+IFERROR(--ISNUMBER(SEARCH("R61",G469)),0)+IFERROR(--ISNUMBER(SEARCH("R62",G469)),0)+IFERROR(--ISNUMBER(SEARCH("R63",G469)),0)+IFERROR(--ISNUMBER(SEARCH("R64",G469)),0)+IFERROR(--ISNUMBER(SEARCH("R65",G469)),0)+IFERROR(--ISNUMBER(SEARCH("R66",G469)),0)+IFERROR(--ISNUMBER(SEARCH("R67",G469)),0)+IFERROR(--ISNUMBER(SEARCH("R68",G469)),0)+IFERROR(--ISNUMBER(SEARCH("R69",G469)),0)+IFERROR(--ISNUMBER(SEARCH("R70",G469)),0)+IFERROR(--ISNUMBER(SEARCH("R71",G469)),0)+IFERROR(--ISNUMBER(SEARCH("R72",G469)),0)+IFERROR(--ISNUMBER(SEARCH("R73",G469)),0)+IFERROR(--ISNUMBER(SEARCH("R74",G469)),0)+IFERROR(--ISNUMBER(SEARCH("R75",G469)),0)+IFERROR(--ISNUMBER(SEARCH("R76",G469)),0)+IFERROR(--ISNUMBER(SEARCH("R77",G469)),0)+IFERROR(--ISNUMBER(SEARCH("R78",G469)),0)+IFERROR(--ISNUMBER(SEARCH("R79",G469)),0)+IFERROR(--ISNUMBER(SEARCH("R80",G469)),0)+IFERROR(--ISNUMBER(SEARCH("R81",G469)),0)+IFERROR(--ISNUMBER(SEARCH("R82",G469)),0)+IFERROR(--ISNUMBER(SEARCH("R83",G469)),0)+IFERROR(--ISNUMBER(SEARCH("R84",G469)),0)+IFERROR(--ISNUMBER(SEARCH("R85",G469)),0)+IFERROR(--ISNUMBER(SEARCH("R86",G469)),0)+IFERROR(--ISNUMBER(SEARCH("R87",G469)),0)+IFERROR(--ISNUMBER(SEARCH("R88",G469)),0)+IFERROR(--ISNUMBER(SEARCH("R89",G469)),0)+IFERROR(--ISNUMBER(SEARCH("R90",G469)),0)+IFERROR(--ISNUMBER(SEARCH("R91",G469)),0)+IFERROR(--ISNUMBER(SEARCH("R92",G469)),0)+IFERROR(--ISNUMBER(SEARCH("R93",G469)),0)+IFERROR(--ISNUMBER(SEARCH("R94",G469)),0)+IFERROR(--ISNUMBER(SEARCH("R95",G469)),0)+IFERROR(--ISNUMBER(SEARCH("R96",G469)),0)+IFERROR(--ISNUMBER(SEARCH("R97",G469)),0)+IFERROR(--ISNUMBER(SEARCH("R98",G469)),0)+IFERROR(--ISNUMBER(SEARCH("R99",G469)),0)+IFERROR(--ISNUMBER(SEARCH("R100",G469)),0)+IFERROR(--ISNUMBER(SEARCH("R101",G469)),0)+IFERROR(--ISNUMBER(SEARCH("R102",G469)),0)+IFERROR(--ISNUMBER(SEARCH("R103",G469)),0)+IFERROR(--ISNUMBER(SEARCH("R104",G469)),0)+IFERROR(--ISNUMBER(SEARCH("R105",G469)),0)+IFERROR(--ISNUMBER(SEARCH("R106",G469)),0)+IFERROR(--ISNUMBER(SEARCH("R107",G469)),0)+IFERROR(--ISNUMBER(SEARCH("R108",G469)),0)+IFERROR(--ISNUMBER(SEARCH("R109",G469)),0)+IFERROR(--ISNUMBER(SEARCH("R110",G469)),0)+IFERROR(--ISNUMBER(SEARCH("R111",G469)),0)+IFERROR(--ISNUMBER(SEARCH("R112",G469)),0)+IFERROR(--ISNUMBER(SEARCH("R113",G469)),0)+IFERROR(--ISNUMBER(SEARCH("R114",G469)),0)+IFERROR(--ISNUMBER(SEARCH("R115",G469)),0)+IFERROR(--ISNUMBER(SEARCH("R116",G469)),0)+IFERROR(--ISNUMBER(SEARCH("R117",G469)),0)+IFERROR(--ISNUMBER(SEARCH("R118",G469)),0)+IFERROR(--ISNUMBER(SEARCH("R119",G469)),0)+IFERROR(--ISNUMBER(SEARCH("R120",G469)),0)+IFERROR(--ISNUMBER(SEARCH("R121",G469)),0)+IFERROR(--ISNUMBER(SEARCH("R122",G469)),0)+IFERROR(--ISNUMBER(SEARCH("R123",G469)),0)+IFERROR(--ISNUMBER(SEARCH("R124",G469)),0)+IFERROR(--ISNUMBER(SEARCH("R125",G469)),0)+IFERROR(--ISNUMBER(SEARCH("R126",G469)),0)+IFERROR(--ISNUMBER(SEARCH("R127",G469)),0)+IFERROR(--ISNUMBER(SEARCH("R128",G469)),0)+IFERROR(--ISNUMBER(SEARCH("R129",G469)),0)+IFERROR(--ISNUMBER(SEARCH("R130",G469)),0)+IFERROR(--ISNUMBER(SEARCH("R131",G469)),0)+IFERROR(--ISNUMBER(SEARCH("R132",G469)),0)+IFERROR(--ISNUMBER(SEARCH("R133",G469)),0)+IFERROR(--ISNUMBER(SEARCH("R134",G469)),0)+IFERROR(--ISNUMBER(SEARCH("R135",G469)),0)+IFERROR(--ISNUMBER(SEARCH("R136",G469)),0)+IFERROR(--ISNUMBER(SEARCH("R137",G469)),0)+IFERROR(--ISNUMBER(SEARCH("R138",G469)),0)+IFERROR(--ISNUMBER(SEARCH("R139",G469)),0)+IFERROR(--ISNUMBER(SEARCH("R140",G469)),0)+IFERROR(--ISNUMBER(SEARCH("R141",G469)),0))</f>
        <v/>
      </c>
      <c r="T469" s="58">
        <f>IF(A469="","",IFERROR(--ISNUMBER(SEARCH("R28",G469)),0)+IFERROR(--ISNUMBER(SEARCH("R29",G469)),0)+IFERROR(--ISNUMBER(SEARCH("R30",G469)),0)+IFERROR(--ISNUMBER(SEARCH("R32",G469)),0)+IFERROR(--ISNUMBER(SEARCH("R33",G469)),0)+IFERROR(--ISNUMBER(SEARCH("R35",G469)),0)+IFERROR(--ISNUMBER(SEARCH("R36",G469)),0)+IFERROR(--ISNUMBER(SEARCH("R38",G469)),0)+IFERROR(--ISNUMBER(SEARCH("R39",G469)),0)+IFERROR(--ISNUMBER(SEARCH("R43",G469)),0)+IFERROR(--ISNUMBER(SEARCH("R44",G469)),0)+IFERROR(--ISNUMBER(SEARCH("R45",G469)),0)+IFERROR(--ISNUMBER(SEARCH("R47",G469)),0)+IFERROR(--ISNUMBER(SEARCH("R48",G469)),0)+IFERROR(--ISNUMBER(SEARCH("R50",G469)),0)+IFERROR(--ISNUMBER(SEARCH("R51",G469)),0)+IFERROR(--ISNUMBER(SEARCH("R56",G469)),0)+IFERROR(--ISNUMBER(SEARCH("R58",G469)),0)+IFERROR(--ISNUMBER(SEARCH("R59",G469)),0)+IFERROR(--ISNUMBER(SEARCH("R60",G469)),0)+IFERROR(--ISNUMBER(SEARCH("R62",G469)),0)+IFERROR(--ISNUMBER(SEARCH("R63",G469)),0)+IFERROR(--ISNUMBER(SEARCH("R64",G469)),0)+IFERROR(--ISNUMBER(SEARCH("R66",G469)),0)+IFERROR(--ISNUMBER(SEARCH("R67",G469)),0)+IFERROR(--ISNUMBER(SEARCH("R72",G469)),0)+IFERROR(--ISNUMBER(SEARCH("R74",G469)),0)+IFERROR(--ISNUMBER(SEARCH("R75",G469)),0)+IFERROR(--ISNUMBER(SEARCH("R76",G469)),0)+IFERROR(--ISNUMBER(SEARCH("R77",G469)),0)+IFERROR(--ISNUMBER(SEARCH("R79",G469)),0)+IFERROR(--ISNUMBER(SEARCH("R80",G469)),0)+IFERROR(--ISNUMBER(SEARCH("R81",G469)),0)+IFERROR(--ISNUMBER(SEARCH("R83",G469)),0)+IFERROR(--ISNUMBER(SEARCH("R84",G469)),0)+IFERROR(--ISNUMBER(SEARCH("R89",G469)),0)+IFERROR(--ISNUMBER(SEARCH("R94",G469)),0)+IFERROR(--ISNUMBER(SEARCH("R95",G469)),0)+IFERROR(--ISNUMBER(SEARCH("R96",G469)),0)+IFERROR(--ISNUMBER(SEARCH("R98",G469)),0)+IFERROR(--ISNUMBER(SEARCH("R99",G469)),0)+IFERROR(--ISNUMBER(SEARCH("R100",G469)),0)+IFERROR(--ISNUMBER(SEARCH("R104",G469)),0)+IFERROR(--ISNUMBER(SEARCH("R105",G469)),0)+IFERROR(--ISNUMBER(SEARCH("R107",G469)),0)+IFERROR(--ISNUMBER(SEARCH("R108",G469)),0)+IFERROR(--ISNUMBER(SEARCH("R109",G469)),0)+IFERROR(--ISNUMBER(SEARCH("R110",G469)),0)+IFERROR(--ISNUMBER(SEARCH("R112",G469)),0)+IFERROR(--ISNUMBER(SEARCH("R113",G469)),0)+IFERROR(--ISNUMBER(SEARCH("R114",G469)),0)+IFERROR(--ISNUMBER(SEARCH("R118",G469)),0)+IFERROR(--ISNUMBER(SEARCH("R119",G469)),0)+IFERROR(--ISNUMBER(SEARCH("R120",G469)),0)+IFERROR(--ISNUMBER(SEARCH("R122",G469)),0)+IFERROR(--ISNUMBER(SEARCH("R123",G469)),0)+IFERROR(--ISNUMBER(SEARCH("R124",G469)),0)+IFERROR(--ISNUMBER(SEARCH("R128",G469)),0)+IFERROR(--ISNUMBER(SEARCH("R130",G469)),0)+IFERROR(--ISNUMBER(SEARCH("R131",G469)),0)+IFERROR(--ISNUMBER(SEARCH("R132",G469)),0)+IFERROR(--ISNUMBER(SEARCH("R135",G469)),0)+IFERROR(--ISNUMBER(SEARCH("R138",G469)),0)+IFERROR(--ISNUMBER(SEARCH("R141",G469)),0))</f>
        <v/>
      </c>
      <c r="U469" s="58">
        <f>IF(A469="","",IFERROR(--ISNUMBER(SEARCH("R28",G469))*28,0)+IFERROR(--ISNUMBER(SEARCH("R29",G469))*29,0)+IFERROR(--ISNUMBER(SEARCH("R30",G469))*30,0)+IFERROR(--ISNUMBER(SEARCH("R31",G469))*31,0)+IFERROR(--ISNUMBER(SEARCH("R32",G469))*32,0)+IFERROR(--ISNUMBER(SEARCH("R33",G469))*33,0)+IFERROR(--ISNUMBER(SEARCH("R34",G469))*34,0)+IFERROR(--ISNUMBER(SEARCH("R35",G469))*35,0)+IFERROR(--ISNUMBER(SEARCH("R36",G469))*36,0)+IFERROR(--ISNUMBER(SEARCH("R37",G469))*37,0)+IFERROR(--ISNUMBER(SEARCH("R38",G469))*38,0)+IFERROR(--ISNUMBER(SEARCH("R39",G469))*39,0)+IFERROR(--ISNUMBER(SEARCH("R40",G469))*40,0)+IFERROR(--ISNUMBER(SEARCH("R41",G469))*41,0)+IFERROR(--ISNUMBER(SEARCH("R42",G469))*42,0)+IFERROR(--ISNUMBER(SEARCH("R43",G469))*43,0)+IFERROR(--ISNUMBER(SEARCH("R44",G469))*44,0)+IFERROR(--ISNUMBER(SEARCH("R45",G469))*45,0)+IFERROR(--ISNUMBER(SEARCH("R46",G469))*46,0)+IFERROR(--ISNUMBER(SEARCH("R47",G469))*47,0)+IFERROR(--ISNUMBER(SEARCH("R48",G469))*48,0)+IFERROR(--ISNUMBER(SEARCH("R49",G469))*49,0)+IFERROR(--ISNUMBER(SEARCH("R50",G469))*50,0)+IFERROR(--ISNUMBER(SEARCH("R51",G469))*51,0)+IFERROR(--ISNUMBER(SEARCH("R52",G469))*52,0)+IFERROR(--ISNUMBER(SEARCH("R53",G469))*53,0)+IFERROR(--ISNUMBER(SEARCH("R54",G469))*54,0)+IFERROR(--ISNUMBER(SEARCH("R55",G469))*55,0)+IFERROR(--ISNUMBER(SEARCH("R56",G469))*56,0)+IFERROR(--ISNUMBER(SEARCH("R57",G469))*57,0)+IFERROR(--ISNUMBER(SEARCH("R58",G469))*58,0)+IFERROR(--ISNUMBER(SEARCH("R59",G469))*59,0)+IFERROR(--ISNUMBER(SEARCH("R60",G469))*60,0)+IFERROR(--ISNUMBER(SEARCH("R61",G469))*61,0)+IFERROR(--ISNUMBER(SEARCH("R62",G469))*62,0)+IFERROR(--ISNUMBER(SEARCH("R63",G469))*63,0)+IFERROR(--ISNUMBER(SEARCH("R64",G469))*64,0)+IFERROR(--ISNUMBER(SEARCH("R65",G469))*65,0)+IFERROR(--ISNUMBER(SEARCH("R66",G469))*66,0)+IFERROR(--ISNUMBER(SEARCH("R67",G469))*67,0)+IFERROR(--ISNUMBER(SEARCH("R68",G469))*68,0)+IFERROR(--ISNUMBER(SEARCH("R69",G469))*69,0)+IFERROR(--ISNUMBER(SEARCH("R70",G469))*70,0)+IFERROR(--ISNUMBER(SEARCH("R71",G469))*71,0)+IFERROR(--ISNUMBER(SEARCH("R72",G469))*72,0)+IFERROR(--ISNUMBER(SEARCH("R73",G469))*73,0)+IFERROR(--ISNUMBER(SEARCH("R74",G469))*74,0)+IFERROR(--ISNUMBER(SEARCH("R75",G469))*75,0)+IFERROR(--ISNUMBER(SEARCH("R76",G469))*76,0)+IFERROR(--ISNUMBER(SEARCH("R77",G469))*77,0)+IFERROR(--ISNUMBER(SEARCH("R78",G469))*78,0)+IFERROR(--ISNUMBER(SEARCH("R79",G469))*79,0)+IFERROR(--ISNUMBER(SEARCH("R80",G469))*80,0)+IFERROR(--ISNUMBER(SEARCH("R81",G469))*81,0)+IFERROR(--ISNUMBER(SEARCH("R82",G469))*82,0)+IFERROR(--ISNUMBER(SEARCH("R83",G469))*83,0)+IFERROR(--ISNUMBER(SEARCH("R84",G469))*84,0)+IFERROR(--ISNUMBER(SEARCH("R85",G469))*85,0)+IFERROR(--ISNUMBER(SEARCH("R86",G469))*86,0)+IFERROR(--ISNUMBER(SEARCH("R87",G469))*87,0)+IFERROR(--ISNUMBER(SEARCH("R88",G469))*88,0)+IFERROR(--ISNUMBER(SEARCH("R89",G469))*89,0)+IFERROR(--ISNUMBER(SEARCH("R90",G469))*90,0)+IFERROR(--ISNUMBER(SEARCH("R91",G469))*91,0)+IFERROR(--ISNUMBER(SEARCH("R92",G469))*92,0)+IFERROR(--ISNUMBER(SEARCH("R93",G469))*93,0)+IFERROR(--ISNUMBER(SEARCH("R94",G469))*94,0)+IFERROR(--ISNUMBER(SEARCH("R95",G469))*95,0)+IFERROR(--ISNUMBER(SEARCH("R96",G469))*96,0)+IFERROR(--ISNUMBER(SEARCH("R97",G469))*97,0)+IFERROR(--ISNUMBER(SEARCH("R98",G469))*98,0)+IFERROR(--ISNUMBER(SEARCH("R99",G469))*99,0)+IFERROR(--ISNUMBER(SEARCH("R100",G469))*100,0)+IFERROR(--ISNUMBER(SEARCH("R101",G469))*101,0)+IFERROR(--ISNUMBER(SEARCH("R102",G469))*102,0)+IFERROR(--ISNUMBER(SEARCH("R103",G469))*103,0)+IFERROR(--ISNUMBER(SEARCH("R104",G469))*104,0)+IFERROR(--ISNUMBER(SEARCH("R105",G469))*105,0)+IFERROR(--ISNUMBER(SEARCH("R106",G469))*106,0)+IFERROR(--ISNUMBER(SEARCH("R107",G469))*107,0)+IFERROR(--ISNUMBER(SEARCH("R108",G469))*108,0)+IFERROR(--ISNUMBER(SEARCH("R109",G469))*109,0)+IFERROR(--ISNUMBER(SEARCH("R110",G469))*110,0)+IFERROR(--ISNUMBER(SEARCH("R111",G469))*111,0)+IFERROR(--ISNUMBER(SEARCH("R112",G469))*112,0)+IFERROR(--ISNUMBER(SEARCH("R113",G469))*113,0)+IFERROR(--ISNUMBER(SEARCH("R114",G469))*114,0)+IFERROR(--ISNUMBER(SEARCH("R115",G469))*115,0)+IFERROR(--ISNUMBER(SEARCH("R116",G469))*116,0)+IFERROR(--ISNUMBER(SEARCH("R117",G469))*117,0)+IFERROR(--ISNUMBER(SEARCH("R118",G469))*118,0)+IFERROR(--ISNUMBER(SEARCH("R119",G469))*119,0)+IFERROR(--ISNUMBER(SEARCH("R120",G469))*120,0)+IFERROR(--ISNUMBER(SEARCH("R121",G469))*121,0)+IFERROR(--ISNUMBER(SEARCH("R122",G469))*122,0)+IFERROR(--ISNUMBER(SEARCH("R123",G469))*123,0)+IFERROR(--ISNUMBER(SEARCH("R124",G469))*124,0)+IFERROR(--ISNUMBER(SEARCH("R125",G469))*125,0)+IFERROR(--ISNUMBER(SEARCH("R126",G469))*126,0)+IFERROR(--ISNUMBER(SEARCH("R127",G469))*127,0)+IFERROR(--ISNUMBER(SEARCH("R128",G469))*128,0)+IFERROR(--ISNUMBER(SEARCH("R129",G469))*129,0)+IFERROR(--ISNUMBER(SEARCH("R130",G469))*130,0)+IFERROR(--ISNUMBER(SEARCH("R131",G469))*131,0)+IFERROR(--ISNUMBER(SEARCH("R132",G469))*132,0)+IFERROR(--ISNUMBER(SEARCH("R133",G469))*133,0)+IFERROR(--ISNUMBER(SEARCH("R134",G469))*134,0)+IFERROR(--ISNUMBER(SEARCH("R135",G469))*135,0)+IFERROR(--ISNUMBER(SEARCH("R136",G469))*136,0)+IFERROR(--ISNUMBER(SEARCH("R137",G469))*137,0)+IFERROR(--ISNUMBER(SEARCH("R138",G469))*138,0)+IFERROR(--ISNUMBER(SEARCH("R139",G469))*139,0)+IFERROR(--ISNUMBER(SEARCH("R140",G469))*140,0)+IFERROR(--ISNUMBER(SEARCH("R141",G469))*141,0))</f>
        <v/>
      </c>
      <c r="V469" s="59">
        <f>IF(A469="","",IF(K469&lt;&gt;"",K469,J469))</f>
        <v/>
      </c>
      <c r="W469" s="59">
        <f>IF(A469="","",IF(AND(V469=29,O469&lt;&gt;"",COUNTIFS($V$6:$V$505,29,$F$6:$F$505,F469,$C$6:$C$505,C469,$O$6:$O$505,"&lt;&gt;")&gt;1),IF(COUNTIFS($V$6:V469,29,$F$6:F469,F469,$C$6:C469,C469,$O$6:O469,"&lt;&gt;")=1,"Esta es la fila que se debe CONSERVAR (aparición 1 de "&amp;COUNTIFS($V$6:$V$505,29,$F$6:$F$505,F469,$C$6:$C$505,C469,$O$6:$O$505,"&lt;&gt;")&amp;" con el mismo tercero y valor, casilla 29). Si hay más filas iguales, bórreles el valor a ELLAS, no a esta.","DUPLICADO — ya existe otra fila con el mismo tercero y valor para casilla 29 (aparición "&amp;COUNTIFS($V$6:V469,29,$F$6:F469,F469,$C$6:C469,C469,$O$6:O469,"&lt;&gt;")&amp;" de "&amp;COUNTIFS($V$6:$V$505,29,$F$6:$F$505,F469,$C$6:$C$505,C469,$O$6:$O$505,"&lt;&gt;")&amp;"). Para resolverlo: seleccione la celda O"&amp;ROW()&amp;" (columna Valor a declarar de ESTA fila) y presione Supr."),""))</f>
        <v/>
      </c>
      <c r="X469" s="463">
        <f>IF(A469="","",F469)</f>
        <v/>
      </c>
      <c r="Y469" s="463">
        <f>IF(A469="","",SUMIF(Entrada_Manual!$I$88:$I$187,A469,Entrada_Manual!$F$88:$F$187))</f>
        <v/>
      </c>
      <c r="Z469" s="463">
        <f>IF(A469="","",X469-Y469)</f>
        <v/>
      </c>
      <c r="AA469">
        <f>IF(A469="","",SUMPRODUCT((Entrada_Manual!$I$88:$I$187=A469)*1))</f>
        <v/>
      </c>
      <c r="AB469">
        <f>IF(A469="","",IF(S469&lt;=1,"",IF(AA469=0,"PENDIENTE — SIN ASIGNAR",IF(Z469=0,"RESUELTO","PARCIAL — DIFERENCIA "&amp;TEXT(Z469,"#,##0")))))</f>
        <v/>
      </c>
    </row>
    <row r="470" ht="14.25" customHeight="1" s="235">
      <c r="A470" s="47">
        <f>IF(Exogena_RAW!E479&lt;&gt;"",ROW()-5,"")</f>
        <v/>
      </c>
      <c r="B470" s="48">
        <f>IF(A470="","",479)</f>
        <v/>
      </c>
      <c r="C470" s="48">
        <f>IF(A470="","",IFERROR(Exogena_RAW!A479,""))</f>
        <v/>
      </c>
      <c r="D470" s="48">
        <f>IF(A470="","",IFERROR(Exogena_RAW!B479,""))</f>
        <v/>
      </c>
      <c r="E470" s="48">
        <f>IF(A470="","",Exogena_RAW!E479)</f>
        <v/>
      </c>
      <c r="F470" s="461">
        <f>IF(A470="","",Exogena_RAW!F479)</f>
        <v/>
      </c>
      <c r="G470" s="48">
        <f>IF(A470="","",IFERROR(Exogena_RAW!G479,""))</f>
        <v/>
      </c>
      <c r="H470" s="48">
        <f>IF(A470="","",IFERROR(Exogena_RAW!H479,""))</f>
        <v/>
      </c>
      <c r="I470" s="48">
        <f>IF(A470="","",IFERROR(IF(S470&gt;1,"VARIAS CASILLAS",IF(S470=1,IF(T470=1,"PROPUESTA DE CASILLA","REVISIÓN: CASILLA NO DIRECTA"),IF(OR(ISNUMBER(SEARCH("TOPE",UPPER(E470))),ISNUMBER(SEARCH("TOPE",UPPER(G470)))),"SOLO CONTROL",IF(ISNUMBER(SEARCH("RETEN",UPPER(E470))),"RETENCIÓN","REVISAR")))),"REVISAR"))</f>
        <v/>
      </c>
      <c r="J470" s="48">
        <f>IF(A470="","",IF(ISNUMBER(SEARCH("ingreso laboral promedio de los últimos seis meses",E470)),"",IFERROR(IF(AND(S470=1,T470=1),U470,""),"")))</f>
        <v/>
      </c>
      <c r="K470" s="216" t="n"/>
      <c r="L470" s="48">
        <f>IF(A470="","",IFERROR(IF(K470&lt;&gt;"","Casilla elegida por usuario",IF(S470&gt;1,"Varias casillas — elegir en K",IF(J470&lt;&gt;"","Sugerencia directa",IF(S470=1,"No trasladar directo — revisar",IF(OR(ISNUMBER(SEARCH("TOPE",UPPER(E470))),ISNUMBER(SEARCH("TOPE",UPPER(G470)))),"Solo control","Revisar manualmente"))))),"Revisar manualmente"))</f>
        <v/>
      </c>
      <c r="M470" s="461">
        <f>IF(A470="","",IF(IF(K470&lt;&gt;"",K470,J470)="",0,IF(COUNTIFS(Reglas!$I$5:$I$118,IF(K470&lt;&gt;"",K470,J470),Reglas!$J$5:$J$118,"Sí")=1,F470,0)))</f>
        <v/>
      </c>
      <c r="N470" s="56" t="n"/>
      <c r="O470" s="462">
        <f>IF(A470="","",IF(M470=0,"",M470))</f>
        <v/>
      </c>
      <c r="P470" s="461">
        <f>IF(A470="","",IF(O470="",0,IF(ISNUMBER(O470),O470,0)))</f>
        <v/>
      </c>
      <c r="Q470" s="48">
        <f>IF(A470="","",IF(Exogena_RAW!$C$4="","BLOQUEADO: FALTA AÑO",IF(Exogena_RAW!$K$10&lt;&gt;Reglas!$B$5,"BLOQUEADO: AÑO",IF(IF(K470&lt;&gt;"",K470,J470)="",IF(S470&gt;1,"REQUIERE ASIGNACIÓN MANUAL (VARIAS CASILLAS)","INFORMATIVO (sin casilla — no se declara)"),IF(COUNTIFS(Reglas!$I$5:$I$118,IF(K470&lt;&gt;"",K470,J470),Reglas!$J$5:$J$118,"Sí")=0,"BLOQUEADO: CASILLA NO DIRECTA",IF(O470="","EXCLUIDO (valor borrado por el usuario)",IF(_xlfn.ISFORMULA(O470),IF(W470&lt;&gt;"","BORRADOR — VALOR SUGERIDO DIAN ⚠ VER ALERTA","BORRADOR — VALOR SUGERIDO DIAN"),IF(W470&lt;&gt;"","ACEPTADO ⚠ VER ALERTA","ACEPTADO"))))))))</f>
        <v/>
      </c>
      <c r="R470" s="218" t="n"/>
      <c r="S470" s="58">
        <f>IF(A470="","",IFERROR(--ISNUMBER(SEARCH("R28",G470)),0)+IFERROR(--ISNUMBER(SEARCH("R29",G470)),0)+IFERROR(--ISNUMBER(SEARCH("R30",G470)),0)+IFERROR(--ISNUMBER(SEARCH("R31",G470)),0)+IFERROR(--ISNUMBER(SEARCH("R32",G470)),0)+IFERROR(--ISNUMBER(SEARCH("R33",G470)),0)+IFERROR(--ISNUMBER(SEARCH("R34",G470)),0)+IFERROR(--ISNUMBER(SEARCH("R35",G470)),0)+IFERROR(--ISNUMBER(SEARCH("R36",G470)),0)+IFERROR(--ISNUMBER(SEARCH("R37",G470)),0)+IFERROR(--ISNUMBER(SEARCH("R38",G470)),0)+IFERROR(--ISNUMBER(SEARCH("R39",G470)),0)+IFERROR(--ISNUMBER(SEARCH("R40",G470)),0)+IFERROR(--ISNUMBER(SEARCH("R41",G470)),0)+IFERROR(--ISNUMBER(SEARCH("R42",G470)),0)+IFERROR(--ISNUMBER(SEARCH("R43",G470)),0)+IFERROR(--ISNUMBER(SEARCH("R44",G470)),0)+IFERROR(--ISNUMBER(SEARCH("R45",G470)),0)+IFERROR(--ISNUMBER(SEARCH("R46",G470)),0)+IFERROR(--ISNUMBER(SEARCH("R47",G470)),0)+IFERROR(--ISNUMBER(SEARCH("R48",G470)),0)+IFERROR(--ISNUMBER(SEARCH("R49",G470)),0)+IFERROR(--ISNUMBER(SEARCH("R50",G470)),0)+IFERROR(--ISNUMBER(SEARCH("R51",G470)),0)+IFERROR(--ISNUMBER(SEARCH("R52",G470)),0)+IFERROR(--ISNUMBER(SEARCH("R53",G470)),0)+IFERROR(--ISNUMBER(SEARCH("R54",G470)),0)+IFERROR(--ISNUMBER(SEARCH("R55",G470)),0)+IFERROR(--ISNUMBER(SEARCH("R56",G470)),0)+IFERROR(--ISNUMBER(SEARCH("R57",G470)),0)+IFERROR(--ISNUMBER(SEARCH("R58",G470)),0)+IFERROR(--ISNUMBER(SEARCH("R59",G470)),0)+IFERROR(--ISNUMBER(SEARCH("R60",G470)),0)+IFERROR(--ISNUMBER(SEARCH("R61",G470)),0)+IFERROR(--ISNUMBER(SEARCH("R62",G470)),0)+IFERROR(--ISNUMBER(SEARCH("R63",G470)),0)+IFERROR(--ISNUMBER(SEARCH("R64",G470)),0)+IFERROR(--ISNUMBER(SEARCH("R65",G470)),0)+IFERROR(--ISNUMBER(SEARCH("R66",G470)),0)+IFERROR(--ISNUMBER(SEARCH("R67",G470)),0)+IFERROR(--ISNUMBER(SEARCH("R68",G470)),0)+IFERROR(--ISNUMBER(SEARCH("R69",G470)),0)+IFERROR(--ISNUMBER(SEARCH("R70",G470)),0)+IFERROR(--ISNUMBER(SEARCH("R71",G470)),0)+IFERROR(--ISNUMBER(SEARCH("R72",G470)),0)+IFERROR(--ISNUMBER(SEARCH("R73",G470)),0)+IFERROR(--ISNUMBER(SEARCH("R74",G470)),0)+IFERROR(--ISNUMBER(SEARCH("R75",G470)),0)+IFERROR(--ISNUMBER(SEARCH("R76",G470)),0)+IFERROR(--ISNUMBER(SEARCH("R77",G470)),0)+IFERROR(--ISNUMBER(SEARCH("R78",G470)),0)+IFERROR(--ISNUMBER(SEARCH("R79",G470)),0)+IFERROR(--ISNUMBER(SEARCH("R80",G470)),0)+IFERROR(--ISNUMBER(SEARCH("R81",G470)),0)+IFERROR(--ISNUMBER(SEARCH("R82",G470)),0)+IFERROR(--ISNUMBER(SEARCH("R83",G470)),0)+IFERROR(--ISNUMBER(SEARCH("R84",G470)),0)+IFERROR(--ISNUMBER(SEARCH("R85",G470)),0)+IFERROR(--ISNUMBER(SEARCH("R86",G470)),0)+IFERROR(--ISNUMBER(SEARCH("R87",G470)),0)+IFERROR(--ISNUMBER(SEARCH("R88",G470)),0)+IFERROR(--ISNUMBER(SEARCH("R89",G470)),0)+IFERROR(--ISNUMBER(SEARCH("R90",G470)),0)+IFERROR(--ISNUMBER(SEARCH("R91",G470)),0)+IFERROR(--ISNUMBER(SEARCH("R92",G470)),0)+IFERROR(--ISNUMBER(SEARCH("R93",G470)),0)+IFERROR(--ISNUMBER(SEARCH("R94",G470)),0)+IFERROR(--ISNUMBER(SEARCH("R95",G470)),0)+IFERROR(--ISNUMBER(SEARCH("R96",G470)),0)+IFERROR(--ISNUMBER(SEARCH("R97",G470)),0)+IFERROR(--ISNUMBER(SEARCH("R98",G470)),0)+IFERROR(--ISNUMBER(SEARCH("R99",G470)),0)+IFERROR(--ISNUMBER(SEARCH("R100",G470)),0)+IFERROR(--ISNUMBER(SEARCH("R101",G470)),0)+IFERROR(--ISNUMBER(SEARCH("R102",G470)),0)+IFERROR(--ISNUMBER(SEARCH("R103",G470)),0)+IFERROR(--ISNUMBER(SEARCH("R104",G470)),0)+IFERROR(--ISNUMBER(SEARCH("R105",G470)),0)+IFERROR(--ISNUMBER(SEARCH("R106",G470)),0)+IFERROR(--ISNUMBER(SEARCH("R107",G470)),0)+IFERROR(--ISNUMBER(SEARCH("R108",G470)),0)+IFERROR(--ISNUMBER(SEARCH("R109",G470)),0)+IFERROR(--ISNUMBER(SEARCH("R110",G470)),0)+IFERROR(--ISNUMBER(SEARCH("R111",G470)),0)+IFERROR(--ISNUMBER(SEARCH("R112",G470)),0)+IFERROR(--ISNUMBER(SEARCH("R113",G470)),0)+IFERROR(--ISNUMBER(SEARCH("R114",G470)),0)+IFERROR(--ISNUMBER(SEARCH("R115",G470)),0)+IFERROR(--ISNUMBER(SEARCH("R116",G470)),0)+IFERROR(--ISNUMBER(SEARCH("R117",G470)),0)+IFERROR(--ISNUMBER(SEARCH("R118",G470)),0)+IFERROR(--ISNUMBER(SEARCH("R119",G470)),0)+IFERROR(--ISNUMBER(SEARCH("R120",G470)),0)+IFERROR(--ISNUMBER(SEARCH("R121",G470)),0)+IFERROR(--ISNUMBER(SEARCH("R122",G470)),0)+IFERROR(--ISNUMBER(SEARCH("R123",G470)),0)+IFERROR(--ISNUMBER(SEARCH("R124",G470)),0)+IFERROR(--ISNUMBER(SEARCH("R125",G470)),0)+IFERROR(--ISNUMBER(SEARCH("R126",G470)),0)+IFERROR(--ISNUMBER(SEARCH("R127",G470)),0)+IFERROR(--ISNUMBER(SEARCH("R128",G470)),0)+IFERROR(--ISNUMBER(SEARCH("R129",G470)),0)+IFERROR(--ISNUMBER(SEARCH("R130",G470)),0)+IFERROR(--ISNUMBER(SEARCH("R131",G470)),0)+IFERROR(--ISNUMBER(SEARCH("R132",G470)),0)+IFERROR(--ISNUMBER(SEARCH("R133",G470)),0)+IFERROR(--ISNUMBER(SEARCH("R134",G470)),0)+IFERROR(--ISNUMBER(SEARCH("R135",G470)),0)+IFERROR(--ISNUMBER(SEARCH("R136",G470)),0)+IFERROR(--ISNUMBER(SEARCH("R137",G470)),0)+IFERROR(--ISNUMBER(SEARCH("R138",G470)),0)+IFERROR(--ISNUMBER(SEARCH("R139",G470)),0)+IFERROR(--ISNUMBER(SEARCH("R140",G470)),0)+IFERROR(--ISNUMBER(SEARCH("R141",G470)),0))</f>
        <v/>
      </c>
      <c r="T470" s="58">
        <f>IF(A470="","",IFERROR(--ISNUMBER(SEARCH("R28",G470)),0)+IFERROR(--ISNUMBER(SEARCH("R29",G470)),0)+IFERROR(--ISNUMBER(SEARCH("R30",G470)),0)+IFERROR(--ISNUMBER(SEARCH("R32",G470)),0)+IFERROR(--ISNUMBER(SEARCH("R33",G470)),0)+IFERROR(--ISNUMBER(SEARCH("R35",G470)),0)+IFERROR(--ISNUMBER(SEARCH("R36",G470)),0)+IFERROR(--ISNUMBER(SEARCH("R38",G470)),0)+IFERROR(--ISNUMBER(SEARCH("R39",G470)),0)+IFERROR(--ISNUMBER(SEARCH("R43",G470)),0)+IFERROR(--ISNUMBER(SEARCH("R44",G470)),0)+IFERROR(--ISNUMBER(SEARCH("R45",G470)),0)+IFERROR(--ISNUMBER(SEARCH("R47",G470)),0)+IFERROR(--ISNUMBER(SEARCH("R48",G470)),0)+IFERROR(--ISNUMBER(SEARCH("R50",G470)),0)+IFERROR(--ISNUMBER(SEARCH("R51",G470)),0)+IFERROR(--ISNUMBER(SEARCH("R56",G470)),0)+IFERROR(--ISNUMBER(SEARCH("R58",G470)),0)+IFERROR(--ISNUMBER(SEARCH("R59",G470)),0)+IFERROR(--ISNUMBER(SEARCH("R60",G470)),0)+IFERROR(--ISNUMBER(SEARCH("R62",G470)),0)+IFERROR(--ISNUMBER(SEARCH("R63",G470)),0)+IFERROR(--ISNUMBER(SEARCH("R64",G470)),0)+IFERROR(--ISNUMBER(SEARCH("R66",G470)),0)+IFERROR(--ISNUMBER(SEARCH("R67",G470)),0)+IFERROR(--ISNUMBER(SEARCH("R72",G470)),0)+IFERROR(--ISNUMBER(SEARCH("R74",G470)),0)+IFERROR(--ISNUMBER(SEARCH("R75",G470)),0)+IFERROR(--ISNUMBER(SEARCH("R76",G470)),0)+IFERROR(--ISNUMBER(SEARCH("R77",G470)),0)+IFERROR(--ISNUMBER(SEARCH("R79",G470)),0)+IFERROR(--ISNUMBER(SEARCH("R80",G470)),0)+IFERROR(--ISNUMBER(SEARCH("R81",G470)),0)+IFERROR(--ISNUMBER(SEARCH("R83",G470)),0)+IFERROR(--ISNUMBER(SEARCH("R84",G470)),0)+IFERROR(--ISNUMBER(SEARCH("R89",G470)),0)+IFERROR(--ISNUMBER(SEARCH("R94",G470)),0)+IFERROR(--ISNUMBER(SEARCH("R95",G470)),0)+IFERROR(--ISNUMBER(SEARCH("R96",G470)),0)+IFERROR(--ISNUMBER(SEARCH("R98",G470)),0)+IFERROR(--ISNUMBER(SEARCH("R99",G470)),0)+IFERROR(--ISNUMBER(SEARCH("R100",G470)),0)+IFERROR(--ISNUMBER(SEARCH("R104",G470)),0)+IFERROR(--ISNUMBER(SEARCH("R105",G470)),0)+IFERROR(--ISNUMBER(SEARCH("R107",G470)),0)+IFERROR(--ISNUMBER(SEARCH("R108",G470)),0)+IFERROR(--ISNUMBER(SEARCH("R109",G470)),0)+IFERROR(--ISNUMBER(SEARCH("R110",G470)),0)+IFERROR(--ISNUMBER(SEARCH("R112",G470)),0)+IFERROR(--ISNUMBER(SEARCH("R113",G470)),0)+IFERROR(--ISNUMBER(SEARCH("R114",G470)),0)+IFERROR(--ISNUMBER(SEARCH("R118",G470)),0)+IFERROR(--ISNUMBER(SEARCH("R119",G470)),0)+IFERROR(--ISNUMBER(SEARCH("R120",G470)),0)+IFERROR(--ISNUMBER(SEARCH("R122",G470)),0)+IFERROR(--ISNUMBER(SEARCH("R123",G470)),0)+IFERROR(--ISNUMBER(SEARCH("R124",G470)),0)+IFERROR(--ISNUMBER(SEARCH("R128",G470)),0)+IFERROR(--ISNUMBER(SEARCH("R130",G470)),0)+IFERROR(--ISNUMBER(SEARCH("R131",G470)),0)+IFERROR(--ISNUMBER(SEARCH("R132",G470)),0)+IFERROR(--ISNUMBER(SEARCH("R135",G470)),0)+IFERROR(--ISNUMBER(SEARCH("R138",G470)),0)+IFERROR(--ISNUMBER(SEARCH("R141",G470)),0))</f>
        <v/>
      </c>
      <c r="U470" s="58">
        <f>IF(A470="","",IFERROR(--ISNUMBER(SEARCH("R28",G470))*28,0)+IFERROR(--ISNUMBER(SEARCH("R29",G470))*29,0)+IFERROR(--ISNUMBER(SEARCH("R30",G470))*30,0)+IFERROR(--ISNUMBER(SEARCH("R31",G470))*31,0)+IFERROR(--ISNUMBER(SEARCH("R32",G470))*32,0)+IFERROR(--ISNUMBER(SEARCH("R33",G470))*33,0)+IFERROR(--ISNUMBER(SEARCH("R34",G470))*34,0)+IFERROR(--ISNUMBER(SEARCH("R35",G470))*35,0)+IFERROR(--ISNUMBER(SEARCH("R36",G470))*36,0)+IFERROR(--ISNUMBER(SEARCH("R37",G470))*37,0)+IFERROR(--ISNUMBER(SEARCH("R38",G470))*38,0)+IFERROR(--ISNUMBER(SEARCH("R39",G470))*39,0)+IFERROR(--ISNUMBER(SEARCH("R40",G470))*40,0)+IFERROR(--ISNUMBER(SEARCH("R41",G470))*41,0)+IFERROR(--ISNUMBER(SEARCH("R42",G470))*42,0)+IFERROR(--ISNUMBER(SEARCH("R43",G470))*43,0)+IFERROR(--ISNUMBER(SEARCH("R44",G470))*44,0)+IFERROR(--ISNUMBER(SEARCH("R45",G470))*45,0)+IFERROR(--ISNUMBER(SEARCH("R46",G470))*46,0)+IFERROR(--ISNUMBER(SEARCH("R47",G470))*47,0)+IFERROR(--ISNUMBER(SEARCH("R48",G470))*48,0)+IFERROR(--ISNUMBER(SEARCH("R49",G470))*49,0)+IFERROR(--ISNUMBER(SEARCH("R50",G470))*50,0)+IFERROR(--ISNUMBER(SEARCH("R51",G470))*51,0)+IFERROR(--ISNUMBER(SEARCH("R52",G470))*52,0)+IFERROR(--ISNUMBER(SEARCH("R53",G470))*53,0)+IFERROR(--ISNUMBER(SEARCH("R54",G470))*54,0)+IFERROR(--ISNUMBER(SEARCH("R55",G470))*55,0)+IFERROR(--ISNUMBER(SEARCH("R56",G470))*56,0)+IFERROR(--ISNUMBER(SEARCH("R57",G470))*57,0)+IFERROR(--ISNUMBER(SEARCH("R58",G470))*58,0)+IFERROR(--ISNUMBER(SEARCH("R59",G470))*59,0)+IFERROR(--ISNUMBER(SEARCH("R60",G470))*60,0)+IFERROR(--ISNUMBER(SEARCH("R61",G470))*61,0)+IFERROR(--ISNUMBER(SEARCH("R62",G470))*62,0)+IFERROR(--ISNUMBER(SEARCH("R63",G470))*63,0)+IFERROR(--ISNUMBER(SEARCH("R64",G470))*64,0)+IFERROR(--ISNUMBER(SEARCH("R65",G470))*65,0)+IFERROR(--ISNUMBER(SEARCH("R66",G470))*66,0)+IFERROR(--ISNUMBER(SEARCH("R67",G470))*67,0)+IFERROR(--ISNUMBER(SEARCH("R68",G470))*68,0)+IFERROR(--ISNUMBER(SEARCH("R69",G470))*69,0)+IFERROR(--ISNUMBER(SEARCH("R70",G470))*70,0)+IFERROR(--ISNUMBER(SEARCH("R71",G470))*71,0)+IFERROR(--ISNUMBER(SEARCH("R72",G470))*72,0)+IFERROR(--ISNUMBER(SEARCH("R73",G470))*73,0)+IFERROR(--ISNUMBER(SEARCH("R74",G470))*74,0)+IFERROR(--ISNUMBER(SEARCH("R75",G470))*75,0)+IFERROR(--ISNUMBER(SEARCH("R76",G470))*76,0)+IFERROR(--ISNUMBER(SEARCH("R77",G470))*77,0)+IFERROR(--ISNUMBER(SEARCH("R78",G470))*78,0)+IFERROR(--ISNUMBER(SEARCH("R79",G470))*79,0)+IFERROR(--ISNUMBER(SEARCH("R80",G470))*80,0)+IFERROR(--ISNUMBER(SEARCH("R81",G470))*81,0)+IFERROR(--ISNUMBER(SEARCH("R82",G470))*82,0)+IFERROR(--ISNUMBER(SEARCH("R83",G470))*83,0)+IFERROR(--ISNUMBER(SEARCH("R84",G470))*84,0)+IFERROR(--ISNUMBER(SEARCH("R85",G470))*85,0)+IFERROR(--ISNUMBER(SEARCH("R86",G470))*86,0)+IFERROR(--ISNUMBER(SEARCH("R87",G470))*87,0)+IFERROR(--ISNUMBER(SEARCH("R88",G470))*88,0)+IFERROR(--ISNUMBER(SEARCH("R89",G470))*89,0)+IFERROR(--ISNUMBER(SEARCH("R90",G470))*90,0)+IFERROR(--ISNUMBER(SEARCH("R91",G470))*91,0)+IFERROR(--ISNUMBER(SEARCH("R92",G470))*92,0)+IFERROR(--ISNUMBER(SEARCH("R93",G470))*93,0)+IFERROR(--ISNUMBER(SEARCH("R94",G470))*94,0)+IFERROR(--ISNUMBER(SEARCH("R95",G470))*95,0)+IFERROR(--ISNUMBER(SEARCH("R96",G470))*96,0)+IFERROR(--ISNUMBER(SEARCH("R97",G470))*97,0)+IFERROR(--ISNUMBER(SEARCH("R98",G470))*98,0)+IFERROR(--ISNUMBER(SEARCH("R99",G470))*99,0)+IFERROR(--ISNUMBER(SEARCH("R100",G470))*100,0)+IFERROR(--ISNUMBER(SEARCH("R101",G470))*101,0)+IFERROR(--ISNUMBER(SEARCH("R102",G470))*102,0)+IFERROR(--ISNUMBER(SEARCH("R103",G470))*103,0)+IFERROR(--ISNUMBER(SEARCH("R104",G470))*104,0)+IFERROR(--ISNUMBER(SEARCH("R105",G470))*105,0)+IFERROR(--ISNUMBER(SEARCH("R106",G470))*106,0)+IFERROR(--ISNUMBER(SEARCH("R107",G470))*107,0)+IFERROR(--ISNUMBER(SEARCH("R108",G470))*108,0)+IFERROR(--ISNUMBER(SEARCH("R109",G470))*109,0)+IFERROR(--ISNUMBER(SEARCH("R110",G470))*110,0)+IFERROR(--ISNUMBER(SEARCH("R111",G470))*111,0)+IFERROR(--ISNUMBER(SEARCH("R112",G470))*112,0)+IFERROR(--ISNUMBER(SEARCH("R113",G470))*113,0)+IFERROR(--ISNUMBER(SEARCH("R114",G470))*114,0)+IFERROR(--ISNUMBER(SEARCH("R115",G470))*115,0)+IFERROR(--ISNUMBER(SEARCH("R116",G470))*116,0)+IFERROR(--ISNUMBER(SEARCH("R117",G470))*117,0)+IFERROR(--ISNUMBER(SEARCH("R118",G470))*118,0)+IFERROR(--ISNUMBER(SEARCH("R119",G470))*119,0)+IFERROR(--ISNUMBER(SEARCH("R120",G470))*120,0)+IFERROR(--ISNUMBER(SEARCH("R121",G470))*121,0)+IFERROR(--ISNUMBER(SEARCH("R122",G470))*122,0)+IFERROR(--ISNUMBER(SEARCH("R123",G470))*123,0)+IFERROR(--ISNUMBER(SEARCH("R124",G470))*124,0)+IFERROR(--ISNUMBER(SEARCH("R125",G470))*125,0)+IFERROR(--ISNUMBER(SEARCH("R126",G470))*126,0)+IFERROR(--ISNUMBER(SEARCH("R127",G470))*127,0)+IFERROR(--ISNUMBER(SEARCH("R128",G470))*128,0)+IFERROR(--ISNUMBER(SEARCH("R129",G470))*129,0)+IFERROR(--ISNUMBER(SEARCH("R130",G470))*130,0)+IFERROR(--ISNUMBER(SEARCH("R131",G470))*131,0)+IFERROR(--ISNUMBER(SEARCH("R132",G470))*132,0)+IFERROR(--ISNUMBER(SEARCH("R133",G470))*133,0)+IFERROR(--ISNUMBER(SEARCH("R134",G470))*134,0)+IFERROR(--ISNUMBER(SEARCH("R135",G470))*135,0)+IFERROR(--ISNUMBER(SEARCH("R136",G470))*136,0)+IFERROR(--ISNUMBER(SEARCH("R137",G470))*137,0)+IFERROR(--ISNUMBER(SEARCH("R138",G470))*138,0)+IFERROR(--ISNUMBER(SEARCH("R139",G470))*139,0)+IFERROR(--ISNUMBER(SEARCH("R140",G470))*140,0)+IFERROR(--ISNUMBER(SEARCH("R141",G470))*141,0))</f>
        <v/>
      </c>
      <c r="V470" s="59">
        <f>IF(A470="","",IF(K470&lt;&gt;"",K470,J470))</f>
        <v/>
      </c>
      <c r="W470" s="59">
        <f>IF(A470="","",IF(AND(V470=29,O470&lt;&gt;"",COUNTIFS($V$6:$V$505,29,$F$6:$F$505,F470,$C$6:$C$505,C470,$O$6:$O$505,"&lt;&gt;")&gt;1),IF(COUNTIFS($V$6:V470,29,$F$6:F470,F470,$C$6:C470,C470,$O$6:O470,"&lt;&gt;")=1,"Esta es la fila que se debe CONSERVAR (aparición 1 de "&amp;COUNTIFS($V$6:$V$505,29,$F$6:$F$505,F470,$C$6:$C$505,C470,$O$6:$O$505,"&lt;&gt;")&amp;" con el mismo tercero y valor, casilla 29). Si hay más filas iguales, bórreles el valor a ELLAS, no a esta.","DUPLICADO — ya existe otra fila con el mismo tercero y valor para casilla 29 (aparición "&amp;COUNTIFS($V$6:V470,29,$F$6:F470,F470,$C$6:C470,C470,$O$6:O470,"&lt;&gt;")&amp;" de "&amp;COUNTIFS($V$6:$V$505,29,$F$6:$F$505,F470,$C$6:$C$505,C470,$O$6:$O$505,"&lt;&gt;")&amp;"). Para resolverlo: seleccione la celda O"&amp;ROW()&amp;" (columna Valor a declarar de ESTA fila) y presione Supr."),""))</f>
        <v/>
      </c>
      <c r="X470" s="463">
        <f>IF(A470="","",F470)</f>
        <v/>
      </c>
      <c r="Y470" s="463">
        <f>IF(A470="","",SUMIF(Entrada_Manual!$I$88:$I$187,A470,Entrada_Manual!$F$88:$F$187))</f>
        <v/>
      </c>
      <c r="Z470" s="463">
        <f>IF(A470="","",X470-Y470)</f>
        <v/>
      </c>
      <c r="AA470">
        <f>IF(A470="","",SUMPRODUCT((Entrada_Manual!$I$88:$I$187=A470)*1))</f>
        <v/>
      </c>
      <c r="AB470">
        <f>IF(A470="","",IF(S470&lt;=1,"",IF(AA470=0,"PENDIENTE — SIN ASIGNAR",IF(Z470=0,"RESUELTO","PARCIAL — DIFERENCIA "&amp;TEXT(Z470,"#,##0")))))</f>
        <v/>
      </c>
    </row>
    <row r="471" ht="14.25" customHeight="1" s="235">
      <c r="A471" s="47">
        <f>IF(Exogena_RAW!E480&lt;&gt;"",ROW()-5,"")</f>
        <v/>
      </c>
      <c r="B471" s="48">
        <f>IF(A471="","",480)</f>
        <v/>
      </c>
      <c r="C471" s="48">
        <f>IF(A471="","",IFERROR(Exogena_RAW!A480,""))</f>
        <v/>
      </c>
      <c r="D471" s="48">
        <f>IF(A471="","",IFERROR(Exogena_RAW!B480,""))</f>
        <v/>
      </c>
      <c r="E471" s="48">
        <f>IF(A471="","",Exogena_RAW!E480)</f>
        <v/>
      </c>
      <c r="F471" s="461">
        <f>IF(A471="","",Exogena_RAW!F480)</f>
        <v/>
      </c>
      <c r="G471" s="48">
        <f>IF(A471="","",IFERROR(Exogena_RAW!G480,""))</f>
        <v/>
      </c>
      <c r="H471" s="48">
        <f>IF(A471="","",IFERROR(Exogena_RAW!H480,""))</f>
        <v/>
      </c>
      <c r="I471" s="48">
        <f>IF(A471="","",IFERROR(IF(S471&gt;1,"VARIAS CASILLAS",IF(S471=1,IF(T471=1,"PROPUESTA DE CASILLA","REVISIÓN: CASILLA NO DIRECTA"),IF(OR(ISNUMBER(SEARCH("TOPE",UPPER(E471))),ISNUMBER(SEARCH("TOPE",UPPER(G471)))),"SOLO CONTROL",IF(ISNUMBER(SEARCH("RETEN",UPPER(E471))),"RETENCIÓN","REVISAR")))),"REVISAR"))</f>
        <v/>
      </c>
      <c r="J471" s="48">
        <f>IF(A471="","",IF(ISNUMBER(SEARCH("ingreso laboral promedio de los últimos seis meses",E471)),"",IFERROR(IF(AND(S471=1,T471=1),U471,""),"")))</f>
        <v/>
      </c>
      <c r="K471" s="216" t="n"/>
      <c r="L471" s="48">
        <f>IF(A471="","",IFERROR(IF(K471&lt;&gt;"","Casilla elegida por usuario",IF(S471&gt;1,"Varias casillas — elegir en K",IF(J471&lt;&gt;"","Sugerencia directa",IF(S471=1,"No trasladar directo — revisar",IF(OR(ISNUMBER(SEARCH("TOPE",UPPER(E471))),ISNUMBER(SEARCH("TOPE",UPPER(G471)))),"Solo control","Revisar manualmente"))))),"Revisar manualmente"))</f>
        <v/>
      </c>
      <c r="M471" s="461">
        <f>IF(A471="","",IF(IF(K471&lt;&gt;"",K471,J471)="",0,IF(COUNTIFS(Reglas!$I$5:$I$118,IF(K471&lt;&gt;"",K471,J471),Reglas!$J$5:$J$118,"Sí")=1,F471,0)))</f>
        <v/>
      </c>
      <c r="N471" s="56" t="n"/>
      <c r="O471" s="462">
        <f>IF(A471="","",IF(M471=0,"",M471))</f>
        <v/>
      </c>
      <c r="P471" s="461">
        <f>IF(A471="","",IF(O471="",0,IF(ISNUMBER(O471),O471,0)))</f>
        <v/>
      </c>
      <c r="Q471" s="48">
        <f>IF(A471="","",IF(Exogena_RAW!$C$4="","BLOQUEADO: FALTA AÑO",IF(Exogena_RAW!$K$10&lt;&gt;Reglas!$B$5,"BLOQUEADO: AÑO",IF(IF(K471&lt;&gt;"",K471,J471)="",IF(S471&gt;1,"REQUIERE ASIGNACIÓN MANUAL (VARIAS CASILLAS)","INFORMATIVO (sin casilla — no se declara)"),IF(COUNTIFS(Reglas!$I$5:$I$118,IF(K471&lt;&gt;"",K471,J471),Reglas!$J$5:$J$118,"Sí")=0,"BLOQUEADO: CASILLA NO DIRECTA",IF(O471="","EXCLUIDO (valor borrado por el usuario)",IF(_xlfn.ISFORMULA(O471),IF(W471&lt;&gt;"","BORRADOR — VALOR SUGERIDO DIAN ⚠ VER ALERTA","BORRADOR — VALOR SUGERIDO DIAN"),IF(W471&lt;&gt;"","ACEPTADO ⚠ VER ALERTA","ACEPTADO"))))))))</f>
        <v/>
      </c>
      <c r="R471" s="218" t="n"/>
      <c r="S471" s="58">
        <f>IF(A471="","",IFERROR(--ISNUMBER(SEARCH("R28",G471)),0)+IFERROR(--ISNUMBER(SEARCH("R29",G471)),0)+IFERROR(--ISNUMBER(SEARCH("R30",G471)),0)+IFERROR(--ISNUMBER(SEARCH("R31",G471)),0)+IFERROR(--ISNUMBER(SEARCH("R32",G471)),0)+IFERROR(--ISNUMBER(SEARCH("R33",G471)),0)+IFERROR(--ISNUMBER(SEARCH("R34",G471)),0)+IFERROR(--ISNUMBER(SEARCH("R35",G471)),0)+IFERROR(--ISNUMBER(SEARCH("R36",G471)),0)+IFERROR(--ISNUMBER(SEARCH("R37",G471)),0)+IFERROR(--ISNUMBER(SEARCH("R38",G471)),0)+IFERROR(--ISNUMBER(SEARCH("R39",G471)),0)+IFERROR(--ISNUMBER(SEARCH("R40",G471)),0)+IFERROR(--ISNUMBER(SEARCH("R41",G471)),0)+IFERROR(--ISNUMBER(SEARCH("R42",G471)),0)+IFERROR(--ISNUMBER(SEARCH("R43",G471)),0)+IFERROR(--ISNUMBER(SEARCH("R44",G471)),0)+IFERROR(--ISNUMBER(SEARCH("R45",G471)),0)+IFERROR(--ISNUMBER(SEARCH("R46",G471)),0)+IFERROR(--ISNUMBER(SEARCH("R47",G471)),0)+IFERROR(--ISNUMBER(SEARCH("R48",G471)),0)+IFERROR(--ISNUMBER(SEARCH("R49",G471)),0)+IFERROR(--ISNUMBER(SEARCH("R50",G471)),0)+IFERROR(--ISNUMBER(SEARCH("R51",G471)),0)+IFERROR(--ISNUMBER(SEARCH("R52",G471)),0)+IFERROR(--ISNUMBER(SEARCH("R53",G471)),0)+IFERROR(--ISNUMBER(SEARCH("R54",G471)),0)+IFERROR(--ISNUMBER(SEARCH("R55",G471)),0)+IFERROR(--ISNUMBER(SEARCH("R56",G471)),0)+IFERROR(--ISNUMBER(SEARCH("R57",G471)),0)+IFERROR(--ISNUMBER(SEARCH("R58",G471)),0)+IFERROR(--ISNUMBER(SEARCH("R59",G471)),0)+IFERROR(--ISNUMBER(SEARCH("R60",G471)),0)+IFERROR(--ISNUMBER(SEARCH("R61",G471)),0)+IFERROR(--ISNUMBER(SEARCH("R62",G471)),0)+IFERROR(--ISNUMBER(SEARCH("R63",G471)),0)+IFERROR(--ISNUMBER(SEARCH("R64",G471)),0)+IFERROR(--ISNUMBER(SEARCH("R65",G471)),0)+IFERROR(--ISNUMBER(SEARCH("R66",G471)),0)+IFERROR(--ISNUMBER(SEARCH("R67",G471)),0)+IFERROR(--ISNUMBER(SEARCH("R68",G471)),0)+IFERROR(--ISNUMBER(SEARCH("R69",G471)),0)+IFERROR(--ISNUMBER(SEARCH("R70",G471)),0)+IFERROR(--ISNUMBER(SEARCH("R71",G471)),0)+IFERROR(--ISNUMBER(SEARCH("R72",G471)),0)+IFERROR(--ISNUMBER(SEARCH("R73",G471)),0)+IFERROR(--ISNUMBER(SEARCH("R74",G471)),0)+IFERROR(--ISNUMBER(SEARCH("R75",G471)),0)+IFERROR(--ISNUMBER(SEARCH("R76",G471)),0)+IFERROR(--ISNUMBER(SEARCH("R77",G471)),0)+IFERROR(--ISNUMBER(SEARCH("R78",G471)),0)+IFERROR(--ISNUMBER(SEARCH("R79",G471)),0)+IFERROR(--ISNUMBER(SEARCH("R80",G471)),0)+IFERROR(--ISNUMBER(SEARCH("R81",G471)),0)+IFERROR(--ISNUMBER(SEARCH("R82",G471)),0)+IFERROR(--ISNUMBER(SEARCH("R83",G471)),0)+IFERROR(--ISNUMBER(SEARCH("R84",G471)),0)+IFERROR(--ISNUMBER(SEARCH("R85",G471)),0)+IFERROR(--ISNUMBER(SEARCH("R86",G471)),0)+IFERROR(--ISNUMBER(SEARCH("R87",G471)),0)+IFERROR(--ISNUMBER(SEARCH("R88",G471)),0)+IFERROR(--ISNUMBER(SEARCH("R89",G471)),0)+IFERROR(--ISNUMBER(SEARCH("R90",G471)),0)+IFERROR(--ISNUMBER(SEARCH("R91",G471)),0)+IFERROR(--ISNUMBER(SEARCH("R92",G471)),0)+IFERROR(--ISNUMBER(SEARCH("R93",G471)),0)+IFERROR(--ISNUMBER(SEARCH("R94",G471)),0)+IFERROR(--ISNUMBER(SEARCH("R95",G471)),0)+IFERROR(--ISNUMBER(SEARCH("R96",G471)),0)+IFERROR(--ISNUMBER(SEARCH("R97",G471)),0)+IFERROR(--ISNUMBER(SEARCH("R98",G471)),0)+IFERROR(--ISNUMBER(SEARCH("R99",G471)),0)+IFERROR(--ISNUMBER(SEARCH("R100",G471)),0)+IFERROR(--ISNUMBER(SEARCH("R101",G471)),0)+IFERROR(--ISNUMBER(SEARCH("R102",G471)),0)+IFERROR(--ISNUMBER(SEARCH("R103",G471)),0)+IFERROR(--ISNUMBER(SEARCH("R104",G471)),0)+IFERROR(--ISNUMBER(SEARCH("R105",G471)),0)+IFERROR(--ISNUMBER(SEARCH("R106",G471)),0)+IFERROR(--ISNUMBER(SEARCH("R107",G471)),0)+IFERROR(--ISNUMBER(SEARCH("R108",G471)),0)+IFERROR(--ISNUMBER(SEARCH("R109",G471)),0)+IFERROR(--ISNUMBER(SEARCH("R110",G471)),0)+IFERROR(--ISNUMBER(SEARCH("R111",G471)),0)+IFERROR(--ISNUMBER(SEARCH("R112",G471)),0)+IFERROR(--ISNUMBER(SEARCH("R113",G471)),0)+IFERROR(--ISNUMBER(SEARCH("R114",G471)),0)+IFERROR(--ISNUMBER(SEARCH("R115",G471)),0)+IFERROR(--ISNUMBER(SEARCH("R116",G471)),0)+IFERROR(--ISNUMBER(SEARCH("R117",G471)),0)+IFERROR(--ISNUMBER(SEARCH("R118",G471)),0)+IFERROR(--ISNUMBER(SEARCH("R119",G471)),0)+IFERROR(--ISNUMBER(SEARCH("R120",G471)),0)+IFERROR(--ISNUMBER(SEARCH("R121",G471)),0)+IFERROR(--ISNUMBER(SEARCH("R122",G471)),0)+IFERROR(--ISNUMBER(SEARCH("R123",G471)),0)+IFERROR(--ISNUMBER(SEARCH("R124",G471)),0)+IFERROR(--ISNUMBER(SEARCH("R125",G471)),0)+IFERROR(--ISNUMBER(SEARCH("R126",G471)),0)+IFERROR(--ISNUMBER(SEARCH("R127",G471)),0)+IFERROR(--ISNUMBER(SEARCH("R128",G471)),0)+IFERROR(--ISNUMBER(SEARCH("R129",G471)),0)+IFERROR(--ISNUMBER(SEARCH("R130",G471)),0)+IFERROR(--ISNUMBER(SEARCH("R131",G471)),0)+IFERROR(--ISNUMBER(SEARCH("R132",G471)),0)+IFERROR(--ISNUMBER(SEARCH("R133",G471)),0)+IFERROR(--ISNUMBER(SEARCH("R134",G471)),0)+IFERROR(--ISNUMBER(SEARCH("R135",G471)),0)+IFERROR(--ISNUMBER(SEARCH("R136",G471)),0)+IFERROR(--ISNUMBER(SEARCH("R137",G471)),0)+IFERROR(--ISNUMBER(SEARCH("R138",G471)),0)+IFERROR(--ISNUMBER(SEARCH("R139",G471)),0)+IFERROR(--ISNUMBER(SEARCH("R140",G471)),0)+IFERROR(--ISNUMBER(SEARCH("R141",G471)),0))</f>
        <v/>
      </c>
      <c r="T471" s="58">
        <f>IF(A471="","",IFERROR(--ISNUMBER(SEARCH("R28",G471)),0)+IFERROR(--ISNUMBER(SEARCH("R29",G471)),0)+IFERROR(--ISNUMBER(SEARCH("R30",G471)),0)+IFERROR(--ISNUMBER(SEARCH("R32",G471)),0)+IFERROR(--ISNUMBER(SEARCH("R33",G471)),0)+IFERROR(--ISNUMBER(SEARCH("R35",G471)),0)+IFERROR(--ISNUMBER(SEARCH("R36",G471)),0)+IFERROR(--ISNUMBER(SEARCH("R38",G471)),0)+IFERROR(--ISNUMBER(SEARCH("R39",G471)),0)+IFERROR(--ISNUMBER(SEARCH("R43",G471)),0)+IFERROR(--ISNUMBER(SEARCH("R44",G471)),0)+IFERROR(--ISNUMBER(SEARCH("R45",G471)),0)+IFERROR(--ISNUMBER(SEARCH("R47",G471)),0)+IFERROR(--ISNUMBER(SEARCH("R48",G471)),0)+IFERROR(--ISNUMBER(SEARCH("R50",G471)),0)+IFERROR(--ISNUMBER(SEARCH("R51",G471)),0)+IFERROR(--ISNUMBER(SEARCH("R56",G471)),0)+IFERROR(--ISNUMBER(SEARCH("R58",G471)),0)+IFERROR(--ISNUMBER(SEARCH("R59",G471)),0)+IFERROR(--ISNUMBER(SEARCH("R60",G471)),0)+IFERROR(--ISNUMBER(SEARCH("R62",G471)),0)+IFERROR(--ISNUMBER(SEARCH("R63",G471)),0)+IFERROR(--ISNUMBER(SEARCH("R64",G471)),0)+IFERROR(--ISNUMBER(SEARCH("R66",G471)),0)+IFERROR(--ISNUMBER(SEARCH("R67",G471)),0)+IFERROR(--ISNUMBER(SEARCH("R72",G471)),0)+IFERROR(--ISNUMBER(SEARCH("R74",G471)),0)+IFERROR(--ISNUMBER(SEARCH("R75",G471)),0)+IFERROR(--ISNUMBER(SEARCH("R76",G471)),0)+IFERROR(--ISNUMBER(SEARCH("R77",G471)),0)+IFERROR(--ISNUMBER(SEARCH("R79",G471)),0)+IFERROR(--ISNUMBER(SEARCH("R80",G471)),0)+IFERROR(--ISNUMBER(SEARCH("R81",G471)),0)+IFERROR(--ISNUMBER(SEARCH("R83",G471)),0)+IFERROR(--ISNUMBER(SEARCH("R84",G471)),0)+IFERROR(--ISNUMBER(SEARCH("R89",G471)),0)+IFERROR(--ISNUMBER(SEARCH("R94",G471)),0)+IFERROR(--ISNUMBER(SEARCH("R95",G471)),0)+IFERROR(--ISNUMBER(SEARCH("R96",G471)),0)+IFERROR(--ISNUMBER(SEARCH("R98",G471)),0)+IFERROR(--ISNUMBER(SEARCH("R99",G471)),0)+IFERROR(--ISNUMBER(SEARCH("R100",G471)),0)+IFERROR(--ISNUMBER(SEARCH("R104",G471)),0)+IFERROR(--ISNUMBER(SEARCH("R105",G471)),0)+IFERROR(--ISNUMBER(SEARCH("R107",G471)),0)+IFERROR(--ISNUMBER(SEARCH("R108",G471)),0)+IFERROR(--ISNUMBER(SEARCH("R109",G471)),0)+IFERROR(--ISNUMBER(SEARCH("R110",G471)),0)+IFERROR(--ISNUMBER(SEARCH("R112",G471)),0)+IFERROR(--ISNUMBER(SEARCH("R113",G471)),0)+IFERROR(--ISNUMBER(SEARCH("R114",G471)),0)+IFERROR(--ISNUMBER(SEARCH("R118",G471)),0)+IFERROR(--ISNUMBER(SEARCH("R119",G471)),0)+IFERROR(--ISNUMBER(SEARCH("R120",G471)),0)+IFERROR(--ISNUMBER(SEARCH("R122",G471)),0)+IFERROR(--ISNUMBER(SEARCH("R123",G471)),0)+IFERROR(--ISNUMBER(SEARCH("R124",G471)),0)+IFERROR(--ISNUMBER(SEARCH("R128",G471)),0)+IFERROR(--ISNUMBER(SEARCH("R130",G471)),0)+IFERROR(--ISNUMBER(SEARCH("R131",G471)),0)+IFERROR(--ISNUMBER(SEARCH("R132",G471)),0)+IFERROR(--ISNUMBER(SEARCH("R135",G471)),0)+IFERROR(--ISNUMBER(SEARCH("R138",G471)),0)+IFERROR(--ISNUMBER(SEARCH("R141",G471)),0))</f>
        <v/>
      </c>
      <c r="U471" s="58">
        <f>IF(A471="","",IFERROR(--ISNUMBER(SEARCH("R28",G471))*28,0)+IFERROR(--ISNUMBER(SEARCH("R29",G471))*29,0)+IFERROR(--ISNUMBER(SEARCH("R30",G471))*30,0)+IFERROR(--ISNUMBER(SEARCH("R31",G471))*31,0)+IFERROR(--ISNUMBER(SEARCH("R32",G471))*32,0)+IFERROR(--ISNUMBER(SEARCH("R33",G471))*33,0)+IFERROR(--ISNUMBER(SEARCH("R34",G471))*34,0)+IFERROR(--ISNUMBER(SEARCH("R35",G471))*35,0)+IFERROR(--ISNUMBER(SEARCH("R36",G471))*36,0)+IFERROR(--ISNUMBER(SEARCH("R37",G471))*37,0)+IFERROR(--ISNUMBER(SEARCH("R38",G471))*38,0)+IFERROR(--ISNUMBER(SEARCH("R39",G471))*39,0)+IFERROR(--ISNUMBER(SEARCH("R40",G471))*40,0)+IFERROR(--ISNUMBER(SEARCH("R41",G471))*41,0)+IFERROR(--ISNUMBER(SEARCH("R42",G471))*42,0)+IFERROR(--ISNUMBER(SEARCH("R43",G471))*43,0)+IFERROR(--ISNUMBER(SEARCH("R44",G471))*44,0)+IFERROR(--ISNUMBER(SEARCH("R45",G471))*45,0)+IFERROR(--ISNUMBER(SEARCH("R46",G471))*46,0)+IFERROR(--ISNUMBER(SEARCH("R47",G471))*47,0)+IFERROR(--ISNUMBER(SEARCH("R48",G471))*48,0)+IFERROR(--ISNUMBER(SEARCH("R49",G471))*49,0)+IFERROR(--ISNUMBER(SEARCH("R50",G471))*50,0)+IFERROR(--ISNUMBER(SEARCH("R51",G471))*51,0)+IFERROR(--ISNUMBER(SEARCH("R52",G471))*52,0)+IFERROR(--ISNUMBER(SEARCH("R53",G471))*53,0)+IFERROR(--ISNUMBER(SEARCH("R54",G471))*54,0)+IFERROR(--ISNUMBER(SEARCH("R55",G471))*55,0)+IFERROR(--ISNUMBER(SEARCH("R56",G471))*56,0)+IFERROR(--ISNUMBER(SEARCH("R57",G471))*57,0)+IFERROR(--ISNUMBER(SEARCH("R58",G471))*58,0)+IFERROR(--ISNUMBER(SEARCH("R59",G471))*59,0)+IFERROR(--ISNUMBER(SEARCH("R60",G471))*60,0)+IFERROR(--ISNUMBER(SEARCH("R61",G471))*61,0)+IFERROR(--ISNUMBER(SEARCH("R62",G471))*62,0)+IFERROR(--ISNUMBER(SEARCH("R63",G471))*63,0)+IFERROR(--ISNUMBER(SEARCH("R64",G471))*64,0)+IFERROR(--ISNUMBER(SEARCH("R65",G471))*65,0)+IFERROR(--ISNUMBER(SEARCH("R66",G471))*66,0)+IFERROR(--ISNUMBER(SEARCH("R67",G471))*67,0)+IFERROR(--ISNUMBER(SEARCH("R68",G471))*68,0)+IFERROR(--ISNUMBER(SEARCH("R69",G471))*69,0)+IFERROR(--ISNUMBER(SEARCH("R70",G471))*70,0)+IFERROR(--ISNUMBER(SEARCH("R71",G471))*71,0)+IFERROR(--ISNUMBER(SEARCH("R72",G471))*72,0)+IFERROR(--ISNUMBER(SEARCH("R73",G471))*73,0)+IFERROR(--ISNUMBER(SEARCH("R74",G471))*74,0)+IFERROR(--ISNUMBER(SEARCH("R75",G471))*75,0)+IFERROR(--ISNUMBER(SEARCH("R76",G471))*76,0)+IFERROR(--ISNUMBER(SEARCH("R77",G471))*77,0)+IFERROR(--ISNUMBER(SEARCH("R78",G471))*78,0)+IFERROR(--ISNUMBER(SEARCH("R79",G471))*79,0)+IFERROR(--ISNUMBER(SEARCH("R80",G471))*80,0)+IFERROR(--ISNUMBER(SEARCH("R81",G471))*81,0)+IFERROR(--ISNUMBER(SEARCH("R82",G471))*82,0)+IFERROR(--ISNUMBER(SEARCH("R83",G471))*83,0)+IFERROR(--ISNUMBER(SEARCH("R84",G471))*84,0)+IFERROR(--ISNUMBER(SEARCH("R85",G471))*85,0)+IFERROR(--ISNUMBER(SEARCH("R86",G471))*86,0)+IFERROR(--ISNUMBER(SEARCH("R87",G471))*87,0)+IFERROR(--ISNUMBER(SEARCH("R88",G471))*88,0)+IFERROR(--ISNUMBER(SEARCH("R89",G471))*89,0)+IFERROR(--ISNUMBER(SEARCH("R90",G471))*90,0)+IFERROR(--ISNUMBER(SEARCH("R91",G471))*91,0)+IFERROR(--ISNUMBER(SEARCH("R92",G471))*92,0)+IFERROR(--ISNUMBER(SEARCH("R93",G471))*93,0)+IFERROR(--ISNUMBER(SEARCH("R94",G471))*94,0)+IFERROR(--ISNUMBER(SEARCH("R95",G471))*95,0)+IFERROR(--ISNUMBER(SEARCH("R96",G471))*96,0)+IFERROR(--ISNUMBER(SEARCH("R97",G471))*97,0)+IFERROR(--ISNUMBER(SEARCH("R98",G471))*98,0)+IFERROR(--ISNUMBER(SEARCH("R99",G471))*99,0)+IFERROR(--ISNUMBER(SEARCH("R100",G471))*100,0)+IFERROR(--ISNUMBER(SEARCH("R101",G471))*101,0)+IFERROR(--ISNUMBER(SEARCH("R102",G471))*102,0)+IFERROR(--ISNUMBER(SEARCH("R103",G471))*103,0)+IFERROR(--ISNUMBER(SEARCH("R104",G471))*104,0)+IFERROR(--ISNUMBER(SEARCH("R105",G471))*105,0)+IFERROR(--ISNUMBER(SEARCH("R106",G471))*106,0)+IFERROR(--ISNUMBER(SEARCH("R107",G471))*107,0)+IFERROR(--ISNUMBER(SEARCH("R108",G471))*108,0)+IFERROR(--ISNUMBER(SEARCH("R109",G471))*109,0)+IFERROR(--ISNUMBER(SEARCH("R110",G471))*110,0)+IFERROR(--ISNUMBER(SEARCH("R111",G471))*111,0)+IFERROR(--ISNUMBER(SEARCH("R112",G471))*112,0)+IFERROR(--ISNUMBER(SEARCH("R113",G471))*113,0)+IFERROR(--ISNUMBER(SEARCH("R114",G471))*114,0)+IFERROR(--ISNUMBER(SEARCH("R115",G471))*115,0)+IFERROR(--ISNUMBER(SEARCH("R116",G471))*116,0)+IFERROR(--ISNUMBER(SEARCH("R117",G471))*117,0)+IFERROR(--ISNUMBER(SEARCH("R118",G471))*118,0)+IFERROR(--ISNUMBER(SEARCH("R119",G471))*119,0)+IFERROR(--ISNUMBER(SEARCH("R120",G471))*120,0)+IFERROR(--ISNUMBER(SEARCH("R121",G471))*121,0)+IFERROR(--ISNUMBER(SEARCH("R122",G471))*122,0)+IFERROR(--ISNUMBER(SEARCH("R123",G471))*123,0)+IFERROR(--ISNUMBER(SEARCH("R124",G471))*124,0)+IFERROR(--ISNUMBER(SEARCH("R125",G471))*125,0)+IFERROR(--ISNUMBER(SEARCH("R126",G471))*126,0)+IFERROR(--ISNUMBER(SEARCH("R127",G471))*127,0)+IFERROR(--ISNUMBER(SEARCH("R128",G471))*128,0)+IFERROR(--ISNUMBER(SEARCH("R129",G471))*129,0)+IFERROR(--ISNUMBER(SEARCH("R130",G471))*130,0)+IFERROR(--ISNUMBER(SEARCH("R131",G471))*131,0)+IFERROR(--ISNUMBER(SEARCH("R132",G471))*132,0)+IFERROR(--ISNUMBER(SEARCH("R133",G471))*133,0)+IFERROR(--ISNUMBER(SEARCH("R134",G471))*134,0)+IFERROR(--ISNUMBER(SEARCH("R135",G471))*135,0)+IFERROR(--ISNUMBER(SEARCH("R136",G471))*136,0)+IFERROR(--ISNUMBER(SEARCH("R137",G471))*137,0)+IFERROR(--ISNUMBER(SEARCH("R138",G471))*138,0)+IFERROR(--ISNUMBER(SEARCH("R139",G471))*139,0)+IFERROR(--ISNUMBER(SEARCH("R140",G471))*140,0)+IFERROR(--ISNUMBER(SEARCH("R141",G471))*141,0))</f>
        <v/>
      </c>
      <c r="V471" s="59">
        <f>IF(A471="","",IF(K471&lt;&gt;"",K471,J471))</f>
        <v/>
      </c>
      <c r="W471" s="59">
        <f>IF(A471="","",IF(AND(V471=29,O471&lt;&gt;"",COUNTIFS($V$6:$V$505,29,$F$6:$F$505,F471,$C$6:$C$505,C471,$O$6:$O$505,"&lt;&gt;")&gt;1),IF(COUNTIFS($V$6:V471,29,$F$6:F471,F471,$C$6:C471,C471,$O$6:O471,"&lt;&gt;")=1,"Esta es la fila que se debe CONSERVAR (aparición 1 de "&amp;COUNTIFS($V$6:$V$505,29,$F$6:$F$505,F471,$C$6:$C$505,C471,$O$6:$O$505,"&lt;&gt;")&amp;" con el mismo tercero y valor, casilla 29). Si hay más filas iguales, bórreles el valor a ELLAS, no a esta.","DUPLICADO — ya existe otra fila con el mismo tercero y valor para casilla 29 (aparición "&amp;COUNTIFS($V$6:V471,29,$F$6:F471,F471,$C$6:C471,C471,$O$6:O471,"&lt;&gt;")&amp;" de "&amp;COUNTIFS($V$6:$V$505,29,$F$6:$F$505,F471,$C$6:$C$505,C471,$O$6:$O$505,"&lt;&gt;")&amp;"). Para resolverlo: seleccione la celda O"&amp;ROW()&amp;" (columna Valor a declarar de ESTA fila) y presione Supr."),""))</f>
        <v/>
      </c>
      <c r="X471" s="463">
        <f>IF(A471="","",F471)</f>
        <v/>
      </c>
      <c r="Y471" s="463">
        <f>IF(A471="","",SUMIF(Entrada_Manual!$I$88:$I$187,A471,Entrada_Manual!$F$88:$F$187))</f>
        <v/>
      </c>
      <c r="Z471" s="463">
        <f>IF(A471="","",X471-Y471)</f>
        <v/>
      </c>
      <c r="AA471">
        <f>IF(A471="","",SUMPRODUCT((Entrada_Manual!$I$88:$I$187=A471)*1))</f>
        <v/>
      </c>
      <c r="AB471">
        <f>IF(A471="","",IF(S471&lt;=1,"",IF(AA471=0,"PENDIENTE — SIN ASIGNAR",IF(Z471=0,"RESUELTO","PARCIAL — DIFERENCIA "&amp;TEXT(Z471,"#,##0")))))</f>
        <v/>
      </c>
    </row>
    <row r="472" ht="14.25" customHeight="1" s="235">
      <c r="A472" s="47">
        <f>IF(Exogena_RAW!E481&lt;&gt;"",ROW()-5,"")</f>
        <v/>
      </c>
      <c r="B472" s="48">
        <f>IF(A472="","",481)</f>
        <v/>
      </c>
      <c r="C472" s="48">
        <f>IF(A472="","",IFERROR(Exogena_RAW!A481,""))</f>
        <v/>
      </c>
      <c r="D472" s="48">
        <f>IF(A472="","",IFERROR(Exogena_RAW!B481,""))</f>
        <v/>
      </c>
      <c r="E472" s="48">
        <f>IF(A472="","",Exogena_RAW!E481)</f>
        <v/>
      </c>
      <c r="F472" s="461">
        <f>IF(A472="","",Exogena_RAW!F481)</f>
        <v/>
      </c>
      <c r="G472" s="48">
        <f>IF(A472="","",IFERROR(Exogena_RAW!G481,""))</f>
        <v/>
      </c>
      <c r="H472" s="48">
        <f>IF(A472="","",IFERROR(Exogena_RAW!H481,""))</f>
        <v/>
      </c>
      <c r="I472" s="48">
        <f>IF(A472="","",IFERROR(IF(S472&gt;1,"VARIAS CASILLAS",IF(S472=1,IF(T472=1,"PROPUESTA DE CASILLA","REVISIÓN: CASILLA NO DIRECTA"),IF(OR(ISNUMBER(SEARCH("TOPE",UPPER(E472))),ISNUMBER(SEARCH("TOPE",UPPER(G472)))),"SOLO CONTROL",IF(ISNUMBER(SEARCH("RETEN",UPPER(E472))),"RETENCIÓN","REVISAR")))),"REVISAR"))</f>
        <v/>
      </c>
      <c r="J472" s="48">
        <f>IF(A472="","",IF(ISNUMBER(SEARCH("ingreso laboral promedio de los últimos seis meses",E472)),"",IFERROR(IF(AND(S472=1,T472=1),U472,""),"")))</f>
        <v/>
      </c>
      <c r="K472" s="216" t="n"/>
      <c r="L472" s="48">
        <f>IF(A472="","",IFERROR(IF(K472&lt;&gt;"","Casilla elegida por usuario",IF(S472&gt;1,"Varias casillas — elegir en K",IF(J472&lt;&gt;"","Sugerencia directa",IF(S472=1,"No trasladar directo — revisar",IF(OR(ISNUMBER(SEARCH("TOPE",UPPER(E472))),ISNUMBER(SEARCH("TOPE",UPPER(G472)))),"Solo control","Revisar manualmente"))))),"Revisar manualmente"))</f>
        <v/>
      </c>
      <c r="M472" s="461">
        <f>IF(A472="","",IF(IF(K472&lt;&gt;"",K472,J472)="",0,IF(COUNTIFS(Reglas!$I$5:$I$118,IF(K472&lt;&gt;"",K472,J472),Reglas!$J$5:$J$118,"Sí")=1,F472,0)))</f>
        <v/>
      </c>
      <c r="N472" s="56" t="n"/>
      <c r="O472" s="462">
        <f>IF(A472="","",IF(M472=0,"",M472))</f>
        <v/>
      </c>
      <c r="P472" s="461">
        <f>IF(A472="","",IF(O472="",0,IF(ISNUMBER(O472),O472,0)))</f>
        <v/>
      </c>
      <c r="Q472" s="48">
        <f>IF(A472="","",IF(Exogena_RAW!$C$4="","BLOQUEADO: FALTA AÑO",IF(Exogena_RAW!$K$10&lt;&gt;Reglas!$B$5,"BLOQUEADO: AÑO",IF(IF(K472&lt;&gt;"",K472,J472)="",IF(S472&gt;1,"REQUIERE ASIGNACIÓN MANUAL (VARIAS CASILLAS)","INFORMATIVO (sin casilla — no se declara)"),IF(COUNTIFS(Reglas!$I$5:$I$118,IF(K472&lt;&gt;"",K472,J472),Reglas!$J$5:$J$118,"Sí")=0,"BLOQUEADO: CASILLA NO DIRECTA",IF(O472="","EXCLUIDO (valor borrado por el usuario)",IF(_xlfn.ISFORMULA(O472),IF(W472&lt;&gt;"","BORRADOR — VALOR SUGERIDO DIAN ⚠ VER ALERTA","BORRADOR — VALOR SUGERIDO DIAN"),IF(W472&lt;&gt;"","ACEPTADO ⚠ VER ALERTA","ACEPTADO"))))))))</f>
        <v/>
      </c>
      <c r="R472" s="218" t="n"/>
      <c r="S472" s="58">
        <f>IF(A472="","",IFERROR(--ISNUMBER(SEARCH("R28",G472)),0)+IFERROR(--ISNUMBER(SEARCH("R29",G472)),0)+IFERROR(--ISNUMBER(SEARCH("R30",G472)),0)+IFERROR(--ISNUMBER(SEARCH("R31",G472)),0)+IFERROR(--ISNUMBER(SEARCH("R32",G472)),0)+IFERROR(--ISNUMBER(SEARCH("R33",G472)),0)+IFERROR(--ISNUMBER(SEARCH("R34",G472)),0)+IFERROR(--ISNUMBER(SEARCH("R35",G472)),0)+IFERROR(--ISNUMBER(SEARCH("R36",G472)),0)+IFERROR(--ISNUMBER(SEARCH("R37",G472)),0)+IFERROR(--ISNUMBER(SEARCH("R38",G472)),0)+IFERROR(--ISNUMBER(SEARCH("R39",G472)),0)+IFERROR(--ISNUMBER(SEARCH("R40",G472)),0)+IFERROR(--ISNUMBER(SEARCH("R41",G472)),0)+IFERROR(--ISNUMBER(SEARCH("R42",G472)),0)+IFERROR(--ISNUMBER(SEARCH("R43",G472)),0)+IFERROR(--ISNUMBER(SEARCH("R44",G472)),0)+IFERROR(--ISNUMBER(SEARCH("R45",G472)),0)+IFERROR(--ISNUMBER(SEARCH("R46",G472)),0)+IFERROR(--ISNUMBER(SEARCH("R47",G472)),0)+IFERROR(--ISNUMBER(SEARCH("R48",G472)),0)+IFERROR(--ISNUMBER(SEARCH("R49",G472)),0)+IFERROR(--ISNUMBER(SEARCH("R50",G472)),0)+IFERROR(--ISNUMBER(SEARCH("R51",G472)),0)+IFERROR(--ISNUMBER(SEARCH("R52",G472)),0)+IFERROR(--ISNUMBER(SEARCH("R53",G472)),0)+IFERROR(--ISNUMBER(SEARCH("R54",G472)),0)+IFERROR(--ISNUMBER(SEARCH("R55",G472)),0)+IFERROR(--ISNUMBER(SEARCH("R56",G472)),0)+IFERROR(--ISNUMBER(SEARCH("R57",G472)),0)+IFERROR(--ISNUMBER(SEARCH("R58",G472)),0)+IFERROR(--ISNUMBER(SEARCH("R59",G472)),0)+IFERROR(--ISNUMBER(SEARCH("R60",G472)),0)+IFERROR(--ISNUMBER(SEARCH("R61",G472)),0)+IFERROR(--ISNUMBER(SEARCH("R62",G472)),0)+IFERROR(--ISNUMBER(SEARCH("R63",G472)),0)+IFERROR(--ISNUMBER(SEARCH("R64",G472)),0)+IFERROR(--ISNUMBER(SEARCH("R65",G472)),0)+IFERROR(--ISNUMBER(SEARCH("R66",G472)),0)+IFERROR(--ISNUMBER(SEARCH("R67",G472)),0)+IFERROR(--ISNUMBER(SEARCH("R68",G472)),0)+IFERROR(--ISNUMBER(SEARCH("R69",G472)),0)+IFERROR(--ISNUMBER(SEARCH("R70",G472)),0)+IFERROR(--ISNUMBER(SEARCH("R71",G472)),0)+IFERROR(--ISNUMBER(SEARCH("R72",G472)),0)+IFERROR(--ISNUMBER(SEARCH("R73",G472)),0)+IFERROR(--ISNUMBER(SEARCH("R74",G472)),0)+IFERROR(--ISNUMBER(SEARCH("R75",G472)),0)+IFERROR(--ISNUMBER(SEARCH("R76",G472)),0)+IFERROR(--ISNUMBER(SEARCH("R77",G472)),0)+IFERROR(--ISNUMBER(SEARCH("R78",G472)),0)+IFERROR(--ISNUMBER(SEARCH("R79",G472)),0)+IFERROR(--ISNUMBER(SEARCH("R80",G472)),0)+IFERROR(--ISNUMBER(SEARCH("R81",G472)),0)+IFERROR(--ISNUMBER(SEARCH("R82",G472)),0)+IFERROR(--ISNUMBER(SEARCH("R83",G472)),0)+IFERROR(--ISNUMBER(SEARCH("R84",G472)),0)+IFERROR(--ISNUMBER(SEARCH("R85",G472)),0)+IFERROR(--ISNUMBER(SEARCH("R86",G472)),0)+IFERROR(--ISNUMBER(SEARCH("R87",G472)),0)+IFERROR(--ISNUMBER(SEARCH("R88",G472)),0)+IFERROR(--ISNUMBER(SEARCH("R89",G472)),0)+IFERROR(--ISNUMBER(SEARCH("R90",G472)),0)+IFERROR(--ISNUMBER(SEARCH("R91",G472)),0)+IFERROR(--ISNUMBER(SEARCH("R92",G472)),0)+IFERROR(--ISNUMBER(SEARCH("R93",G472)),0)+IFERROR(--ISNUMBER(SEARCH("R94",G472)),0)+IFERROR(--ISNUMBER(SEARCH("R95",G472)),0)+IFERROR(--ISNUMBER(SEARCH("R96",G472)),0)+IFERROR(--ISNUMBER(SEARCH("R97",G472)),0)+IFERROR(--ISNUMBER(SEARCH("R98",G472)),0)+IFERROR(--ISNUMBER(SEARCH("R99",G472)),0)+IFERROR(--ISNUMBER(SEARCH("R100",G472)),0)+IFERROR(--ISNUMBER(SEARCH("R101",G472)),0)+IFERROR(--ISNUMBER(SEARCH("R102",G472)),0)+IFERROR(--ISNUMBER(SEARCH("R103",G472)),0)+IFERROR(--ISNUMBER(SEARCH("R104",G472)),0)+IFERROR(--ISNUMBER(SEARCH("R105",G472)),0)+IFERROR(--ISNUMBER(SEARCH("R106",G472)),0)+IFERROR(--ISNUMBER(SEARCH("R107",G472)),0)+IFERROR(--ISNUMBER(SEARCH("R108",G472)),0)+IFERROR(--ISNUMBER(SEARCH("R109",G472)),0)+IFERROR(--ISNUMBER(SEARCH("R110",G472)),0)+IFERROR(--ISNUMBER(SEARCH("R111",G472)),0)+IFERROR(--ISNUMBER(SEARCH("R112",G472)),0)+IFERROR(--ISNUMBER(SEARCH("R113",G472)),0)+IFERROR(--ISNUMBER(SEARCH("R114",G472)),0)+IFERROR(--ISNUMBER(SEARCH("R115",G472)),0)+IFERROR(--ISNUMBER(SEARCH("R116",G472)),0)+IFERROR(--ISNUMBER(SEARCH("R117",G472)),0)+IFERROR(--ISNUMBER(SEARCH("R118",G472)),0)+IFERROR(--ISNUMBER(SEARCH("R119",G472)),0)+IFERROR(--ISNUMBER(SEARCH("R120",G472)),0)+IFERROR(--ISNUMBER(SEARCH("R121",G472)),0)+IFERROR(--ISNUMBER(SEARCH("R122",G472)),0)+IFERROR(--ISNUMBER(SEARCH("R123",G472)),0)+IFERROR(--ISNUMBER(SEARCH("R124",G472)),0)+IFERROR(--ISNUMBER(SEARCH("R125",G472)),0)+IFERROR(--ISNUMBER(SEARCH("R126",G472)),0)+IFERROR(--ISNUMBER(SEARCH("R127",G472)),0)+IFERROR(--ISNUMBER(SEARCH("R128",G472)),0)+IFERROR(--ISNUMBER(SEARCH("R129",G472)),0)+IFERROR(--ISNUMBER(SEARCH("R130",G472)),0)+IFERROR(--ISNUMBER(SEARCH("R131",G472)),0)+IFERROR(--ISNUMBER(SEARCH("R132",G472)),0)+IFERROR(--ISNUMBER(SEARCH("R133",G472)),0)+IFERROR(--ISNUMBER(SEARCH("R134",G472)),0)+IFERROR(--ISNUMBER(SEARCH("R135",G472)),0)+IFERROR(--ISNUMBER(SEARCH("R136",G472)),0)+IFERROR(--ISNUMBER(SEARCH("R137",G472)),0)+IFERROR(--ISNUMBER(SEARCH("R138",G472)),0)+IFERROR(--ISNUMBER(SEARCH("R139",G472)),0)+IFERROR(--ISNUMBER(SEARCH("R140",G472)),0)+IFERROR(--ISNUMBER(SEARCH("R141",G472)),0))</f>
        <v/>
      </c>
      <c r="T472" s="58">
        <f>IF(A472="","",IFERROR(--ISNUMBER(SEARCH("R28",G472)),0)+IFERROR(--ISNUMBER(SEARCH("R29",G472)),0)+IFERROR(--ISNUMBER(SEARCH("R30",G472)),0)+IFERROR(--ISNUMBER(SEARCH("R32",G472)),0)+IFERROR(--ISNUMBER(SEARCH("R33",G472)),0)+IFERROR(--ISNUMBER(SEARCH("R35",G472)),0)+IFERROR(--ISNUMBER(SEARCH("R36",G472)),0)+IFERROR(--ISNUMBER(SEARCH("R38",G472)),0)+IFERROR(--ISNUMBER(SEARCH("R39",G472)),0)+IFERROR(--ISNUMBER(SEARCH("R43",G472)),0)+IFERROR(--ISNUMBER(SEARCH("R44",G472)),0)+IFERROR(--ISNUMBER(SEARCH("R45",G472)),0)+IFERROR(--ISNUMBER(SEARCH("R47",G472)),0)+IFERROR(--ISNUMBER(SEARCH("R48",G472)),0)+IFERROR(--ISNUMBER(SEARCH("R50",G472)),0)+IFERROR(--ISNUMBER(SEARCH("R51",G472)),0)+IFERROR(--ISNUMBER(SEARCH("R56",G472)),0)+IFERROR(--ISNUMBER(SEARCH("R58",G472)),0)+IFERROR(--ISNUMBER(SEARCH("R59",G472)),0)+IFERROR(--ISNUMBER(SEARCH("R60",G472)),0)+IFERROR(--ISNUMBER(SEARCH("R62",G472)),0)+IFERROR(--ISNUMBER(SEARCH("R63",G472)),0)+IFERROR(--ISNUMBER(SEARCH("R64",G472)),0)+IFERROR(--ISNUMBER(SEARCH("R66",G472)),0)+IFERROR(--ISNUMBER(SEARCH("R67",G472)),0)+IFERROR(--ISNUMBER(SEARCH("R72",G472)),0)+IFERROR(--ISNUMBER(SEARCH("R74",G472)),0)+IFERROR(--ISNUMBER(SEARCH("R75",G472)),0)+IFERROR(--ISNUMBER(SEARCH("R76",G472)),0)+IFERROR(--ISNUMBER(SEARCH("R77",G472)),0)+IFERROR(--ISNUMBER(SEARCH("R79",G472)),0)+IFERROR(--ISNUMBER(SEARCH("R80",G472)),0)+IFERROR(--ISNUMBER(SEARCH("R81",G472)),0)+IFERROR(--ISNUMBER(SEARCH("R83",G472)),0)+IFERROR(--ISNUMBER(SEARCH("R84",G472)),0)+IFERROR(--ISNUMBER(SEARCH("R89",G472)),0)+IFERROR(--ISNUMBER(SEARCH("R94",G472)),0)+IFERROR(--ISNUMBER(SEARCH("R95",G472)),0)+IFERROR(--ISNUMBER(SEARCH("R96",G472)),0)+IFERROR(--ISNUMBER(SEARCH("R98",G472)),0)+IFERROR(--ISNUMBER(SEARCH("R99",G472)),0)+IFERROR(--ISNUMBER(SEARCH("R100",G472)),0)+IFERROR(--ISNUMBER(SEARCH("R104",G472)),0)+IFERROR(--ISNUMBER(SEARCH("R105",G472)),0)+IFERROR(--ISNUMBER(SEARCH("R107",G472)),0)+IFERROR(--ISNUMBER(SEARCH("R108",G472)),0)+IFERROR(--ISNUMBER(SEARCH("R109",G472)),0)+IFERROR(--ISNUMBER(SEARCH("R110",G472)),0)+IFERROR(--ISNUMBER(SEARCH("R112",G472)),0)+IFERROR(--ISNUMBER(SEARCH("R113",G472)),0)+IFERROR(--ISNUMBER(SEARCH("R114",G472)),0)+IFERROR(--ISNUMBER(SEARCH("R118",G472)),0)+IFERROR(--ISNUMBER(SEARCH("R119",G472)),0)+IFERROR(--ISNUMBER(SEARCH("R120",G472)),0)+IFERROR(--ISNUMBER(SEARCH("R122",G472)),0)+IFERROR(--ISNUMBER(SEARCH("R123",G472)),0)+IFERROR(--ISNUMBER(SEARCH("R124",G472)),0)+IFERROR(--ISNUMBER(SEARCH("R128",G472)),0)+IFERROR(--ISNUMBER(SEARCH("R130",G472)),0)+IFERROR(--ISNUMBER(SEARCH("R131",G472)),0)+IFERROR(--ISNUMBER(SEARCH("R132",G472)),0)+IFERROR(--ISNUMBER(SEARCH("R135",G472)),0)+IFERROR(--ISNUMBER(SEARCH("R138",G472)),0)+IFERROR(--ISNUMBER(SEARCH("R141",G472)),0))</f>
        <v/>
      </c>
      <c r="U472" s="58">
        <f>IF(A472="","",IFERROR(--ISNUMBER(SEARCH("R28",G472))*28,0)+IFERROR(--ISNUMBER(SEARCH("R29",G472))*29,0)+IFERROR(--ISNUMBER(SEARCH("R30",G472))*30,0)+IFERROR(--ISNUMBER(SEARCH("R31",G472))*31,0)+IFERROR(--ISNUMBER(SEARCH("R32",G472))*32,0)+IFERROR(--ISNUMBER(SEARCH("R33",G472))*33,0)+IFERROR(--ISNUMBER(SEARCH("R34",G472))*34,0)+IFERROR(--ISNUMBER(SEARCH("R35",G472))*35,0)+IFERROR(--ISNUMBER(SEARCH("R36",G472))*36,0)+IFERROR(--ISNUMBER(SEARCH("R37",G472))*37,0)+IFERROR(--ISNUMBER(SEARCH("R38",G472))*38,0)+IFERROR(--ISNUMBER(SEARCH("R39",G472))*39,0)+IFERROR(--ISNUMBER(SEARCH("R40",G472))*40,0)+IFERROR(--ISNUMBER(SEARCH("R41",G472))*41,0)+IFERROR(--ISNUMBER(SEARCH("R42",G472))*42,0)+IFERROR(--ISNUMBER(SEARCH("R43",G472))*43,0)+IFERROR(--ISNUMBER(SEARCH("R44",G472))*44,0)+IFERROR(--ISNUMBER(SEARCH("R45",G472))*45,0)+IFERROR(--ISNUMBER(SEARCH("R46",G472))*46,0)+IFERROR(--ISNUMBER(SEARCH("R47",G472))*47,0)+IFERROR(--ISNUMBER(SEARCH("R48",G472))*48,0)+IFERROR(--ISNUMBER(SEARCH("R49",G472))*49,0)+IFERROR(--ISNUMBER(SEARCH("R50",G472))*50,0)+IFERROR(--ISNUMBER(SEARCH("R51",G472))*51,0)+IFERROR(--ISNUMBER(SEARCH("R52",G472))*52,0)+IFERROR(--ISNUMBER(SEARCH("R53",G472))*53,0)+IFERROR(--ISNUMBER(SEARCH("R54",G472))*54,0)+IFERROR(--ISNUMBER(SEARCH("R55",G472))*55,0)+IFERROR(--ISNUMBER(SEARCH("R56",G472))*56,0)+IFERROR(--ISNUMBER(SEARCH("R57",G472))*57,0)+IFERROR(--ISNUMBER(SEARCH("R58",G472))*58,0)+IFERROR(--ISNUMBER(SEARCH("R59",G472))*59,0)+IFERROR(--ISNUMBER(SEARCH("R60",G472))*60,0)+IFERROR(--ISNUMBER(SEARCH("R61",G472))*61,0)+IFERROR(--ISNUMBER(SEARCH("R62",G472))*62,0)+IFERROR(--ISNUMBER(SEARCH("R63",G472))*63,0)+IFERROR(--ISNUMBER(SEARCH("R64",G472))*64,0)+IFERROR(--ISNUMBER(SEARCH("R65",G472))*65,0)+IFERROR(--ISNUMBER(SEARCH("R66",G472))*66,0)+IFERROR(--ISNUMBER(SEARCH("R67",G472))*67,0)+IFERROR(--ISNUMBER(SEARCH("R68",G472))*68,0)+IFERROR(--ISNUMBER(SEARCH("R69",G472))*69,0)+IFERROR(--ISNUMBER(SEARCH("R70",G472))*70,0)+IFERROR(--ISNUMBER(SEARCH("R71",G472))*71,0)+IFERROR(--ISNUMBER(SEARCH("R72",G472))*72,0)+IFERROR(--ISNUMBER(SEARCH("R73",G472))*73,0)+IFERROR(--ISNUMBER(SEARCH("R74",G472))*74,0)+IFERROR(--ISNUMBER(SEARCH("R75",G472))*75,0)+IFERROR(--ISNUMBER(SEARCH("R76",G472))*76,0)+IFERROR(--ISNUMBER(SEARCH("R77",G472))*77,0)+IFERROR(--ISNUMBER(SEARCH("R78",G472))*78,0)+IFERROR(--ISNUMBER(SEARCH("R79",G472))*79,0)+IFERROR(--ISNUMBER(SEARCH("R80",G472))*80,0)+IFERROR(--ISNUMBER(SEARCH("R81",G472))*81,0)+IFERROR(--ISNUMBER(SEARCH("R82",G472))*82,0)+IFERROR(--ISNUMBER(SEARCH("R83",G472))*83,0)+IFERROR(--ISNUMBER(SEARCH("R84",G472))*84,0)+IFERROR(--ISNUMBER(SEARCH("R85",G472))*85,0)+IFERROR(--ISNUMBER(SEARCH("R86",G472))*86,0)+IFERROR(--ISNUMBER(SEARCH("R87",G472))*87,0)+IFERROR(--ISNUMBER(SEARCH("R88",G472))*88,0)+IFERROR(--ISNUMBER(SEARCH("R89",G472))*89,0)+IFERROR(--ISNUMBER(SEARCH("R90",G472))*90,0)+IFERROR(--ISNUMBER(SEARCH("R91",G472))*91,0)+IFERROR(--ISNUMBER(SEARCH("R92",G472))*92,0)+IFERROR(--ISNUMBER(SEARCH("R93",G472))*93,0)+IFERROR(--ISNUMBER(SEARCH("R94",G472))*94,0)+IFERROR(--ISNUMBER(SEARCH("R95",G472))*95,0)+IFERROR(--ISNUMBER(SEARCH("R96",G472))*96,0)+IFERROR(--ISNUMBER(SEARCH("R97",G472))*97,0)+IFERROR(--ISNUMBER(SEARCH("R98",G472))*98,0)+IFERROR(--ISNUMBER(SEARCH("R99",G472))*99,0)+IFERROR(--ISNUMBER(SEARCH("R100",G472))*100,0)+IFERROR(--ISNUMBER(SEARCH("R101",G472))*101,0)+IFERROR(--ISNUMBER(SEARCH("R102",G472))*102,0)+IFERROR(--ISNUMBER(SEARCH("R103",G472))*103,0)+IFERROR(--ISNUMBER(SEARCH("R104",G472))*104,0)+IFERROR(--ISNUMBER(SEARCH("R105",G472))*105,0)+IFERROR(--ISNUMBER(SEARCH("R106",G472))*106,0)+IFERROR(--ISNUMBER(SEARCH("R107",G472))*107,0)+IFERROR(--ISNUMBER(SEARCH("R108",G472))*108,0)+IFERROR(--ISNUMBER(SEARCH("R109",G472))*109,0)+IFERROR(--ISNUMBER(SEARCH("R110",G472))*110,0)+IFERROR(--ISNUMBER(SEARCH("R111",G472))*111,0)+IFERROR(--ISNUMBER(SEARCH("R112",G472))*112,0)+IFERROR(--ISNUMBER(SEARCH("R113",G472))*113,0)+IFERROR(--ISNUMBER(SEARCH("R114",G472))*114,0)+IFERROR(--ISNUMBER(SEARCH("R115",G472))*115,0)+IFERROR(--ISNUMBER(SEARCH("R116",G472))*116,0)+IFERROR(--ISNUMBER(SEARCH("R117",G472))*117,0)+IFERROR(--ISNUMBER(SEARCH("R118",G472))*118,0)+IFERROR(--ISNUMBER(SEARCH("R119",G472))*119,0)+IFERROR(--ISNUMBER(SEARCH("R120",G472))*120,0)+IFERROR(--ISNUMBER(SEARCH("R121",G472))*121,0)+IFERROR(--ISNUMBER(SEARCH("R122",G472))*122,0)+IFERROR(--ISNUMBER(SEARCH("R123",G472))*123,0)+IFERROR(--ISNUMBER(SEARCH("R124",G472))*124,0)+IFERROR(--ISNUMBER(SEARCH("R125",G472))*125,0)+IFERROR(--ISNUMBER(SEARCH("R126",G472))*126,0)+IFERROR(--ISNUMBER(SEARCH("R127",G472))*127,0)+IFERROR(--ISNUMBER(SEARCH("R128",G472))*128,0)+IFERROR(--ISNUMBER(SEARCH("R129",G472))*129,0)+IFERROR(--ISNUMBER(SEARCH("R130",G472))*130,0)+IFERROR(--ISNUMBER(SEARCH("R131",G472))*131,0)+IFERROR(--ISNUMBER(SEARCH("R132",G472))*132,0)+IFERROR(--ISNUMBER(SEARCH("R133",G472))*133,0)+IFERROR(--ISNUMBER(SEARCH("R134",G472))*134,0)+IFERROR(--ISNUMBER(SEARCH("R135",G472))*135,0)+IFERROR(--ISNUMBER(SEARCH("R136",G472))*136,0)+IFERROR(--ISNUMBER(SEARCH("R137",G472))*137,0)+IFERROR(--ISNUMBER(SEARCH("R138",G472))*138,0)+IFERROR(--ISNUMBER(SEARCH("R139",G472))*139,0)+IFERROR(--ISNUMBER(SEARCH("R140",G472))*140,0)+IFERROR(--ISNUMBER(SEARCH("R141",G472))*141,0))</f>
        <v/>
      </c>
      <c r="V472" s="59">
        <f>IF(A472="","",IF(K472&lt;&gt;"",K472,J472))</f>
        <v/>
      </c>
      <c r="W472" s="59">
        <f>IF(A472="","",IF(AND(V472=29,O472&lt;&gt;"",COUNTIFS($V$6:$V$505,29,$F$6:$F$505,F472,$C$6:$C$505,C472,$O$6:$O$505,"&lt;&gt;")&gt;1),IF(COUNTIFS($V$6:V472,29,$F$6:F472,F472,$C$6:C472,C472,$O$6:O472,"&lt;&gt;")=1,"Esta es la fila que se debe CONSERVAR (aparición 1 de "&amp;COUNTIFS($V$6:$V$505,29,$F$6:$F$505,F472,$C$6:$C$505,C472,$O$6:$O$505,"&lt;&gt;")&amp;" con el mismo tercero y valor, casilla 29). Si hay más filas iguales, bórreles el valor a ELLAS, no a esta.","DUPLICADO — ya existe otra fila con el mismo tercero y valor para casilla 29 (aparición "&amp;COUNTIFS($V$6:V472,29,$F$6:F472,F472,$C$6:C472,C472,$O$6:O472,"&lt;&gt;")&amp;" de "&amp;COUNTIFS($V$6:$V$505,29,$F$6:$F$505,F472,$C$6:$C$505,C472,$O$6:$O$505,"&lt;&gt;")&amp;"). Para resolverlo: seleccione la celda O"&amp;ROW()&amp;" (columna Valor a declarar de ESTA fila) y presione Supr."),""))</f>
        <v/>
      </c>
      <c r="X472" s="463">
        <f>IF(A472="","",F472)</f>
        <v/>
      </c>
      <c r="Y472" s="463">
        <f>IF(A472="","",SUMIF(Entrada_Manual!$I$88:$I$187,A472,Entrada_Manual!$F$88:$F$187))</f>
        <v/>
      </c>
      <c r="Z472" s="463">
        <f>IF(A472="","",X472-Y472)</f>
        <v/>
      </c>
      <c r="AA472">
        <f>IF(A472="","",SUMPRODUCT((Entrada_Manual!$I$88:$I$187=A472)*1))</f>
        <v/>
      </c>
      <c r="AB472">
        <f>IF(A472="","",IF(S472&lt;=1,"",IF(AA472=0,"PENDIENTE — SIN ASIGNAR",IF(Z472=0,"RESUELTO","PARCIAL — DIFERENCIA "&amp;TEXT(Z472,"#,##0")))))</f>
        <v/>
      </c>
    </row>
    <row r="473" ht="14.25" customHeight="1" s="235">
      <c r="A473" s="47">
        <f>IF(Exogena_RAW!E482&lt;&gt;"",ROW()-5,"")</f>
        <v/>
      </c>
      <c r="B473" s="48">
        <f>IF(A473="","",482)</f>
        <v/>
      </c>
      <c r="C473" s="48">
        <f>IF(A473="","",IFERROR(Exogena_RAW!A482,""))</f>
        <v/>
      </c>
      <c r="D473" s="48">
        <f>IF(A473="","",IFERROR(Exogena_RAW!B482,""))</f>
        <v/>
      </c>
      <c r="E473" s="48">
        <f>IF(A473="","",Exogena_RAW!E482)</f>
        <v/>
      </c>
      <c r="F473" s="461">
        <f>IF(A473="","",Exogena_RAW!F482)</f>
        <v/>
      </c>
      <c r="G473" s="48">
        <f>IF(A473="","",IFERROR(Exogena_RAW!G482,""))</f>
        <v/>
      </c>
      <c r="H473" s="48">
        <f>IF(A473="","",IFERROR(Exogena_RAW!H482,""))</f>
        <v/>
      </c>
      <c r="I473" s="48">
        <f>IF(A473="","",IFERROR(IF(S473&gt;1,"VARIAS CASILLAS",IF(S473=1,IF(T473=1,"PROPUESTA DE CASILLA","REVISIÓN: CASILLA NO DIRECTA"),IF(OR(ISNUMBER(SEARCH("TOPE",UPPER(E473))),ISNUMBER(SEARCH("TOPE",UPPER(G473)))),"SOLO CONTROL",IF(ISNUMBER(SEARCH("RETEN",UPPER(E473))),"RETENCIÓN","REVISAR")))),"REVISAR"))</f>
        <v/>
      </c>
      <c r="J473" s="48">
        <f>IF(A473="","",IF(ISNUMBER(SEARCH("ingreso laboral promedio de los últimos seis meses",E473)),"",IFERROR(IF(AND(S473=1,T473=1),U473,""),"")))</f>
        <v/>
      </c>
      <c r="K473" s="216" t="n"/>
      <c r="L473" s="48">
        <f>IF(A473="","",IFERROR(IF(K473&lt;&gt;"","Casilla elegida por usuario",IF(S473&gt;1,"Varias casillas — elegir en K",IF(J473&lt;&gt;"","Sugerencia directa",IF(S473=1,"No trasladar directo — revisar",IF(OR(ISNUMBER(SEARCH("TOPE",UPPER(E473))),ISNUMBER(SEARCH("TOPE",UPPER(G473)))),"Solo control","Revisar manualmente"))))),"Revisar manualmente"))</f>
        <v/>
      </c>
      <c r="M473" s="461">
        <f>IF(A473="","",IF(IF(K473&lt;&gt;"",K473,J473)="",0,IF(COUNTIFS(Reglas!$I$5:$I$118,IF(K473&lt;&gt;"",K473,J473),Reglas!$J$5:$J$118,"Sí")=1,F473,0)))</f>
        <v/>
      </c>
      <c r="N473" s="56" t="n"/>
      <c r="O473" s="462">
        <f>IF(A473="","",IF(M473=0,"",M473))</f>
        <v/>
      </c>
      <c r="P473" s="461">
        <f>IF(A473="","",IF(O473="",0,IF(ISNUMBER(O473),O473,0)))</f>
        <v/>
      </c>
      <c r="Q473" s="48">
        <f>IF(A473="","",IF(Exogena_RAW!$C$4="","BLOQUEADO: FALTA AÑO",IF(Exogena_RAW!$K$10&lt;&gt;Reglas!$B$5,"BLOQUEADO: AÑO",IF(IF(K473&lt;&gt;"",K473,J473)="",IF(S473&gt;1,"REQUIERE ASIGNACIÓN MANUAL (VARIAS CASILLAS)","INFORMATIVO (sin casilla — no se declara)"),IF(COUNTIFS(Reglas!$I$5:$I$118,IF(K473&lt;&gt;"",K473,J473),Reglas!$J$5:$J$118,"Sí")=0,"BLOQUEADO: CASILLA NO DIRECTA",IF(O473="","EXCLUIDO (valor borrado por el usuario)",IF(_xlfn.ISFORMULA(O473),IF(W473&lt;&gt;"","BORRADOR — VALOR SUGERIDO DIAN ⚠ VER ALERTA","BORRADOR — VALOR SUGERIDO DIAN"),IF(W473&lt;&gt;"","ACEPTADO ⚠ VER ALERTA","ACEPTADO"))))))))</f>
        <v/>
      </c>
      <c r="R473" s="218" t="n"/>
      <c r="S473" s="58">
        <f>IF(A473="","",IFERROR(--ISNUMBER(SEARCH("R28",G473)),0)+IFERROR(--ISNUMBER(SEARCH("R29",G473)),0)+IFERROR(--ISNUMBER(SEARCH("R30",G473)),0)+IFERROR(--ISNUMBER(SEARCH("R31",G473)),0)+IFERROR(--ISNUMBER(SEARCH("R32",G473)),0)+IFERROR(--ISNUMBER(SEARCH("R33",G473)),0)+IFERROR(--ISNUMBER(SEARCH("R34",G473)),0)+IFERROR(--ISNUMBER(SEARCH("R35",G473)),0)+IFERROR(--ISNUMBER(SEARCH("R36",G473)),0)+IFERROR(--ISNUMBER(SEARCH("R37",G473)),0)+IFERROR(--ISNUMBER(SEARCH("R38",G473)),0)+IFERROR(--ISNUMBER(SEARCH("R39",G473)),0)+IFERROR(--ISNUMBER(SEARCH("R40",G473)),0)+IFERROR(--ISNUMBER(SEARCH("R41",G473)),0)+IFERROR(--ISNUMBER(SEARCH("R42",G473)),0)+IFERROR(--ISNUMBER(SEARCH("R43",G473)),0)+IFERROR(--ISNUMBER(SEARCH("R44",G473)),0)+IFERROR(--ISNUMBER(SEARCH("R45",G473)),0)+IFERROR(--ISNUMBER(SEARCH("R46",G473)),0)+IFERROR(--ISNUMBER(SEARCH("R47",G473)),0)+IFERROR(--ISNUMBER(SEARCH("R48",G473)),0)+IFERROR(--ISNUMBER(SEARCH("R49",G473)),0)+IFERROR(--ISNUMBER(SEARCH("R50",G473)),0)+IFERROR(--ISNUMBER(SEARCH("R51",G473)),0)+IFERROR(--ISNUMBER(SEARCH("R52",G473)),0)+IFERROR(--ISNUMBER(SEARCH("R53",G473)),0)+IFERROR(--ISNUMBER(SEARCH("R54",G473)),0)+IFERROR(--ISNUMBER(SEARCH("R55",G473)),0)+IFERROR(--ISNUMBER(SEARCH("R56",G473)),0)+IFERROR(--ISNUMBER(SEARCH("R57",G473)),0)+IFERROR(--ISNUMBER(SEARCH("R58",G473)),0)+IFERROR(--ISNUMBER(SEARCH("R59",G473)),0)+IFERROR(--ISNUMBER(SEARCH("R60",G473)),0)+IFERROR(--ISNUMBER(SEARCH("R61",G473)),0)+IFERROR(--ISNUMBER(SEARCH("R62",G473)),0)+IFERROR(--ISNUMBER(SEARCH("R63",G473)),0)+IFERROR(--ISNUMBER(SEARCH("R64",G473)),0)+IFERROR(--ISNUMBER(SEARCH("R65",G473)),0)+IFERROR(--ISNUMBER(SEARCH("R66",G473)),0)+IFERROR(--ISNUMBER(SEARCH("R67",G473)),0)+IFERROR(--ISNUMBER(SEARCH("R68",G473)),0)+IFERROR(--ISNUMBER(SEARCH("R69",G473)),0)+IFERROR(--ISNUMBER(SEARCH("R70",G473)),0)+IFERROR(--ISNUMBER(SEARCH("R71",G473)),0)+IFERROR(--ISNUMBER(SEARCH("R72",G473)),0)+IFERROR(--ISNUMBER(SEARCH("R73",G473)),0)+IFERROR(--ISNUMBER(SEARCH("R74",G473)),0)+IFERROR(--ISNUMBER(SEARCH("R75",G473)),0)+IFERROR(--ISNUMBER(SEARCH("R76",G473)),0)+IFERROR(--ISNUMBER(SEARCH("R77",G473)),0)+IFERROR(--ISNUMBER(SEARCH("R78",G473)),0)+IFERROR(--ISNUMBER(SEARCH("R79",G473)),0)+IFERROR(--ISNUMBER(SEARCH("R80",G473)),0)+IFERROR(--ISNUMBER(SEARCH("R81",G473)),0)+IFERROR(--ISNUMBER(SEARCH("R82",G473)),0)+IFERROR(--ISNUMBER(SEARCH("R83",G473)),0)+IFERROR(--ISNUMBER(SEARCH("R84",G473)),0)+IFERROR(--ISNUMBER(SEARCH("R85",G473)),0)+IFERROR(--ISNUMBER(SEARCH("R86",G473)),0)+IFERROR(--ISNUMBER(SEARCH("R87",G473)),0)+IFERROR(--ISNUMBER(SEARCH("R88",G473)),0)+IFERROR(--ISNUMBER(SEARCH("R89",G473)),0)+IFERROR(--ISNUMBER(SEARCH("R90",G473)),0)+IFERROR(--ISNUMBER(SEARCH("R91",G473)),0)+IFERROR(--ISNUMBER(SEARCH("R92",G473)),0)+IFERROR(--ISNUMBER(SEARCH("R93",G473)),0)+IFERROR(--ISNUMBER(SEARCH("R94",G473)),0)+IFERROR(--ISNUMBER(SEARCH("R95",G473)),0)+IFERROR(--ISNUMBER(SEARCH("R96",G473)),0)+IFERROR(--ISNUMBER(SEARCH("R97",G473)),0)+IFERROR(--ISNUMBER(SEARCH("R98",G473)),0)+IFERROR(--ISNUMBER(SEARCH("R99",G473)),0)+IFERROR(--ISNUMBER(SEARCH("R100",G473)),0)+IFERROR(--ISNUMBER(SEARCH("R101",G473)),0)+IFERROR(--ISNUMBER(SEARCH("R102",G473)),0)+IFERROR(--ISNUMBER(SEARCH("R103",G473)),0)+IFERROR(--ISNUMBER(SEARCH("R104",G473)),0)+IFERROR(--ISNUMBER(SEARCH("R105",G473)),0)+IFERROR(--ISNUMBER(SEARCH("R106",G473)),0)+IFERROR(--ISNUMBER(SEARCH("R107",G473)),0)+IFERROR(--ISNUMBER(SEARCH("R108",G473)),0)+IFERROR(--ISNUMBER(SEARCH("R109",G473)),0)+IFERROR(--ISNUMBER(SEARCH("R110",G473)),0)+IFERROR(--ISNUMBER(SEARCH("R111",G473)),0)+IFERROR(--ISNUMBER(SEARCH("R112",G473)),0)+IFERROR(--ISNUMBER(SEARCH("R113",G473)),0)+IFERROR(--ISNUMBER(SEARCH("R114",G473)),0)+IFERROR(--ISNUMBER(SEARCH("R115",G473)),0)+IFERROR(--ISNUMBER(SEARCH("R116",G473)),0)+IFERROR(--ISNUMBER(SEARCH("R117",G473)),0)+IFERROR(--ISNUMBER(SEARCH("R118",G473)),0)+IFERROR(--ISNUMBER(SEARCH("R119",G473)),0)+IFERROR(--ISNUMBER(SEARCH("R120",G473)),0)+IFERROR(--ISNUMBER(SEARCH("R121",G473)),0)+IFERROR(--ISNUMBER(SEARCH("R122",G473)),0)+IFERROR(--ISNUMBER(SEARCH("R123",G473)),0)+IFERROR(--ISNUMBER(SEARCH("R124",G473)),0)+IFERROR(--ISNUMBER(SEARCH("R125",G473)),0)+IFERROR(--ISNUMBER(SEARCH("R126",G473)),0)+IFERROR(--ISNUMBER(SEARCH("R127",G473)),0)+IFERROR(--ISNUMBER(SEARCH("R128",G473)),0)+IFERROR(--ISNUMBER(SEARCH("R129",G473)),0)+IFERROR(--ISNUMBER(SEARCH("R130",G473)),0)+IFERROR(--ISNUMBER(SEARCH("R131",G473)),0)+IFERROR(--ISNUMBER(SEARCH("R132",G473)),0)+IFERROR(--ISNUMBER(SEARCH("R133",G473)),0)+IFERROR(--ISNUMBER(SEARCH("R134",G473)),0)+IFERROR(--ISNUMBER(SEARCH("R135",G473)),0)+IFERROR(--ISNUMBER(SEARCH("R136",G473)),0)+IFERROR(--ISNUMBER(SEARCH("R137",G473)),0)+IFERROR(--ISNUMBER(SEARCH("R138",G473)),0)+IFERROR(--ISNUMBER(SEARCH("R139",G473)),0)+IFERROR(--ISNUMBER(SEARCH("R140",G473)),0)+IFERROR(--ISNUMBER(SEARCH("R141",G473)),0))</f>
        <v/>
      </c>
      <c r="T473" s="58">
        <f>IF(A473="","",IFERROR(--ISNUMBER(SEARCH("R28",G473)),0)+IFERROR(--ISNUMBER(SEARCH("R29",G473)),0)+IFERROR(--ISNUMBER(SEARCH("R30",G473)),0)+IFERROR(--ISNUMBER(SEARCH("R32",G473)),0)+IFERROR(--ISNUMBER(SEARCH("R33",G473)),0)+IFERROR(--ISNUMBER(SEARCH("R35",G473)),0)+IFERROR(--ISNUMBER(SEARCH("R36",G473)),0)+IFERROR(--ISNUMBER(SEARCH("R38",G473)),0)+IFERROR(--ISNUMBER(SEARCH("R39",G473)),0)+IFERROR(--ISNUMBER(SEARCH("R43",G473)),0)+IFERROR(--ISNUMBER(SEARCH("R44",G473)),0)+IFERROR(--ISNUMBER(SEARCH("R45",G473)),0)+IFERROR(--ISNUMBER(SEARCH("R47",G473)),0)+IFERROR(--ISNUMBER(SEARCH("R48",G473)),0)+IFERROR(--ISNUMBER(SEARCH("R50",G473)),0)+IFERROR(--ISNUMBER(SEARCH("R51",G473)),0)+IFERROR(--ISNUMBER(SEARCH("R56",G473)),0)+IFERROR(--ISNUMBER(SEARCH("R58",G473)),0)+IFERROR(--ISNUMBER(SEARCH("R59",G473)),0)+IFERROR(--ISNUMBER(SEARCH("R60",G473)),0)+IFERROR(--ISNUMBER(SEARCH("R62",G473)),0)+IFERROR(--ISNUMBER(SEARCH("R63",G473)),0)+IFERROR(--ISNUMBER(SEARCH("R64",G473)),0)+IFERROR(--ISNUMBER(SEARCH("R66",G473)),0)+IFERROR(--ISNUMBER(SEARCH("R67",G473)),0)+IFERROR(--ISNUMBER(SEARCH("R72",G473)),0)+IFERROR(--ISNUMBER(SEARCH("R74",G473)),0)+IFERROR(--ISNUMBER(SEARCH("R75",G473)),0)+IFERROR(--ISNUMBER(SEARCH("R76",G473)),0)+IFERROR(--ISNUMBER(SEARCH("R77",G473)),0)+IFERROR(--ISNUMBER(SEARCH("R79",G473)),0)+IFERROR(--ISNUMBER(SEARCH("R80",G473)),0)+IFERROR(--ISNUMBER(SEARCH("R81",G473)),0)+IFERROR(--ISNUMBER(SEARCH("R83",G473)),0)+IFERROR(--ISNUMBER(SEARCH("R84",G473)),0)+IFERROR(--ISNUMBER(SEARCH("R89",G473)),0)+IFERROR(--ISNUMBER(SEARCH("R94",G473)),0)+IFERROR(--ISNUMBER(SEARCH("R95",G473)),0)+IFERROR(--ISNUMBER(SEARCH("R96",G473)),0)+IFERROR(--ISNUMBER(SEARCH("R98",G473)),0)+IFERROR(--ISNUMBER(SEARCH("R99",G473)),0)+IFERROR(--ISNUMBER(SEARCH("R100",G473)),0)+IFERROR(--ISNUMBER(SEARCH("R104",G473)),0)+IFERROR(--ISNUMBER(SEARCH("R105",G473)),0)+IFERROR(--ISNUMBER(SEARCH("R107",G473)),0)+IFERROR(--ISNUMBER(SEARCH("R108",G473)),0)+IFERROR(--ISNUMBER(SEARCH("R109",G473)),0)+IFERROR(--ISNUMBER(SEARCH("R110",G473)),0)+IFERROR(--ISNUMBER(SEARCH("R112",G473)),0)+IFERROR(--ISNUMBER(SEARCH("R113",G473)),0)+IFERROR(--ISNUMBER(SEARCH("R114",G473)),0)+IFERROR(--ISNUMBER(SEARCH("R118",G473)),0)+IFERROR(--ISNUMBER(SEARCH("R119",G473)),0)+IFERROR(--ISNUMBER(SEARCH("R120",G473)),0)+IFERROR(--ISNUMBER(SEARCH("R122",G473)),0)+IFERROR(--ISNUMBER(SEARCH("R123",G473)),0)+IFERROR(--ISNUMBER(SEARCH("R124",G473)),0)+IFERROR(--ISNUMBER(SEARCH("R128",G473)),0)+IFERROR(--ISNUMBER(SEARCH("R130",G473)),0)+IFERROR(--ISNUMBER(SEARCH("R131",G473)),0)+IFERROR(--ISNUMBER(SEARCH("R132",G473)),0)+IFERROR(--ISNUMBER(SEARCH("R135",G473)),0)+IFERROR(--ISNUMBER(SEARCH("R138",G473)),0)+IFERROR(--ISNUMBER(SEARCH("R141",G473)),0))</f>
        <v/>
      </c>
      <c r="U473" s="58">
        <f>IF(A473="","",IFERROR(--ISNUMBER(SEARCH("R28",G473))*28,0)+IFERROR(--ISNUMBER(SEARCH("R29",G473))*29,0)+IFERROR(--ISNUMBER(SEARCH("R30",G473))*30,0)+IFERROR(--ISNUMBER(SEARCH("R31",G473))*31,0)+IFERROR(--ISNUMBER(SEARCH("R32",G473))*32,0)+IFERROR(--ISNUMBER(SEARCH("R33",G473))*33,0)+IFERROR(--ISNUMBER(SEARCH("R34",G473))*34,0)+IFERROR(--ISNUMBER(SEARCH("R35",G473))*35,0)+IFERROR(--ISNUMBER(SEARCH("R36",G473))*36,0)+IFERROR(--ISNUMBER(SEARCH("R37",G473))*37,0)+IFERROR(--ISNUMBER(SEARCH("R38",G473))*38,0)+IFERROR(--ISNUMBER(SEARCH("R39",G473))*39,0)+IFERROR(--ISNUMBER(SEARCH("R40",G473))*40,0)+IFERROR(--ISNUMBER(SEARCH("R41",G473))*41,0)+IFERROR(--ISNUMBER(SEARCH("R42",G473))*42,0)+IFERROR(--ISNUMBER(SEARCH("R43",G473))*43,0)+IFERROR(--ISNUMBER(SEARCH("R44",G473))*44,0)+IFERROR(--ISNUMBER(SEARCH("R45",G473))*45,0)+IFERROR(--ISNUMBER(SEARCH("R46",G473))*46,0)+IFERROR(--ISNUMBER(SEARCH("R47",G473))*47,0)+IFERROR(--ISNUMBER(SEARCH("R48",G473))*48,0)+IFERROR(--ISNUMBER(SEARCH("R49",G473))*49,0)+IFERROR(--ISNUMBER(SEARCH("R50",G473))*50,0)+IFERROR(--ISNUMBER(SEARCH("R51",G473))*51,0)+IFERROR(--ISNUMBER(SEARCH("R52",G473))*52,0)+IFERROR(--ISNUMBER(SEARCH("R53",G473))*53,0)+IFERROR(--ISNUMBER(SEARCH("R54",G473))*54,0)+IFERROR(--ISNUMBER(SEARCH("R55",G473))*55,0)+IFERROR(--ISNUMBER(SEARCH("R56",G473))*56,0)+IFERROR(--ISNUMBER(SEARCH("R57",G473))*57,0)+IFERROR(--ISNUMBER(SEARCH("R58",G473))*58,0)+IFERROR(--ISNUMBER(SEARCH("R59",G473))*59,0)+IFERROR(--ISNUMBER(SEARCH("R60",G473))*60,0)+IFERROR(--ISNUMBER(SEARCH("R61",G473))*61,0)+IFERROR(--ISNUMBER(SEARCH("R62",G473))*62,0)+IFERROR(--ISNUMBER(SEARCH("R63",G473))*63,0)+IFERROR(--ISNUMBER(SEARCH("R64",G473))*64,0)+IFERROR(--ISNUMBER(SEARCH("R65",G473))*65,0)+IFERROR(--ISNUMBER(SEARCH("R66",G473))*66,0)+IFERROR(--ISNUMBER(SEARCH("R67",G473))*67,0)+IFERROR(--ISNUMBER(SEARCH("R68",G473))*68,0)+IFERROR(--ISNUMBER(SEARCH("R69",G473))*69,0)+IFERROR(--ISNUMBER(SEARCH("R70",G473))*70,0)+IFERROR(--ISNUMBER(SEARCH("R71",G473))*71,0)+IFERROR(--ISNUMBER(SEARCH("R72",G473))*72,0)+IFERROR(--ISNUMBER(SEARCH("R73",G473))*73,0)+IFERROR(--ISNUMBER(SEARCH("R74",G473))*74,0)+IFERROR(--ISNUMBER(SEARCH("R75",G473))*75,0)+IFERROR(--ISNUMBER(SEARCH("R76",G473))*76,0)+IFERROR(--ISNUMBER(SEARCH("R77",G473))*77,0)+IFERROR(--ISNUMBER(SEARCH("R78",G473))*78,0)+IFERROR(--ISNUMBER(SEARCH("R79",G473))*79,0)+IFERROR(--ISNUMBER(SEARCH("R80",G473))*80,0)+IFERROR(--ISNUMBER(SEARCH("R81",G473))*81,0)+IFERROR(--ISNUMBER(SEARCH("R82",G473))*82,0)+IFERROR(--ISNUMBER(SEARCH("R83",G473))*83,0)+IFERROR(--ISNUMBER(SEARCH("R84",G473))*84,0)+IFERROR(--ISNUMBER(SEARCH("R85",G473))*85,0)+IFERROR(--ISNUMBER(SEARCH("R86",G473))*86,0)+IFERROR(--ISNUMBER(SEARCH("R87",G473))*87,0)+IFERROR(--ISNUMBER(SEARCH("R88",G473))*88,0)+IFERROR(--ISNUMBER(SEARCH("R89",G473))*89,0)+IFERROR(--ISNUMBER(SEARCH("R90",G473))*90,0)+IFERROR(--ISNUMBER(SEARCH("R91",G473))*91,0)+IFERROR(--ISNUMBER(SEARCH("R92",G473))*92,0)+IFERROR(--ISNUMBER(SEARCH("R93",G473))*93,0)+IFERROR(--ISNUMBER(SEARCH("R94",G473))*94,0)+IFERROR(--ISNUMBER(SEARCH("R95",G473))*95,0)+IFERROR(--ISNUMBER(SEARCH("R96",G473))*96,0)+IFERROR(--ISNUMBER(SEARCH("R97",G473))*97,0)+IFERROR(--ISNUMBER(SEARCH("R98",G473))*98,0)+IFERROR(--ISNUMBER(SEARCH("R99",G473))*99,0)+IFERROR(--ISNUMBER(SEARCH("R100",G473))*100,0)+IFERROR(--ISNUMBER(SEARCH("R101",G473))*101,0)+IFERROR(--ISNUMBER(SEARCH("R102",G473))*102,0)+IFERROR(--ISNUMBER(SEARCH("R103",G473))*103,0)+IFERROR(--ISNUMBER(SEARCH("R104",G473))*104,0)+IFERROR(--ISNUMBER(SEARCH("R105",G473))*105,0)+IFERROR(--ISNUMBER(SEARCH("R106",G473))*106,0)+IFERROR(--ISNUMBER(SEARCH("R107",G473))*107,0)+IFERROR(--ISNUMBER(SEARCH("R108",G473))*108,0)+IFERROR(--ISNUMBER(SEARCH("R109",G473))*109,0)+IFERROR(--ISNUMBER(SEARCH("R110",G473))*110,0)+IFERROR(--ISNUMBER(SEARCH("R111",G473))*111,0)+IFERROR(--ISNUMBER(SEARCH("R112",G473))*112,0)+IFERROR(--ISNUMBER(SEARCH("R113",G473))*113,0)+IFERROR(--ISNUMBER(SEARCH("R114",G473))*114,0)+IFERROR(--ISNUMBER(SEARCH("R115",G473))*115,0)+IFERROR(--ISNUMBER(SEARCH("R116",G473))*116,0)+IFERROR(--ISNUMBER(SEARCH("R117",G473))*117,0)+IFERROR(--ISNUMBER(SEARCH("R118",G473))*118,0)+IFERROR(--ISNUMBER(SEARCH("R119",G473))*119,0)+IFERROR(--ISNUMBER(SEARCH("R120",G473))*120,0)+IFERROR(--ISNUMBER(SEARCH("R121",G473))*121,0)+IFERROR(--ISNUMBER(SEARCH("R122",G473))*122,0)+IFERROR(--ISNUMBER(SEARCH("R123",G473))*123,0)+IFERROR(--ISNUMBER(SEARCH("R124",G473))*124,0)+IFERROR(--ISNUMBER(SEARCH("R125",G473))*125,0)+IFERROR(--ISNUMBER(SEARCH("R126",G473))*126,0)+IFERROR(--ISNUMBER(SEARCH("R127",G473))*127,0)+IFERROR(--ISNUMBER(SEARCH("R128",G473))*128,0)+IFERROR(--ISNUMBER(SEARCH("R129",G473))*129,0)+IFERROR(--ISNUMBER(SEARCH("R130",G473))*130,0)+IFERROR(--ISNUMBER(SEARCH("R131",G473))*131,0)+IFERROR(--ISNUMBER(SEARCH("R132",G473))*132,0)+IFERROR(--ISNUMBER(SEARCH("R133",G473))*133,0)+IFERROR(--ISNUMBER(SEARCH("R134",G473))*134,0)+IFERROR(--ISNUMBER(SEARCH("R135",G473))*135,0)+IFERROR(--ISNUMBER(SEARCH("R136",G473))*136,0)+IFERROR(--ISNUMBER(SEARCH("R137",G473))*137,0)+IFERROR(--ISNUMBER(SEARCH("R138",G473))*138,0)+IFERROR(--ISNUMBER(SEARCH("R139",G473))*139,0)+IFERROR(--ISNUMBER(SEARCH("R140",G473))*140,0)+IFERROR(--ISNUMBER(SEARCH("R141",G473))*141,0))</f>
        <v/>
      </c>
      <c r="V473" s="59">
        <f>IF(A473="","",IF(K473&lt;&gt;"",K473,J473))</f>
        <v/>
      </c>
      <c r="W473" s="59">
        <f>IF(A473="","",IF(AND(V473=29,O473&lt;&gt;"",COUNTIFS($V$6:$V$505,29,$F$6:$F$505,F473,$C$6:$C$505,C473,$O$6:$O$505,"&lt;&gt;")&gt;1),IF(COUNTIFS($V$6:V473,29,$F$6:F473,F473,$C$6:C473,C473,$O$6:O473,"&lt;&gt;")=1,"Esta es la fila que se debe CONSERVAR (aparición 1 de "&amp;COUNTIFS($V$6:$V$505,29,$F$6:$F$505,F473,$C$6:$C$505,C473,$O$6:$O$505,"&lt;&gt;")&amp;" con el mismo tercero y valor, casilla 29). Si hay más filas iguales, bórreles el valor a ELLAS, no a esta.","DUPLICADO — ya existe otra fila con el mismo tercero y valor para casilla 29 (aparición "&amp;COUNTIFS($V$6:V473,29,$F$6:F473,F473,$C$6:C473,C473,$O$6:O473,"&lt;&gt;")&amp;" de "&amp;COUNTIFS($V$6:$V$505,29,$F$6:$F$505,F473,$C$6:$C$505,C473,$O$6:$O$505,"&lt;&gt;")&amp;"). Para resolverlo: seleccione la celda O"&amp;ROW()&amp;" (columna Valor a declarar de ESTA fila) y presione Supr."),""))</f>
        <v/>
      </c>
      <c r="X473" s="463">
        <f>IF(A473="","",F473)</f>
        <v/>
      </c>
      <c r="Y473" s="463">
        <f>IF(A473="","",SUMIF(Entrada_Manual!$I$88:$I$187,A473,Entrada_Manual!$F$88:$F$187))</f>
        <v/>
      </c>
      <c r="Z473" s="463">
        <f>IF(A473="","",X473-Y473)</f>
        <v/>
      </c>
      <c r="AA473">
        <f>IF(A473="","",SUMPRODUCT((Entrada_Manual!$I$88:$I$187=A473)*1))</f>
        <v/>
      </c>
      <c r="AB473">
        <f>IF(A473="","",IF(S473&lt;=1,"",IF(AA473=0,"PENDIENTE — SIN ASIGNAR",IF(Z473=0,"RESUELTO","PARCIAL — DIFERENCIA "&amp;TEXT(Z473,"#,##0")))))</f>
        <v/>
      </c>
    </row>
    <row r="474" ht="14.25" customHeight="1" s="235">
      <c r="A474" s="47">
        <f>IF(Exogena_RAW!E483&lt;&gt;"",ROW()-5,"")</f>
        <v/>
      </c>
      <c r="B474" s="48">
        <f>IF(A474="","",483)</f>
        <v/>
      </c>
      <c r="C474" s="48">
        <f>IF(A474="","",IFERROR(Exogena_RAW!A483,""))</f>
        <v/>
      </c>
      <c r="D474" s="48">
        <f>IF(A474="","",IFERROR(Exogena_RAW!B483,""))</f>
        <v/>
      </c>
      <c r="E474" s="48">
        <f>IF(A474="","",Exogena_RAW!E483)</f>
        <v/>
      </c>
      <c r="F474" s="461">
        <f>IF(A474="","",Exogena_RAW!F483)</f>
        <v/>
      </c>
      <c r="G474" s="48">
        <f>IF(A474="","",IFERROR(Exogena_RAW!G483,""))</f>
        <v/>
      </c>
      <c r="H474" s="48">
        <f>IF(A474="","",IFERROR(Exogena_RAW!H483,""))</f>
        <v/>
      </c>
      <c r="I474" s="48">
        <f>IF(A474="","",IFERROR(IF(S474&gt;1,"VARIAS CASILLAS",IF(S474=1,IF(T474=1,"PROPUESTA DE CASILLA","REVISIÓN: CASILLA NO DIRECTA"),IF(OR(ISNUMBER(SEARCH("TOPE",UPPER(E474))),ISNUMBER(SEARCH("TOPE",UPPER(G474)))),"SOLO CONTROL",IF(ISNUMBER(SEARCH("RETEN",UPPER(E474))),"RETENCIÓN","REVISAR")))),"REVISAR"))</f>
        <v/>
      </c>
      <c r="J474" s="48">
        <f>IF(A474="","",IF(ISNUMBER(SEARCH("ingreso laboral promedio de los últimos seis meses",E474)),"",IFERROR(IF(AND(S474=1,T474=1),U474,""),"")))</f>
        <v/>
      </c>
      <c r="K474" s="216" t="n"/>
      <c r="L474" s="48">
        <f>IF(A474="","",IFERROR(IF(K474&lt;&gt;"","Casilla elegida por usuario",IF(S474&gt;1,"Varias casillas — elegir en K",IF(J474&lt;&gt;"","Sugerencia directa",IF(S474=1,"No trasladar directo — revisar",IF(OR(ISNUMBER(SEARCH("TOPE",UPPER(E474))),ISNUMBER(SEARCH("TOPE",UPPER(G474)))),"Solo control","Revisar manualmente"))))),"Revisar manualmente"))</f>
        <v/>
      </c>
      <c r="M474" s="461">
        <f>IF(A474="","",IF(IF(K474&lt;&gt;"",K474,J474)="",0,IF(COUNTIFS(Reglas!$I$5:$I$118,IF(K474&lt;&gt;"",K474,J474),Reglas!$J$5:$J$118,"Sí")=1,F474,0)))</f>
        <v/>
      </c>
      <c r="N474" s="56" t="n"/>
      <c r="O474" s="462">
        <f>IF(A474="","",IF(M474=0,"",M474))</f>
        <v/>
      </c>
      <c r="P474" s="461">
        <f>IF(A474="","",IF(O474="",0,IF(ISNUMBER(O474),O474,0)))</f>
        <v/>
      </c>
      <c r="Q474" s="48">
        <f>IF(A474="","",IF(Exogena_RAW!$C$4="","BLOQUEADO: FALTA AÑO",IF(Exogena_RAW!$K$10&lt;&gt;Reglas!$B$5,"BLOQUEADO: AÑO",IF(IF(K474&lt;&gt;"",K474,J474)="",IF(S474&gt;1,"REQUIERE ASIGNACIÓN MANUAL (VARIAS CASILLAS)","INFORMATIVO (sin casilla — no se declara)"),IF(COUNTIFS(Reglas!$I$5:$I$118,IF(K474&lt;&gt;"",K474,J474),Reglas!$J$5:$J$118,"Sí")=0,"BLOQUEADO: CASILLA NO DIRECTA",IF(O474="","EXCLUIDO (valor borrado por el usuario)",IF(_xlfn.ISFORMULA(O474),IF(W474&lt;&gt;"","BORRADOR — VALOR SUGERIDO DIAN ⚠ VER ALERTA","BORRADOR — VALOR SUGERIDO DIAN"),IF(W474&lt;&gt;"","ACEPTADO ⚠ VER ALERTA","ACEPTADO"))))))))</f>
        <v/>
      </c>
      <c r="R474" s="218" t="n"/>
      <c r="S474" s="58">
        <f>IF(A474="","",IFERROR(--ISNUMBER(SEARCH("R28",G474)),0)+IFERROR(--ISNUMBER(SEARCH("R29",G474)),0)+IFERROR(--ISNUMBER(SEARCH("R30",G474)),0)+IFERROR(--ISNUMBER(SEARCH("R31",G474)),0)+IFERROR(--ISNUMBER(SEARCH("R32",G474)),0)+IFERROR(--ISNUMBER(SEARCH("R33",G474)),0)+IFERROR(--ISNUMBER(SEARCH("R34",G474)),0)+IFERROR(--ISNUMBER(SEARCH("R35",G474)),0)+IFERROR(--ISNUMBER(SEARCH("R36",G474)),0)+IFERROR(--ISNUMBER(SEARCH("R37",G474)),0)+IFERROR(--ISNUMBER(SEARCH("R38",G474)),0)+IFERROR(--ISNUMBER(SEARCH("R39",G474)),0)+IFERROR(--ISNUMBER(SEARCH("R40",G474)),0)+IFERROR(--ISNUMBER(SEARCH("R41",G474)),0)+IFERROR(--ISNUMBER(SEARCH("R42",G474)),0)+IFERROR(--ISNUMBER(SEARCH("R43",G474)),0)+IFERROR(--ISNUMBER(SEARCH("R44",G474)),0)+IFERROR(--ISNUMBER(SEARCH("R45",G474)),0)+IFERROR(--ISNUMBER(SEARCH("R46",G474)),0)+IFERROR(--ISNUMBER(SEARCH("R47",G474)),0)+IFERROR(--ISNUMBER(SEARCH("R48",G474)),0)+IFERROR(--ISNUMBER(SEARCH("R49",G474)),0)+IFERROR(--ISNUMBER(SEARCH("R50",G474)),0)+IFERROR(--ISNUMBER(SEARCH("R51",G474)),0)+IFERROR(--ISNUMBER(SEARCH("R52",G474)),0)+IFERROR(--ISNUMBER(SEARCH("R53",G474)),0)+IFERROR(--ISNUMBER(SEARCH("R54",G474)),0)+IFERROR(--ISNUMBER(SEARCH("R55",G474)),0)+IFERROR(--ISNUMBER(SEARCH("R56",G474)),0)+IFERROR(--ISNUMBER(SEARCH("R57",G474)),0)+IFERROR(--ISNUMBER(SEARCH("R58",G474)),0)+IFERROR(--ISNUMBER(SEARCH("R59",G474)),0)+IFERROR(--ISNUMBER(SEARCH("R60",G474)),0)+IFERROR(--ISNUMBER(SEARCH("R61",G474)),0)+IFERROR(--ISNUMBER(SEARCH("R62",G474)),0)+IFERROR(--ISNUMBER(SEARCH("R63",G474)),0)+IFERROR(--ISNUMBER(SEARCH("R64",G474)),0)+IFERROR(--ISNUMBER(SEARCH("R65",G474)),0)+IFERROR(--ISNUMBER(SEARCH("R66",G474)),0)+IFERROR(--ISNUMBER(SEARCH("R67",G474)),0)+IFERROR(--ISNUMBER(SEARCH("R68",G474)),0)+IFERROR(--ISNUMBER(SEARCH("R69",G474)),0)+IFERROR(--ISNUMBER(SEARCH("R70",G474)),0)+IFERROR(--ISNUMBER(SEARCH("R71",G474)),0)+IFERROR(--ISNUMBER(SEARCH("R72",G474)),0)+IFERROR(--ISNUMBER(SEARCH("R73",G474)),0)+IFERROR(--ISNUMBER(SEARCH("R74",G474)),0)+IFERROR(--ISNUMBER(SEARCH("R75",G474)),0)+IFERROR(--ISNUMBER(SEARCH("R76",G474)),0)+IFERROR(--ISNUMBER(SEARCH("R77",G474)),0)+IFERROR(--ISNUMBER(SEARCH("R78",G474)),0)+IFERROR(--ISNUMBER(SEARCH("R79",G474)),0)+IFERROR(--ISNUMBER(SEARCH("R80",G474)),0)+IFERROR(--ISNUMBER(SEARCH("R81",G474)),0)+IFERROR(--ISNUMBER(SEARCH("R82",G474)),0)+IFERROR(--ISNUMBER(SEARCH("R83",G474)),0)+IFERROR(--ISNUMBER(SEARCH("R84",G474)),0)+IFERROR(--ISNUMBER(SEARCH("R85",G474)),0)+IFERROR(--ISNUMBER(SEARCH("R86",G474)),0)+IFERROR(--ISNUMBER(SEARCH("R87",G474)),0)+IFERROR(--ISNUMBER(SEARCH("R88",G474)),0)+IFERROR(--ISNUMBER(SEARCH("R89",G474)),0)+IFERROR(--ISNUMBER(SEARCH("R90",G474)),0)+IFERROR(--ISNUMBER(SEARCH("R91",G474)),0)+IFERROR(--ISNUMBER(SEARCH("R92",G474)),0)+IFERROR(--ISNUMBER(SEARCH("R93",G474)),0)+IFERROR(--ISNUMBER(SEARCH("R94",G474)),0)+IFERROR(--ISNUMBER(SEARCH("R95",G474)),0)+IFERROR(--ISNUMBER(SEARCH("R96",G474)),0)+IFERROR(--ISNUMBER(SEARCH("R97",G474)),0)+IFERROR(--ISNUMBER(SEARCH("R98",G474)),0)+IFERROR(--ISNUMBER(SEARCH("R99",G474)),0)+IFERROR(--ISNUMBER(SEARCH("R100",G474)),0)+IFERROR(--ISNUMBER(SEARCH("R101",G474)),0)+IFERROR(--ISNUMBER(SEARCH("R102",G474)),0)+IFERROR(--ISNUMBER(SEARCH("R103",G474)),0)+IFERROR(--ISNUMBER(SEARCH("R104",G474)),0)+IFERROR(--ISNUMBER(SEARCH("R105",G474)),0)+IFERROR(--ISNUMBER(SEARCH("R106",G474)),0)+IFERROR(--ISNUMBER(SEARCH("R107",G474)),0)+IFERROR(--ISNUMBER(SEARCH("R108",G474)),0)+IFERROR(--ISNUMBER(SEARCH("R109",G474)),0)+IFERROR(--ISNUMBER(SEARCH("R110",G474)),0)+IFERROR(--ISNUMBER(SEARCH("R111",G474)),0)+IFERROR(--ISNUMBER(SEARCH("R112",G474)),0)+IFERROR(--ISNUMBER(SEARCH("R113",G474)),0)+IFERROR(--ISNUMBER(SEARCH("R114",G474)),0)+IFERROR(--ISNUMBER(SEARCH("R115",G474)),0)+IFERROR(--ISNUMBER(SEARCH("R116",G474)),0)+IFERROR(--ISNUMBER(SEARCH("R117",G474)),0)+IFERROR(--ISNUMBER(SEARCH("R118",G474)),0)+IFERROR(--ISNUMBER(SEARCH("R119",G474)),0)+IFERROR(--ISNUMBER(SEARCH("R120",G474)),0)+IFERROR(--ISNUMBER(SEARCH("R121",G474)),0)+IFERROR(--ISNUMBER(SEARCH("R122",G474)),0)+IFERROR(--ISNUMBER(SEARCH("R123",G474)),0)+IFERROR(--ISNUMBER(SEARCH("R124",G474)),0)+IFERROR(--ISNUMBER(SEARCH("R125",G474)),0)+IFERROR(--ISNUMBER(SEARCH("R126",G474)),0)+IFERROR(--ISNUMBER(SEARCH("R127",G474)),0)+IFERROR(--ISNUMBER(SEARCH("R128",G474)),0)+IFERROR(--ISNUMBER(SEARCH("R129",G474)),0)+IFERROR(--ISNUMBER(SEARCH("R130",G474)),0)+IFERROR(--ISNUMBER(SEARCH("R131",G474)),0)+IFERROR(--ISNUMBER(SEARCH("R132",G474)),0)+IFERROR(--ISNUMBER(SEARCH("R133",G474)),0)+IFERROR(--ISNUMBER(SEARCH("R134",G474)),0)+IFERROR(--ISNUMBER(SEARCH("R135",G474)),0)+IFERROR(--ISNUMBER(SEARCH("R136",G474)),0)+IFERROR(--ISNUMBER(SEARCH("R137",G474)),0)+IFERROR(--ISNUMBER(SEARCH("R138",G474)),0)+IFERROR(--ISNUMBER(SEARCH("R139",G474)),0)+IFERROR(--ISNUMBER(SEARCH("R140",G474)),0)+IFERROR(--ISNUMBER(SEARCH("R141",G474)),0))</f>
        <v/>
      </c>
      <c r="T474" s="58">
        <f>IF(A474="","",IFERROR(--ISNUMBER(SEARCH("R28",G474)),0)+IFERROR(--ISNUMBER(SEARCH("R29",G474)),0)+IFERROR(--ISNUMBER(SEARCH("R30",G474)),0)+IFERROR(--ISNUMBER(SEARCH("R32",G474)),0)+IFERROR(--ISNUMBER(SEARCH("R33",G474)),0)+IFERROR(--ISNUMBER(SEARCH("R35",G474)),0)+IFERROR(--ISNUMBER(SEARCH("R36",G474)),0)+IFERROR(--ISNUMBER(SEARCH("R38",G474)),0)+IFERROR(--ISNUMBER(SEARCH("R39",G474)),0)+IFERROR(--ISNUMBER(SEARCH("R43",G474)),0)+IFERROR(--ISNUMBER(SEARCH("R44",G474)),0)+IFERROR(--ISNUMBER(SEARCH("R45",G474)),0)+IFERROR(--ISNUMBER(SEARCH("R47",G474)),0)+IFERROR(--ISNUMBER(SEARCH("R48",G474)),0)+IFERROR(--ISNUMBER(SEARCH("R50",G474)),0)+IFERROR(--ISNUMBER(SEARCH("R51",G474)),0)+IFERROR(--ISNUMBER(SEARCH("R56",G474)),0)+IFERROR(--ISNUMBER(SEARCH("R58",G474)),0)+IFERROR(--ISNUMBER(SEARCH("R59",G474)),0)+IFERROR(--ISNUMBER(SEARCH("R60",G474)),0)+IFERROR(--ISNUMBER(SEARCH("R62",G474)),0)+IFERROR(--ISNUMBER(SEARCH("R63",G474)),0)+IFERROR(--ISNUMBER(SEARCH("R64",G474)),0)+IFERROR(--ISNUMBER(SEARCH("R66",G474)),0)+IFERROR(--ISNUMBER(SEARCH("R67",G474)),0)+IFERROR(--ISNUMBER(SEARCH("R72",G474)),0)+IFERROR(--ISNUMBER(SEARCH("R74",G474)),0)+IFERROR(--ISNUMBER(SEARCH("R75",G474)),0)+IFERROR(--ISNUMBER(SEARCH("R76",G474)),0)+IFERROR(--ISNUMBER(SEARCH("R77",G474)),0)+IFERROR(--ISNUMBER(SEARCH("R79",G474)),0)+IFERROR(--ISNUMBER(SEARCH("R80",G474)),0)+IFERROR(--ISNUMBER(SEARCH("R81",G474)),0)+IFERROR(--ISNUMBER(SEARCH("R83",G474)),0)+IFERROR(--ISNUMBER(SEARCH("R84",G474)),0)+IFERROR(--ISNUMBER(SEARCH("R89",G474)),0)+IFERROR(--ISNUMBER(SEARCH("R94",G474)),0)+IFERROR(--ISNUMBER(SEARCH("R95",G474)),0)+IFERROR(--ISNUMBER(SEARCH("R96",G474)),0)+IFERROR(--ISNUMBER(SEARCH("R98",G474)),0)+IFERROR(--ISNUMBER(SEARCH("R99",G474)),0)+IFERROR(--ISNUMBER(SEARCH("R100",G474)),0)+IFERROR(--ISNUMBER(SEARCH("R104",G474)),0)+IFERROR(--ISNUMBER(SEARCH("R105",G474)),0)+IFERROR(--ISNUMBER(SEARCH("R107",G474)),0)+IFERROR(--ISNUMBER(SEARCH("R108",G474)),0)+IFERROR(--ISNUMBER(SEARCH("R109",G474)),0)+IFERROR(--ISNUMBER(SEARCH("R110",G474)),0)+IFERROR(--ISNUMBER(SEARCH("R112",G474)),0)+IFERROR(--ISNUMBER(SEARCH("R113",G474)),0)+IFERROR(--ISNUMBER(SEARCH("R114",G474)),0)+IFERROR(--ISNUMBER(SEARCH("R118",G474)),0)+IFERROR(--ISNUMBER(SEARCH("R119",G474)),0)+IFERROR(--ISNUMBER(SEARCH("R120",G474)),0)+IFERROR(--ISNUMBER(SEARCH("R122",G474)),0)+IFERROR(--ISNUMBER(SEARCH("R123",G474)),0)+IFERROR(--ISNUMBER(SEARCH("R124",G474)),0)+IFERROR(--ISNUMBER(SEARCH("R128",G474)),0)+IFERROR(--ISNUMBER(SEARCH("R130",G474)),0)+IFERROR(--ISNUMBER(SEARCH("R131",G474)),0)+IFERROR(--ISNUMBER(SEARCH("R132",G474)),0)+IFERROR(--ISNUMBER(SEARCH("R135",G474)),0)+IFERROR(--ISNUMBER(SEARCH("R138",G474)),0)+IFERROR(--ISNUMBER(SEARCH("R141",G474)),0))</f>
        <v/>
      </c>
      <c r="U474" s="58">
        <f>IF(A474="","",IFERROR(--ISNUMBER(SEARCH("R28",G474))*28,0)+IFERROR(--ISNUMBER(SEARCH("R29",G474))*29,0)+IFERROR(--ISNUMBER(SEARCH("R30",G474))*30,0)+IFERROR(--ISNUMBER(SEARCH("R31",G474))*31,0)+IFERROR(--ISNUMBER(SEARCH("R32",G474))*32,0)+IFERROR(--ISNUMBER(SEARCH("R33",G474))*33,0)+IFERROR(--ISNUMBER(SEARCH("R34",G474))*34,0)+IFERROR(--ISNUMBER(SEARCH("R35",G474))*35,0)+IFERROR(--ISNUMBER(SEARCH("R36",G474))*36,0)+IFERROR(--ISNUMBER(SEARCH("R37",G474))*37,0)+IFERROR(--ISNUMBER(SEARCH("R38",G474))*38,0)+IFERROR(--ISNUMBER(SEARCH("R39",G474))*39,0)+IFERROR(--ISNUMBER(SEARCH("R40",G474))*40,0)+IFERROR(--ISNUMBER(SEARCH("R41",G474))*41,0)+IFERROR(--ISNUMBER(SEARCH("R42",G474))*42,0)+IFERROR(--ISNUMBER(SEARCH("R43",G474))*43,0)+IFERROR(--ISNUMBER(SEARCH("R44",G474))*44,0)+IFERROR(--ISNUMBER(SEARCH("R45",G474))*45,0)+IFERROR(--ISNUMBER(SEARCH("R46",G474))*46,0)+IFERROR(--ISNUMBER(SEARCH("R47",G474))*47,0)+IFERROR(--ISNUMBER(SEARCH("R48",G474))*48,0)+IFERROR(--ISNUMBER(SEARCH("R49",G474))*49,0)+IFERROR(--ISNUMBER(SEARCH("R50",G474))*50,0)+IFERROR(--ISNUMBER(SEARCH("R51",G474))*51,0)+IFERROR(--ISNUMBER(SEARCH("R52",G474))*52,0)+IFERROR(--ISNUMBER(SEARCH("R53",G474))*53,0)+IFERROR(--ISNUMBER(SEARCH("R54",G474))*54,0)+IFERROR(--ISNUMBER(SEARCH("R55",G474))*55,0)+IFERROR(--ISNUMBER(SEARCH("R56",G474))*56,0)+IFERROR(--ISNUMBER(SEARCH("R57",G474))*57,0)+IFERROR(--ISNUMBER(SEARCH("R58",G474))*58,0)+IFERROR(--ISNUMBER(SEARCH("R59",G474))*59,0)+IFERROR(--ISNUMBER(SEARCH("R60",G474))*60,0)+IFERROR(--ISNUMBER(SEARCH("R61",G474))*61,0)+IFERROR(--ISNUMBER(SEARCH("R62",G474))*62,0)+IFERROR(--ISNUMBER(SEARCH("R63",G474))*63,0)+IFERROR(--ISNUMBER(SEARCH("R64",G474))*64,0)+IFERROR(--ISNUMBER(SEARCH("R65",G474))*65,0)+IFERROR(--ISNUMBER(SEARCH("R66",G474))*66,0)+IFERROR(--ISNUMBER(SEARCH("R67",G474))*67,0)+IFERROR(--ISNUMBER(SEARCH("R68",G474))*68,0)+IFERROR(--ISNUMBER(SEARCH("R69",G474))*69,0)+IFERROR(--ISNUMBER(SEARCH("R70",G474))*70,0)+IFERROR(--ISNUMBER(SEARCH("R71",G474))*71,0)+IFERROR(--ISNUMBER(SEARCH("R72",G474))*72,0)+IFERROR(--ISNUMBER(SEARCH("R73",G474))*73,0)+IFERROR(--ISNUMBER(SEARCH("R74",G474))*74,0)+IFERROR(--ISNUMBER(SEARCH("R75",G474))*75,0)+IFERROR(--ISNUMBER(SEARCH("R76",G474))*76,0)+IFERROR(--ISNUMBER(SEARCH("R77",G474))*77,0)+IFERROR(--ISNUMBER(SEARCH("R78",G474))*78,0)+IFERROR(--ISNUMBER(SEARCH("R79",G474))*79,0)+IFERROR(--ISNUMBER(SEARCH("R80",G474))*80,0)+IFERROR(--ISNUMBER(SEARCH("R81",G474))*81,0)+IFERROR(--ISNUMBER(SEARCH("R82",G474))*82,0)+IFERROR(--ISNUMBER(SEARCH("R83",G474))*83,0)+IFERROR(--ISNUMBER(SEARCH("R84",G474))*84,0)+IFERROR(--ISNUMBER(SEARCH("R85",G474))*85,0)+IFERROR(--ISNUMBER(SEARCH("R86",G474))*86,0)+IFERROR(--ISNUMBER(SEARCH("R87",G474))*87,0)+IFERROR(--ISNUMBER(SEARCH("R88",G474))*88,0)+IFERROR(--ISNUMBER(SEARCH("R89",G474))*89,0)+IFERROR(--ISNUMBER(SEARCH("R90",G474))*90,0)+IFERROR(--ISNUMBER(SEARCH("R91",G474))*91,0)+IFERROR(--ISNUMBER(SEARCH("R92",G474))*92,0)+IFERROR(--ISNUMBER(SEARCH("R93",G474))*93,0)+IFERROR(--ISNUMBER(SEARCH("R94",G474))*94,0)+IFERROR(--ISNUMBER(SEARCH("R95",G474))*95,0)+IFERROR(--ISNUMBER(SEARCH("R96",G474))*96,0)+IFERROR(--ISNUMBER(SEARCH("R97",G474))*97,0)+IFERROR(--ISNUMBER(SEARCH("R98",G474))*98,0)+IFERROR(--ISNUMBER(SEARCH("R99",G474))*99,0)+IFERROR(--ISNUMBER(SEARCH("R100",G474))*100,0)+IFERROR(--ISNUMBER(SEARCH("R101",G474))*101,0)+IFERROR(--ISNUMBER(SEARCH("R102",G474))*102,0)+IFERROR(--ISNUMBER(SEARCH("R103",G474))*103,0)+IFERROR(--ISNUMBER(SEARCH("R104",G474))*104,0)+IFERROR(--ISNUMBER(SEARCH("R105",G474))*105,0)+IFERROR(--ISNUMBER(SEARCH("R106",G474))*106,0)+IFERROR(--ISNUMBER(SEARCH("R107",G474))*107,0)+IFERROR(--ISNUMBER(SEARCH("R108",G474))*108,0)+IFERROR(--ISNUMBER(SEARCH("R109",G474))*109,0)+IFERROR(--ISNUMBER(SEARCH("R110",G474))*110,0)+IFERROR(--ISNUMBER(SEARCH("R111",G474))*111,0)+IFERROR(--ISNUMBER(SEARCH("R112",G474))*112,0)+IFERROR(--ISNUMBER(SEARCH("R113",G474))*113,0)+IFERROR(--ISNUMBER(SEARCH("R114",G474))*114,0)+IFERROR(--ISNUMBER(SEARCH("R115",G474))*115,0)+IFERROR(--ISNUMBER(SEARCH("R116",G474))*116,0)+IFERROR(--ISNUMBER(SEARCH("R117",G474))*117,0)+IFERROR(--ISNUMBER(SEARCH("R118",G474))*118,0)+IFERROR(--ISNUMBER(SEARCH("R119",G474))*119,0)+IFERROR(--ISNUMBER(SEARCH("R120",G474))*120,0)+IFERROR(--ISNUMBER(SEARCH("R121",G474))*121,0)+IFERROR(--ISNUMBER(SEARCH("R122",G474))*122,0)+IFERROR(--ISNUMBER(SEARCH("R123",G474))*123,0)+IFERROR(--ISNUMBER(SEARCH("R124",G474))*124,0)+IFERROR(--ISNUMBER(SEARCH("R125",G474))*125,0)+IFERROR(--ISNUMBER(SEARCH("R126",G474))*126,0)+IFERROR(--ISNUMBER(SEARCH("R127",G474))*127,0)+IFERROR(--ISNUMBER(SEARCH("R128",G474))*128,0)+IFERROR(--ISNUMBER(SEARCH("R129",G474))*129,0)+IFERROR(--ISNUMBER(SEARCH("R130",G474))*130,0)+IFERROR(--ISNUMBER(SEARCH("R131",G474))*131,0)+IFERROR(--ISNUMBER(SEARCH("R132",G474))*132,0)+IFERROR(--ISNUMBER(SEARCH("R133",G474))*133,0)+IFERROR(--ISNUMBER(SEARCH("R134",G474))*134,0)+IFERROR(--ISNUMBER(SEARCH("R135",G474))*135,0)+IFERROR(--ISNUMBER(SEARCH("R136",G474))*136,0)+IFERROR(--ISNUMBER(SEARCH("R137",G474))*137,0)+IFERROR(--ISNUMBER(SEARCH("R138",G474))*138,0)+IFERROR(--ISNUMBER(SEARCH("R139",G474))*139,0)+IFERROR(--ISNUMBER(SEARCH("R140",G474))*140,0)+IFERROR(--ISNUMBER(SEARCH("R141",G474))*141,0))</f>
        <v/>
      </c>
      <c r="V474" s="59">
        <f>IF(A474="","",IF(K474&lt;&gt;"",K474,J474))</f>
        <v/>
      </c>
      <c r="W474" s="59">
        <f>IF(A474="","",IF(AND(V474=29,O474&lt;&gt;"",COUNTIFS($V$6:$V$505,29,$F$6:$F$505,F474,$C$6:$C$505,C474,$O$6:$O$505,"&lt;&gt;")&gt;1),IF(COUNTIFS($V$6:V474,29,$F$6:F474,F474,$C$6:C474,C474,$O$6:O474,"&lt;&gt;")=1,"Esta es la fila que se debe CONSERVAR (aparición 1 de "&amp;COUNTIFS($V$6:$V$505,29,$F$6:$F$505,F474,$C$6:$C$505,C474,$O$6:$O$505,"&lt;&gt;")&amp;" con el mismo tercero y valor, casilla 29). Si hay más filas iguales, bórreles el valor a ELLAS, no a esta.","DUPLICADO — ya existe otra fila con el mismo tercero y valor para casilla 29 (aparición "&amp;COUNTIFS($V$6:V474,29,$F$6:F474,F474,$C$6:C474,C474,$O$6:O474,"&lt;&gt;")&amp;" de "&amp;COUNTIFS($V$6:$V$505,29,$F$6:$F$505,F474,$C$6:$C$505,C474,$O$6:$O$505,"&lt;&gt;")&amp;"). Para resolverlo: seleccione la celda O"&amp;ROW()&amp;" (columna Valor a declarar de ESTA fila) y presione Supr."),""))</f>
        <v/>
      </c>
      <c r="X474" s="463">
        <f>IF(A474="","",F474)</f>
        <v/>
      </c>
      <c r="Y474" s="463">
        <f>IF(A474="","",SUMIF(Entrada_Manual!$I$88:$I$187,A474,Entrada_Manual!$F$88:$F$187))</f>
        <v/>
      </c>
      <c r="Z474" s="463">
        <f>IF(A474="","",X474-Y474)</f>
        <v/>
      </c>
      <c r="AA474">
        <f>IF(A474="","",SUMPRODUCT((Entrada_Manual!$I$88:$I$187=A474)*1))</f>
        <v/>
      </c>
      <c r="AB474">
        <f>IF(A474="","",IF(S474&lt;=1,"",IF(AA474=0,"PENDIENTE — SIN ASIGNAR",IF(Z474=0,"RESUELTO","PARCIAL — DIFERENCIA "&amp;TEXT(Z474,"#,##0")))))</f>
        <v/>
      </c>
    </row>
    <row r="475" ht="14.25" customHeight="1" s="235">
      <c r="A475" s="47">
        <f>IF(Exogena_RAW!E484&lt;&gt;"",ROW()-5,"")</f>
        <v/>
      </c>
      <c r="B475" s="48">
        <f>IF(A475="","",484)</f>
        <v/>
      </c>
      <c r="C475" s="48">
        <f>IF(A475="","",IFERROR(Exogena_RAW!A484,""))</f>
        <v/>
      </c>
      <c r="D475" s="48">
        <f>IF(A475="","",IFERROR(Exogena_RAW!B484,""))</f>
        <v/>
      </c>
      <c r="E475" s="48">
        <f>IF(A475="","",Exogena_RAW!E484)</f>
        <v/>
      </c>
      <c r="F475" s="461">
        <f>IF(A475="","",Exogena_RAW!F484)</f>
        <v/>
      </c>
      <c r="G475" s="48">
        <f>IF(A475="","",IFERROR(Exogena_RAW!G484,""))</f>
        <v/>
      </c>
      <c r="H475" s="48">
        <f>IF(A475="","",IFERROR(Exogena_RAW!H484,""))</f>
        <v/>
      </c>
      <c r="I475" s="48">
        <f>IF(A475="","",IFERROR(IF(S475&gt;1,"VARIAS CASILLAS",IF(S475=1,IF(T475=1,"PROPUESTA DE CASILLA","REVISIÓN: CASILLA NO DIRECTA"),IF(OR(ISNUMBER(SEARCH("TOPE",UPPER(E475))),ISNUMBER(SEARCH("TOPE",UPPER(G475)))),"SOLO CONTROL",IF(ISNUMBER(SEARCH("RETEN",UPPER(E475))),"RETENCIÓN","REVISAR")))),"REVISAR"))</f>
        <v/>
      </c>
      <c r="J475" s="48">
        <f>IF(A475="","",IF(ISNUMBER(SEARCH("ingreso laboral promedio de los últimos seis meses",E475)),"",IFERROR(IF(AND(S475=1,T475=1),U475,""),"")))</f>
        <v/>
      </c>
      <c r="K475" s="216" t="n"/>
      <c r="L475" s="48">
        <f>IF(A475="","",IFERROR(IF(K475&lt;&gt;"","Casilla elegida por usuario",IF(S475&gt;1,"Varias casillas — elegir en K",IF(J475&lt;&gt;"","Sugerencia directa",IF(S475=1,"No trasladar directo — revisar",IF(OR(ISNUMBER(SEARCH("TOPE",UPPER(E475))),ISNUMBER(SEARCH("TOPE",UPPER(G475)))),"Solo control","Revisar manualmente"))))),"Revisar manualmente"))</f>
        <v/>
      </c>
      <c r="M475" s="461">
        <f>IF(A475="","",IF(IF(K475&lt;&gt;"",K475,J475)="",0,IF(COUNTIFS(Reglas!$I$5:$I$118,IF(K475&lt;&gt;"",K475,J475),Reglas!$J$5:$J$118,"Sí")=1,F475,0)))</f>
        <v/>
      </c>
      <c r="N475" s="56" t="n"/>
      <c r="O475" s="462">
        <f>IF(A475="","",IF(M475=0,"",M475))</f>
        <v/>
      </c>
      <c r="P475" s="461">
        <f>IF(A475="","",IF(O475="",0,IF(ISNUMBER(O475),O475,0)))</f>
        <v/>
      </c>
      <c r="Q475" s="48">
        <f>IF(A475="","",IF(Exogena_RAW!$C$4="","BLOQUEADO: FALTA AÑO",IF(Exogena_RAW!$K$10&lt;&gt;Reglas!$B$5,"BLOQUEADO: AÑO",IF(IF(K475&lt;&gt;"",K475,J475)="",IF(S475&gt;1,"REQUIERE ASIGNACIÓN MANUAL (VARIAS CASILLAS)","INFORMATIVO (sin casilla — no se declara)"),IF(COUNTIFS(Reglas!$I$5:$I$118,IF(K475&lt;&gt;"",K475,J475),Reglas!$J$5:$J$118,"Sí")=0,"BLOQUEADO: CASILLA NO DIRECTA",IF(O475="","EXCLUIDO (valor borrado por el usuario)",IF(_xlfn.ISFORMULA(O475),IF(W475&lt;&gt;"","BORRADOR — VALOR SUGERIDO DIAN ⚠ VER ALERTA","BORRADOR — VALOR SUGERIDO DIAN"),IF(W475&lt;&gt;"","ACEPTADO ⚠ VER ALERTA","ACEPTADO"))))))))</f>
        <v/>
      </c>
      <c r="R475" s="218" t="n"/>
      <c r="S475" s="58">
        <f>IF(A475="","",IFERROR(--ISNUMBER(SEARCH("R28",G475)),0)+IFERROR(--ISNUMBER(SEARCH("R29",G475)),0)+IFERROR(--ISNUMBER(SEARCH("R30",G475)),0)+IFERROR(--ISNUMBER(SEARCH("R31",G475)),0)+IFERROR(--ISNUMBER(SEARCH("R32",G475)),0)+IFERROR(--ISNUMBER(SEARCH("R33",G475)),0)+IFERROR(--ISNUMBER(SEARCH("R34",G475)),0)+IFERROR(--ISNUMBER(SEARCH("R35",G475)),0)+IFERROR(--ISNUMBER(SEARCH("R36",G475)),0)+IFERROR(--ISNUMBER(SEARCH("R37",G475)),0)+IFERROR(--ISNUMBER(SEARCH("R38",G475)),0)+IFERROR(--ISNUMBER(SEARCH("R39",G475)),0)+IFERROR(--ISNUMBER(SEARCH("R40",G475)),0)+IFERROR(--ISNUMBER(SEARCH("R41",G475)),0)+IFERROR(--ISNUMBER(SEARCH("R42",G475)),0)+IFERROR(--ISNUMBER(SEARCH("R43",G475)),0)+IFERROR(--ISNUMBER(SEARCH("R44",G475)),0)+IFERROR(--ISNUMBER(SEARCH("R45",G475)),0)+IFERROR(--ISNUMBER(SEARCH("R46",G475)),0)+IFERROR(--ISNUMBER(SEARCH("R47",G475)),0)+IFERROR(--ISNUMBER(SEARCH("R48",G475)),0)+IFERROR(--ISNUMBER(SEARCH("R49",G475)),0)+IFERROR(--ISNUMBER(SEARCH("R50",G475)),0)+IFERROR(--ISNUMBER(SEARCH("R51",G475)),0)+IFERROR(--ISNUMBER(SEARCH("R52",G475)),0)+IFERROR(--ISNUMBER(SEARCH("R53",G475)),0)+IFERROR(--ISNUMBER(SEARCH("R54",G475)),0)+IFERROR(--ISNUMBER(SEARCH("R55",G475)),0)+IFERROR(--ISNUMBER(SEARCH("R56",G475)),0)+IFERROR(--ISNUMBER(SEARCH("R57",G475)),0)+IFERROR(--ISNUMBER(SEARCH("R58",G475)),0)+IFERROR(--ISNUMBER(SEARCH("R59",G475)),0)+IFERROR(--ISNUMBER(SEARCH("R60",G475)),0)+IFERROR(--ISNUMBER(SEARCH("R61",G475)),0)+IFERROR(--ISNUMBER(SEARCH("R62",G475)),0)+IFERROR(--ISNUMBER(SEARCH("R63",G475)),0)+IFERROR(--ISNUMBER(SEARCH("R64",G475)),0)+IFERROR(--ISNUMBER(SEARCH("R65",G475)),0)+IFERROR(--ISNUMBER(SEARCH("R66",G475)),0)+IFERROR(--ISNUMBER(SEARCH("R67",G475)),0)+IFERROR(--ISNUMBER(SEARCH("R68",G475)),0)+IFERROR(--ISNUMBER(SEARCH("R69",G475)),0)+IFERROR(--ISNUMBER(SEARCH("R70",G475)),0)+IFERROR(--ISNUMBER(SEARCH("R71",G475)),0)+IFERROR(--ISNUMBER(SEARCH("R72",G475)),0)+IFERROR(--ISNUMBER(SEARCH("R73",G475)),0)+IFERROR(--ISNUMBER(SEARCH("R74",G475)),0)+IFERROR(--ISNUMBER(SEARCH("R75",G475)),0)+IFERROR(--ISNUMBER(SEARCH("R76",G475)),0)+IFERROR(--ISNUMBER(SEARCH("R77",G475)),0)+IFERROR(--ISNUMBER(SEARCH("R78",G475)),0)+IFERROR(--ISNUMBER(SEARCH("R79",G475)),0)+IFERROR(--ISNUMBER(SEARCH("R80",G475)),0)+IFERROR(--ISNUMBER(SEARCH("R81",G475)),0)+IFERROR(--ISNUMBER(SEARCH("R82",G475)),0)+IFERROR(--ISNUMBER(SEARCH("R83",G475)),0)+IFERROR(--ISNUMBER(SEARCH("R84",G475)),0)+IFERROR(--ISNUMBER(SEARCH("R85",G475)),0)+IFERROR(--ISNUMBER(SEARCH("R86",G475)),0)+IFERROR(--ISNUMBER(SEARCH("R87",G475)),0)+IFERROR(--ISNUMBER(SEARCH("R88",G475)),0)+IFERROR(--ISNUMBER(SEARCH("R89",G475)),0)+IFERROR(--ISNUMBER(SEARCH("R90",G475)),0)+IFERROR(--ISNUMBER(SEARCH("R91",G475)),0)+IFERROR(--ISNUMBER(SEARCH("R92",G475)),0)+IFERROR(--ISNUMBER(SEARCH("R93",G475)),0)+IFERROR(--ISNUMBER(SEARCH("R94",G475)),0)+IFERROR(--ISNUMBER(SEARCH("R95",G475)),0)+IFERROR(--ISNUMBER(SEARCH("R96",G475)),0)+IFERROR(--ISNUMBER(SEARCH("R97",G475)),0)+IFERROR(--ISNUMBER(SEARCH("R98",G475)),0)+IFERROR(--ISNUMBER(SEARCH("R99",G475)),0)+IFERROR(--ISNUMBER(SEARCH("R100",G475)),0)+IFERROR(--ISNUMBER(SEARCH("R101",G475)),0)+IFERROR(--ISNUMBER(SEARCH("R102",G475)),0)+IFERROR(--ISNUMBER(SEARCH("R103",G475)),0)+IFERROR(--ISNUMBER(SEARCH("R104",G475)),0)+IFERROR(--ISNUMBER(SEARCH("R105",G475)),0)+IFERROR(--ISNUMBER(SEARCH("R106",G475)),0)+IFERROR(--ISNUMBER(SEARCH("R107",G475)),0)+IFERROR(--ISNUMBER(SEARCH("R108",G475)),0)+IFERROR(--ISNUMBER(SEARCH("R109",G475)),0)+IFERROR(--ISNUMBER(SEARCH("R110",G475)),0)+IFERROR(--ISNUMBER(SEARCH("R111",G475)),0)+IFERROR(--ISNUMBER(SEARCH("R112",G475)),0)+IFERROR(--ISNUMBER(SEARCH("R113",G475)),0)+IFERROR(--ISNUMBER(SEARCH("R114",G475)),0)+IFERROR(--ISNUMBER(SEARCH("R115",G475)),0)+IFERROR(--ISNUMBER(SEARCH("R116",G475)),0)+IFERROR(--ISNUMBER(SEARCH("R117",G475)),0)+IFERROR(--ISNUMBER(SEARCH("R118",G475)),0)+IFERROR(--ISNUMBER(SEARCH("R119",G475)),0)+IFERROR(--ISNUMBER(SEARCH("R120",G475)),0)+IFERROR(--ISNUMBER(SEARCH("R121",G475)),0)+IFERROR(--ISNUMBER(SEARCH("R122",G475)),0)+IFERROR(--ISNUMBER(SEARCH("R123",G475)),0)+IFERROR(--ISNUMBER(SEARCH("R124",G475)),0)+IFERROR(--ISNUMBER(SEARCH("R125",G475)),0)+IFERROR(--ISNUMBER(SEARCH("R126",G475)),0)+IFERROR(--ISNUMBER(SEARCH("R127",G475)),0)+IFERROR(--ISNUMBER(SEARCH("R128",G475)),0)+IFERROR(--ISNUMBER(SEARCH("R129",G475)),0)+IFERROR(--ISNUMBER(SEARCH("R130",G475)),0)+IFERROR(--ISNUMBER(SEARCH("R131",G475)),0)+IFERROR(--ISNUMBER(SEARCH("R132",G475)),0)+IFERROR(--ISNUMBER(SEARCH("R133",G475)),0)+IFERROR(--ISNUMBER(SEARCH("R134",G475)),0)+IFERROR(--ISNUMBER(SEARCH("R135",G475)),0)+IFERROR(--ISNUMBER(SEARCH("R136",G475)),0)+IFERROR(--ISNUMBER(SEARCH("R137",G475)),0)+IFERROR(--ISNUMBER(SEARCH("R138",G475)),0)+IFERROR(--ISNUMBER(SEARCH("R139",G475)),0)+IFERROR(--ISNUMBER(SEARCH("R140",G475)),0)+IFERROR(--ISNUMBER(SEARCH("R141",G475)),0))</f>
        <v/>
      </c>
      <c r="T475" s="58">
        <f>IF(A475="","",IFERROR(--ISNUMBER(SEARCH("R28",G475)),0)+IFERROR(--ISNUMBER(SEARCH("R29",G475)),0)+IFERROR(--ISNUMBER(SEARCH("R30",G475)),0)+IFERROR(--ISNUMBER(SEARCH("R32",G475)),0)+IFERROR(--ISNUMBER(SEARCH("R33",G475)),0)+IFERROR(--ISNUMBER(SEARCH("R35",G475)),0)+IFERROR(--ISNUMBER(SEARCH("R36",G475)),0)+IFERROR(--ISNUMBER(SEARCH("R38",G475)),0)+IFERROR(--ISNUMBER(SEARCH("R39",G475)),0)+IFERROR(--ISNUMBER(SEARCH("R43",G475)),0)+IFERROR(--ISNUMBER(SEARCH("R44",G475)),0)+IFERROR(--ISNUMBER(SEARCH("R45",G475)),0)+IFERROR(--ISNUMBER(SEARCH("R47",G475)),0)+IFERROR(--ISNUMBER(SEARCH("R48",G475)),0)+IFERROR(--ISNUMBER(SEARCH("R50",G475)),0)+IFERROR(--ISNUMBER(SEARCH("R51",G475)),0)+IFERROR(--ISNUMBER(SEARCH("R56",G475)),0)+IFERROR(--ISNUMBER(SEARCH("R58",G475)),0)+IFERROR(--ISNUMBER(SEARCH("R59",G475)),0)+IFERROR(--ISNUMBER(SEARCH("R60",G475)),0)+IFERROR(--ISNUMBER(SEARCH("R62",G475)),0)+IFERROR(--ISNUMBER(SEARCH("R63",G475)),0)+IFERROR(--ISNUMBER(SEARCH("R64",G475)),0)+IFERROR(--ISNUMBER(SEARCH("R66",G475)),0)+IFERROR(--ISNUMBER(SEARCH("R67",G475)),0)+IFERROR(--ISNUMBER(SEARCH("R72",G475)),0)+IFERROR(--ISNUMBER(SEARCH("R74",G475)),0)+IFERROR(--ISNUMBER(SEARCH("R75",G475)),0)+IFERROR(--ISNUMBER(SEARCH("R76",G475)),0)+IFERROR(--ISNUMBER(SEARCH("R77",G475)),0)+IFERROR(--ISNUMBER(SEARCH("R79",G475)),0)+IFERROR(--ISNUMBER(SEARCH("R80",G475)),0)+IFERROR(--ISNUMBER(SEARCH("R81",G475)),0)+IFERROR(--ISNUMBER(SEARCH("R83",G475)),0)+IFERROR(--ISNUMBER(SEARCH("R84",G475)),0)+IFERROR(--ISNUMBER(SEARCH("R89",G475)),0)+IFERROR(--ISNUMBER(SEARCH("R94",G475)),0)+IFERROR(--ISNUMBER(SEARCH("R95",G475)),0)+IFERROR(--ISNUMBER(SEARCH("R96",G475)),0)+IFERROR(--ISNUMBER(SEARCH("R98",G475)),0)+IFERROR(--ISNUMBER(SEARCH("R99",G475)),0)+IFERROR(--ISNUMBER(SEARCH("R100",G475)),0)+IFERROR(--ISNUMBER(SEARCH("R104",G475)),0)+IFERROR(--ISNUMBER(SEARCH("R105",G475)),0)+IFERROR(--ISNUMBER(SEARCH("R107",G475)),0)+IFERROR(--ISNUMBER(SEARCH("R108",G475)),0)+IFERROR(--ISNUMBER(SEARCH("R109",G475)),0)+IFERROR(--ISNUMBER(SEARCH("R110",G475)),0)+IFERROR(--ISNUMBER(SEARCH("R112",G475)),0)+IFERROR(--ISNUMBER(SEARCH("R113",G475)),0)+IFERROR(--ISNUMBER(SEARCH("R114",G475)),0)+IFERROR(--ISNUMBER(SEARCH("R118",G475)),0)+IFERROR(--ISNUMBER(SEARCH("R119",G475)),0)+IFERROR(--ISNUMBER(SEARCH("R120",G475)),0)+IFERROR(--ISNUMBER(SEARCH("R122",G475)),0)+IFERROR(--ISNUMBER(SEARCH("R123",G475)),0)+IFERROR(--ISNUMBER(SEARCH("R124",G475)),0)+IFERROR(--ISNUMBER(SEARCH("R128",G475)),0)+IFERROR(--ISNUMBER(SEARCH("R130",G475)),0)+IFERROR(--ISNUMBER(SEARCH("R131",G475)),0)+IFERROR(--ISNUMBER(SEARCH("R132",G475)),0)+IFERROR(--ISNUMBER(SEARCH("R135",G475)),0)+IFERROR(--ISNUMBER(SEARCH("R138",G475)),0)+IFERROR(--ISNUMBER(SEARCH("R141",G475)),0))</f>
        <v/>
      </c>
      <c r="U475" s="58">
        <f>IF(A475="","",IFERROR(--ISNUMBER(SEARCH("R28",G475))*28,0)+IFERROR(--ISNUMBER(SEARCH("R29",G475))*29,0)+IFERROR(--ISNUMBER(SEARCH("R30",G475))*30,0)+IFERROR(--ISNUMBER(SEARCH("R31",G475))*31,0)+IFERROR(--ISNUMBER(SEARCH("R32",G475))*32,0)+IFERROR(--ISNUMBER(SEARCH("R33",G475))*33,0)+IFERROR(--ISNUMBER(SEARCH("R34",G475))*34,0)+IFERROR(--ISNUMBER(SEARCH("R35",G475))*35,0)+IFERROR(--ISNUMBER(SEARCH("R36",G475))*36,0)+IFERROR(--ISNUMBER(SEARCH("R37",G475))*37,0)+IFERROR(--ISNUMBER(SEARCH("R38",G475))*38,0)+IFERROR(--ISNUMBER(SEARCH("R39",G475))*39,0)+IFERROR(--ISNUMBER(SEARCH("R40",G475))*40,0)+IFERROR(--ISNUMBER(SEARCH("R41",G475))*41,0)+IFERROR(--ISNUMBER(SEARCH("R42",G475))*42,0)+IFERROR(--ISNUMBER(SEARCH("R43",G475))*43,0)+IFERROR(--ISNUMBER(SEARCH("R44",G475))*44,0)+IFERROR(--ISNUMBER(SEARCH("R45",G475))*45,0)+IFERROR(--ISNUMBER(SEARCH("R46",G475))*46,0)+IFERROR(--ISNUMBER(SEARCH("R47",G475))*47,0)+IFERROR(--ISNUMBER(SEARCH("R48",G475))*48,0)+IFERROR(--ISNUMBER(SEARCH("R49",G475))*49,0)+IFERROR(--ISNUMBER(SEARCH("R50",G475))*50,0)+IFERROR(--ISNUMBER(SEARCH("R51",G475))*51,0)+IFERROR(--ISNUMBER(SEARCH("R52",G475))*52,0)+IFERROR(--ISNUMBER(SEARCH("R53",G475))*53,0)+IFERROR(--ISNUMBER(SEARCH("R54",G475))*54,0)+IFERROR(--ISNUMBER(SEARCH("R55",G475))*55,0)+IFERROR(--ISNUMBER(SEARCH("R56",G475))*56,0)+IFERROR(--ISNUMBER(SEARCH("R57",G475))*57,0)+IFERROR(--ISNUMBER(SEARCH("R58",G475))*58,0)+IFERROR(--ISNUMBER(SEARCH("R59",G475))*59,0)+IFERROR(--ISNUMBER(SEARCH("R60",G475))*60,0)+IFERROR(--ISNUMBER(SEARCH("R61",G475))*61,0)+IFERROR(--ISNUMBER(SEARCH("R62",G475))*62,0)+IFERROR(--ISNUMBER(SEARCH("R63",G475))*63,0)+IFERROR(--ISNUMBER(SEARCH("R64",G475))*64,0)+IFERROR(--ISNUMBER(SEARCH("R65",G475))*65,0)+IFERROR(--ISNUMBER(SEARCH("R66",G475))*66,0)+IFERROR(--ISNUMBER(SEARCH("R67",G475))*67,0)+IFERROR(--ISNUMBER(SEARCH("R68",G475))*68,0)+IFERROR(--ISNUMBER(SEARCH("R69",G475))*69,0)+IFERROR(--ISNUMBER(SEARCH("R70",G475))*70,0)+IFERROR(--ISNUMBER(SEARCH("R71",G475))*71,0)+IFERROR(--ISNUMBER(SEARCH("R72",G475))*72,0)+IFERROR(--ISNUMBER(SEARCH("R73",G475))*73,0)+IFERROR(--ISNUMBER(SEARCH("R74",G475))*74,0)+IFERROR(--ISNUMBER(SEARCH("R75",G475))*75,0)+IFERROR(--ISNUMBER(SEARCH("R76",G475))*76,0)+IFERROR(--ISNUMBER(SEARCH("R77",G475))*77,0)+IFERROR(--ISNUMBER(SEARCH("R78",G475))*78,0)+IFERROR(--ISNUMBER(SEARCH("R79",G475))*79,0)+IFERROR(--ISNUMBER(SEARCH("R80",G475))*80,0)+IFERROR(--ISNUMBER(SEARCH("R81",G475))*81,0)+IFERROR(--ISNUMBER(SEARCH("R82",G475))*82,0)+IFERROR(--ISNUMBER(SEARCH("R83",G475))*83,0)+IFERROR(--ISNUMBER(SEARCH("R84",G475))*84,0)+IFERROR(--ISNUMBER(SEARCH("R85",G475))*85,0)+IFERROR(--ISNUMBER(SEARCH("R86",G475))*86,0)+IFERROR(--ISNUMBER(SEARCH("R87",G475))*87,0)+IFERROR(--ISNUMBER(SEARCH("R88",G475))*88,0)+IFERROR(--ISNUMBER(SEARCH("R89",G475))*89,0)+IFERROR(--ISNUMBER(SEARCH("R90",G475))*90,0)+IFERROR(--ISNUMBER(SEARCH("R91",G475))*91,0)+IFERROR(--ISNUMBER(SEARCH("R92",G475))*92,0)+IFERROR(--ISNUMBER(SEARCH("R93",G475))*93,0)+IFERROR(--ISNUMBER(SEARCH("R94",G475))*94,0)+IFERROR(--ISNUMBER(SEARCH("R95",G475))*95,0)+IFERROR(--ISNUMBER(SEARCH("R96",G475))*96,0)+IFERROR(--ISNUMBER(SEARCH("R97",G475))*97,0)+IFERROR(--ISNUMBER(SEARCH("R98",G475))*98,0)+IFERROR(--ISNUMBER(SEARCH("R99",G475))*99,0)+IFERROR(--ISNUMBER(SEARCH("R100",G475))*100,0)+IFERROR(--ISNUMBER(SEARCH("R101",G475))*101,0)+IFERROR(--ISNUMBER(SEARCH("R102",G475))*102,0)+IFERROR(--ISNUMBER(SEARCH("R103",G475))*103,0)+IFERROR(--ISNUMBER(SEARCH("R104",G475))*104,0)+IFERROR(--ISNUMBER(SEARCH("R105",G475))*105,0)+IFERROR(--ISNUMBER(SEARCH("R106",G475))*106,0)+IFERROR(--ISNUMBER(SEARCH("R107",G475))*107,0)+IFERROR(--ISNUMBER(SEARCH("R108",G475))*108,0)+IFERROR(--ISNUMBER(SEARCH("R109",G475))*109,0)+IFERROR(--ISNUMBER(SEARCH("R110",G475))*110,0)+IFERROR(--ISNUMBER(SEARCH("R111",G475))*111,0)+IFERROR(--ISNUMBER(SEARCH("R112",G475))*112,0)+IFERROR(--ISNUMBER(SEARCH("R113",G475))*113,0)+IFERROR(--ISNUMBER(SEARCH("R114",G475))*114,0)+IFERROR(--ISNUMBER(SEARCH("R115",G475))*115,0)+IFERROR(--ISNUMBER(SEARCH("R116",G475))*116,0)+IFERROR(--ISNUMBER(SEARCH("R117",G475))*117,0)+IFERROR(--ISNUMBER(SEARCH("R118",G475))*118,0)+IFERROR(--ISNUMBER(SEARCH("R119",G475))*119,0)+IFERROR(--ISNUMBER(SEARCH("R120",G475))*120,0)+IFERROR(--ISNUMBER(SEARCH("R121",G475))*121,0)+IFERROR(--ISNUMBER(SEARCH("R122",G475))*122,0)+IFERROR(--ISNUMBER(SEARCH("R123",G475))*123,0)+IFERROR(--ISNUMBER(SEARCH("R124",G475))*124,0)+IFERROR(--ISNUMBER(SEARCH("R125",G475))*125,0)+IFERROR(--ISNUMBER(SEARCH("R126",G475))*126,0)+IFERROR(--ISNUMBER(SEARCH("R127",G475))*127,0)+IFERROR(--ISNUMBER(SEARCH("R128",G475))*128,0)+IFERROR(--ISNUMBER(SEARCH("R129",G475))*129,0)+IFERROR(--ISNUMBER(SEARCH("R130",G475))*130,0)+IFERROR(--ISNUMBER(SEARCH("R131",G475))*131,0)+IFERROR(--ISNUMBER(SEARCH("R132",G475))*132,0)+IFERROR(--ISNUMBER(SEARCH("R133",G475))*133,0)+IFERROR(--ISNUMBER(SEARCH("R134",G475))*134,0)+IFERROR(--ISNUMBER(SEARCH("R135",G475))*135,0)+IFERROR(--ISNUMBER(SEARCH("R136",G475))*136,0)+IFERROR(--ISNUMBER(SEARCH("R137",G475))*137,0)+IFERROR(--ISNUMBER(SEARCH("R138",G475))*138,0)+IFERROR(--ISNUMBER(SEARCH("R139",G475))*139,0)+IFERROR(--ISNUMBER(SEARCH("R140",G475))*140,0)+IFERROR(--ISNUMBER(SEARCH("R141",G475))*141,0))</f>
        <v/>
      </c>
      <c r="V475" s="59">
        <f>IF(A475="","",IF(K475&lt;&gt;"",K475,J475))</f>
        <v/>
      </c>
      <c r="W475" s="59">
        <f>IF(A475="","",IF(AND(V475=29,O475&lt;&gt;"",COUNTIFS($V$6:$V$505,29,$F$6:$F$505,F475,$C$6:$C$505,C475,$O$6:$O$505,"&lt;&gt;")&gt;1),IF(COUNTIFS($V$6:V475,29,$F$6:F475,F475,$C$6:C475,C475,$O$6:O475,"&lt;&gt;")=1,"Esta es la fila que se debe CONSERVAR (aparición 1 de "&amp;COUNTIFS($V$6:$V$505,29,$F$6:$F$505,F475,$C$6:$C$505,C475,$O$6:$O$505,"&lt;&gt;")&amp;" con el mismo tercero y valor, casilla 29). Si hay más filas iguales, bórreles el valor a ELLAS, no a esta.","DUPLICADO — ya existe otra fila con el mismo tercero y valor para casilla 29 (aparición "&amp;COUNTIFS($V$6:V475,29,$F$6:F475,F475,$C$6:C475,C475,$O$6:O475,"&lt;&gt;")&amp;" de "&amp;COUNTIFS($V$6:$V$505,29,$F$6:$F$505,F475,$C$6:$C$505,C475,$O$6:$O$505,"&lt;&gt;")&amp;"). Para resolverlo: seleccione la celda O"&amp;ROW()&amp;" (columna Valor a declarar de ESTA fila) y presione Supr."),""))</f>
        <v/>
      </c>
      <c r="X475" s="463">
        <f>IF(A475="","",F475)</f>
        <v/>
      </c>
      <c r="Y475" s="463">
        <f>IF(A475="","",SUMIF(Entrada_Manual!$I$88:$I$187,A475,Entrada_Manual!$F$88:$F$187))</f>
        <v/>
      </c>
      <c r="Z475" s="463">
        <f>IF(A475="","",X475-Y475)</f>
        <v/>
      </c>
      <c r="AA475">
        <f>IF(A475="","",SUMPRODUCT((Entrada_Manual!$I$88:$I$187=A475)*1))</f>
        <v/>
      </c>
      <c r="AB475">
        <f>IF(A475="","",IF(S475&lt;=1,"",IF(AA475=0,"PENDIENTE — SIN ASIGNAR",IF(Z475=0,"RESUELTO","PARCIAL — DIFERENCIA "&amp;TEXT(Z475,"#,##0")))))</f>
        <v/>
      </c>
    </row>
    <row r="476" ht="14.25" customHeight="1" s="235">
      <c r="A476" s="47">
        <f>IF(Exogena_RAW!E485&lt;&gt;"",ROW()-5,"")</f>
        <v/>
      </c>
      <c r="B476" s="48">
        <f>IF(A476="","",485)</f>
        <v/>
      </c>
      <c r="C476" s="48">
        <f>IF(A476="","",IFERROR(Exogena_RAW!A485,""))</f>
        <v/>
      </c>
      <c r="D476" s="48">
        <f>IF(A476="","",IFERROR(Exogena_RAW!B485,""))</f>
        <v/>
      </c>
      <c r="E476" s="48">
        <f>IF(A476="","",Exogena_RAW!E485)</f>
        <v/>
      </c>
      <c r="F476" s="461">
        <f>IF(A476="","",Exogena_RAW!F485)</f>
        <v/>
      </c>
      <c r="G476" s="48">
        <f>IF(A476="","",IFERROR(Exogena_RAW!G485,""))</f>
        <v/>
      </c>
      <c r="H476" s="48">
        <f>IF(A476="","",IFERROR(Exogena_RAW!H485,""))</f>
        <v/>
      </c>
      <c r="I476" s="48">
        <f>IF(A476="","",IFERROR(IF(S476&gt;1,"VARIAS CASILLAS",IF(S476=1,IF(T476=1,"PROPUESTA DE CASILLA","REVISIÓN: CASILLA NO DIRECTA"),IF(OR(ISNUMBER(SEARCH("TOPE",UPPER(E476))),ISNUMBER(SEARCH("TOPE",UPPER(G476)))),"SOLO CONTROL",IF(ISNUMBER(SEARCH("RETEN",UPPER(E476))),"RETENCIÓN","REVISAR")))),"REVISAR"))</f>
        <v/>
      </c>
      <c r="J476" s="48">
        <f>IF(A476="","",IF(ISNUMBER(SEARCH("ingreso laboral promedio de los últimos seis meses",E476)),"",IFERROR(IF(AND(S476=1,T476=1),U476,""),"")))</f>
        <v/>
      </c>
      <c r="K476" s="216" t="n"/>
      <c r="L476" s="48">
        <f>IF(A476="","",IFERROR(IF(K476&lt;&gt;"","Casilla elegida por usuario",IF(S476&gt;1,"Varias casillas — elegir en K",IF(J476&lt;&gt;"","Sugerencia directa",IF(S476=1,"No trasladar directo — revisar",IF(OR(ISNUMBER(SEARCH("TOPE",UPPER(E476))),ISNUMBER(SEARCH("TOPE",UPPER(G476)))),"Solo control","Revisar manualmente"))))),"Revisar manualmente"))</f>
        <v/>
      </c>
      <c r="M476" s="461">
        <f>IF(A476="","",IF(IF(K476&lt;&gt;"",K476,J476)="",0,IF(COUNTIFS(Reglas!$I$5:$I$118,IF(K476&lt;&gt;"",K476,J476),Reglas!$J$5:$J$118,"Sí")=1,F476,0)))</f>
        <v/>
      </c>
      <c r="N476" s="56" t="n"/>
      <c r="O476" s="462">
        <f>IF(A476="","",IF(M476=0,"",M476))</f>
        <v/>
      </c>
      <c r="P476" s="461">
        <f>IF(A476="","",IF(O476="",0,IF(ISNUMBER(O476),O476,0)))</f>
        <v/>
      </c>
      <c r="Q476" s="48">
        <f>IF(A476="","",IF(Exogena_RAW!$C$4="","BLOQUEADO: FALTA AÑO",IF(Exogena_RAW!$K$10&lt;&gt;Reglas!$B$5,"BLOQUEADO: AÑO",IF(IF(K476&lt;&gt;"",K476,J476)="",IF(S476&gt;1,"REQUIERE ASIGNACIÓN MANUAL (VARIAS CASILLAS)","INFORMATIVO (sin casilla — no se declara)"),IF(COUNTIFS(Reglas!$I$5:$I$118,IF(K476&lt;&gt;"",K476,J476),Reglas!$J$5:$J$118,"Sí")=0,"BLOQUEADO: CASILLA NO DIRECTA",IF(O476="","EXCLUIDO (valor borrado por el usuario)",IF(_xlfn.ISFORMULA(O476),IF(W476&lt;&gt;"","BORRADOR — VALOR SUGERIDO DIAN ⚠ VER ALERTA","BORRADOR — VALOR SUGERIDO DIAN"),IF(W476&lt;&gt;"","ACEPTADO ⚠ VER ALERTA","ACEPTADO"))))))))</f>
        <v/>
      </c>
      <c r="R476" s="218" t="n"/>
      <c r="S476" s="58">
        <f>IF(A476="","",IFERROR(--ISNUMBER(SEARCH("R28",G476)),0)+IFERROR(--ISNUMBER(SEARCH("R29",G476)),0)+IFERROR(--ISNUMBER(SEARCH("R30",G476)),0)+IFERROR(--ISNUMBER(SEARCH("R31",G476)),0)+IFERROR(--ISNUMBER(SEARCH("R32",G476)),0)+IFERROR(--ISNUMBER(SEARCH("R33",G476)),0)+IFERROR(--ISNUMBER(SEARCH("R34",G476)),0)+IFERROR(--ISNUMBER(SEARCH("R35",G476)),0)+IFERROR(--ISNUMBER(SEARCH("R36",G476)),0)+IFERROR(--ISNUMBER(SEARCH("R37",G476)),0)+IFERROR(--ISNUMBER(SEARCH("R38",G476)),0)+IFERROR(--ISNUMBER(SEARCH("R39",G476)),0)+IFERROR(--ISNUMBER(SEARCH("R40",G476)),0)+IFERROR(--ISNUMBER(SEARCH("R41",G476)),0)+IFERROR(--ISNUMBER(SEARCH("R42",G476)),0)+IFERROR(--ISNUMBER(SEARCH("R43",G476)),0)+IFERROR(--ISNUMBER(SEARCH("R44",G476)),0)+IFERROR(--ISNUMBER(SEARCH("R45",G476)),0)+IFERROR(--ISNUMBER(SEARCH("R46",G476)),0)+IFERROR(--ISNUMBER(SEARCH("R47",G476)),0)+IFERROR(--ISNUMBER(SEARCH("R48",G476)),0)+IFERROR(--ISNUMBER(SEARCH("R49",G476)),0)+IFERROR(--ISNUMBER(SEARCH("R50",G476)),0)+IFERROR(--ISNUMBER(SEARCH("R51",G476)),0)+IFERROR(--ISNUMBER(SEARCH("R52",G476)),0)+IFERROR(--ISNUMBER(SEARCH("R53",G476)),0)+IFERROR(--ISNUMBER(SEARCH("R54",G476)),0)+IFERROR(--ISNUMBER(SEARCH("R55",G476)),0)+IFERROR(--ISNUMBER(SEARCH("R56",G476)),0)+IFERROR(--ISNUMBER(SEARCH("R57",G476)),0)+IFERROR(--ISNUMBER(SEARCH("R58",G476)),0)+IFERROR(--ISNUMBER(SEARCH("R59",G476)),0)+IFERROR(--ISNUMBER(SEARCH("R60",G476)),0)+IFERROR(--ISNUMBER(SEARCH("R61",G476)),0)+IFERROR(--ISNUMBER(SEARCH("R62",G476)),0)+IFERROR(--ISNUMBER(SEARCH("R63",G476)),0)+IFERROR(--ISNUMBER(SEARCH("R64",G476)),0)+IFERROR(--ISNUMBER(SEARCH("R65",G476)),0)+IFERROR(--ISNUMBER(SEARCH("R66",G476)),0)+IFERROR(--ISNUMBER(SEARCH("R67",G476)),0)+IFERROR(--ISNUMBER(SEARCH("R68",G476)),0)+IFERROR(--ISNUMBER(SEARCH("R69",G476)),0)+IFERROR(--ISNUMBER(SEARCH("R70",G476)),0)+IFERROR(--ISNUMBER(SEARCH("R71",G476)),0)+IFERROR(--ISNUMBER(SEARCH("R72",G476)),0)+IFERROR(--ISNUMBER(SEARCH("R73",G476)),0)+IFERROR(--ISNUMBER(SEARCH("R74",G476)),0)+IFERROR(--ISNUMBER(SEARCH("R75",G476)),0)+IFERROR(--ISNUMBER(SEARCH("R76",G476)),0)+IFERROR(--ISNUMBER(SEARCH("R77",G476)),0)+IFERROR(--ISNUMBER(SEARCH("R78",G476)),0)+IFERROR(--ISNUMBER(SEARCH("R79",G476)),0)+IFERROR(--ISNUMBER(SEARCH("R80",G476)),0)+IFERROR(--ISNUMBER(SEARCH("R81",G476)),0)+IFERROR(--ISNUMBER(SEARCH("R82",G476)),0)+IFERROR(--ISNUMBER(SEARCH("R83",G476)),0)+IFERROR(--ISNUMBER(SEARCH("R84",G476)),0)+IFERROR(--ISNUMBER(SEARCH("R85",G476)),0)+IFERROR(--ISNUMBER(SEARCH("R86",G476)),0)+IFERROR(--ISNUMBER(SEARCH("R87",G476)),0)+IFERROR(--ISNUMBER(SEARCH("R88",G476)),0)+IFERROR(--ISNUMBER(SEARCH("R89",G476)),0)+IFERROR(--ISNUMBER(SEARCH("R90",G476)),0)+IFERROR(--ISNUMBER(SEARCH("R91",G476)),0)+IFERROR(--ISNUMBER(SEARCH("R92",G476)),0)+IFERROR(--ISNUMBER(SEARCH("R93",G476)),0)+IFERROR(--ISNUMBER(SEARCH("R94",G476)),0)+IFERROR(--ISNUMBER(SEARCH("R95",G476)),0)+IFERROR(--ISNUMBER(SEARCH("R96",G476)),0)+IFERROR(--ISNUMBER(SEARCH("R97",G476)),0)+IFERROR(--ISNUMBER(SEARCH("R98",G476)),0)+IFERROR(--ISNUMBER(SEARCH("R99",G476)),0)+IFERROR(--ISNUMBER(SEARCH("R100",G476)),0)+IFERROR(--ISNUMBER(SEARCH("R101",G476)),0)+IFERROR(--ISNUMBER(SEARCH("R102",G476)),0)+IFERROR(--ISNUMBER(SEARCH("R103",G476)),0)+IFERROR(--ISNUMBER(SEARCH("R104",G476)),0)+IFERROR(--ISNUMBER(SEARCH("R105",G476)),0)+IFERROR(--ISNUMBER(SEARCH("R106",G476)),0)+IFERROR(--ISNUMBER(SEARCH("R107",G476)),0)+IFERROR(--ISNUMBER(SEARCH("R108",G476)),0)+IFERROR(--ISNUMBER(SEARCH("R109",G476)),0)+IFERROR(--ISNUMBER(SEARCH("R110",G476)),0)+IFERROR(--ISNUMBER(SEARCH("R111",G476)),0)+IFERROR(--ISNUMBER(SEARCH("R112",G476)),0)+IFERROR(--ISNUMBER(SEARCH("R113",G476)),0)+IFERROR(--ISNUMBER(SEARCH("R114",G476)),0)+IFERROR(--ISNUMBER(SEARCH("R115",G476)),0)+IFERROR(--ISNUMBER(SEARCH("R116",G476)),0)+IFERROR(--ISNUMBER(SEARCH("R117",G476)),0)+IFERROR(--ISNUMBER(SEARCH("R118",G476)),0)+IFERROR(--ISNUMBER(SEARCH("R119",G476)),0)+IFERROR(--ISNUMBER(SEARCH("R120",G476)),0)+IFERROR(--ISNUMBER(SEARCH("R121",G476)),0)+IFERROR(--ISNUMBER(SEARCH("R122",G476)),0)+IFERROR(--ISNUMBER(SEARCH("R123",G476)),0)+IFERROR(--ISNUMBER(SEARCH("R124",G476)),0)+IFERROR(--ISNUMBER(SEARCH("R125",G476)),0)+IFERROR(--ISNUMBER(SEARCH("R126",G476)),0)+IFERROR(--ISNUMBER(SEARCH("R127",G476)),0)+IFERROR(--ISNUMBER(SEARCH("R128",G476)),0)+IFERROR(--ISNUMBER(SEARCH("R129",G476)),0)+IFERROR(--ISNUMBER(SEARCH("R130",G476)),0)+IFERROR(--ISNUMBER(SEARCH("R131",G476)),0)+IFERROR(--ISNUMBER(SEARCH("R132",G476)),0)+IFERROR(--ISNUMBER(SEARCH("R133",G476)),0)+IFERROR(--ISNUMBER(SEARCH("R134",G476)),0)+IFERROR(--ISNUMBER(SEARCH("R135",G476)),0)+IFERROR(--ISNUMBER(SEARCH("R136",G476)),0)+IFERROR(--ISNUMBER(SEARCH("R137",G476)),0)+IFERROR(--ISNUMBER(SEARCH("R138",G476)),0)+IFERROR(--ISNUMBER(SEARCH("R139",G476)),0)+IFERROR(--ISNUMBER(SEARCH("R140",G476)),0)+IFERROR(--ISNUMBER(SEARCH("R141",G476)),0))</f>
        <v/>
      </c>
      <c r="T476" s="58">
        <f>IF(A476="","",IFERROR(--ISNUMBER(SEARCH("R28",G476)),0)+IFERROR(--ISNUMBER(SEARCH("R29",G476)),0)+IFERROR(--ISNUMBER(SEARCH("R30",G476)),0)+IFERROR(--ISNUMBER(SEARCH("R32",G476)),0)+IFERROR(--ISNUMBER(SEARCH("R33",G476)),0)+IFERROR(--ISNUMBER(SEARCH("R35",G476)),0)+IFERROR(--ISNUMBER(SEARCH("R36",G476)),0)+IFERROR(--ISNUMBER(SEARCH("R38",G476)),0)+IFERROR(--ISNUMBER(SEARCH("R39",G476)),0)+IFERROR(--ISNUMBER(SEARCH("R43",G476)),0)+IFERROR(--ISNUMBER(SEARCH("R44",G476)),0)+IFERROR(--ISNUMBER(SEARCH("R45",G476)),0)+IFERROR(--ISNUMBER(SEARCH("R47",G476)),0)+IFERROR(--ISNUMBER(SEARCH("R48",G476)),0)+IFERROR(--ISNUMBER(SEARCH("R50",G476)),0)+IFERROR(--ISNUMBER(SEARCH("R51",G476)),0)+IFERROR(--ISNUMBER(SEARCH("R56",G476)),0)+IFERROR(--ISNUMBER(SEARCH("R58",G476)),0)+IFERROR(--ISNUMBER(SEARCH("R59",G476)),0)+IFERROR(--ISNUMBER(SEARCH("R60",G476)),0)+IFERROR(--ISNUMBER(SEARCH("R62",G476)),0)+IFERROR(--ISNUMBER(SEARCH("R63",G476)),0)+IFERROR(--ISNUMBER(SEARCH("R64",G476)),0)+IFERROR(--ISNUMBER(SEARCH("R66",G476)),0)+IFERROR(--ISNUMBER(SEARCH("R67",G476)),0)+IFERROR(--ISNUMBER(SEARCH("R72",G476)),0)+IFERROR(--ISNUMBER(SEARCH("R74",G476)),0)+IFERROR(--ISNUMBER(SEARCH("R75",G476)),0)+IFERROR(--ISNUMBER(SEARCH("R76",G476)),0)+IFERROR(--ISNUMBER(SEARCH("R77",G476)),0)+IFERROR(--ISNUMBER(SEARCH("R79",G476)),0)+IFERROR(--ISNUMBER(SEARCH("R80",G476)),0)+IFERROR(--ISNUMBER(SEARCH("R81",G476)),0)+IFERROR(--ISNUMBER(SEARCH("R83",G476)),0)+IFERROR(--ISNUMBER(SEARCH("R84",G476)),0)+IFERROR(--ISNUMBER(SEARCH("R89",G476)),0)+IFERROR(--ISNUMBER(SEARCH("R94",G476)),0)+IFERROR(--ISNUMBER(SEARCH("R95",G476)),0)+IFERROR(--ISNUMBER(SEARCH("R96",G476)),0)+IFERROR(--ISNUMBER(SEARCH("R98",G476)),0)+IFERROR(--ISNUMBER(SEARCH("R99",G476)),0)+IFERROR(--ISNUMBER(SEARCH("R100",G476)),0)+IFERROR(--ISNUMBER(SEARCH("R104",G476)),0)+IFERROR(--ISNUMBER(SEARCH("R105",G476)),0)+IFERROR(--ISNUMBER(SEARCH("R107",G476)),0)+IFERROR(--ISNUMBER(SEARCH("R108",G476)),0)+IFERROR(--ISNUMBER(SEARCH("R109",G476)),0)+IFERROR(--ISNUMBER(SEARCH("R110",G476)),0)+IFERROR(--ISNUMBER(SEARCH("R112",G476)),0)+IFERROR(--ISNUMBER(SEARCH("R113",G476)),0)+IFERROR(--ISNUMBER(SEARCH("R114",G476)),0)+IFERROR(--ISNUMBER(SEARCH("R118",G476)),0)+IFERROR(--ISNUMBER(SEARCH("R119",G476)),0)+IFERROR(--ISNUMBER(SEARCH("R120",G476)),0)+IFERROR(--ISNUMBER(SEARCH("R122",G476)),0)+IFERROR(--ISNUMBER(SEARCH("R123",G476)),0)+IFERROR(--ISNUMBER(SEARCH("R124",G476)),0)+IFERROR(--ISNUMBER(SEARCH("R128",G476)),0)+IFERROR(--ISNUMBER(SEARCH("R130",G476)),0)+IFERROR(--ISNUMBER(SEARCH("R131",G476)),0)+IFERROR(--ISNUMBER(SEARCH("R132",G476)),0)+IFERROR(--ISNUMBER(SEARCH("R135",G476)),0)+IFERROR(--ISNUMBER(SEARCH("R138",G476)),0)+IFERROR(--ISNUMBER(SEARCH("R141",G476)),0))</f>
        <v/>
      </c>
      <c r="U476" s="58">
        <f>IF(A476="","",IFERROR(--ISNUMBER(SEARCH("R28",G476))*28,0)+IFERROR(--ISNUMBER(SEARCH("R29",G476))*29,0)+IFERROR(--ISNUMBER(SEARCH("R30",G476))*30,0)+IFERROR(--ISNUMBER(SEARCH("R31",G476))*31,0)+IFERROR(--ISNUMBER(SEARCH("R32",G476))*32,0)+IFERROR(--ISNUMBER(SEARCH("R33",G476))*33,0)+IFERROR(--ISNUMBER(SEARCH("R34",G476))*34,0)+IFERROR(--ISNUMBER(SEARCH("R35",G476))*35,0)+IFERROR(--ISNUMBER(SEARCH("R36",G476))*36,0)+IFERROR(--ISNUMBER(SEARCH("R37",G476))*37,0)+IFERROR(--ISNUMBER(SEARCH("R38",G476))*38,0)+IFERROR(--ISNUMBER(SEARCH("R39",G476))*39,0)+IFERROR(--ISNUMBER(SEARCH("R40",G476))*40,0)+IFERROR(--ISNUMBER(SEARCH("R41",G476))*41,0)+IFERROR(--ISNUMBER(SEARCH("R42",G476))*42,0)+IFERROR(--ISNUMBER(SEARCH("R43",G476))*43,0)+IFERROR(--ISNUMBER(SEARCH("R44",G476))*44,0)+IFERROR(--ISNUMBER(SEARCH("R45",G476))*45,0)+IFERROR(--ISNUMBER(SEARCH("R46",G476))*46,0)+IFERROR(--ISNUMBER(SEARCH("R47",G476))*47,0)+IFERROR(--ISNUMBER(SEARCH("R48",G476))*48,0)+IFERROR(--ISNUMBER(SEARCH("R49",G476))*49,0)+IFERROR(--ISNUMBER(SEARCH("R50",G476))*50,0)+IFERROR(--ISNUMBER(SEARCH("R51",G476))*51,0)+IFERROR(--ISNUMBER(SEARCH("R52",G476))*52,0)+IFERROR(--ISNUMBER(SEARCH("R53",G476))*53,0)+IFERROR(--ISNUMBER(SEARCH("R54",G476))*54,0)+IFERROR(--ISNUMBER(SEARCH("R55",G476))*55,0)+IFERROR(--ISNUMBER(SEARCH("R56",G476))*56,0)+IFERROR(--ISNUMBER(SEARCH("R57",G476))*57,0)+IFERROR(--ISNUMBER(SEARCH("R58",G476))*58,0)+IFERROR(--ISNUMBER(SEARCH("R59",G476))*59,0)+IFERROR(--ISNUMBER(SEARCH("R60",G476))*60,0)+IFERROR(--ISNUMBER(SEARCH("R61",G476))*61,0)+IFERROR(--ISNUMBER(SEARCH("R62",G476))*62,0)+IFERROR(--ISNUMBER(SEARCH("R63",G476))*63,0)+IFERROR(--ISNUMBER(SEARCH("R64",G476))*64,0)+IFERROR(--ISNUMBER(SEARCH("R65",G476))*65,0)+IFERROR(--ISNUMBER(SEARCH("R66",G476))*66,0)+IFERROR(--ISNUMBER(SEARCH("R67",G476))*67,0)+IFERROR(--ISNUMBER(SEARCH("R68",G476))*68,0)+IFERROR(--ISNUMBER(SEARCH("R69",G476))*69,0)+IFERROR(--ISNUMBER(SEARCH("R70",G476))*70,0)+IFERROR(--ISNUMBER(SEARCH("R71",G476))*71,0)+IFERROR(--ISNUMBER(SEARCH("R72",G476))*72,0)+IFERROR(--ISNUMBER(SEARCH("R73",G476))*73,0)+IFERROR(--ISNUMBER(SEARCH("R74",G476))*74,0)+IFERROR(--ISNUMBER(SEARCH("R75",G476))*75,0)+IFERROR(--ISNUMBER(SEARCH("R76",G476))*76,0)+IFERROR(--ISNUMBER(SEARCH("R77",G476))*77,0)+IFERROR(--ISNUMBER(SEARCH("R78",G476))*78,0)+IFERROR(--ISNUMBER(SEARCH("R79",G476))*79,0)+IFERROR(--ISNUMBER(SEARCH("R80",G476))*80,0)+IFERROR(--ISNUMBER(SEARCH("R81",G476))*81,0)+IFERROR(--ISNUMBER(SEARCH("R82",G476))*82,0)+IFERROR(--ISNUMBER(SEARCH("R83",G476))*83,0)+IFERROR(--ISNUMBER(SEARCH("R84",G476))*84,0)+IFERROR(--ISNUMBER(SEARCH("R85",G476))*85,0)+IFERROR(--ISNUMBER(SEARCH("R86",G476))*86,0)+IFERROR(--ISNUMBER(SEARCH("R87",G476))*87,0)+IFERROR(--ISNUMBER(SEARCH("R88",G476))*88,0)+IFERROR(--ISNUMBER(SEARCH("R89",G476))*89,0)+IFERROR(--ISNUMBER(SEARCH("R90",G476))*90,0)+IFERROR(--ISNUMBER(SEARCH("R91",G476))*91,0)+IFERROR(--ISNUMBER(SEARCH("R92",G476))*92,0)+IFERROR(--ISNUMBER(SEARCH("R93",G476))*93,0)+IFERROR(--ISNUMBER(SEARCH("R94",G476))*94,0)+IFERROR(--ISNUMBER(SEARCH("R95",G476))*95,0)+IFERROR(--ISNUMBER(SEARCH("R96",G476))*96,0)+IFERROR(--ISNUMBER(SEARCH("R97",G476))*97,0)+IFERROR(--ISNUMBER(SEARCH("R98",G476))*98,0)+IFERROR(--ISNUMBER(SEARCH("R99",G476))*99,0)+IFERROR(--ISNUMBER(SEARCH("R100",G476))*100,0)+IFERROR(--ISNUMBER(SEARCH("R101",G476))*101,0)+IFERROR(--ISNUMBER(SEARCH("R102",G476))*102,0)+IFERROR(--ISNUMBER(SEARCH("R103",G476))*103,0)+IFERROR(--ISNUMBER(SEARCH("R104",G476))*104,0)+IFERROR(--ISNUMBER(SEARCH("R105",G476))*105,0)+IFERROR(--ISNUMBER(SEARCH("R106",G476))*106,0)+IFERROR(--ISNUMBER(SEARCH("R107",G476))*107,0)+IFERROR(--ISNUMBER(SEARCH("R108",G476))*108,0)+IFERROR(--ISNUMBER(SEARCH("R109",G476))*109,0)+IFERROR(--ISNUMBER(SEARCH("R110",G476))*110,0)+IFERROR(--ISNUMBER(SEARCH("R111",G476))*111,0)+IFERROR(--ISNUMBER(SEARCH("R112",G476))*112,0)+IFERROR(--ISNUMBER(SEARCH("R113",G476))*113,0)+IFERROR(--ISNUMBER(SEARCH("R114",G476))*114,0)+IFERROR(--ISNUMBER(SEARCH("R115",G476))*115,0)+IFERROR(--ISNUMBER(SEARCH("R116",G476))*116,0)+IFERROR(--ISNUMBER(SEARCH("R117",G476))*117,0)+IFERROR(--ISNUMBER(SEARCH("R118",G476))*118,0)+IFERROR(--ISNUMBER(SEARCH("R119",G476))*119,0)+IFERROR(--ISNUMBER(SEARCH("R120",G476))*120,0)+IFERROR(--ISNUMBER(SEARCH("R121",G476))*121,0)+IFERROR(--ISNUMBER(SEARCH("R122",G476))*122,0)+IFERROR(--ISNUMBER(SEARCH("R123",G476))*123,0)+IFERROR(--ISNUMBER(SEARCH("R124",G476))*124,0)+IFERROR(--ISNUMBER(SEARCH("R125",G476))*125,0)+IFERROR(--ISNUMBER(SEARCH("R126",G476))*126,0)+IFERROR(--ISNUMBER(SEARCH("R127",G476))*127,0)+IFERROR(--ISNUMBER(SEARCH("R128",G476))*128,0)+IFERROR(--ISNUMBER(SEARCH("R129",G476))*129,0)+IFERROR(--ISNUMBER(SEARCH("R130",G476))*130,0)+IFERROR(--ISNUMBER(SEARCH("R131",G476))*131,0)+IFERROR(--ISNUMBER(SEARCH("R132",G476))*132,0)+IFERROR(--ISNUMBER(SEARCH("R133",G476))*133,0)+IFERROR(--ISNUMBER(SEARCH("R134",G476))*134,0)+IFERROR(--ISNUMBER(SEARCH("R135",G476))*135,0)+IFERROR(--ISNUMBER(SEARCH("R136",G476))*136,0)+IFERROR(--ISNUMBER(SEARCH("R137",G476))*137,0)+IFERROR(--ISNUMBER(SEARCH("R138",G476))*138,0)+IFERROR(--ISNUMBER(SEARCH("R139",G476))*139,0)+IFERROR(--ISNUMBER(SEARCH("R140",G476))*140,0)+IFERROR(--ISNUMBER(SEARCH("R141",G476))*141,0))</f>
        <v/>
      </c>
      <c r="V476" s="59">
        <f>IF(A476="","",IF(K476&lt;&gt;"",K476,J476))</f>
        <v/>
      </c>
      <c r="W476" s="59">
        <f>IF(A476="","",IF(AND(V476=29,O476&lt;&gt;"",COUNTIFS($V$6:$V$505,29,$F$6:$F$505,F476,$C$6:$C$505,C476,$O$6:$O$505,"&lt;&gt;")&gt;1),IF(COUNTIFS($V$6:V476,29,$F$6:F476,F476,$C$6:C476,C476,$O$6:O476,"&lt;&gt;")=1,"Esta es la fila que se debe CONSERVAR (aparición 1 de "&amp;COUNTIFS($V$6:$V$505,29,$F$6:$F$505,F476,$C$6:$C$505,C476,$O$6:$O$505,"&lt;&gt;")&amp;" con el mismo tercero y valor, casilla 29). Si hay más filas iguales, bórreles el valor a ELLAS, no a esta.","DUPLICADO — ya existe otra fila con el mismo tercero y valor para casilla 29 (aparición "&amp;COUNTIFS($V$6:V476,29,$F$6:F476,F476,$C$6:C476,C476,$O$6:O476,"&lt;&gt;")&amp;" de "&amp;COUNTIFS($V$6:$V$505,29,$F$6:$F$505,F476,$C$6:$C$505,C476,$O$6:$O$505,"&lt;&gt;")&amp;"). Para resolverlo: seleccione la celda O"&amp;ROW()&amp;" (columna Valor a declarar de ESTA fila) y presione Supr."),""))</f>
        <v/>
      </c>
      <c r="X476" s="463">
        <f>IF(A476="","",F476)</f>
        <v/>
      </c>
      <c r="Y476" s="463">
        <f>IF(A476="","",SUMIF(Entrada_Manual!$I$88:$I$187,A476,Entrada_Manual!$F$88:$F$187))</f>
        <v/>
      </c>
      <c r="Z476" s="463">
        <f>IF(A476="","",X476-Y476)</f>
        <v/>
      </c>
      <c r="AA476">
        <f>IF(A476="","",SUMPRODUCT((Entrada_Manual!$I$88:$I$187=A476)*1))</f>
        <v/>
      </c>
      <c r="AB476">
        <f>IF(A476="","",IF(S476&lt;=1,"",IF(AA476=0,"PENDIENTE — SIN ASIGNAR",IF(Z476=0,"RESUELTO","PARCIAL — DIFERENCIA "&amp;TEXT(Z476,"#,##0")))))</f>
        <v/>
      </c>
    </row>
    <row r="477" ht="14.25" customHeight="1" s="235">
      <c r="A477" s="47">
        <f>IF(Exogena_RAW!E486&lt;&gt;"",ROW()-5,"")</f>
        <v/>
      </c>
      <c r="B477" s="48">
        <f>IF(A477="","",486)</f>
        <v/>
      </c>
      <c r="C477" s="48">
        <f>IF(A477="","",IFERROR(Exogena_RAW!A486,""))</f>
        <v/>
      </c>
      <c r="D477" s="48">
        <f>IF(A477="","",IFERROR(Exogena_RAW!B486,""))</f>
        <v/>
      </c>
      <c r="E477" s="48">
        <f>IF(A477="","",Exogena_RAW!E486)</f>
        <v/>
      </c>
      <c r="F477" s="461">
        <f>IF(A477="","",Exogena_RAW!F486)</f>
        <v/>
      </c>
      <c r="G477" s="48">
        <f>IF(A477="","",IFERROR(Exogena_RAW!G486,""))</f>
        <v/>
      </c>
      <c r="H477" s="48">
        <f>IF(A477="","",IFERROR(Exogena_RAW!H486,""))</f>
        <v/>
      </c>
      <c r="I477" s="48">
        <f>IF(A477="","",IFERROR(IF(S477&gt;1,"VARIAS CASILLAS",IF(S477=1,IF(T477=1,"PROPUESTA DE CASILLA","REVISIÓN: CASILLA NO DIRECTA"),IF(OR(ISNUMBER(SEARCH("TOPE",UPPER(E477))),ISNUMBER(SEARCH("TOPE",UPPER(G477)))),"SOLO CONTROL",IF(ISNUMBER(SEARCH("RETEN",UPPER(E477))),"RETENCIÓN","REVISAR")))),"REVISAR"))</f>
        <v/>
      </c>
      <c r="J477" s="48">
        <f>IF(A477="","",IF(ISNUMBER(SEARCH("ingreso laboral promedio de los últimos seis meses",E477)),"",IFERROR(IF(AND(S477=1,T477=1),U477,""),"")))</f>
        <v/>
      </c>
      <c r="K477" s="216" t="n"/>
      <c r="L477" s="48">
        <f>IF(A477="","",IFERROR(IF(K477&lt;&gt;"","Casilla elegida por usuario",IF(S477&gt;1,"Varias casillas — elegir en K",IF(J477&lt;&gt;"","Sugerencia directa",IF(S477=1,"No trasladar directo — revisar",IF(OR(ISNUMBER(SEARCH("TOPE",UPPER(E477))),ISNUMBER(SEARCH("TOPE",UPPER(G477)))),"Solo control","Revisar manualmente"))))),"Revisar manualmente"))</f>
        <v/>
      </c>
      <c r="M477" s="461">
        <f>IF(A477="","",IF(IF(K477&lt;&gt;"",K477,J477)="",0,IF(COUNTIFS(Reglas!$I$5:$I$118,IF(K477&lt;&gt;"",K477,J477),Reglas!$J$5:$J$118,"Sí")=1,F477,0)))</f>
        <v/>
      </c>
      <c r="N477" s="56" t="n"/>
      <c r="O477" s="462">
        <f>IF(A477="","",IF(M477=0,"",M477))</f>
        <v/>
      </c>
      <c r="P477" s="461">
        <f>IF(A477="","",IF(O477="",0,IF(ISNUMBER(O477),O477,0)))</f>
        <v/>
      </c>
      <c r="Q477" s="48">
        <f>IF(A477="","",IF(Exogena_RAW!$C$4="","BLOQUEADO: FALTA AÑO",IF(Exogena_RAW!$K$10&lt;&gt;Reglas!$B$5,"BLOQUEADO: AÑO",IF(IF(K477&lt;&gt;"",K477,J477)="",IF(S477&gt;1,"REQUIERE ASIGNACIÓN MANUAL (VARIAS CASILLAS)","INFORMATIVO (sin casilla — no se declara)"),IF(COUNTIFS(Reglas!$I$5:$I$118,IF(K477&lt;&gt;"",K477,J477),Reglas!$J$5:$J$118,"Sí")=0,"BLOQUEADO: CASILLA NO DIRECTA",IF(O477="","EXCLUIDO (valor borrado por el usuario)",IF(_xlfn.ISFORMULA(O477),IF(W477&lt;&gt;"","BORRADOR — VALOR SUGERIDO DIAN ⚠ VER ALERTA","BORRADOR — VALOR SUGERIDO DIAN"),IF(W477&lt;&gt;"","ACEPTADO ⚠ VER ALERTA","ACEPTADO"))))))))</f>
        <v/>
      </c>
      <c r="R477" s="218" t="n"/>
      <c r="S477" s="58">
        <f>IF(A477="","",IFERROR(--ISNUMBER(SEARCH("R28",G477)),0)+IFERROR(--ISNUMBER(SEARCH("R29",G477)),0)+IFERROR(--ISNUMBER(SEARCH("R30",G477)),0)+IFERROR(--ISNUMBER(SEARCH("R31",G477)),0)+IFERROR(--ISNUMBER(SEARCH("R32",G477)),0)+IFERROR(--ISNUMBER(SEARCH("R33",G477)),0)+IFERROR(--ISNUMBER(SEARCH("R34",G477)),0)+IFERROR(--ISNUMBER(SEARCH("R35",G477)),0)+IFERROR(--ISNUMBER(SEARCH("R36",G477)),0)+IFERROR(--ISNUMBER(SEARCH("R37",G477)),0)+IFERROR(--ISNUMBER(SEARCH("R38",G477)),0)+IFERROR(--ISNUMBER(SEARCH("R39",G477)),0)+IFERROR(--ISNUMBER(SEARCH("R40",G477)),0)+IFERROR(--ISNUMBER(SEARCH("R41",G477)),0)+IFERROR(--ISNUMBER(SEARCH("R42",G477)),0)+IFERROR(--ISNUMBER(SEARCH("R43",G477)),0)+IFERROR(--ISNUMBER(SEARCH("R44",G477)),0)+IFERROR(--ISNUMBER(SEARCH("R45",G477)),0)+IFERROR(--ISNUMBER(SEARCH("R46",G477)),0)+IFERROR(--ISNUMBER(SEARCH("R47",G477)),0)+IFERROR(--ISNUMBER(SEARCH("R48",G477)),0)+IFERROR(--ISNUMBER(SEARCH("R49",G477)),0)+IFERROR(--ISNUMBER(SEARCH("R50",G477)),0)+IFERROR(--ISNUMBER(SEARCH("R51",G477)),0)+IFERROR(--ISNUMBER(SEARCH("R52",G477)),0)+IFERROR(--ISNUMBER(SEARCH("R53",G477)),0)+IFERROR(--ISNUMBER(SEARCH("R54",G477)),0)+IFERROR(--ISNUMBER(SEARCH("R55",G477)),0)+IFERROR(--ISNUMBER(SEARCH("R56",G477)),0)+IFERROR(--ISNUMBER(SEARCH("R57",G477)),0)+IFERROR(--ISNUMBER(SEARCH("R58",G477)),0)+IFERROR(--ISNUMBER(SEARCH("R59",G477)),0)+IFERROR(--ISNUMBER(SEARCH("R60",G477)),0)+IFERROR(--ISNUMBER(SEARCH("R61",G477)),0)+IFERROR(--ISNUMBER(SEARCH("R62",G477)),0)+IFERROR(--ISNUMBER(SEARCH("R63",G477)),0)+IFERROR(--ISNUMBER(SEARCH("R64",G477)),0)+IFERROR(--ISNUMBER(SEARCH("R65",G477)),0)+IFERROR(--ISNUMBER(SEARCH("R66",G477)),0)+IFERROR(--ISNUMBER(SEARCH("R67",G477)),0)+IFERROR(--ISNUMBER(SEARCH("R68",G477)),0)+IFERROR(--ISNUMBER(SEARCH("R69",G477)),0)+IFERROR(--ISNUMBER(SEARCH("R70",G477)),0)+IFERROR(--ISNUMBER(SEARCH("R71",G477)),0)+IFERROR(--ISNUMBER(SEARCH("R72",G477)),0)+IFERROR(--ISNUMBER(SEARCH("R73",G477)),0)+IFERROR(--ISNUMBER(SEARCH("R74",G477)),0)+IFERROR(--ISNUMBER(SEARCH("R75",G477)),0)+IFERROR(--ISNUMBER(SEARCH("R76",G477)),0)+IFERROR(--ISNUMBER(SEARCH("R77",G477)),0)+IFERROR(--ISNUMBER(SEARCH("R78",G477)),0)+IFERROR(--ISNUMBER(SEARCH("R79",G477)),0)+IFERROR(--ISNUMBER(SEARCH("R80",G477)),0)+IFERROR(--ISNUMBER(SEARCH("R81",G477)),0)+IFERROR(--ISNUMBER(SEARCH("R82",G477)),0)+IFERROR(--ISNUMBER(SEARCH("R83",G477)),0)+IFERROR(--ISNUMBER(SEARCH("R84",G477)),0)+IFERROR(--ISNUMBER(SEARCH("R85",G477)),0)+IFERROR(--ISNUMBER(SEARCH("R86",G477)),0)+IFERROR(--ISNUMBER(SEARCH("R87",G477)),0)+IFERROR(--ISNUMBER(SEARCH("R88",G477)),0)+IFERROR(--ISNUMBER(SEARCH("R89",G477)),0)+IFERROR(--ISNUMBER(SEARCH("R90",G477)),0)+IFERROR(--ISNUMBER(SEARCH("R91",G477)),0)+IFERROR(--ISNUMBER(SEARCH("R92",G477)),0)+IFERROR(--ISNUMBER(SEARCH("R93",G477)),0)+IFERROR(--ISNUMBER(SEARCH("R94",G477)),0)+IFERROR(--ISNUMBER(SEARCH("R95",G477)),0)+IFERROR(--ISNUMBER(SEARCH("R96",G477)),0)+IFERROR(--ISNUMBER(SEARCH("R97",G477)),0)+IFERROR(--ISNUMBER(SEARCH("R98",G477)),0)+IFERROR(--ISNUMBER(SEARCH("R99",G477)),0)+IFERROR(--ISNUMBER(SEARCH("R100",G477)),0)+IFERROR(--ISNUMBER(SEARCH("R101",G477)),0)+IFERROR(--ISNUMBER(SEARCH("R102",G477)),0)+IFERROR(--ISNUMBER(SEARCH("R103",G477)),0)+IFERROR(--ISNUMBER(SEARCH("R104",G477)),0)+IFERROR(--ISNUMBER(SEARCH("R105",G477)),0)+IFERROR(--ISNUMBER(SEARCH("R106",G477)),0)+IFERROR(--ISNUMBER(SEARCH("R107",G477)),0)+IFERROR(--ISNUMBER(SEARCH("R108",G477)),0)+IFERROR(--ISNUMBER(SEARCH("R109",G477)),0)+IFERROR(--ISNUMBER(SEARCH("R110",G477)),0)+IFERROR(--ISNUMBER(SEARCH("R111",G477)),0)+IFERROR(--ISNUMBER(SEARCH("R112",G477)),0)+IFERROR(--ISNUMBER(SEARCH("R113",G477)),0)+IFERROR(--ISNUMBER(SEARCH("R114",G477)),0)+IFERROR(--ISNUMBER(SEARCH("R115",G477)),0)+IFERROR(--ISNUMBER(SEARCH("R116",G477)),0)+IFERROR(--ISNUMBER(SEARCH("R117",G477)),0)+IFERROR(--ISNUMBER(SEARCH("R118",G477)),0)+IFERROR(--ISNUMBER(SEARCH("R119",G477)),0)+IFERROR(--ISNUMBER(SEARCH("R120",G477)),0)+IFERROR(--ISNUMBER(SEARCH("R121",G477)),0)+IFERROR(--ISNUMBER(SEARCH("R122",G477)),0)+IFERROR(--ISNUMBER(SEARCH("R123",G477)),0)+IFERROR(--ISNUMBER(SEARCH("R124",G477)),0)+IFERROR(--ISNUMBER(SEARCH("R125",G477)),0)+IFERROR(--ISNUMBER(SEARCH("R126",G477)),0)+IFERROR(--ISNUMBER(SEARCH("R127",G477)),0)+IFERROR(--ISNUMBER(SEARCH("R128",G477)),0)+IFERROR(--ISNUMBER(SEARCH("R129",G477)),0)+IFERROR(--ISNUMBER(SEARCH("R130",G477)),0)+IFERROR(--ISNUMBER(SEARCH("R131",G477)),0)+IFERROR(--ISNUMBER(SEARCH("R132",G477)),0)+IFERROR(--ISNUMBER(SEARCH("R133",G477)),0)+IFERROR(--ISNUMBER(SEARCH("R134",G477)),0)+IFERROR(--ISNUMBER(SEARCH("R135",G477)),0)+IFERROR(--ISNUMBER(SEARCH("R136",G477)),0)+IFERROR(--ISNUMBER(SEARCH("R137",G477)),0)+IFERROR(--ISNUMBER(SEARCH("R138",G477)),0)+IFERROR(--ISNUMBER(SEARCH("R139",G477)),0)+IFERROR(--ISNUMBER(SEARCH("R140",G477)),0)+IFERROR(--ISNUMBER(SEARCH("R141",G477)),0))</f>
        <v/>
      </c>
      <c r="T477" s="58">
        <f>IF(A477="","",IFERROR(--ISNUMBER(SEARCH("R28",G477)),0)+IFERROR(--ISNUMBER(SEARCH("R29",G477)),0)+IFERROR(--ISNUMBER(SEARCH("R30",G477)),0)+IFERROR(--ISNUMBER(SEARCH("R32",G477)),0)+IFERROR(--ISNUMBER(SEARCH("R33",G477)),0)+IFERROR(--ISNUMBER(SEARCH("R35",G477)),0)+IFERROR(--ISNUMBER(SEARCH("R36",G477)),0)+IFERROR(--ISNUMBER(SEARCH("R38",G477)),0)+IFERROR(--ISNUMBER(SEARCH("R39",G477)),0)+IFERROR(--ISNUMBER(SEARCH("R43",G477)),0)+IFERROR(--ISNUMBER(SEARCH("R44",G477)),0)+IFERROR(--ISNUMBER(SEARCH("R45",G477)),0)+IFERROR(--ISNUMBER(SEARCH("R47",G477)),0)+IFERROR(--ISNUMBER(SEARCH("R48",G477)),0)+IFERROR(--ISNUMBER(SEARCH("R50",G477)),0)+IFERROR(--ISNUMBER(SEARCH("R51",G477)),0)+IFERROR(--ISNUMBER(SEARCH("R56",G477)),0)+IFERROR(--ISNUMBER(SEARCH("R58",G477)),0)+IFERROR(--ISNUMBER(SEARCH("R59",G477)),0)+IFERROR(--ISNUMBER(SEARCH("R60",G477)),0)+IFERROR(--ISNUMBER(SEARCH("R62",G477)),0)+IFERROR(--ISNUMBER(SEARCH("R63",G477)),0)+IFERROR(--ISNUMBER(SEARCH("R64",G477)),0)+IFERROR(--ISNUMBER(SEARCH("R66",G477)),0)+IFERROR(--ISNUMBER(SEARCH("R67",G477)),0)+IFERROR(--ISNUMBER(SEARCH("R72",G477)),0)+IFERROR(--ISNUMBER(SEARCH("R74",G477)),0)+IFERROR(--ISNUMBER(SEARCH("R75",G477)),0)+IFERROR(--ISNUMBER(SEARCH("R76",G477)),0)+IFERROR(--ISNUMBER(SEARCH("R77",G477)),0)+IFERROR(--ISNUMBER(SEARCH("R79",G477)),0)+IFERROR(--ISNUMBER(SEARCH("R80",G477)),0)+IFERROR(--ISNUMBER(SEARCH("R81",G477)),0)+IFERROR(--ISNUMBER(SEARCH("R83",G477)),0)+IFERROR(--ISNUMBER(SEARCH("R84",G477)),0)+IFERROR(--ISNUMBER(SEARCH("R89",G477)),0)+IFERROR(--ISNUMBER(SEARCH("R94",G477)),0)+IFERROR(--ISNUMBER(SEARCH("R95",G477)),0)+IFERROR(--ISNUMBER(SEARCH("R96",G477)),0)+IFERROR(--ISNUMBER(SEARCH("R98",G477)),0)+IFERROR(--ISNUMBER(SEARCH("R99",G477)),0)+IFERROR(--ISNUMBER(SEARCH("R100",G477)),0)+IFERROR(--ISNUMBER(SEARCH("R104",G477)),0)+IFERROR(--ISNUMBER(SEARCH("R105",G477)),0)+IFERROR(--ISNUMBER(SEARCH("R107",G477)),0)+IFERROR(--ISNUMBER(SEARCH("R108",G477)),0)+IFERROR(--ISNUMBER(SEARCH("R109",G477)),0)+IFERROR(--ISNUMBER(SEARCH("R110",G477)),0)+IFERROR(--ISNUMBER(SEARCH("R112",G477)),0)+IFERROR(--ISNUMBER(SEARCH("R113",G477)),0)+IFERROR(--ISNUMBER(SEARCH("R114",G477)),0)+IFERROR(--ISNUMBER(SEARCH("R118",G477)),0)+IFERROR(--ISNUMBER(SEARCH("R119",G477)),0)+IFERROR(--ISNUMBER(SEARCH("R120",G477)),0)+IFERROR(--ISNUMBER(SEARCH("R122",G477)),0)+IFERROR(--ISNUMBER(SEARCH("R123",G477)),0)+IFERROR(--ISNUMBER(SEARCH("R124",G477)),0)+IFERROR(--ISNUMBER(SEARCH("R128",G477)),0)+IFERROR(--ISNUMBER(SEARCH("R130",G477)),0)+IFERROR(--ISNUMBER(SEARCH("R131",G477)),0)+IFERROR(--ISNUMBER(SEARCH("R132",G477)),0)+IFERROR(--ISNUMBER(SEARCH("R135",G477)),0)+IFERROR(--ISNUMBER(SEARCH("R138",G477)),0)+IFERROR(--ISNUMBER(SEARCH("R141",G477)),0))</f>
        <v/>
      </c>
      <c r="U477" s="58">
        <f>IF(A477="","",IFERROR(--ISNUMBER(SEARCH("R28",G477))*28,0)+IFERROR(--ISNUMBER(SEARCH("R29",G477))*29,0)+IFERROR(--ISNUMBER(SEARCH("R30",G477))*30,0)+IFERROR(--ISNUMBER(SEARCH("R31",G477))*31,0)+IFERROR(--ISNUMBER(SEARCH("R32",G477))*32,0)+IFERROR(--ISNUMBER(SEARCH("R33",G477))*33,0)+IFERROR(--ISNUMBER(SEARCH("R34",G477))*34,0)+IFERROR(--ISNUMBER(SEARCH("R35",G477))*35,0)+IFERROR(--ISNUMBER(SEARCH("R36",G477))*36,0)+IFERROR(--ISNUMBER(SEARCH("R37",G477))*37,0)+IFERROR(--ISNUMBER(SEARCH("R38",G477))*38,0)+IFERROR(--ISNUMBER(SEARCH("R39",G477))*39,0)+IFERROR(--ISNUMBER(SEARCH("R40",G477))*40,0)+IFERROR(--ISNUMBER(SEARCH("R41",G477))*41,0)+IFERROR(--ISNUMBER(SEARCH("R42",G477))*42,0)+IFERROR(--ISNUMBER(SEARCH("R43",G477))*43,0)+IFERROR(--ISNUMBER(SEARCH("R44",G477))*44,0)+IFERROR(--ISNUMBER(SEARCH("R45",G477))*45,0)+IFERROR(--ISNUMBER(SEARCH("R46",G477))*46,0)+IFERROR(--ISNUMBER(SEARCH("R47",G477))*47,0)+IFERROR(--ISNUMBER(SEARCH("R48",G477))*48,0)+IFERROR(--ISNUMBER(SEARCH("R49",G477))*49,0)+IFERROR(--ISNUMBER(SEARCH("R50",G477))*50,0)+IFERROR(--ISNUMBER(SEARCH("R51",G477))*51,0)+IFERROR(--ISNUMBER(SEARCH("R52",G477))*52,0)+IFERROR(--ISNUMBER(SEARCH("R53",G477))*53,0)+IFERROR(--ISNUMBER(SEARCH("R54",G477))*54,0)+IFERROR(--ISNUMBER(SEARCH("R55",G477))*55,0)+IFERROR(--ISNUMBER(SEARCH("R56",G477))*56,0)+IFERROR(--ISNUMBER(SEARCH("R57",G477))*57,0)+IFERROR(--ISNUMBER(SEARCH("R58",G477))*58,0)+IFERROR(--ISNUMBER(SEARCH("R59",G477))*59,0)+IFERROR(--ISNUMBER(SEARCH("R60",G477))*60,0)+IFERROR(--ISNUMBER(SEARCH("R61",G477))*61,0)+IFERROR(--ISNUMBER(SEARCH("R62",G477))*62,0)+IFERROR(--ISNUMBER(SEARCH("R63",G477))*63,0)+IFERROR(--ISNUMBER(SEARCH("R64",G477))*64,0)+IFERROR(--ISNUMBER(SEARCH("R65",G477))*65,0)+IFERROR(--ISNUMBER(SEARCH("R66",G477))*66,0)+IFERROR(--ISNUMBER(SEARCH("R67",G477))*67,0)+IFERROR(--ISNUMBER(SEARCH("R68",G477))*68,0)+IFERROR(--ISNUMBER(SEARCH("R69",G477))*69,0)+IFERROR(--ISNUMBER(SEARCH("R70",G477))*70,0)+IFERROR(--ISNUMBER(SEARCH("R71",G477))*71,0)+IFERROR(--ISNUMBER(SEARCH("R72",G477))*72,0)+IFERROR(--ISNUMBER(SEARCH("R73",G477))*73,0)+IFERROR(--ISNUMBER(SEARCH("R74",G477))*74,0)+IFERROR(--ISNUMBER(SEARCH("R75",G477))*75,0)+IFERROR(--ISNUMBER(SEARCH("R76",G477))*76,0)+IFERROR(--ISNUMBER(SEARCH("R77",G477))*77,0)+IFERROR(--ISNUMBER(SEARCH("R78",G477))*78,0)+IFERROR(--ISNUMBER(SEARCH("R79",G477))*79,0)+IFERROR(--ISNUMBER(SEARCH("R80",G477))*80,0)+IFERROR(--ISNUMBER(SEARCH("R81",G477))*81,0)+IFERROR(--ISNUMBER(SEARCH("R82",G477))*82,0)+IFERROR(--ISNUMBER(SEARCH("R83",G477))*83,0)+IFERROR(--ISNUMBER(SEARCH("R84",G477))*84,0)+IFERROR(--ISNUMBER(SEARCH("R85",G477))*85,0)+IFERROR(--ISNUMBER(SEARCH("R86",G477))*86,0)+IFERROR(--ISNUMBER(SEARCH("R87",G477))*87,0)+IFERROR(--ISNUMBER(SEARCH("R88",G477))*88,0)+IFERROR(--ISNUMBER(SEARCH("R89",G477))*89,0)+IFERROR(--ISNUMBER(SEARCH("R90",G477))*90,0)+IFERROR(--ISNUMBER(SEARCH("R91",G477))*91,0)+IFERROR(--ISNUMBER(SEARCH("R92",G477))*92,0)+IFERROR(--ISNUMBER(SEARCH("R93",G477))*93,0)+IFERROR(--ISNUMBER(SEARCH("R94",G477))*94,0)+IFERROR(--ISNUMBER(SEARCH("R95",G477))*95,0)+IFERROR(--ISNUMBER(SEARCH("R96",G477))*96,0)+IFERROR(--ISNUMBER(SEARCH("R97",G477))*97,0)+IFERROR(--ISNUMBER(SEARCH("R98",G477))*98,0)+IFERROR(--ISNUMBER(SEARCH("R99",G477))*99,0)+IFERROR(--ISNUMBER(SEARCH("R100",G477))*100,0)+IFERROR(--ISNUMBER(SEARCH("R101",G477))*101,0)+IFERROR(--ISNUMBER(SEARCH("R102",G477))*102,0)+IFERROR(--ISNUMBER(SEARCH("R103",G477))*103,0)+IFERROR(--ISNUMBER(SEARCH("R104",G477))*104,0)+IFERROR(--ISNUMBER(SEARCH("R105",G477))*105,0)+IFERROR(--ISNUMBER(SEARCH("R106",G477))*106,0)+IFERROR(--ISNUMBER(SEARCH("R107",G477))*107,0)+IFERROR(--ISNUMBER(SEARCH("R108",G477))*108,0)+IFERROR(--ISNUMBER(SEARCH("R109",G477))*109,0)+IFERROR(--ISNUMBER(SEARCH("R110",G477))*110,0)+IFERROR(--ISNUMBER(SEARCH("R111",G477))*111,0)+IFERROR(--ISNUMBER(SEARCH("R112",G477))*112,0)+IFERROR(--ISNUMBER(SEARCH("R113",G477))*113,0)+IFERROR(--ISNUMBER(SEARCH("R114",G477))*114,0)+IFERROR(--ISNUMBER(SEARCH("R115",G477))*115,0)+IFERROR(--ISNUMBER(SEARCH("R116",G477))*116,0)+IFERROR(--ISNUMBER(SEARCH("R117",G477))*117,0)+IFERROR(--ISNUMBER(SEARCH("R118",G477))*118,0)+IFERROR(--ISNUMBER(SEARCH("R119",G477))*119,0)+IFERROR(--ISNUMBER(SEARCH("R120",G477))*120,0)+IFERROR(--ISNUMBER(SEARCH("R121",G477))*121,0)+IFERROR(--ISNUMBER(SEARCH("R122",G477))*122,0)+IFERROR(--ISNUMBER(SEARCH("R123",G477))*123,0)+IFERROR(--ISNUMBER(SEARCH("R124",G477))*124,0)+IFERROR(--ISNUMBER(SEARCH("R125",G477))*125,0)+IFERROR(--ISNUMBER(SEARCH("R126",G477))*126,0)+IFERROR(--ISNUMBER(SEARCH("R127",G477))*127,0)+IFERROR(--ISNUMBER(SEARCH("R128",G477))*128,0)+IFERROR(--ISNUMBER(SEARCH("R129",G477))*129,0)+IFERROR(--ISNUMBER(SEARCH("R130",G477))*130,0)+IFERROR(--ISNUMBER(SEARCH("R131",G477))*131,0)+IFERROR(--ISNUMBER(SEARCH("R132",G477))*132,0)+IFERROR(--ISNUMBER(SEARCH("R133",G477))*133,0)+IFERROR(--ISNUMBER(SEARCH("R134",G477))*134,0)+IFERROR(--ISNUMBER(SEARCH("R135",G477))*135,0)+IFERROR(--ISNUMBER(SEARCH("R136",G477))*136,0)+IFERROR(--ISNUMBER(SEARCH("R137",G477))*137,0)+IFERROR(--ISNUMBER(SEARCH("R138",G477))*138,0)+IFERROR(--ISNUMBER(SEARCH("R139",G477))*139,0)+IFERROR(--ISNUMBER(SEARCH("R140",G477))*140,0)+IFERROR(--ISNUMBER(SEARCH("R141",G477))*141,0))</f>
        <v/>
      </c>
      <c r="V477" s="59">
        <f>IF(A477="","",IF(K477&lt;&gt;"",K477,J477))</f>
        <v/>
      </c>
      <c r="W477" s="59">
        <f>IF(A477="","",IF(AND(V477=29,O477&lt;&gt;"",COUNTIFS($V$6:$V$505,29,$F$6:$F$505,F477,$C$6:$C$505,C477,$O$6:$O$505,"&lt;&gt;")&gt;1),IF(COUNTIFS($V$6:V477,29,$F$6:F477,F477,$C$6:C477,C477,$O$6:O477,"&lt;&gt;")=1,"Esta es la fila que se debe CONSERVAR (aparición 1 de "&amp;COUNTIFS($V$6:$V$505,29,$F$6:$F$505,F477,$C$6:$C$505,C477,$O$6:$O$505,"&lt;&gt;")&amp;" con el mismo tercero y valor, casilla 29). Si hay más filas iguales, bórreles el valor a ELLAS, no a esta.","DUPLICADO — ya existe otra fila con el mismo tercero y valor para casilla 29 (aparición "&amp;COUNTIFS($V$6:V477,29,$F$6:F477,F477,$C$6:C477,C477,$O$6:O477,"&lt;&gt;")&amp;" de "&amp;COUNTIFS($V$6:$V$505,29,$F$6:$F$505,F477,$C$6:$C$505,C477,$O$6:$O$505,"&lt;&gt;")&amp;"). Para resolverlo: seleccione la celda O"&amp;ROW()&amp;" (columna Valor a declarar de ESTA fila) y presione Supr."),""))</f>
        <v/>
      </c>
      <c r="X477" s="463">
        <f>IF(A477="","",F477)</f>
        <v/>
      </c>
      <c r="Y477" s="463">
        <f>IF(A477="","",SUMIF(Entrada_Manual!$I$88:$I$187,A477,Entrada_Manual!$F$88:$F$187))</f>
        <v/>
      </c>
      <c r="Z477" s="463">
        <f>IF(A477="","",X477-Y477)</f>
        <v/>
      </c>
      <c r="AA477">
        <f>IF(A477="","",SUMPRODUCT((Entrada_Manual!$I$88:$I$187=A477)*1))</f>
        <v/>
      </c>
      <c r="AB477">
        <f>IF(A477="","",IF(S477&lt;=1,"",IF(AA477=0,"PENDIENTE — SIN ASIGNAR",IF(Z477=0,"RESUELTO","PARCIAL — DIFERENCIA "&amp;TEXT(Z477,"#,##0")))))</f>
        <v/>
      </c>
    </row>
    <row r="478" ht="14.25" customHeight="1" s="235">
      <c r="A478" s="47">
        <f>IF(Exogena_RAW!E487&lt;&gt;"",ROW()-5,"")</f>
        <v/>
      </c>
      <c r="B478" s="48">
        <f>IF(A478="","",487)</f>
        <v/>
      </c>
      <c r="C478" s="48">
        <f>IF(A478="","",IFERROR(Exogena_RAW!A487,""))</f>
        <v/>
      </c>
      <c r="D478" s="48">
        <f>IF(A478="","",IFERROR(Exogena_RAW!B487,""))</f>
        <v/>
      </c>
      <c r="E478" s="48">
        <f>IF(A478="","",Exogena_RAW!E487)</f>
        <v/>
      </c>
      <c r="F478" s="461">
        <f>IF(A478="","",Exogena_RAW!F487)</f>
        <v/>
      </c>
      <c r="G478" s="48">
        <f>IF(A478="","",IFERROR(Exogena_RAW!G487,""))</f>
        <v/>
      </c>
      <c r="H478" s="48">
        <f>IF(A478="","",IFERROR(Exogena_RAW!H487,""))</f>
        <v/>
      </c>
      <c r="I478" s="48">
        <f>IF(A478="","",IFERROR(IF(S478&gt;1,"VARIAS CASILLAS",IF(S478=1,IF(T478=1,"PROPUESTA DE CASILLA","REVISIÓN: CASILLA NO DIRECTA"),IF(OR(ISNUMBER(SEARCH("TOPE",UPPER(E478))),ISNUMBER(SEARCH("TOPE",UPPER(G478)))),"SOLO CONTROL",IF(ISNUMBER(SEARCH("RETEN",UPPER(E478))),"RETENCIÓN","REVISAR")))),"REVISAR"))</f>
        <v/>
      </c>
      <c r="J478" s="48">
        <f>IF(A478="","",IF(ISNUMBER(SEARCH("ingreso laboral promedio de los últimos seis meses",E478)),"",IFERROR(IF(AND(S478=1,T478=1),U478,""),"")))</f>
        <v/>
      </c>
      <c r="K478" s="216" t="n"/>
      <c r="L478" s="48">
        <f>IF(A478="","",IFERROR(IF(K478&lt;&gt;"","Casilla elegida por usuario",IF(S478&gt;1,"Varias casillas — elegir en K",IF(J478&lt;&gt;"","Sugerencia directa",IF(S478=1,"No trasladar directo — revisar",IF(OR(ISNUMBER(SEARCH("TOPE",UPPER(E478))),ISNUMBER(SEARCH("TOPE",UPPER(G478)))),"Solo control","Revisar manualmente"))))),"Revisar manualmente"))</f>
        <v/>
      </c>
      <c r="M478" s="461">
        <f>IF(A478="","",IF(IF(K478&lt;&gt;"",K478,J478)="",0,IF(COUNTIFS(Reglas!$I$5:$I$118,IF(K478&lt;&gt;"",K478,J478),Reglas!$J$5:$J$118,"Sí")=1,F478,0)))</f>
        <v/>
      </c>
      <c r="N478" s="56" t="n"/>
      <c r="O478" s="462">
        <f>IF(A478="","",IF(M478=0,"",M478))</f>
        <v/>
      </c>
      <c r="P478" s="461">
        <f>IF(A478="","",IF(O478="",0,IF(ISNUMBER(O478),O478,0)))</f>
        <v/>
      </c>
      <c r="Q478" s="48">
        <f>IF(A478="","",IF(Exogena_RAW!$C$4="","BLOQUEADO: FALTA AÑO",IF(Exogena_RAW!$K$10&lt;&gt;Reglas!$B$5,"BLOQUEADO: AÑO",IF(IF(K478&lt;&gt;"",K478,J478)="",IF(S478&gt;1,"REQUIERE ASIGNACIÓN MANUAL (VARIAS CASILLAS)","INFORMATIVO (sin casilla — no se declara)"),IF(COUNTIFS(Reglas!$I$5:$I$118,IF(K478&lt;&gt;"",K478,J478),Reglas!$J$5:$J$118,"Sí")=0,"BLOQUEADO: CASILLA NO DIRECTA",IF(O478="","EXCLUIDO (valor borrado por el usuario)",IF(_xlfn.ISFORMULA(O478),IF(W478&lt;&gt;"","BORRADOR — VALOR SUGERIDO DIAN ⚠ VER ALERTA","BORRADOR — VALOR SUGERIDO DIAN"),IF(W478&lt;&gt;"","ACEPTADO ⚠ VER ALERTA","ACEPTADO"))))))))</f>
        <v/>
      </c>
      <c r="R478" s="218" t="n"/>
      <c r="S478" s="58">
        <f>IF(A478="","",IFERROR(--ISNUMBER(SEARCH("R28",G478)),0)+IFERROR(--ISNUMBER(SEARCH("R29",G478)),0)+IFERROR(--ISNUMBER(SEARCH("R30",G478)),0)+IFERROR(--ISNUMBER(SEARCH("R31",G478)),0)+IFERROR(--ISNUMBER(SEARCH("R32",G478)),0)+IFERROR(--ISNUMBER(SEARCH("R33",G478)),0)+IFERROR(--ISNUMBER(SEARCH("R34",G478)),0)+IFERROR(--ISNUMBER(SEARCH("R35",G478)),0)+IFERROR(--ISNUMBER(SEARCH("R36",G478)),0)+IFERROR(--ISNUMBER(SEARCH("R37",G478)),0)+IFERROR(--ISNUMBER(SEARCH("R38",G478)),0)+IFERROR(--ISNUMBER(SEARCH("R39",G478)),0)+IFERROR(--ISNUMBER(SEARCH("R40",G478)),0)+IFERROR(--ISNUMBER(SEARCH("R41",G478)),0)+IFERROR(--ISNUMBER(SEARCH("R42",G478)),0)+IFERROR(--ISNUMBER(SEARCH("R43",G478)),0)+IFERROR(--ISNUMBER(SEARCH("R44",G478)),0)+IFERROR(--ISNUMBER(SEARCH("R45",G478)),0)+IFERROR(--ISNUMBER(SEARCH("R46",G478)),0)+IFERROR(--ISNUMBER(SEARCH("R47",G478)),0)+IFERROR(--ISNUMBER(SEARCH("R48",G478)),0)+IFERROR(--ISNUMBER(SEARCH("R49",G478)),0)+IFERROR(--ISNUMBER(SEARCH("R50",G478)),0)+IFERROR(--ISNUMBER(SEARCH("R51",G478)),0)+IFERROR(--ISNUMBER(SEARCH("R52",G478)),0)+IFERROR(--ISNUMBER(SEARCH("R53",G478)),0)+IFERROR(--ISNUMBER(SEARCH("R54",G478)),0)+IFERROR(--ISNUMBER(SEARCH("R55",G478)),0)+IFERROR(--ISNUMBER(SEARCH("R56",G478)),0)+IFERROR(--ISNUMBER(SEARCH("R57",G478)),0)+IFERROR(--ISNUMBER(SEARCH("R58",G478)),0)+IFERROR(--ISNUMBER(SEARCH("R59",G478)),0)+IFERROR(--ISNUMBER(SEARCH("R60",G478)),0)+IFERROR(--ISNUMBER(SEARCH("R61",G478)),0)+IFERROR(--ISNUMBER(SEARCH("R62",G478)),0)+IFERROR(--ISNUMBER(SEARCH("R63",G478)),0)+IFERROR(--ISNUMBER(SEARCH("R64",G478)),0)+IFERROR(--ISNUMBER(SEARCH("R65",G478)),0)+IFERROR(--ISNUMBER(SEARCH("R66",G478)),0)+IFERROR(--ISNUMBER(SEARCH("R67",G478)),0)+IFERROR(--ISNUMBER(SEARCH("R68",G478)),0)+IFERROR(--ISNUMBER(SEARCH("R69",G478)),0)+IFERROR(--ISNUMBER(SEARCH("R70",G478)),0)+IFERROR(--ISNUMBER(SEARCH("R71",G478)),0)+IFERROR(--ISNUMBER(SEARCH("R72",G478)),0)+IFERROR(--ISNUMBER(SEARCH("R73",G478)),0)+IFERROR(--ISNUMBER(SEARCH("R74",G478)),0)+IFERROR(--ISNUMBER(SEARCH("R75",G478)),0)+IFERROR(--ISNUMBER(SEARCH("R76",G478)),0)+IFERROR(--ISNUMBER(SEARCH("R77",G478)),0)+IFERROR(--ISNUMBER(SEARCH("R78",G478)),0)+IFERROR(--ISNUMBER(SEARCH("R79",G478)),0)+IFERROR(--ISNUMBER(SEARCH("R80",G478)),0)+IFERROR(--ISNUMBER(SEARCH("R81",G478)),0)+IFERROR(--ISNUMBER(SEARCH("R82",G478)),0)+IFERROR(--ISNUMBER(SEARCH("R83",G478)),0)+IFERROR(--ISNUMBER(SEARCH("R84",G478)),0)+IFERROR(--ISNUMBER(SEARCH("R85",G478)),0)+IFERROR(--ISNUMBER(SEARCH("R86",G478)),0)+IFERROR(--ISNUMBER(SEARCH("R87",G478)),0)+IFERROR(--ISNUMBER(SEARCH("R88",G478)),0)+IFERROR(--ISNUMBER(SEARCH("R89",G478)),0)+IFERROR(--ISNUMBER(SEARCH("R90",G478)),0)+IFERROR(--ISNUMBER(SEARCH("R91",G478)),0)+IFERROR(--ISNUMBER(SEARCH("R92",G478)),0)+IFERROR(--ISNUMBER(SEARCH("R93",G478)),0)+IFERROR(--ISNUMBER(SEARCH("R94",G478)),0)+IFERROR(--ISNUMBER(SEARCH("R95",G478)),0)+IFERROR(--ISNUMBER(SEARCH("R96",G478)),0)+IFERROR(--ISNUMBER(SEARCH("R97",G478)),0)+IFERROR(--ISNUMBER(SEARCH("R98",G478)),0)+IFERROR(--ISNUMBER(SEARCH("R99",G478)),0)+IFERROR(--ISNUMBER(SEARCH("R100",G478)),0)+IFERROR(--ISNUMBER(SEARCH("R101",G478)),0)+IFERROR(--ISNUMBER(SEARCH("R102",G478)),0)+IFERROR(--ISNUMBER(SEARCH("R103",G478)),0)+IFERROR(--ISNUMBER(SEARCH("R104",G478)),0)+IFERROR(--ISNUMBER(SEARCH("R105",G478)),0)+IFERROR(--ISNUMBER(SEARCH("R106",G478)),0)+IFERROR(--ISNUMBER(SEARCH("R107",G478)),0)+IFERROR(--ISNUMBER(SEARCH("R108",G478)),0)+IFERROR(--ISNUMBER(SEARCH("R109",G478)),0)+IFERROR(--ISNUMBER(SEARCH("R110",G478)),0)+IFERROR(--ISNUMBER(SEARCH("R111",G478)),0)+IFERROR(--ISNUMBER(SEARCH("R112",G478)),0)+IFERROR(--ISNUMBER(SEARCH("R113",G478)),0)+IFERROR(--ISNUMBER(SEARCH("R114",G478)),0)+IFERROR(--ISNUMBER(SEARCH("R115",G478)),0)+IFERROR(--ISNUMBER(SEARCH("R116",G478)),0)+IFERROR(--ISNUMBER(SEARCH("R117",G478)),0)+IFERROR(--ISNUMBER(SEARCH("R118",G478)),0)+IFERROR(--ISNUMBER(SEARCH("R119",G478)),0)+IFERROR(--ISNUMBER(SEARCH("R120",G478)),0)+IFERROR(--ISNUMBER(SEARCH("R121",G478)),0)+IFERROR(--ISNUMBER(SEARCH("R122",G478)),0)+IFERROR(--ISNUMBER(SEARCH("R123",G478)),0)+IFERROR(--ISNUMBER(SEARCH("R124",G478)),0)+IFERROR(--ISNUMBER(SEARCH("R125",G478)),0)+IFERROR(--ISNUMBER(SEARCH("R126",G478)),0)+IFERROR(--ISNUMBER(SEARCH("R127",G478)),0)+IFERROR(--ISNUMBER(SEARCH("R128",G478)),0)+IFERROR(--ISNUMBER(SEARCH("R129",G478)),0)+IFERROR(--ISNUMBER(SEARCH("R130",G478)),0)+IFERROR(--ISNUMBER(SEARCH("R131",G478)),0)+IFERROR(--ISNUMBER(SEARCH("R132",G478)),0)+IFERROR(--ISNUMBER(SEARCH("R133",G478)),0)+IFERROR(--ISNUMBER(SEARCH("R134",G478)),0)+IFERROR(--ISNUMBER(SEARCH("R135",G478)),0)+IFERROR(--ISNUMBER(SEARCH("R136",G478)),0)+IFERROR(--ISNUMBER(SEARCH("R137",G478)),0)+IFERROR(--ISNUMBER(SEARCH("R138",G478)),0)+IFERROR(--ISNUMBER(SEARCH("R139",G478)),0)+IFERROR(--ISNUMBER(SEARCH("R140",G478)),0)+IFERROR(--ISNUMBER(SEARCH("R141",G478)),0))</f>
        <v/>
      </c>
      <c r="T478" s="58">
        <f>IF(A478="","",IFERROR(--ISNUMBER(SEARCH("R28",G478)),0)+IFERROR(--ISNUMBER(SEARCH("R29",G478)),0)+IFERROR(--ISNUMBER(SEARCH("R30",G478)),0)+IFERROR(--ISNUMBER(SEARCH("R32",G478)),0)+IFERROR(--ISNUMBER(SEARCH("R33",G478)),0)+IFERROR(--ISNUMBER(SEARCH("R35",G478)),0)+IFERROR(--ISNUMBER(SEARCH("R36",G478)),0)+IFERROR(--ISNUMBER(SEARCH("R38",G478)),0)+IFERROR(--ISNUMBER(SEARCH("R39",G478)),0)+IFERROR(--ISNUMBER(SEARCH("R43",G478)),0)+IFERROR(--ISNUMBER(SEARCH("R44",G478)),0)+IFERROR(--ISNUMBER(SEARCH("R45",G478)),0)+IFERROR(--ISNUMBER(SEARCH("R47",G478)),0)+IFERROR(--ISNUMBER(SEARCH("R48",G478)),0)+IFERROR(--ISNUMBER(SEARCH("R50",G478)),0)+IFERROR(--ISNUMBER(SEARCH("R51",G478)),0)+IFERROR(--ISNUMBER(SEARCH("R56",G478)),0)+IFERROR(--ISNUMBER(SEARCH("R58",G478)),0)+IFERROR(--ISNUMBER(SEARCH("R59",G478)),0)+IFERROR(--ISNUMBER(SEARCH("R60",G478)),0)+IFERROR(--ISNUMBER(SEARCH("R62",G478)),0)+IFERROR(--ISNUMBER(SEARCH("R63",G478)),0)+IFERROR(--ISNUMBER(SEARCH("R64",G478)),0)+IFERROR(--ISNUMBER(SEARCH("R66",G478)),0)+IFERROR(--ISNUMBER(SEARCH("R67",G478)),0)+IFERROR(--ISNUMBER(SEARCH("R72",G478)),0)+IFERROR(--ISNUMBER(SEARCH("R74",G478)),0)+IFERROR(--ISNUMBER(SEARCH("R75",G478)),0)+IFERROR(--ISNUMBER(SEARCH("R76",G478)),0)+IFERROR(--ISNUMBER(SEARCH("R77",G478)),0)+IFERROR(--ISNUMBER(SEARCH("R79",G478)),0)+IFERROR(--ISNUMBER(SEARCH("R80",G478)),0)+IFERROR(--ISNUMBER(SEARCH("R81",G478)),0)+IFERROR(--ISNUMBER(SEARCH("R83",G478)),0)+IFERROR(--ISNUMBER(SEARCH("R84",G478)),0)+IFERROR(--ISNUMBER(SEARCH("R89",G478)),0)+IFERROR(--ISNUMBER(SEARCH("R94",G478)),0)+IFERROR(--ISNUMBER(SEARCH("R95",G478)),0)+IFERROR(--ISNUMBER(SEARCH("R96",G478)),0)+IFERROR(--ISNUMBER(SEARCH("R98",G478)),0)+IFERROR(--ISNUMBER(SEARCH("R99",G478)),0)+IFERROR(--ISNUMBER(SEARCH("R100",G478)),0)+IFERROR(--ISNUMBER(SEARCH("R104",G478)),0)+IFERROR(--ISNUMBER(SEARCH("R105",G478)),0)+IFERROR(--ISNUMBER(SEARCH("R107",G478)),0)+IFERROR(--ISNUMBER(SEARCH("R108",G478)),0)+IFERROR(--ISNUMBER(SEARCH("R109",G478)),0)+IFERROR(--ISNUMBER(SEARCH("R110",G478)),0)+IFERROR(--ISNUMBER(SEARCH("R112",G478)),0)+IFERROR(--ISNUMBER(SEARCH("R113",G478)),0)+IFERROR(--ISNUMBER(SEARCH("R114",G478)),0)+IFERROR(--ISNUMBER(SEARCH("R118",G478)),0)+IFERROR(--ISNUMBER(SEARCH("R119",G478)),0)+IFERROR(--ISNUMBER(SEARCH("R120",G478)),0)+IFERROR(--ISNUMBER(SEARCH("R122",G478)),0)+IFERROR(--ISNUMBER(SEARCH("R123",G478)),0)+IFERROR(--ISNUMBER(SEARCH("R124",G478)),0)+IFERROR(--ISNUMBER(SEARCH("R128",G478)),0)+IFERROR(--ISNUMBER(SEARCH("R130",G478)),0)+IFERROR(--ISNUMBER(SEARCH("R131",G478)),0)+IFERROR(--ISNUMBER(SEARCH("R132",G478)),0)+IFERROR(--ISNUMBER(SEARCH("R135",G478)),0)+IFERROR(--ISNUMBER(SEARCH("R138",G478)),0)+IFERROR(--ISNUMBER(SEARCH("R141",G478)),0))</f>
        <v/>
      </c>
      <c r="U478" s="58">
        <f>IF(A478="","",IFERROR(--ISNUMBER(SEARCH("R28",G478))*28,0)+IFERROR(--ISNUMBER(SEARCH("R29",G478))*29,0)+IFERROR(--ISNUMBER(SEARCH("R30",G478))*30,0)+IFERROR(--ISNUMBER(SEARCH("R31",G478))*31,0)+IFERROR(--ISNUMBER(SEARCH("R32",G478))*32,0)+IFERROR(--ISNUMBER(SEARCH("R33",G478))*33,0)+IFERROR(--ISNUMBER(SEARCH("R34",G478))*34,0)+IFERROR(--ISNUMBER(SEARCH("R35",G478))*35,0)+IFERROR(--ISNUMBER(SEARCH("R36",G478))*36,0)+IFERROR(--ISNUMBER(SEARCH("R37",G478))*37,0)+IFERROR(--ISNUMBER(SEARCH("R38",G478))*38,0)+IFERROR(--ISNUMBER(SEARCH("R39",G478))*39,0)+IFERROR(--ISNUMBER(SEARCH("R40",G478))*40,0)+IFERROR(--ISNUMBER(SEARCH("R41",G478))*41,0)+IFERROR(--ISNUMBER(SEARCH("R42",G478))*42,0)+IFERROR(--ISNUMBER(SEARCH("R43",G478))*43,0)+IFERROR(--ISNUMBER(SEARCH("R44",G478))*44,0)+IFERROR(--ISNUMBER(SEARCH("R45",G478))*45,0)+IFERROR(--ISNUMBER(SEARCH("R46",G478))*46,0)+IFERROR(--ISNUMBER(SEARCH("R47",G478))*47,0)+IFERROR(--ISNUMBER(SEARCH("R48",G478))*48,0)+IFERROR(--ISNUMBER(SEARCH("R49",G478))*49,0)+IFERROR(--ISNUMBER(SEARCH("R50",G478))*50,0)+IFERROR(--ISNUMBER(SEARCH("R51",G478))*51,0)+IFERROR(--ISNUMBER(SEARCH("R52",G478))*52,0)+IFERROR(--ISNUMBER(SEARCH("R53",G478))*53,0)+IFERROR(--ISNUMBER(SEARCH("R54",G478))*54,0)+IFERROR(--ISNUMBER(SEARCH("R55",G478))*55,0)+IFERROR(--ISNUMBER(SEARCH("R56",G478))*56,0)+IFERROR(--ISNUMBER(SEARCH("R57",G478))*57,0)+IFERROR(--ISNUMBER(SEARCH("R58",G478))*58,0)+IFERROR(--ISNUMBER(SEARCH("R59",G478))*59,0)+IFERROR(--ISNUMBER(SEARCH("R60",G478))*60,0)+IFERROR(--ISNUMBER(SEARCH("R61",G478))*61,0)+IFERROR(--ISNUMBER(SEARCH("R62",G478))*62,0)+IFERROR(--ISNUMBER(SEARCH("R63",G478))*63,0)+IFERROR(--ISNUMBER(SEARCH("R64",G478))*64,0)+IFERROR(--ISNUMBER(SEARCH("R65",G478))*65,0)+IFERROR(--ISNUMBER(SEARCH("R66",G478))*66,0)+IFERROR(--ISNUMBER(SEARCH("R67",G478))*67,0)+IFERROR(--ISNUMBER(SEARCH("R68",G478))*68,0)+IFERROR(--ISNUMBER(SEARCH("R69",G478))*69,0)+IFERROR(--ISNUMBER(SEARCH("R70",G478))*70,0)+IFERROR(--ISNUMBER(SEARCH("R71",G478))*71,0)+IFERROR(--ISNUMBER(SEARCH("R72",G478))*72,0)+IFERROR(--ISNUMBER(SEARCH("R73",G478))*73,0)+IFERROR(--ISNUMBER(SEARCH("R74",G478))*74,0)+IFERROR(--ISNUMBER(SEARCH("R75",G478))*75,0)+IFERROR(--ISNUMBER(SEARCH("R76",G478))*76,0)+IFERROR(--ISNUMBER(SEARCH("R77",G478))*77,0)+IFERROR(--ISNUMBER(SEARCH("R78",G478))*78,0)+IFERROR(--ISNUMBER(SEARCH("R79",G478))*79,0)+IFERROR(--ISNUMBER(SEARCH("R80",G478))*80,0)+IFERROR(--ISNUMBER(SEARCH("R81",G478))*81,0)+IFERROR(--ISNUMBER(SEARCH("R82",G478))*82,0)+IFERROR(--ISNUMBER(SEARCH("R83",G478))*83,0)+IFERROR(--ISNUMBER(SEARCH("R84",G478))*84,0)+IFERROR(--ISNUMBER(SEARCH("R85",G478))*85,0)+IFERROR(--ISNUMBER(SEARCH("R86",G478))*86,0)+IFERROR(--ISNUMBER(SEARCH("R87",G478))*87,0)+IFERROR(--ISNUMBER(SEARCH("R88",G478))*88,0)+IFERROR(--ISNUMBER(SEARCH("R89",G478))*89,0)+IFERROR(--ISNUMBER(SEARCH("R90",G478))*90,0)+IFERROR(--ISNUMBER(SEARCH("R91",G478))*91,0)+IFERROR(--ISNUMBER(SEARCH("R92",G478))*92,0)+IFERROR(--ISNUMBER(SEARCH("R93",G478))*93,0)+IFERROR(--ISNUMBER(SEARCH("R94",G478))*94,0)+IFERROR(--ISNUMBER(SEARCH("R95",G478))*95,0)+IFERROR(--ISNUMBER(SEARCH("R96",G478))*96,0)+IFERROR(--ISNUMBER(SEARCH("R97",G478))*97,0)+IFERROR(--ISNUMBER(SEARCH("R98",G478))*98,0)+IFERROR(--ISNUMBER(SEARCH("R99",G478))*99,0)+IFERROR(--ISNUMBER(SEARCH("R100",G478))*100,0)+IFERROR(--ISNUMBER(SEARCH("R101",G478))*101,0)+IFERROR(--ISNUMBER(SEARCH("R102",G478))*102,0)+IFERROR(--ISNUMBER(SEARCH("R103",G478))*103,0)+IFERROR(--ISNUMBER(SEARCH("R104",G478))*104,0)+IFERROR(--ISNUMBER(SEARCH("R105",G478))*105,0)+IFERROR(--ISNUMBER(SEARCH("R106",G478))*106,0)+IFERROR(--ISNUMBER(SEARCH("R107",G478))*107,0)+IFERROR(--ISNUMBER(SEARCH("R108",G478))*108,0)+IFERROR(--ISNUMBER(SEARCH("R109",G478))*109,0)+IFERROR(--ISNUMBER(SEARCH("R110",G478))*110,0)+IFERROR(--ISNUMBER(SEARCH("R111",G478))*111,0)+IFERROR(--ISNUMBER(SEARCH("R112",G478))*112,0)+IFERROR(--ISNUMBER(SEARCH("R113",G478))*113,0)+IFERROR(--ISNUMBER(SEARCH("R114",G478))*114,0)+IFERROR(--ISNUMBER(SEARCH("R115",G478))*115,0)+IFERROR(--ISNUMBER(SEARCH("R116",G478))*116,0)+IFERROR(--ISNUMBER(SEARCH("R117",G478))*117,0)+IFERROR(--ISNUMBER(SEARCH("R118",G478))*118,0)+IFERROR(--ISNUMBER(SEARCH("R119",G478))*119,0)+IFERROR(--ISNUMBER(SEARCH("R120",G478))*120,0)+IFERROR(--ISNUMBER(SEARCH("R121",G478))*121,0)+IFERROR(--ISNUMBER(SEARCH("R122",G478))*122,0)+IFERROR(--ISNUMBER(SEARCH("R123",G478))*123,0)+IFERROR(--ISNUMBER(SEARCH("R124",G478))*124,0)+IFERROR(--ISNUMBER(SEARCH("R125",G478))*125,0)+IFERROR(--ISNUMBER(SEARCH("R126",G478))*126,0)+IFERROR(--ISNUMBER(SEARCH("R127",G478))*127,0)+IFERROR(--ISNUMBER(SEARCH("R128",G478))*128,0)+IFERROR(--ISNUMBER(SEARCH("R129",G478))*129,0)+IFERROR(--ISNUMBER(SEARCH("R130",G478))*130,0)+IFERROR(--ISNUMBER(SEARCH("R131",G478))*131,0)+IFERROR(--ISNUMBER(SEARCH("R132",G478))*132,0)+IFERROR(--ISNUMBER(SEARCH("R133",G478))*133,0)+IFERROR(--ISNUMBER(SEARCH("R134",G478))*134,0)+IFERROR(--ISNUMBER(SEARCH("R135",G478))*135,0)+IFERROR(--ISNUMBER(SEARCH("R136",G478))*136,0)+IFERROR(--ISNUMBER(SEARCH("R137",G478))*137,0)+IFERROR(--ISNUMBER(SEARCH("R138",G478))*138,0)+IFERROR(--ISNUMBER(SEARCH("R139",G478))*139,0)+IFERROR(--ISNUMBER(SEARCH("R140",G478))*140,0)+IFERROR(--ISNUMBER(SEARCH("R141",G478))*141,0))</f>
        <v/>
      </c>
      <c r="V478" s="59">
        <f>IF(A478="","",IF(K478&lt;&gt;"",K478,J478))</f>
        <v/>
      </c>
      <c r="W478" s="59">
        <f>IF(A478="","",IF(AND(V478=29,O478&lt;&gt;"",COUNTIFS($V$6:$V$505,29,$F$6:$F$505,F478,$C$6:$C$505,C478,$O$6:$O$505,"&lt;&gt;")&gt;1),IF(COUNTIFS($V$6:V478,29,$F$6:F478,F478,$C$6:C478,C478,$O$6:O478,"&lt;&gt;")=1,"Esta es la fila que se debe CONSERVAR (aparición 1 de "&amp;COUNTIFS($V$6:$V$505,29,$F$6:$F$505,F478,$C$6:$C$505,C478,$O$6:$O$505,"&lt;&gt;")&amp;" con el mismo tercero y valor, casilla 29). Si hay más filas iguales, bórreles el valor a ELLAS, no a esta.","DUPLICADO — ya existe otra fila con el mismo tercero y valor para casilla 29 (aparición "&amp;COUNTIFS($V$6:V478,29,$F$6:F478,F478,$C$6:C478,C478,$O$6:O478,"&lt;&gt;")&amp;" de "&amp;COUNTIFS($V$6:$V$505,29,$F$6:$F$505,F478,$C$6:$C$505,C478,$O$6:$O$505,"&lt;&gt;")&amp;"). Para resolverlo: seleccione la celda O"&amp;ROW()&amp;" (columna Valor a declarar de ESTA fila) y presione Supr."),""))</f>
        <v/>
      </c>
      <c r="X478" s="463">
        <f>IF(A478="","",F478)</f>
        <v/>
      </c>
      <c r="Y478" s="463">
        <f>IF(A478="","",SUMIF(Entrada_Manual!$I$88:$I$187,A478,Entrada_Manual!$F$88:$F$187))</f>
        <v/>
      </c>
      <c r="Z478" s="463">
        <f>IF(A478="","",X478-Y478)</f>
        <v/>
      </c>
      <c r="AA478">
        <f>IF(A478="","",SUMPRODUCT((Entrada_Manual!$I$88:$I$187=A478)*1))</f>
        <v/>
      </c>
      <c r="AB478">
        <f>IF(A478="","",IF(S478&lt;=1,"",IF(AA478=0,"PENDIENTE — SIN ASIGNAR",IF(Z478=0,"RESUELTO","PARCIAL — DIFERENCIA "&amp;TEXT(Z478,"#,##0")))))</f>
        <v/>
      </c>
    </row>
    <row r="479" ht="14.25" customHeight="1" s="235">
      <c r="A479" s="47">
        <f>IF(Exogena_RAW!E488&lt;&gt;"",ROW()-5,"")</f>
        <v/>
      </c>
      <c r="B479" s="48">
        <f>IF(A479="","",488)</f>
        <v/>
      </c>
      <c r="C479" s="48">
        <f>IF(A479="","",IFERROR(Exogena_RAW!A488,""))</f>
        <v/>
      </c>
      <c r="D479" s="48">
        <f>IF(A479="","",IFERROR(Exogena_RAW!B488,""))</f>
        <v/>
      </c>
      <c r="E479" s="48">
        <f>IF(A479="","",Exogena_RAW!E488)</f>
        <v/>
      </c>
      <c r="F479" s="461">
        <f>IF(A479="","",Exogena_RAW!F488)</f>
        <v/>
      </c>
      <c r="G479" s="48">
        <f>IF(A479="","",IFERROR(Exogena_RAW!G488,""))</f>
        <v/>
      </c>
      <c r="H479" s="48">
        <f>IF(A479="","",IFERROR(Exogena_RAW!H488,""))</f>
        <v/>
      </c>
      <c r="I479" s="48">
        <f>IF(A479="","",IFERROR(IF(S479&gt;1,"VARIAS CASILLAS",IF(S479=1,IF(T479=1,"PROPUESTA DE CASILLA","REVISIÓN: CASILLA NO DIRECTA"),IF(OR(ISNUMBER(SEARCH("TOPE",UPPER(E479))),ISNUMBER(SEARCH("TOPE",UPPER(G479)))),"SOLO CONTROL",IF(ISNUMBER(SEARCH("RETEN",UPPER(E479))),"RETENCIÓN","REVISAR")))),"REVISAR"))</f>
        <v/>
      </c>
      <c r="J479" s="48">
        <f>IF(A479="","",IF(ISNUMBER(SEARCH("ingreso laboral promedio de los últimos seis meses",E479)),"",IFERROR(IF(AND(S479=1,T479=1),U479,""),"")))</f>
        <v/>
      </c>
      <c r="K479" s="216" t="n"/>
      <c r="L479" s="48">
        <f>IF(A479="","",IFERROR(IF(K479&lt;&gt;"","Casilla elegida por usuario",IF(S479&gt;1,"Varias casillas — elegir en K",IF(J479&lt;&gt;"","Sugerencia directa",IF(S479=1,"No trasladar directo — revisar",IF(OR(ISNUMBER(SEARCH("TOPE",UPPER(E479))),ISNUMBER(SEARCH("TOPE",UPPER(G479)))),"Solo control","Revisar manualmente"))))),"Revisar manualmente"))</f>
        <v/>
      </c>
      <c r="M479" s="461">
        <f>IF(A479="","",IF(IF(K479&lt;&gt;"",K479,J479)="",0,IF(COUNTIFS(Reglas!$I$5:$I$118,IF(K479&lt;&gt;"",K479,J479),Reglas!$J$5:$J$118,"Sí")=1,F479,0)))</f>
        <v/>
      </c>
      <c r="N479" s="56" t="n"/>
      <c r="O479" s="462">
        <f>IF(A479="","",IF(M479=0,"",M479))</f>
        <v/>
      </c>
      <c r="P479" s="461">
        <f>IF(A479="","",IF(O479="",0,IF(ISNUMBER(O479),O479,0)))</f>
        <v/>
      </c>
      <c r="Q479" s="48">
        <f>IF(A479="","",IF(Exogena_RAW!$C$4="","BLOQUEADO: FALTA AÑO",IF(Exogena_RAW!$K$10&lt;&gt;Reglas!$B$5,"BLOQUEADO: AÑO",IF(IF(K479&lt;&gt;"",K479,J479)="",IF(S479&gt;1,"REQUIERE ASIGNACIÓN MANUAL (VARIAS CASILLAS)","INFORMATIVO (sin casilla — no se declara)"),IF(COUNTIFS(Reglas!$I$5:$I$118,IF(K479&lt;&gt;"",K479,J479),Reglas!$J$5:$J$118,"Sí")=0,"BLOQUEADO: CASILLA NO DIRECTA",IF(O479="","EXCLUIDO (valor borrado por el usuario)",IF(_xlfn.ISFORMULA(O479),IF(W479&lt;&gt;"","BORRADOR — VALOR SUGERIDO DIAN ⚠ VER ALERTA","BORRADOR — VALOR SUGERIDO DIAN"),IF(W479&lt;&gt;"","ACEPTADO ⚠ VER ALERTA","ACEPTADO"))))))))</f>
        <v/>
      </c>
      <c r="R479" s="218" t="n"/>
      <c r="S479" s="58">
        <f>IF(A479="","",IFERROR(--ISNUMBER(SEARCH("R28",G479)),0)+IFERROR(--ISNUMBER(SEARCH("R29",G479)),0)+IFERROR(--ISNUMBER(SEARCH("R30",G479)),0)+IFERROR(--ISNUMBER(SEARCH("R31",G479)),0)+IFERROR(--ISNUMBER(SEARCH("R32",G479)),0)+IFERROR(--ISNUMBER(SEARCH("R33",G479)),0)+IFERROR(--ISNUMBER(SEARCH("R34",G479)),0)+IFERROR(--ISNUMBER(SEARCH("R35",G479)),0)+IFERROR(--ISNUMBER(SEARCH("R36",G479)),0)+IFERROR(--ISNUMBER(SEARCH("R37",G479)),0)+IFERROR(--ISNUMBER(SEARCH("R38",G479)),0)+IFERROR(--ISNUMBER(SEARCH("R39",G479)),0)+IFERROR(--ISNUMBER(SEARCH("R40",G479)),0)+IFERROR(--ISNUMBER(SEARCH("R41",G479)),0)+IFERROR(--ISNUMBER(SEARCH("R42",G479)),0)+IFERROR(--ISNUMBER(SEARCH("R43",G479)),0)+IFERROR(--ISNUMBER(SEARCH("R44",G479)),0)+IFERROR(--ISNUMBER(SEARCH("R45",G479)),0)+IFERROR(--ISNUMBER(SEARCH("R46",G479)),0)+IFERROR(--ISNUMBER(SEARCH("R47",G479)),0)+IFERROR(--ISNUMBER(SEARCH("R48",G479)),0)+IFERROR(--ISNUMBER(SEARCH("R49",G479)),0)+IFERROR(--ISNUMBER(SEARCH("R50",G479)),0)+IFERROR(--ISNUMBER(SEARCH("R51",G479)),0)+IFERROR(--ISNUMBER(SEARCH("R52",G479)),0)+IFERROR(--ISNUMBER(SEARCH("R53",G479)),0)+IFERROR(--ISNUMBER(SEARCH("R54",G479)),0)+IFERROR(--ISNUMBER(SEARCH("R55",G479)),0)+IFERROR(--ISNUMBER(SEARCH("R56",G479)),0)+IFERROR(--ISNUMBER(SEARCH("R57",G479)),0)+IFERROR(--ISNUMBER(SEARCH("R58",G479)),0)+IFERROR(--ISNUMBER(SEARCH("R59",G479)),0)+IFERROR(--ISNUMBER(SEARCH("R60",G479)),0)+IFERROR(--ISNUMBER(SEARCH("R61",G479)),0)+IFERROR(--ISNUMBER(SEARCH("R62",G479)),0)+IFERROR(--ISNUMBER(SEARCH("R63",G479)),0)+IFERROR(--ISNUMBER(SEARCH("R64",G479)),0)+IFERROR(--ISNUMBER(SEARCH("R65",G479)),0)+IFERROR(--ISNUMBER(SEARCH("R66",G479)),0)+IFERROR(--ISNUMBER(SEARCH("R67",G479)),0)+IFERROR(--ISNUMBER(SEARCH("R68",G479)),0)+IFERROR(--ISNUMBER(SEARCH("R69",G479)),0)+IFERROR(--ISNUMBER(SEARCH("R70",G479)),0)+IFERROR(--ISNUMBER(SEARCH("R71",G479)),0)+IFERROR(--ISNUMBER(SEARCH("R72",G479)),0)+IFERROR(--ISNUMBER(SEARCH("R73",G479)),0)+IFERROR(--ISNUMBER(SEARCH("R74",G479)),0)+IFERROR(--ISNUMBER(SEARCH("R75",G479)),0)+IFERROR(--ISNUMBER(SEARCH("R76",G479)),0)+IFERROR(--ISNUMBER(SEARCH("R77",G479)),0)+IFERROR(--ISNUMBER(SEARCH("R78",G479)),0)+IFERROR(--ISNUMBER(SEARCH("R79",G479)),0)+IFERROR(--ISNUMBER(SEARCH("R80",G479)),0)+IFERROR(--ISNUMBER(SEARCH("R81",G479)),0)+IFERROR(--ISNUMBER(SEARCH("R82",G479)),0)+IFERROR(--ISNUMBER(SEARCH("R83",G479)),0)+IFERROR(--ISNUMBER(SEARCH("R84",G479)),0)+IFERROR(--ISNUMBER(SEARCH("R85",G479)),0)+IFERROR(--ISNUMBER(SEARCH("R86",G479)),0)+IFERROR(--ISNUMBER(SEARCH("R87",G479)),0)+IFERROR(--ISNUMBER(SEARCH("R88",G479)),0)+IFERROR(--ISNUMBER(SEARCH("R89",G479)),0)+IFERROR(--ISNUMBER(SEARCH("R90",G479)),0)+IFERROR(--ISNUMBER(SEARCH("R91",G479)),0)+IFERROR(--ISNUMBER(SEARCH("R92",G479)),0)+IFERROR(--ISNUMBER(SEARCH("R93",G479)),0)+IFERROR(--ISNUMBER(SEARCH("R94",G479)),0)+IFERROR(--ISNUMBER(SEARCH("R95",G479)),0)+IFERROR(--ISNUMBER(SEARCH("R96",G479)),0)+IFERROR(--ISNUMBER(SEARCH("R97",G479)),0)+IFERROR(--ISNUMBER(SEARCH("R98",G479)),0)+IFERROR(--ISNUMBER(SEARCH("R99",G479)),0)+IFERROR(--ISNUMBER(SEARCH("R100",G479)),0)+IFERROR(--ISNUMBER(SEARCH("R101",G479)),0)+IFERROR(--ISNUMBER(SEARCH("R102",G479)),0)+IFERROR(--ISNUMBER(SEARCH("R103",G479)),0)+IFERROR(--ISNUMBER(SEARCH("R104",G479)),0)+IFERROR(--ISNUMBER(SEARCH("R105",G479)),0)+IFERROR(--ISNUMBER(SEARCH("R106",G479)),0)+IFERROR(--ISNUMBER(SEARCH("R107",G479)),0)+IFERROR(--ISNUMBER(SEARCH("R108",G479)),0)+IFERROR(--ISNUMBER(SEARCH("R109",G479)),0)+IFERROR(--ISNUMBER(SEARCH("R110",G479)),0)+IFERROR(--ISNUMBER(SEARCH("R111",G479)),0)+IFERROR(--ISNUMBER(SEARCH("R112",G479)),0)+IFERROR(--ISNUMBER(SEARCH("R113",G479)),0)+IFERROR(--ISNUMBER(SEARCH("R114",G479)),0)+IFERROR(--ISNUMBER(SEARCH("R115",G479)),0)+IFERROR(--ISNUMBER(SEARCH("R116",G479)),0)+IFERROR(--ISNUMBER(SEARCH("R117",G479)),0)+IFERROR(--ISNUMBER(SEARCH("R118",G479)),0)+IFERROR(--ISNUMBER(SEARCH("R119",G479)),0)+IFERROR(--ISNUMBER(SEARCH("R120",G479)),0)+IFERROR(--ISNUMBER(SEARCH("R121",G479)),0)+IFERROR(--ISNUMBER(SEARCH("R122",G479)),0)+IFERROR(--ISNUMBER(SEARCH("R123",G479)),0)+IFERROR(--ISNUMBER(SEARCH("R124",G479)),0)+IFERROR(--ISNUMBER(SEARCH("R125",G479)),0)+IFERROR(--ISNUMBER(SEARCH("R126",G479)),0)+IFERROR(--ISNUMBER(SEARCH("R127",G479)),0)+IFERROR(--ISNUMBER(SEARCH("R128",G479)),0)+IFERROR(--ISNUMBER(SEARCH("R129",G479)),0)+IFERROR(--ISNUMBER(SEARCH("R130",G479)),0)+IFERROR(--ISNUMBER(SEARCH("R131",G479)),0)+IFERROR(--ISNUMBER(SEARCH("R132",G479)),0)+IFERROR(--ISNUMBER(SEARCH("R133",G479)),0)+IFERROR(--ISNUMBER(SEARCH("R134",G479)),0)+IFERROR(--ISNUMBER(SEARCH("R135",G479)),0)+IFERROR(--ISNUMBER(SEARCH("R136",G479)),0)+IFERROR(--ISNUMBER(SEARCH("R137",G479)),0)+IFERROR(--ISNUMBER(SEARCH("R138",G479)),0)+IFERROR(--ISNUMBER(SEARCH("R139",G479)),0)+IFERROR(--ISNUMBER(SEARCH("R140",G479)),0)+IFERROR(--ISNUMBER(SEARCH("R141",G479)),0))</f>
        <v/>
      </c>
      <c r="T479" s="58">
        <f>IF(A479="","",IFERROR(--ISNUMBER(SEARCH("R28",G479)),0)+IFERROR(--ISNUMBER(SEARCH("R29",G479)),0)+IFERROR(--ISNUMBER(SEARCH("R30",G479)),0)+IFERROR(--ISNUMBER(SEARCH("R32",G479)),0)+IFERROR(--ISNUMBER(SEARCH("R33",G479)),0)+IFERROR(--ISNUMBER(SEARCH("R35",G479)),0)+IFERROR(--ISNUMBER(SEARCH("R36",G479)),0)+IFERROR(--ISNUMBER(SEARCH("R38",G479)),0)+IFERROR(--ISNUMBER(SEARCH("R39",G479)),0)+IFERROR(--ISNUMBER(SEARCH("R43",G479)),0)+IFERROR(--ISNUMBER(SEARCH("R44",G479)),0)+IFERROR(--ISNUMBER(SEARCH("R45",G479)),0)+IFERROR(--ISNUMBER(SEARCH("R47",G479)),0)+IFERROR(--ISNUMBER(SEARCH("R48",G479)),0)+IFERROR(--ISNUMBER(SEARCH("R50",G479)),0)+IFERROR(--ISNUMBER(SEARCH("R51",G479)),0)+IFERROR(--ISNUMBER(SEARCH("R56",G479)),0)+IFERROR(--ISNUMBER(SEARCH("R58",G479)),0)+IFERROR(--ISNUMBER(SEARCH("R59",G479)),0)+IFERROR(--ISNUMBER(SEARCH("R60",G479)),0)+IFERROR(--ISNUMBER(SEARCH("R62",G479)),0)+IFERROR(--ISNUMBER(SEARCH("R63",G479)),0)+IFERROR(--ISNUMBER(SEARCH("R64",G479)),0)+IFERROR(--ISNUMBER(SEARCH("R66",G479)),0)+IFERROR(--ISNUMBER(SEARCH("R67",G479)),0)+IFERROR(--ISNUMBER(SEARCH("R72",G479)),0)+IFERROR(--ISNUMBER(SEARCH("R74",G479)),0)+IFERROR(--ISNUMBER(SEARCH("R75",G479)),0)+IFERROR(--ISNUMBER(SEARCH("R76",G479)),0)+IFERROR(--ISNUMBER(SEARCH("R77",G479)),0)+IFERROR(--ISNUMBER(SEARCH("R79",G479)),0)+IFERROR(--ISNUMBER(SEARCH("R80",G479)),0)+IFERROR(--ISNUMBER(SEARCH("R81",G479)),0)+IFERROR(--ISNUMBER(SEARCH("R83",G479)),0)+IFERROR(--ISNUMBER(SEARCH("R84",G479)),0)+IFERROR(--ISNUMBER(SEARCH("R89",G479)),0)+IFERROR(--ISNUMBER(SEARCH("R94",G479)),0)+IFERROR(--ISNUMBER(SEARCH("R95",G479)),0)+IFERROR(--ISNUMBER(SEARCH("R96",G479)),0)+IFERROR(--ISNUMBER(SEARCH("R98",G479)),0)+IFERROR(--ISNUMBER(SEARCH("R99",G479)),0)+IFERROR(--ISNUMBER(SEARCH("R100",G479)),0)+IFERROR(--ISNUMBER(SEARCH("R104",G479)),0)+IFERROR(--ISNUMBER(SEARCH("R105",G479)),0)+IFERROR(--ISNUMBER(SEARCH("R107",G479)),0)+IFERROR(--ISNUMBER(SEARCH("R108",G479)),0)+IFERROR(--ISNUMBER(SEARCH("R109",G479)),0)+IFERROR(--ISNUMBER(SEARCH("R110",G479)),0)+IFERROR(--ISNUMBER(SEARCH("R112",G479)),0)+IFERROR(--ISNUMBER(SEARCH("R113",G479)),0)+IFERROR(--ISNUMBER(SEARCH("R114",G479)),0)+IFERROR(--ISNUMBER(SEARCH("R118",G479)),0)+IFERROR(--ISNUMBER(SEARCH("R119",G479)),0)+IFERROR(--ISNUMBER(SEARCH("R120",G479)),0)+IFERROR(--ISNUMBER(SEARCH("R122",G479)),0)+IFERROR(--ISNUMBER(SEARCH("R123",G479)),0)+IFERROR(--ISNUMBER(SEARCH("R124",G479)),0)+IFERROR(--ISNUMBER(SEARCH("R128",G479)),0)+IFERROR(--ISNUMBER(SEARCH("R130",G479)),0)+IFERROR(--ISNUMBER(SEARCH("R131",G479)),0)+IFERROR(--ISNUMBER(SEARCH("R132",G479)),0)+IFERROR(--ISNUMBER(SEARCH("R135",G479)),0)+IFERROR(--ISNUMBER(SEARCH("R138",G479)),0)+IFERROR(--ISNUMBER(SEARCH("R141",G479)),0))</f>
        <v/>
      </c>
      <c r="U479" s="58">
        <f>IF(A479="","",IFERROR(--ISNUMBER(SEARCH("R28",G479))*28,0)+IFERROR(--ISNUMBER(SEARCH("R29",G479))*29,0)+IFERROR(--ISNUMBER(SEARCH("R30",G479))*30,0)+IFERROR(--ISNUMBER(SEARCH("R31",G479))*31,0)+IFERROR(--ISNUMBER(SEARCH("R32",G479))*32,0)+IFERROR(--ISNUMBER(SEARCH("R33",G479))*33,0)+IFERROR(--ISNUMBER(SEARCH("R34",G479))*34,0)+IFERROR(--ISNUMBER(SEARCH("R35",G479))*35,0)+IFERROR(--ISNUMBER(SEARCH("R36",G479))*36,0)+IFERROR(--ISNUMBER(SEARCH("R37",G479))*37,0)+IFERROR(--ISNUMBER(SEARCH("R38",G479))*38,0)+IFERROR(--ISNUMBER(SEARCH("R39",G479))*39,0)+IFERROR(--ISNUMBER(SEARCH("R40",G479))*40,0)+IFERROR(--ISNUMBER(SEARCH("R41",G479))*41,0)+IFERROR(--ISNUMBER(SEARCH("R42",G479))*42,0)+IFERROR(--ISNUMBER(SEARCH("R43",G479))*43,0)+IFERROR(--ISNUMBER(SEARCH("R44",G479))*44,0)+IFERROR(--ISNUMBER(SEARCH("R45",G479))*45,0)+IFERROR(--ISNUMBER(SEARCH("R46",G479))*46,0)+IFERROR(--ISNUMBER(SEARCH("R47",G479))*47,0)+IFERROR(--ISNUMBER(SEARCH("R48",G479))*48,0)+IFERROR(--ISNUMBER(SEARCH("R49",G479))*49,0)+IFERROR(--ISNUMBER(SEARCH("R50",G479))*50,0)+IFERROR(--ISNUMBER(SEARCH("R51",G479))*51,0)+IFERROR(--ISNUMBER(SEARCH("R52",G479))*52,0)+IFERROR(--ISNUMBER(SEARCH("R53",G479))*53,0)+IFERROR(--ISNUMBER(SEARCH("R54",G479))*54,0)+IFERROR(--ISNUMBER(SEARCH("R55",G479))*55,0)+IFERROR(--ISNUMBER(SEARCH("R56",G479))*56,0)+IFERROR(--ISNUMBER(SEARCH("R57",G479))*57,0)+IFERROR(--ISNUMBER(SEARCH("R58",G479))*58,0)+IFERROR(--ISNUMBER(SEARCH("R59",G479))*59,0)+IFERROR(--ISNUMBER(SEARCH("R60",G479))*60,0)+IFERROR(--ISNUMBER(SEARCH("R61",G479))*61,0)+IFERROR(--ISNUMBER(SEARCH("R62",G479))*62,0)+IFERROR(--ISNUMBER(SEARCH("R63",G479))*63,0)+IFERROR(--ISNUMBER(SEARCH("R64",G479))*64,0)+IFERROR(--ISNUMBER(SEARCH("R65",G479))*65,0)+IFERROR(--ISNUMBER(SEARCH("R66",G479))*66,0)+IFERROR(--ISNUMBER(SEARCH("R67",G479))*67,0)+IFERROR(--ISNUMBER(SEARCH("R68",G479))*68,0)+IFERROR(--ISNUMBER(SEARCH("R69",G479))*69,0)+IFERROR(--ISNUMBER(SEARCH("R70",G479))*70,0)+IFERROR(--ISNUMBER(SEARCH("R71",G479))*71,0)+IFERROR(--ISNUMBER(SEARCH("R72",G479))*72,0)+IFERROR(--ISNUMBER(SEARCH("R73",G479))*73,0)+IFERROR(--ISNUMBER(SEARCH("R74",G479))*74,0)+IFERROR(--ISNUMBER(SEARCH("R75",G479))*75,0)+IFERROR(--ISNUMBER(SEARCH("R76",G479))*76,0)+IFERROR(--ISNUMBER(SEARCH("R77",G479))*77,0)+IFERROR(--ISNUMBER(SEARCH("R78",G479))*78,0)+IFERROR(--ISNUMBER(SEARCH("R79",G479))*79,0)+IFERROR(--ISNUMBER(SEARCH("R80",G479))*80,0)+IFERROR(--ISNUMBER(SEARCH("R81",G479))*81,0)+IFERROR(--ISNUMBER(SEARCH("R82",G479))*82,0)+IFERROR(--ISNUMBER(SEARCH("R83",G479))*83,0)+IFERROR(--ISNUMBER(SEARCH("R84",G479))*84,0)+IFERROR(--ISNUMBER(SEARCH("R85",G479))*85,0)+IFERROR(--ISNUMBER(SEARCH("R86",G479))*86,0)+IFERROR(--ISNUMBER(SEARCH("R87",G479))*87,0)+IFERROR(--ISNUMBER(SEARCH("R88",G479))*88,0)+IFERROR(--ISNUMBER(SEARCH("R89",G479))*89,0)+IFERROR(--ISNUMBER(SEARCH("R90",G479))*90,0)+IFERROR(--ISNUMBER(SEARCH("R91",G479))*91,0)+IFERROR(--ISNUMBER(SEARCH("R92",G479))*92,0)+IFERROR(--ISNUMBER(SEARCH("R93",G479))*93,0)+IFERROR(--ISNUMBER(SEARCH("R94",G479))*94,0)+IFERROR(--ISNUMBER(SEARCH("R95",G479))*95,0)+IFERROR(--ISNUMBER(SEARCH("R96",G479))*96,0)+IFERROR(--ISNUMBER(SEARCH("R97",G479))*97,0)+IFERROR(--ISNUMBER(SEARCH("R98",G479))*98,0)+IFERROR(--ISNUMBER(SEARCH("R99",G479))*99,0)+IFERROR(--ISNUMBER(SEARCH("R100",G479))*100,0)+IFERROR(--ISNUMBER(SEARCH("R101",G479))*101,0)+IFERROR(--ISNUMBER(SEARCH("R102",G479))*102,0)+IFERROR(--ISNUMBER(SEARCH("R103",G479))*103,0)+IFERROR(--ISNUMBER(SEARCH("R104",G479))*104,0)+IFERROR(--ISNUMBER(SEARCH("R105",G479))*105,0)+IFERROR(--ISNUMBER(SEARCH("R106",G479))*106,0)+IFERROR(--ISNUMBER(SEARCH("R107",G479))*107,0)+IFERROR(--ISNUMBER(SEARCH("R108",G479))*108,0)+IFERROR(--ISNUMBER(SEARCH("R109",G479))*109,0)+IFERROR(--ISNUMBER(SEARCH("R110",G479))*110,0)+IFERROR(--ISNUMBER(SEARCH("R111",G479))*111,0)+IFERROR(--ISNUMBER(SEARCH("R112",G479))*112,0)+IFERROR(--ISNUMBER(SEARCH("R113",G479))*113,0)+IFERROR(--ISNUMBER(SEARCH("R114",G479))*114,0)+IFERROR(--ISNUMBER(SEARCH("R115",G479))*115,0)+IFERROR(--ISNUMBER(SEARCH("R116",G479))*116,0)+IFERROR(--ISNUMBER(SEARCH("R117",G479))*117,0)+IFERROR(--ISNUMBER(SEARCH("R118",G479))*118,0)+IFERROR(--ISNUMBER(SEARCH("R119",G479))*119,0)+IFERROR(--ISNUMBER(SEARCH("R120",G479))*120,0)+IFERROR(--ISNUMBER(SEARCH("R121",G479))*121,0)+IFERROR(--ISNUMBER(SEARCH("R122",G479))*122,0)+IFERROR(--ISNUMBER(SEARCH("R123",G479))*123,0)+IFERROR(--ISNUMBER(SEARCH("R124",G479))*124,0)+IFERROR(--ISNUMBER(SEARCH("R125",G479))*125,0)+IFERROR(--ISNUMBER(SEARCH("R126",G479))*126,0)+IFERROR(--ISNUMBER(SEARCH("R127",G479))*127,0)+IFERROR(--ISNUMBER(SEARCH("R128",G479))*128,0)+IFERROR(--ISNUMBER(SEARCH("R129",G479))*129,0)+IFERROR(--ISNUMBER(SEARCH("R130",G479))*130,0)+IFERROR(--ISNUMBER(SEARCH("R131",G479))*131,0)+IFERROR(--ISNUMBER(SEARCH("R132",G479))*132,0)+IFERROR(--ISNUMBER(SEARCH("R133",G479))*133,0)+IFERROR(--ISNUMBER(SEARCH("R134",G479))*134,0)+IFERROR(--ISNUMBER(SEARCH("R135",G479))*135,0)+IFERROR(--ISNUMBER(SEARCH("R136",G479))*136,0)+IFERROR(--ISNUMBER(SEARCH("R137",G479))*137,0)+IFERROR(--ISNUMBER(SEARCH("R138",G479))*138,0)+IFERROR(--ISNUMBER(SEARCH("R139",G479))*139,0)+IFERROR(--ISNUMBER(SEARCH("R140",G479))*140,0)+IFERROR(--ISNUMBER(SEARCH("R141",G479))*141,0))</f>
        <v/>
      </c>
      <c r="V479" s="59">
        <f>IF(A479="","",IF(K479&lt;&gt;"",K479,J479))</f>
        <v/>
      </c>
      <c r="W479" s="59">
        <f>IF(A479="","",IF(AND(V479=29,O479&lt;&gt;"",COUNTIFS($V$6:$V$505,29,$F$6:$F$505,F479,$C$6:$C$505,C479,$O$6:$O$505,"&lt;&gt;")&gt;1),IF(COUNTIFS($V$6:V479,29,$F$6:F479,F479,$C$6:C479,C479,$O$6:O479,"&lt;&gt;")=1,"Esta es la fila que se debe CONSERVAR (aparición 1 de "&amp;COUNTIFS($V$6:$V$505,29,$F$6:$F$505,F479,$C$6:$C$505,C479,$O$6:$O$505,"&lt;&gt;")&amp;" con el mismo tercero y valor, casilla 29). Si hay más filas iguales, bórreles el valor a ELLAS, no a esta.","DUPLICADO — ya existe otra fila con el mismo tercero y valor para casilla 29 (aparición "&amp;COUNTIFS($V$6:V479,29,$F$6:F479,F479,$C$6:C479,C479,$O$6:O479,"&lt;&gt;")&amp;" de "&amp;COUNTIFS($V$6:$V$505,29,$F$6:$F$505,F479,$C$6:$C$505,C479,$O$6:$O$505,"&lt;&gt;")&amp;"). Para resolverlo: seleccione la celda O"&amp;ROW()&amp;" (columna Valor a declarar de ESTA fila) y presione Supr."),""))</f>
        <v/>
      </c>
      <c r="X479" s="463">
        <f>IF(A479="","",F479)</f>
        <v/>
      </c>
      <c r="Y479" s="463">
        <f>IF(A479="","",SUMIF(Entrada_Manual!$I$88:$I$187,A479,Entrada_Manual!$F$88:$F$187))</f>
        <v/>
      </c>
      <c r="Z479" s="463">
        <f>IF(A479="","",X479-Y479)</f>
        <v/>
      </c>
      <c r="AA479">
        <f>IF(A479="","",SUMPRODUCT((Entrada_Manual!$I$88:$I$187=A479)*1))</f>
        <v/>
      </c>
      <c r="AB479">
        <f>IF(A479="","",IF(S479&lt;=1,"",IF(AA479=0,"PENDIENTE — SIN ASIGNAR",IF(Z479=0,"RESUELTO","PARCIAL — DIFERENCIA "&amp;TEXT(Z479,"#,##0")))))</f>
        <v/>
      </c>
    </row>
    <row r="480" ht="14.25" customHeight="1" s="235">
      <c r="A480" s="47">
        <f>IF(Exogena_RAW!E489&lt;&gt;"",ROW()-5,"")</f>
        <v/>
      </c>
      <c r="B480" s="48">
        <f>IF(A480="","",489)</f>
        <v/>
      </c>
      <c r="C480" s="48">
        <f>IF(A480="","",IFERROR(Exogena_RAW!A489,""))</f>
        <v/>
      </c>
      <c r="D480" s="48">
        <f>IF(A480="","",IFERROR(Exogena_RAW!B489,""))</f>
        <v/>
      </c>
      <c r="E480" s="48">
        <f>IF(A480="","",Exogena_RAW!E489)</f>
        <v/>
      </c>
      <c r="F480" s="461">
        <f>IF(A480="","",Exogena_RAW!F489)</f>
        <v/>
      </c>
      <c r="G480" s="48">
        <f>IF(A480="","",IFERROR(Exogena_RAW!G489,""))</f>
        <v/>
      </c>
      <c r="H480" s="48">
        <f>IF(A480="","",IFERROR(Exogena_RAW!H489,""))</f>
        <v/>
      </c>
      <c r="I480" s="48">
        <f>IF(A480="","",IFERROR(IF(S480&gt;1,"VARIAS CASILLAS",IF(S480=1,IF(T480=1,"PROPUESTA DE CASILLA","REVISIÓN: CASILLA NO DIRECTA"),IF(OR(ISNUMBER(SEARCH("TOPE",UPPER(E480))),ISNUMBER(SEARCH("TOPE",UPPER(G480)))),"SOLO CONTROL",IF(ISNUMBER(SEARCH("RETEN",UPPER(E480))),"RETENCIÓN","REVISAR")))),"REVISAR"))</f>
        <v/>
      </c>
      <c r="J480" s="48">
        <f>IF(A480="","",IF(ISNUMBER(SEARCH("ingreso laboral promedio de los últimos seis meses",E480)),"",IFERROR(IF(AND(S480=1,T480=1),U480,""),"")))</f>
        <v/>
      </c>
      <c r="K480" s="216" t="n"/>
      <c r="L480" s="48">
        <f>IF(A480="","",IFERROR(IF(K480&lt;&gt;"","Casilla elegida por usuario",IF(S480&gt;1,"Varias casillas — elegir en K",IF(J480&lt;&gt;"","Sugerencia directa",IF(S480=1,"No trasladar directo — revisar",IF(OR(ISNUMBER(SEARCH("TOPE",UPPER(E480))),ISNUMBER(SEARCH("TOPE",UPPER(G480)))),"Solo control","Revisar manualmente"))))),"Revisar manualmente"))</f>
        <v/>
      </c>
      <c r="M480" s="461">
        <f>IF(A480="","",IF(IF(K480&lt;&gt;"",K480,J480)="",0,IF(COUNTIFS(Reglas!$I$5:$I$118,IF(K480&lt;&gt;"",K480,J480),Reglas!$J$5:$J$118,"Sí")=1,F480,0)))</f>
        <v/>
      </c>
      <c r="N480" s="56" t="n"/>
      <c r="O480" s="462">
        <f>IF(A480="","",IF(M480=0,"",M480))</f>
        <v/>
      </c>
      <c r="P480" s="461">
        <f>IF(A480="","",IF(O480="",0,IF(ISNUMBER(O480),O480,0)))</f>
        <v/>
      </c>
      <c r="Q480" s="48">
        <f>IF(A480="","",IF(Exogena_RAW!$C$4="","BLOQUEADO: FALTA AÑO",IF(Exogena_RAW!$K$10&lt;&gt;Reglas!$B$5,"BLOQUEADO: AÑO",IF(IF(K480&lt;&gt;"",K480,J480)="",IF(S480&gt;1,"REQUIERE ASIGNACIÓN MANUAL (VARIAS CASILLAS)","INFORMATIVO (sin casilla — no se declara)"),IF(COUNTIFS(Reglas!$I$5:$I$118,IF(K480&lt;&gt;"",K480,J480),Reglas!$J$5:$J$118,"Sí")=0,"BLOQUEADO: CASILLA NO DIRECTA",IF(O480="","EXCLUIDO (valor borrado por el usuario)",IF(_xlfn.ISFORMULA(O480),IF(W480&lt;&gt;"","BORRADOR — VALOR SUGERIDO DIAN ⚠ VER ALERTA","BORRADOR — VALOR SUGERIDO DIAN"),IF(W480&lt;&gt;"","ACEPTADO ⚠ VER ALERTA","ACEPTADO"))))))))</f>
        <v/>
      </c>
      <c r="R480" s="218" t="n"/>
      <c r="S480" s="58">
        <f>IF(A480="","",IFERROR(--ISNUMBER(SEARCH("R28",G480)),0)+IFERROR(--ISNUMBER(SEARCH("R29",G480)),0)+IFERROR(--ISNUMBER(SEARCH("R30",G480)),0)+IFERROR(--ISNUMBER(SEARCH("R31",G480)),0)+IFERROR(--ISNUMBER(SEARCH("R32",G480)),0)+IFERROR(--ISNUMBER(SEARCH("R33",G480)),0)+IFERROR(--ISNUMBER(SEARCH("R34",G480)),0)+IFERROR(--ISNUMBER(SEARCH("R35",G480)),0)+IFERROR(--ISNUMBER(SEARCH("R36",G480)),0)+IFERROR(--ISNUMBER(SEARCH("R37",G480)),0)+IFERROR(--ISNUMBER(SEARCH("R38",G480)),0)+IFERROR(--ISNUMBER(SEARCH("R39",G480)),0)+IFERROR(--ISNUMBER(SEARCH("R40",G480)),0)+IFERROR(--ISNUMBER(SEARCH("R41",G480)),0)+IFERROR(--ISNUMBER(SEARCH("R42",G480)),0)+IFERROR(--ISNUMBER(SEARCH("R43",G480)),0)+IFERROR(--ISNUMBER(SEARCH("R44",G480)),0)+IFERROR(--ISNUMBER(SEARCH("R45",G480)),0)+IFERROR(--ISNUMBER(SEARCH("R46",G480)),0)+IFERROR(--ISNUMBER(SEARCH("R47",G480)),0)+IFERROR(--ISNUMBER(SEARCH("R48",G480)),0)+IFERROR(--ISNUMBER(SEARCH("R49",G480)),0)+IFERROR(--ISNUMBER(SEARCH("R50",G480)),0)+IFERROR(--ISNUMBER(SEARCH("R51",G480)),0)+IFERROR(--ISNUMBER(SEARCH("R52",G480)),0)+IFERROR(--ISNUMBER(SEARCH("R53",G480)),0)+IFERROR(--ISNUMBER(SEARCH("R54",G480)),0)+IFERROR(--ISNUMBER(SEARCH("R55",G480)),0)+IFERROR(--ISNUMBER(SEARCH("R56",G480)),0)+IFERROR(--ISNUMBER(SEARCH("R57",G480)),0)+IFERROR(--ISNUMBER(SEARCH("R58",G480)),0)+IFERROR(--ISNUMBER(SEARCH("R59",G480)),0)+IFERROR(--ISNUMBER(SEARCH("R60",G480)),0)+IFERROR(--ISNUMBER(SEARCH("R61",G480)),0)+IFERROR(--ISNUMBER(SEARCH("R62",G480)),0)+IFERROR(--ISNUMBER(SEARCH("R63",G480)),0)+IFERROR(--ISNUMBER(SEARCH("R64",G480)),0)+IFERROR(--ISNUMBER(SEARCH("R65",G480)),0)+IFERROR(--ISNUMBER(SEARCH("R66",G480)),0)+IFERROR(--ISNUMBER(SEARCH("R67",G480)),0)+IFERROR(--ISNUMBER(SEARCH("R68",G480)),0)+IFERROR(--ISNUMBER(SEARCH("R69",G480)),0)+IFERROR(--ISNUMBER(SEARCH("R70",G480)),0)+IFERROR(--ISNUMBER(SEARCH("R71",G480)),0)+IFERROR(--ISNUMBER(SEARCH("R72",G480)),0)+IFERROR(--ISNUMBER(SEARCH("R73",G480)),0)+IFERROR(--ISNUMBER(SEARCH("R74",G480)),0)+IFERROR(--ISNUMBER(SEARCH("R75",G480)),0)+IFERROR(--ISNUMBER(SEARCH("R76",G480)),0)+IFERROR(--ISNUMBER(SEARCH("R77",G480)),0)+IFERROR(--ISNUMBER(SEARCH("R78",G480)),0)+IFERROR(--ISNUMBER(SEARCH("R79",G480)),0)+IFERROR(--ISNUMBER(SEARCH("R80",G480)),0)+IFERROR(--ISNUMBER(SEARCH("R81",G480)),0)+IFERROR(--ISNUMBER(SEARCH("R82",G480)),0)+IFERROR(--ISNUMBER(SEARCH("R83",G480)),0)+IFERROR(--ISNUMBER(SEARCH("R84",G480)),0)+IFERROR(--ISNUMBER(SEARCH("R85",G480)),0)+IFERROR(--ISNUMBER(SEARCH("R86",G480)),0)+IFERROR(--ISNUMBER(SEARCH("R87",G480)),0)+IFERROR(--ISNUMBER(SEARCH("R88",G480)),0)+IFERROR(--ISNUMBER(SEARCH("R89",G480)),0)+IFERROR(--ISNUMBER(SEARCH("R90",G480)),0)+IFERROR(--ISNUMBER(SEARCH("R91",G480)),0)+IFERROR(--ISNUMBER(SEARCH("R92",G480)),0)+IFERROR(--ISNUMBER(SEARCH("R93",G480)),0)+IFERROR(--ISNUMBER(SEARCH("R94",G480)),0)+IFERROR(--ISNUMBER(SEARCH("R95",G480)),0)+IFERROR(--ISNUMBER(SEARCH("R96",G480)),0)+IFERROR(--ISNUMBER(SEARCH("R97",G480)),0)+IFERROR(--ISNUMBER(SEARCH("R98",G480)),0)+IFERROR(--ISNUMBER(SEARCH("R99",G480)),0)+IFERROR(--ISNUMBER(SEARCH("R100",G480)),0)+IFERROR(--ISNUMBER(SEARCH("R101",G480)),0)+IFERROR(--ISNUMBER(SEARCH("R102",G480)),0)+IFERROR(--ISNUMBER(SEARCH("R103",G480)),0)+IFERROR(--ISNUMBER(SEARCH("R104",G480)),0)+IFERROR(--ISNUMBER(SEARCH("R105",G480)),0)+IFERROR(--ISNUMBER(SEARCH("R106",G480)),0)+IFERROR(--ISNUMBER(SEARCH("R107",G480)),0)+IFERROR(--ISNUMBER(SEARCH("R108",G480)),0)+IFERROR(--ISNUMBER(SEARCH("R109",G480)),0)+IFERROR(--ISNUMBER(SEARCH("R110",G480)),0)+IFERROR(--ISNUMBER(SEARCH("R111",G480)),0)+IFERROR(--ISNUMBER(SEARCH("R112",G480)),0)+IFERROR(--ISNUMBER(SEARCH("R113",G480)),0)+IFERROR(--ISNUMBER(SEARCH("R114",G480)),0)+IFERROR(--ISNUMBER(SEARCH("R115",G480)),0)+IFERROR(--ISNUMBER(SEARCH("R116",G480)),0)+IFERROR(--ISNUMBER(SEARCH("R117",G480)),0)+IFERROR(--ISNUMBER(SEARCH("R118",G480)),0)+IFERROR(--ISNUMBER(SEARCH("R119",G480)),0)+IFERROR(--ISNUMBER(SEARCH("R120",G480)),0)+IFERROR(--ISNUMBER(SEARCH("R121",G480)),0)+IFERROR(--ISNUMBER(SEARCH("R122",G480)),0)+IFERROR(--ISNUMBER(SEARCH("R123",G480)),0)+IFERROR(--ISNUMBER(SEARCH("R124",G480)),0)+IFERROR(--ISNUMBER(SEARCH("R125",G480)),0)+IFERROR(--ISNUMBER(SEARCH("R126",G480)),0)+IFERROR(--ISNUMBER(SEARCH("R127",G480)),0)+IFERROR(--ISNUMBER(SEARCH("R128",G480)),0)+IFERROR(--ISNUMBER(SEARCH("R129",G480)),0)+IFERROR(--ISNUMBER(SEARCH("R130",G480)),0)+IFERROR(--ISNUMBER(SEARCH("R131",G480)),0)+IFERROR(--ISNUMBER(SEARCH("R132",G480)),0)+IFERROR(--ISNUMBER(SEARCH("R133",G480)),0)+IFERROR(--ISNUMBER(SEARCH("R134",G480)),0)+IFERROR(--ISNUMBER(SEARCH("R135",G480)),0)+IFERROR(--ISNUMBER(SEARCH("R136",G480)),0)+IFERROR(--ISNUMBER(SEARCH("R137",G480)),0)+IFERROR(--ISNUMBER(SEARCH("R138",G480)),0)+IFERROR(--ISNUMBER(SEARCH("R139",G480)),0)+IFERROR(--ISNUMBER(SEARCH("R140",G480)),0)+IFERROR(--ISNUMBER(SEARCH("R141",G480)),0))</f>
        <v/>
      </c>
      <c r="T480" s="58">
        <f>IF(A480="","",IFERROR(--ISNUMBER(SEARCH("R28",G480)),0)+IFERROR(--ISNUMBER(SEARCH("R29",G480)),0)+IFERROR(--ISNUMBER(SEARCH("R30",G480)),0)+IFERROR(--ISNUMBER(SEARCH("R32",G480)),0)+IFERROR(--ISNUMBER(SEARCH("R33",G480)),0)+IFERROR(--ISNUMBER(SEARCH("R35",G480)),0)+IFERROR(--ISNUMBER(SEARCH("R36",G480)),0)+IFERROR(--ISNUMBER(SEARCH("R38",G480)),0)+IFERROR(--ISNUMBER(SEARCH("R39",G480)),0)+IFERROR(--ISNUMBER(SEARCH("R43",G480)),0)+IFERROR(--ISNUMBER(SEARCH("R44",G480)),0)+IFERROR(--ISNUMBER(SEARCH("R45",G480)),0)+IFERROR(--ISNUMBER(SEARCH("R47",G480)),0)+IFERROR(--ISNUMBER(SEARCH("R48",G480)),0)+IFERROR(--ISNUMBER(SEARCH("R50",G480)),0)+IFERROR(--ISNUMBER(SEARCH("R51",G480)),0)+IFERROR(--ISNUMBER(SEARCH("R56",G480)),0)+IFERROR(--ISNUMBER(SEARCH("R58",G480)),0)+IFERROR(--ISNUMBER(SEARCH("R59",G480)),0)+IFERROR(--ISNUMBER(SEARCH("R60",G480)),0)+IFERROR(--ISNUMBER(SEARCH("R62",G480)),0)+IFERROR(--ISNUMBER(SEARCH("R63",G480)),0)+IFERROR(--ISNUMBER(SEARCH("R64",G480)),0)+IFERROR(--ISNUMBER(SEARCH("R66",G480)),0)+IFERROR(--ISNUMBER(SEARCH("R67",G480)),0)+IFERROR(--ISNUMBER(SEARCH("R72",G480)),0)+IFERROR(--ISNUMBER(SEARCH("R74",G480)),0)+IFERROR(--ISNUMBER(SEARCH("R75",G480)),0)+IFERROR(--ISNUMBER(SEARCH("R76",G480)),0)+IFERROR(--ISNUMBER(SEARCH("R77",G480)),0)+IFERROR(--ISNUMBER(SEARCH("R79",G480)),0)+IFERROR(--ISNUMBER(SEARCH("R80",G480)),0)+IFERROR(--ISNUMBER(SEARCH("R81",G480)),0)+IFERROR(--ISNUMBER(SEARCH("R83",G480)),0)+IFERROR(--ISNUMBER(SEARCH("R84",G480)),0)+IFERROR(--ISNUMBER(SEARCH("R89",G480)),0)+IFERROR(--ISNUMBER(SEARCH("R94",G480)),0)+IFERROR(--ISNUMBER(SEARCH("R95",G480)),0)+IFERROR(--ISNUMBER(SEARCH("R96",G480)),0)+IFERROR(--ISNUMBER(SEARCH("R98",G480)),0)+IFERROR(--ISNUMBER(SEARCH("R99",G480)),0)+IFERROR(--ISNUMBER(SEARCH("R100",G480)),0)+IFERROR(--ISNUMBER(SEARCH("R104",G480)),0)+IFERROR(--ISNUMBER(SEARCH("R105",G480)),0)+IFERROR(--ISNUMBER(SEARCH("R107",G480)),0)+IFERROR(--ISNUMBER(SEARCH("R108",G480)),0)+IFERROR(--ISNUMBER(SEARCH("R109",G480)),0)+IFERROR(--ISNUMBER(SEARCH("R110",G480)),0)+IFERROR(--ISNUMBER(SEARCH("R112",G480)),0)+IFERROR(--ISNUMBER(SEARCH("R113",G480)),0)+IFERROR(--ISNUMBER(SEARCH("R114",G480)),0)+IFERROR(--ISNUMBER(SEARCH("R118",G480)),0)+IFERROR(--ISNUMBER(SEARCH("R119",G480)),0)+IFERROR(--ISNUMBER(SEARCH("R120",G480)),0)+IFERROR(--ISNUMBER(SEARCH("R122",G480)),0)+IFERROR(--ISNUMBER(SEARCH("R123",G480)),0)+IFERROR(--ISNUMBER(SEARCH("R124",G480)),0)+IFERROR(--ISNUMBER(SEARCH("R128",G480)),0)+IFERROR(--ISNUMBER(SEARCH("R130",G480)),0)+IFERROR(--ISNUMBER(SEARCH("R131",G480)),0)+IFERROR(--ISNUMBER(SEARCH("R132",G480)),0)+IFERROR(--ISNUMBER(SEARCH("R135",G480)),0)+IFERROR(--ISNUMBER(SEARCH("R138",G480)),0)+IFERROR(--ISNUMBER(SEARCH("R141",G480)),0))</f>
        <v/>
      </c>
      <c r="U480" s="58">
        <f>IF(A480="","",IFERROR(--ISNUMBER(SEARCH("R28",G480))*28,0)+IFERROR(--ISNUMBER(SEARCH("R29",G480))*29,0)+IFERROR(--ISNUMBER(SEARCH("R30",G480))*30,0)+IFERROR(--ISNUMBER(SEARCH("R31",G480))*31,0)+IFERROR(--ISNUMBER(SEARCH("R32",G480))*32,0)+IFERROR(--ISNUMBER(SEARCH("R33",G480))*33,0)+IFERROR(--ISNUMBER(SEARCH("R34",G480))*34,0)+IFERROR(--ISNUMBER(SEARCH("R35",G480))*35,0)+IFERROR(--ISNUMBER(SEARCH("R36",G480))*36,0)+IFERROR(--ISNUMBER(SEARCH("R37",G480))*37,0)+IFERROR(--ISNUMBER(SEARCH("R38",G480))*38,0)+IFERROR(--ISNUMBER(SEARCH("R39",G480))*39,0)+IFERROR(--ISNUMBER(SEARCH("R40",G480))*40,0)+IFERROR(--ISNUMBER(SEARCH("R41",G480))*41,0)+IFERROR(--ISNUMBER(SEARCH("R42",G480))*42,0)+IFERROR(--ISNUMBER(SEARCH("R43",G480))*43,0)+IFERROR(--ISNUMBER(SEARCH("R44",G480))*44,0)+IFERROR(--ISNUMBER(SEARCH("R45",G480))*45,0)+IFERROR(--ISNUMBER(SEARCH("R46",G480))*46,0)+IFERROR(--ISNUMBER(SEARCH("R47",G480))*47,0)+IFERROR(--ISNUMBER(SEARCH("R48",G480))*48,0)+IFERROR(--ISNUMBER(SEARCH("R49",G480))*49,0)+IFERROR(--ISNUMBER(SEARCH("R50",G480))*50,0)+IFERROR(--ISNUMBER(SEARCH("R51",G480))*51,0)+IFERROR(--ISNUMBER(SEARCH("R52",G480))*52,0)+IFERROR(--ISNUMBER(SEARCH("R53",G480))*53,0)+IFERROR(--ISNUMBER(SEARCH("R54",G480))*54,0)+IFERROR(--ISNUMBER(SEARCH("R55",G480))*55,0)+IFERROR(--ISNUMBER(SEARCH("R56",G480))*56,0)+IFERROR(--ISNUMBER(SEARCH("R57",G480))*57,0)+IFERROR(--ISNUMBER(SEARCH("R58",G480))*58,0)+IFERROR(--ISNUMBER(SEARCH("R59",G480))*59,0)+IFERROR(--ISNUMBER(SEARCH("R60",G480))*60,0)+IFERROR(--ISNUMBER(SEARCH("R61",G480))*61,0)+IFERROR(--ISNUMBER(SEARCH("R62",G480))*62,0)+IFERROR(--ISNUMBER(SEARCH("R63",G480))*63,0)+IFERROR(--ISNUMBER(SEARCH("R64",G480))*64,0)+IFERROR(--ISNUMBER(SEARCH("R65",G480))*65,0)+IFERROR(--ISNUMBER(SEARCH("R66",G480))*66,0)+IFERROR(--ISNUMBER(SEARCH("R67",G480))*67,0)+IFERROR(--ISNUMBER(SEARCH("R68",G480))*68,0)+IFERROR(--ISNUMBER(SEARCH("R69",G480))*69,0)+IFERROR(--ISNUMBER(SEARCH("R70",G480))*70,0)+IFERROR(--ISNUMBER(SEARCH("R71",G480))*71,0)+IFERROR(--ISNUMBER(SEARCH("R72",G480))*72,0)+IFERROR(--ISNUMBER(SEARCH("R73",G480))*73,0)+IFERROR(--ISNUMBER(SEARCH("R74",G480))*74,0)+IFERROR(--ISNUMBER(SEARCH("R75",G480))*75,0)+IFERROR(--ISNUMBER(SEARCH("R76",G480))*76,0)+IFERROR(--ISNUMBER(SEARCH("R77",G480))*77,0)+IFERROR(--ISNUMBER(SEARCH("R78",G480))*78,0)+IFERROR(--ISNUMBER(SEARCH("R79",G480))*79,0)+IFERROR(--ISNUMBER(SEARCH("R80",G480))*80,0)+IFERROR(--ISNUMBER(SEARCH("R81",G480))*81,0)+IFERROR(--ISNUMBER(SEARCH("R82",G480))*82,0)+IFERROR(--ISNUMBER(SEARCH("R83",G480))*83,0)+IFERROR(--ISNUMBER(SEARCH("R84",G480))*84,0)+IFERROR(--ISNUMBER(SEARCH("R85",G480))*85,0)+IFERROR(--ISNUMBER(SEARCH("R86",G480))*86,0)+IFERROR(--ISNUMBER(SEARCH("R87",G480))*87,0)+IFERROR(--ISNUMBER(SEARCH("R88",G480))*88,0)+IFERROR(--ISNUMBER(SEARCH("R89",G480))*89,0)+IFERROR(--ISNUMBER(SEARCH("R90",G480))*90,0)+IFERROR(--ISNUMBER(SEARCH("R91",G480))*91,0)+IFERROR(--ISNUMBER(SEARCH("R92",G480))*92,0)+IFERROR(--ISNUMBER(SEARCH("R93",G480))*93,0)+IFERROR(--ISNUMBER(SEARCH("R94",G480))*94,0)+IFERROR(--ISNUMBER(SEARCH("R95",G480))*95,0)+IFERROR(--ISNUMBER(SEARCH("R96",G480))*96,0)+IFERROR(--ISNUMBER(SEARCH("R97",G480))*97,0)+IFERROR(--ISNUMBER(SEARCH("R98",G480))*98,0)+IFERROR(--ISNUMBER(SEARCH("R99",G480))*99,0)+IFERROR(--ISNUMBER(SEARCH("R100",G480))*100,0)+IFERROR(--ISNUMBER(SEARCH("R101",G480))*101,0)+IFERROR(--ISNUMBER(SEARCH("R102",G480))*102,0)+IFERROR(--ISNUMBER(SEARCH("R103",G480))*103,0)+IFERROR(--ISNUMBER(SEARCH("R104",G480))*104,0)+IFERROR(--ISNUMBER(SEARCH("R105",G480))*105,0)+IFERROR(--ISNUMBER(SEARCH("R106",G480))*106,0)+IFERROR(--ISNUMBER(SEARCH("R107",G480))*107,0)+IFERROR(--ISNUMBER(SEARCH("R108",G480))*108,0)+IFERROR(--ISNUMBER(SEARCH("R109",G480))*109,0)+IFERROR(--ISNUMBER(SEARCH("R110",G480))*110,0)+IFERROR(--ISNUMBER(SEARCH("R111",G480))*111,0)+IFERROR(--ISNUMBER(SEARCH("R112",G480))*112,0)+IFERROR(--ISNUMBER(SEARCH("R113",G480))*113,0)+IFERROR(--ISNUMBER(SEARCH("R114",G480))*114,0)+IFERROR(--ISNUMBER(SEARCH("R115",G480))*115,0)+IFERROR(--ISNUMBER(SEARCH("R116",G480))*116,0)+IFERROR(--ISNUMBER(SEARCH("R117",G480))*117,0)+IFERROR(--ISNUMBER(SEARCH("R118",G480))*118,0)+IFERROR(--ISNUMBER(SEARCH("R119",G480))*119,0)+IFERROR(--ISNUMBER(SEARCH("R120",G480))*120,0)+IFERROR(--ISNUMBER(SEARCH("R121",G480))*121,0)+IFERROR(--ISNUMBER(SEARCH("R122",G480))*122,0)+IFERROR(--ISNUMBER(SEARCH("R123",G480))*123,0)+IFERROR(--ISNUMBER(SEARCH("R124",G480))*124,0)+IFERROR(--ISNUMBER(SEARCH("R125",G480))*125,0)+IFERROR(--ISNUMBER(SEARCH("R126",G480))*126,0)+IFERROR(--ISNUMBER(SEARCH("R127",G480))*127,0)+IFERROR(--ISNUMBER(SEARCH("R128",G480))*128,0)+IFERROR(--ISNUMBER(SEARCH("R129",G480))*129,0)+IFERROR(--ISNUMBER(SEARCH("R130",G480))*130,0)+IFERROR(--ISNUMBER(SEARCH("R131",G480))*131,0)+IFERROR(--ISNUMBER(SEARCH("R132",G480))*132,0)+IFERROR(--ISNUMBER(SEARCH("R133",G480))*133,0)+IFERROR(--ISNUMBER(SEARCH("R134",G480))*134,0)+IFERROR(--ISNUMBER(SEARCH("R135",G480))*135,0)+IFERROR(--ISNUMBER(SEARCH("R136",G480))*136,0)+IFERROR(--ISNUMBER(SEARCH("R137",G480))*137,0)+IFERROR(--ISNUMBER(SEARCH("R138",G480))*138,0)+IFERROR(--ISNUMBER(SEARCH("R139",G480))*139,0)+IFERROR(--ISNUMBER(SEARCH("R140",G480))*140,0)+IFERROR(--ISNUMBER(SEARCH("R141",G480))*141,0))</f>
        <v/>
      </c>
      <c r="V480" s="59">
        <f>IF(A480="","",IF(K480&lt;&gt;"",K480,J480))</f>
        <v/>
      </c>
      <c r="W480" s="59">
        <f>IF(A480="","",IF(AND(V480=29,O480&lt;&gt;"",COUNTIFS($V$6:$V$505,29,$F$6:$F$505,F480,$C$6:$C$505,C480,$O$6:$O$505,"&lt;&gt;")&gt;1),IF(COUNTIFS($V$6:V480,29,$F$6:F480,F480,$C$6:C480,C480,$O$6:O480,"&lt;&gt;")=1,"Esta es la fila que se debe CONSERVAR (aparición 1 de "&amp;COUNTIFS($V$6:$V$505,29,$F$6:$F$505,F480,$C$6:$C$505,C480,$O$6:$O$505,"&lt;&gt;")&amp;" con el mismo tercero y valor, casilla 29). Si hay más filas iguales, bórreles el valor a ELLAS, no a esta.","DUPLICADO — ya existe otra fila con el mismo tercero y valor para casilla 29 (aparición "&amp;COUNTIFS($V$6:V480,29,$F$6:F480,F480,$C$6:C480,C480,$O$6:O480,"&lt;&gt;")&amp;" de "&amp;COUNTIFS($V$6:$V$505,29,$F$6:$F$505,F480,$C$6:$C$505,C480,$O$6:$O$505,"&lt;&gt;")&amp;"). Para resolverlo: seleccione la celda O"&amp;ROW()&amp;" (columna Valor a declarar de ESTA fila) y presione Supr."),""))</f>
        <v/>
      </c>
      <c r="X480" s="463">
        <f>IF(A480="","",F480)</f>
        <v/>
      </c>
      <c r="Y480" s="463">
        <f>IF(A480="","",SUMIF(Entrada_Manual!$I$88:$I$187,A480,Entrada_Manual!$F$88:$F$187))</f>
        <v/>
      </c>
      <c r="Z480" s="463">
        <f>IF(A480="","",X480-Y480)</f>
        <v/>
      </c>
      <c r="AA480">
        <f>IF(A480="","",SUMPRODUCT((Entrada_Manual!$I$88:$I$187=A480)*1))</f>
        <v/>
      </c>
      <c r="AB480">
        <f>IF(A480="","",IF(S480&lt;=1,"",IF(AA480=0,"PENDIENTE — SIN ASIGNAR",IF(Z480=0,"RESUELTO","PARCIAL — DIFERENCIA "&amp;TEXT(Z480,"#,##0")))))</f>
        <v/>
      </c>
    </row>
    <row r="481" ht="14.25" customHeight="1" s="235">
      <c r="A481" s="47">
        <f>IF(Exogena_RAW!E490&lt;&gt;"",ROW()-5,"")</f>
        <v/>
      </c>
      <c r="B481" s="48">
        <f>IF(A481="","",490)</f>
        <v/>
      </c>
      <c r="C481" s="48">
        <f>IF(A481="","",IFERROR(Exogena_RAW!A490,""))</f>
        <v/>
      </c>
      <c r="D481" s="48">
        <f>IF(A481="","",IFERROR(Exogena_RAW!B490,""))</f>
        <v/>
      </c>
      <c r="E481" s="48">
        <f>IF(A481="","",Exogena_RAW!E490)</f>
        <v/>
      </c>
      <c r="F481" s="461">
        <f>IF(A481="","",Exogena_RAW!F490)</f>
        <v/>
      </c>
      <c r="G481" s="48">
        <f>IF(A481="","",IFERROR(Exogena_RAW!G490,""))</f>
        <v/>
      </c>
      <c r="H481" s="48">
        <f>IF(A481="","",IFERROR(Exogena_RAW!H490,""))</f>
        <v/>
      </c>
      <c r="I481" s="48">
        <f>IF(A481="","",IFERROR(IF(S481&gt;1,"VARIAS CASILLAS",IF(S481=1,IF(T481=1,"PROPUESTA DE CASILLA","REVISIÓN: CASILLA NO DIRECTA"),IF(OR(ISNUMBER(SEARCH("TOPE",UPPER(E481))),ISNUMBER(SEARCH("TOPE",UPPER(G481)))),"SOLO CONTROL",IF(ISNUMBER(SEARCH("RETEN",UPPER(E481))),"RETENCIÓN","REVISAR")))),"REVISAR"))</f>
        <v/>
      </c>
      <c r="J481" s="48">
        <f>IF(A481="","",IF(ISNUMBER(SEARCH("ingreso laboral promedio de los últimos seis meses",E481)),"",IFERROR(IF(AND(S481=1,T481=1),U481,""),"")))</f>
        <v/>
      </c>
      <c r="K481" s="216" t="n"/>
      <c r="L481" s="48">
        <f>IF(A481="","",IFERROR(IF(K481&lt;&gt;"","Casilla elegida por usuario",IF(S481&gt;1,"Varias casillas — elegir en K",IF(J481&lt;&gt;"","Sugerencia directa",IF(S481=1,"No trasladar directo — revisar",IF(OR(ISNUMBER(SEARCH("TOPE",UPPER(E481))),ISNUMBER(SEARCH("TOPE",UPPER(G481)))),"Solo control","Revisar manualmente"))))),"Revisar manualmente"))</f>
        <v/>
      </c>
      <c r="M481" s="461">
        <f>IF(A481="","",IF(IF(K481&lt;&gt;"",K481,J481)="",0,IF(COUNTIFS(Reglas!$I$5:$I$118,IF(K481&lt;&gt;"",K481,J481),Reglas!$J$5:$J$118,"Sí")=1,F481,0)))</f>
        <v/>
      </c>
      <c r="N481" s="56" t="n"/>
      <c r="O481" s="462">
        <f>IF(A481="","",IF(M481=0,"",M481))</f>
        <v/>
      </c>
      <c r="P481" s="461">
        <f>IF(A481="","",IF(O481="",0,IF(ISNUMBER(O481),O481,0)))</f>
        <v/>
      </c>
      <c r="Q481" s="48">
        <f>IF(A481="","",IF(Exogena_RAW!$C$4="","BLOQUEADO: FALTA AÑO",IF(Exogena_RAW!$K$10&lt;&gt;Reglas!$B$5,"BLOQUEADO: AÑO",IF(IF(K481&lt;&gt;"",K481,J481)="",IF(S481&gt;1,"REQUIERE ASIGNACIÓN MANUAL (VARIAS CASILLAS)","INFORMATIVO (sin casilla — no se declara)"),IF(COUNTIFS(Reglas!$I$5:$I$118,IF(K481&lt;&gt;"",K481,J481),Reglas!$J$5:$J$118,"Sí")=0,"BLOQUEADO: CASILLA NO DIRECTA",IF(O481="","EXCLUIDO (valor borrado por el usuario)",IF(_xlfn.ISFORMULA(O481),IF(W481&lt;&gt;"","BORRADOR — VALOR SUGERIDO DIAN ⚠ VER ALERTA","BORRADOR — VALOR SUGERIDO DIAN"),IF(W481&lt;&gt;"","ACEPTADO ⚠ VER ALERTA","ACEPTADO"))))))))</f>
        <v/>
      </c>
      <c r="R481" s="218" t="n"/>
      <c r="S481" s="58">
        <f>IF(A481="","",IFERROR(--ISNUMBER(SEARCH("R28",G481)),0)+IFERROR(--ISNUMBER(SEARCH("R29",G481)),0)+IFERROR(--ISNUMBER(SEARCH("R30",G481)),0)+IFERROR(--ISNUMBER(SEARCH("R31",G481)),0)+IFERROR(--ISNUMBER(SEARCH("R32",G481)),0)+IFERROR(--ISNUMBER(SEARCH("R33",G481)),0)+IFERROR(--ISNUMBER(SEARCH("R34",G481)),0)+IFERROR(--ISNUMBER(SEARCH("R35",G481)),0)+IFERROR(--ISNUMBER(SEARCH("R36",G481)),0)+IFERROR(--ISNUMBER(SEARCH("R37",G481)),0)+IFERROR(--ISNUMBER(SEARCH("R38",G481)),0)+IFERROR(--ISNUMBER(SEARCH("R39",G481)),0)+IFERROR(--ISNUMBER(SEARCH("R40",G481)),0)+IFERROR(--ISNUMBER(SEARCH("R41",G481)),0)+IFERROR(--ISNUMBER(SEARCH("R42",G481)),0)+IFERROR(--ISNUMBER(SEARCH("R43",G481)),0)+IFERROR(--ISNUMBER(SEARCH("R44",G481)),0)+IFERROR(--ISNUMBER(SEARCH("R45",G481)),0)+IFERROR(--ISNUMBER(SEARCH("R46",G481)),0)+IFERROR(--ISNUMBER(SEARCH("R47",G481)),0)+IFERROR(--ISNUMBER(SEARCH("R48",G481)),0)+IFERROR(--ISNUMBER(SEARCH("R49",G481)),0)+IFERROR(--ISNUMBER(SEARCH("R50",G481)),0)+IFERROR(--ISNUMBER(SEARCH("R51",G481)),0)+IFERROR(--ISNUMBER(SEARCH("R52",G481)),0)+IFERROR(--ISNUMBER(SEARCH("R53",G481)),0)+IFERROR(--ISNUMBER(SEARCH("R54",G481)),0)+IFERROR(--ISNUMBER(SEARCH("R55",G481)),0)+IFERROR(--ISNUMBER(SEARCH("R56",G481)),0)+IFERROR(--ISNUMBER(SEARCH("R57",G481)),0)+IFERROR(--ISNUMBER(SEARCH("R58",G481)),0)+IFERROR(--ISNUMBER(SEARCH("R59",G481)),0)+IFERROR(--ISNUMBER(SEARCH("R60",G481)),0)+IFERROR(--ISNUMBER(SEARCH("R61",G481)),0)+IFERROR(--ISNUMBER(SEARCH("R62",G481)),0)+IFERROR(--ISNUMBER(SEARCH("R63",G481)),0)+IFERROR(--ISNUMBER(SEARCH("R64",G481)),0)+IFERROR(--ISNUMBER(SEARCH("R65",G481)),0)+IFERROR(--ISNUMBER(SEARCH("R66",G481)),0)+IFERROR(--ISNUMBER(SEARCH("R67",G481)),0)+IFERROR(--ISNUMBER(SEARCH("R68",G481)),0)+IFERROR(--ISNUMBER(SEARCH("R69",G481)),0)+IFERROR(--ISNUMBER(SEARCH("R70",G481)),0)+IFERROR(--ISNUMBER(SEARCH("R71",G481)),0)+IFERROR(--ISNUMBER(SEARCH("R72",G481)),0)+IFERROR(--ISNUMBER(SEARCH("R73",G481)),0)+IFERROR(--ISNUMBER(SEARCH("R74",G481)),0)+IFERROR(--ISNUMBER(SEARCH("R75",G481)),0)+IFERROR(--ISNUMBER(SEARCH("R76",G481)),0)+IFERROR(--ISNUMBER(SEARCH("R77",G481)),0)+IFERROR(--ISNUMBER(SEARCH("R78",G481)),0)+IFERROR(--ISNUMBER(SEARCH("R79",G481)),0)+IFERROR(--ISNUMBER(SEARCH("R80",G481)),0)+IFERROR(--ISNUMBER(SEARCH("R81",G481)),0)+IFERROR(--ISNUMBER(SEARCH("R82",G481)),0)+IFERROR(--ISNUMBER(SEARCH("R83",G481)),0)+IFERROR(--ISNUMBER(SEARCH("R84",G481)),0)+IFERROR(--ISNUMBER(SEARCH("R85",G481)),0)+IFERROR(--ISNUMBER(SEARCH("R86",G481)),0)+IFERROR(--ISNUMBER(SEARCH("R87",G481)),0)+IFERROR(--ISNUMBER(SEARCH("R88",G481)),0)+IFERROR(--ISNUMBER(SEARCH("R89",G481)),0)+IFERROR(--ISNUMBER(SEARCH("R90",G481)),0)+IFERROR(--ISNUMBER(SEARCH("R91",G481)),0)+IFERROR(--ISNUMBER(SEARCH("R92",G481)),0)+IFERROR(--ISNUMBER(SEARCH("R93",G481)),0)+IFERROR(--ISNUMBER(SEARCH("R94",G481)),0)+IFERROR(--ISNUMBER(SEARCH("R95",G481)),0)+IFERROR(--ISNUMBER(SEARCH("R96",G481)),0)+IFERROR(--ISNUMBER(SEARCH("R97",G481)),0)+IFERROR(--ISNUMBER(SEARCH("R98",G481)),0)+IFERROR(--ISNUMBER(SEARCH("R99",G481)),0)+IFERROR(--ISNUMBER(SEARCH("R100",G481)),0)+IFERROR(--ISNUMBER(SEARCH("R101",G481)),0)+IFERROR(--ISNUMBER(SEARCH("R102",G481)),0)+IFERROR(--ISNUMBER(SEARCH("R103",G481)),0)+IFERROR(--ISNUMBER(SEARCH("R104",G481)),0)+IFERROR(--ISNUMBER(SEARCH("R105",G481)),0)+IFERROR(--ISNUMBER(SEARCH("R106",G481)),0)+IFERROR(--ISNUMBER(SEARCH("R107",G481)),0)+IFERROR(--ISNUMBER(SEARCH("R108",G481)),0)+IFERROR(--ISNUMBER(SEARCH("R109",G481)),0)+IFERROR(--ISNUMBER(SEARCH("R110",G481)),0)+IFERROR(--ISNUMBER(SEARCH("R111",G481)),0)+IFERROR(--ISNUMBER(SEARCH("R112",G481)),0)+IFERROR(--ISNUMBER(SEARCH("R113",G481)),0)+IFERROR(--ISNUMBER(SEARCH("R114",G481)),0)+IFERROR(--ISNUMBER(SEARCH("R115",G481)),0)+IFERROR(--ISNUMBER(SEARCH("R116",G481)),0)+IFERROR(--ISNUMBER(SEARCH("R117",G481)),0)+IFERROR(--ISNUMBER(SEARCH("R118",G481)),0)+IFERROR(--ISNUMBER(SEARCH("R119",G481)),0)+IFERROR(--ISNUMBER(SEARCH("R120",G481)),0)+IFERROR(--ISNUMBER(SEARCH("R121",G481)),0)+IFERROR(--ISNUMBER(SEARCH("R122",G481)),0)+IFERROR(--ISNUMBER(SEARCH("R123",G481)),0)+IFERROR(--ISNUMBER(SEARCH("R124",G481)),0)+IFERROR(--ISNUMBER(SEARCH("R125",G481)),0)+IFERROR(--ISNUMBER(SEARCH("R126",G481)),0)+IFERROR(--ISNUMBER(SEARCH("R127",G481)),0)+IFERROR(--ISNUMBER(SEARCH("R128",G481)),0)+IFERROR(--ISNUMBER(SEARCH("R129",G481)),0)+IFERROR(--ISNUMBER(SEARCH("R130",G481)),0)+IFERROR(--ISNUMBER(SEARCH("R131",G481)),0)+IFERROR(--ISNUMBER(SEARCH("R132",G481)),0)+IFERROR(--ISNUMBER(SEARCH("R133",G481)),0)+IFERROR(--ISNUMBER(SEARCH("R134",G481)),0)+IFERROR(--ISNUMBER(SEARCH("R135",G481)),0)+IFERROR(--ISNUMBER(SEARCH("R136",G481)),0)+IFERROR(--ISNUMBER(SEARCH("R137",G481)),0)+IFERROR(--ISNUMBER(SEARCH("R138",G481)),0)+IFERROR(--ISNUMBER(SEARCH("R139",G481)),0)+IFERROR(--ISNUMBER(SEARCH("R140",G481)),0)+IFERROR(--ISNUMBER(SEARCH("R141",G481)),0))</f>
        <v/>
      </c>
      <c r="T481" s="58">
        <f>IF(A481="","",IFERROR(--ISNUMBER(SEARCH("R28",G481)),0)+IFERROR(--ISNUMBER(SEARCH("R29",G481)),0)+IFERROR(--ISNUMBER(SEARCH("R30",G481)),0)+IFERROR(--ISNUMBER(SEARCH("R32",G481)),0)+IFERROR(--ISNUMBER(SEARCH("R33",G481)),0)+IFERROR(--ISNUMBER(SEARCH("R35",G481)),0)+IFERROR(--ISNUMBER(SEARCH("R36",G481)),0)+IFERROR(--ISNUMBER(SEARCH("R38",G481)),0)+IFERROR(--ISNUMBER(SEARCH("R39",G481)),0)+IFERROR(--ISNUMBER(SEARCH("R43",G481)),0)+IFERROR(--ISNUMBER(SEARCH("R44",G481)),0)+IFERROR(--ISNUMBER(SEARCH("R45",G481)),0)+IFERROR(--ISNUMBER(SEARCH("R47",G481)),0)+IFERROR(--ISNUMBER(SEARCH("R48",G481)),0)+IFERROR(--ISNUMBER(SEARCH("R50",G481)),0)+IFERROR(--ISNUMBER(SEARCH("R51",G481)),0)+IFERROR(--ISNUMBER(SEARCH("R56",G481)),0)+IFERROR(--ISNUMBER(SEARCH("R58",G481)),0)+IFERROR(--ISNUMBER(SEARCH("R59",G481)),0)+IFERROR(--ISNUMBER(SEARCH("R60",G481)),0)+IFERROR(--ISNUMBER(SEARCH("R62",G481)),0)+IFERROR(--ISNUMBER(SEARCH("R63",G481)),0)+IFERROR(--ISNUMBER(SEARCH("R64",G481)),0)+IFERROR(--ISNUMBER(SEARCH("R66",G481)),0)+IFERROR(--ISNUMBER(SEARCH("R67",G481)),0)+IFERROR(--ISNUMBER(SEARCH("R72",G481)),0)+IFERROR(--ISNUMBER(SEARCH("R74",G481)),0)+IFERROR(--ISNUMBER(SEARCH("R75",G481)),0)+IFERROR(--ISNUMBER(SEARCH("R76",G481)),0)+IFERROR(--ISNUMBER(SEARCH("R77",G481)),0)+IFERROR(--ISNUMBER(SEARCH("R79",G481)),0)+IFERROR(--ISNUMBER(SEARCH("R80",G481)),0)+IFERROR(--ISNUMBER(SEARCH("R81",G481)),0)+IFERROR(--ISNUMBER(SEARCH("R83",G481)),0)+IFERROR(--ISNUMBER(SEARCH("R84",G481)),0)+IFERROR(--ISNUMBER(SEARCH("R89",G481)),0)+IFERROR(--ISNUMBER(SEARCH("R94",G481)),0)+IFERROR(--ISNUMBER(SEARCH("R95",G481)),0)+IFERROR(--ISNUMBER(SEARCH("R96",G481)),0)+IFERROR(--ISNUMBER(SEARCH("R98",G481)),0)+IFERROR(--ISNUMBER(SEARCH("R99",G481)),0)+IFERROR(--ISNUMBER(SEARCH("R100",G481)),0)+IFERROR(--ISNUMBER(SEARCH("R104",G481)),0)+IFERROR(--ISNUMBER(SEARCH("R105",G481)),0)+IFERROR(--ISNUMBER(SEARCH("R107",G481)),0)+IFERROR(--ISNUMBER(SEARCH("R108",G481)),0)+IFERROR(--ISNUMBER(SEARCH("R109",G481)),0)+IFERROR(--ISNUMBER(SEARCH("R110",G481)),0)+IFERROR(--ISNUMBER(SEARCH("R112",G481)),0)+IFERROR(--ISNUMBER(SEARCH("R113",G481)),0)+IFERROR(--ISNUMBER(SEARCH("R114",G481)),0)+IFERROR(--ISNUMBER(SEARCH("R118",G481)),0)+IFERROR(--ISNUMBER(SEARCH("R119",G481)),0)+IFERROR(--ISNUMBER(SEARCH("R120",G481)),0)+IFERROR(--ISNUMBER(SEARCH("R122",G481)),0)+IFERROR(--ISNUMBER(SEARCH("R123",G481)),0)+IFERROR(--ISNUMBER(SEARCH("R124",G481)),0)+IFERROR(--ISNUMBER(SEARCH("R128",G481)),0)+IFERROR(--ISNUMBER(SEARCH("R130",G481)),0)+IFERROR(--ISNUMBER(SEARCH("R131",G481)),0)+IFERROR(--ISNUMBER(SEARCH("R132",G481)),0)+IFERROR(--ISNUMBER(SEARCH("R135",G481)),0)+IFERROR(--ISNUMBER(SEARCH("R138",G481)),0)+IFERROR(--ISNUMBER(SEARCH("R141",G481)),0))</f>
        <v/>
      </c>
      <c r="U481" s="58">
        <f>IF(A481="","",IFERROR(--ISNUMBER(SEARCH("R28",G481))*28,0)+IFERROR(--ISNUMBER(SEARCH("R29",G481))*29,0)+IFERROR(--ISNUMBER(SEARCH("R30",G481))*30,0)+IFERROR(--ISNUMBER(SEARCH("R31",G481))*31,0)+IFERROR(--ISNUMBER(SEARCH("R32",G481))*32,0)+IFERROR(--ISNUMBER(SEARCH("R33",G481))*33,0)+IFERROR(--ISNUMBER(SEARCH("R34",G481))*34,0)+IFERROR(--ISNUMBER(SEARCH("R35",G481))*35,0)+IFERROR(--ISNUMBER(SEARCH("R36",G481))*36,0)+IFERROR(--ISNUMBER(SEARCH("R37",G481))*37,0)+IFERROR(--ISNUMBER(SEARCH("R38",G481))*38,0)+IFERROR(--ISNUMBER(SEARCH("R39",G481))*39,0)+IFERROR(--ISNUMBER(SEARCH("R40",G481))*40,0)+IFERROR(--ISNUMBER(SEARCH("R41",G481))*41,0)+IFERROR(--ISNUMBER(SEARCH("R42",G481))*42,0)+IFERROR(--ISNUMBER(SEARCH("R43",G481))*43,0)+IFERROR(--ISNUMBER(SEARCH("R44",G481))*44,0)+IFERROR(--ISNUMBER(SEARCH("R45",G481))*45,0)+IFERROR(--ISNUMBER(SEARCH("R46",G481))*46,0)+IFERROR(--ISNUMBER(SEARCH("R47",G481))*47,0)+IFERROR(--ISNUMBER(SEARCH("R48",G481))*48,0)+IFERROR(--ISNUMBER(SEARCH("R49",G481))*49,0)+IFERROR(--ISNUMBER(SEARCH("R50",G481))*50,0)+IFERROR(--ISNUMBER(SEARCH("R51",G481))*51,0)+IFERROR(--ISNUMBER(SEARCH("R52",G481))*52,0)+IFERROR(--ISNUMBER(SEARCH("R53",G481))*53,0)+IFERROR(--ISNUMBER(SEARCH("R54",G481))*54,0)+IFERROR(--ISNUMBER(SEARCH("R55",G481))*55,0)+IFERROR(--ISNUMBER(SEARCH("R56",G481))*56,0)+IFERROR(--ISNUMBER(SEARCH("R57",G481))*57,0)+IFERROR(--ISNUMBER(SEARCH("R58",G481))*58,0)+IFERROR(--ISNUMBER(SEARCH("R59",G481))*59,0)+IFERROR(--ISNUMBER(SEARCH("R60",G481))*60,0)+IFERROR(--ISNUMBER(SEARCH("R61",G481))*61,0)+IFERROR(--ISNUMBER(SEARCH("R62",G481))*62,0)+IFERROR(--ISNUMBER(SEARCH("R63",G481))*63,0)+IFERROR(--ISNUMBER(SEARCH("R64",G481))*64,0)+IFERROR(--ISNUMBER(SEARCH("R65",G481))*65,0)+IFERROR(--ISNUMBER(SEARCH("R66",G481))*66,0)+IFERROR(--ISNUMBER(SEARCH("R67",G481))*67,0)+IFERROR(--ISNUMBER(SEARCH("R68",G481))*68,0)+IFERROR(--ISNUMBER(SEARCH("R69",G481))*69,0)+IFERROR(--ISNUMBER(SEARCH("R70",G481))*70,0)+IFERROR(--ISNUMBER(SEARCH("R71",G481))*71,0)+IFERROR(--ISNUMBER(SEARCH("R72",G481))*72,0)+IFERROR(--ISNUMBER(SEARCH("R73",G481))*73,0)+IFERROR(--ISNUMBER(SEARCH("R74",G481))*74,0)+IFERROR(--ISNUMBER(SEARCH("R75",G481))*75,0)+IFERROR(--ISNUMBER(SEARCH("R76",G481))*76,0)+IFERROR(--ISNUMBER(SEARCH("R77",G481))*77,0)+IFERROR(--ISNUMBER(SEARCH("R78",G481))*78,0)+IFERROR(--ISNUMBER(SEARCH("R79",G481))*79,0)+IFERROR(--ISNUMBER(SEARCH("R80",G481))*80,0)+IFERROR(--ISNUMBER(SEARCH("R81",G481))*81,0)+IFERROR(--ISNUMBER(SEARCH("R82",G481))*82,0)+IFERROR(--ISNUMBER(SEARCH("R83",G481))*83,0)+IFERROR(--ISNUMBER(SEARCH("R84",G481))*84,0)+IFERROR(--ISNUMBER(SEARCH("R85",G481))*85,0)+IFERROR(--ISNUMBER(SEARCH("R86",G481))*86,0)+IFERROR(--ISNUMBER(SEARCH("R87",G481))*87,0)+IFERROR(--ISNUMBER(SEARCH("R88",G481))*88,0)+IFERROR(--ISNUMBER(SEARCH("R89",G481))*89,0)+IFERROR(--ISNUMBER(SEARCH("R90",G481))*90,0)+IFERROR(--ISNUMBER(SEARCH("R91",G481))*91,0)+IFERROR(--ISNUMBER(SEARCH("R92",G481))*92,0)+IFERROR(--ISNUMBER(SEARCH("R93",G481))*93,0)+IFERROR(--ISNUMBER(SEARCH("R94",G481))*94,0)+IFERROR(--ISNUMBER(SEARCH("R95",G481))*95,0)+IFERROR(--ISNUMBER(SEARCH("R96",G481))*96,0)+IFERROR(--ISNUMBER(SEARCH("R97",G481))*97,0)+IFERROR(--ISNUMBER(SEARCH("R98",G481))*98,0)+IFERROR(--ISNUMBER(SEARCH("R99",G481))*99,0)+IFERROR(--ISNUMBER(SEARCH("R100",G481))*100,0)+IFERROR(--ISNUMBER(SEARCH("R101",G481))*101,0)+IFERROR(--ISNUMBER(SEARCH("R102",G481))*102,0)+IFERROR(--ISNUMBER(SEARCH("R103",G481))*103,0)+IFERROR(--ISNUMBER(SEARCH("R104",G481))*104,0)+IFERROR(--ISNUMBER(SEARCH("R105",G481))*105,0)+IFERROR(--ISNUMBER(SEARCH("R106",G481))*106,0)+IFERROR(--ISNUMBER(SEARCH("R107",G481))*107,0)+IFERROR(--ISNUMBER(SEARCH("R108",G481))*108,0)+IFERROR(--ISNUMBER(SEARCH("R109",G481))*109,0)+IFERROR(--ISNUMBER(SEARCH("R110",G481))*110,0)+IFERROR(--ISNUMBER(SEARCH("R111",G481))*111,0)+IFERROR(--ISNUMBER(SEARCH("R112",G481))*112,0)+IFERROR(--ISNUMBER(SEARCH("R113",G481))*113,0)+IFERROR(--ISNUMBER(SEARCH("R114",G481))*114,0)+IFERROR(--ISNUMBER(SEARCH("R115",G481))*115,0)+IFERROR(--ISNUMBER(SEARCH("R116",G481))*116,0)+IFERROR(--ISNUMBER(SEARCH("R117",G481))*117,0)+IFERROR(--ISNUMBER(SEARCH("R118",G481))*118,0)+IFERROR(--ISNUMBER(SEARCH("R119",G481))*119,0)+IFERROR(--ISNUMBER(SEARCH("R120",G481))*120,0)+IFERROR(--ISNUMBER(SEARCH("R121",G481))*121,0)+IFERROR(--ISNUMBER(SEARCH("R122",G481))*122,0)+IFERROR(--ISNUMBER(SEARCH("R123",G481))*123,0)+IFERROR(--ISNUMBER(SEARCH("R124",G481))*124,0)+IFERROR(--ISNUMBER(SEARCH("R125",G481))*125,0)+IFERROR(--ISNUMBER(SEARCH("R126",G481))*126,0)+IFERROR(--ISNUMBER(SEARCH("R127",G481))*127,0)+IFERROR(--ISNUMBER(SEARCH("R128",G481))*128,0)+IFERROR(--ISNUMBER(SEARCH("R129",G481))*129,0)+IFERROR(--ISNUMBER(SEARCH("R130",G481))*130,0)+IFERROR(--ISNUMBER(SEARCH("R131",G481))*131,0)+IFERROR(--ISNUMBER(SEARCH("R132",G481))*132,0)+IFERROR(--ISNUMBER(SEARCH("R133",G481))*133,0)+IFERROR(--ISNUMBER(SEARCH("R134",G481))*134,0)+IFERROR(--ISNUMBER(SEARCH("R135",G481))*135,0)+IFERROR(--ISNUMBER(SEARCH("R136",G481))*136,0)+IFERROR(--ISNUMBER(SEARCH("R137",G481))*137,0)+IFERROR(--ISNUMBER(SEARCH("R138",G481))*138,0)+IFERROR(--ISNUMBER(SEARCH("R139",G481))*139,0)+IFERROR(--ISNUMBER(SEARCH("R140",G481))*140,0)+IFERROR(--ISNUMBER(SEARCH("R141",G481))*141,0))</f>
        <v/>
      </c>
      <c r="V481" s="59">
        <f>IF(A481="","",IF(K481&lt;&gt;"",K481,J481))</f>
        <v/>
      </c>
      <c r="W481" s="59">
        <f>IF(A481="","",IF(AND(V481=29,O481&lt;&gt;"",COUNTIFS($V$6:$V$505,29,$F$6:$F$505,F481,$C$6:$C$505,C481,$O$6:$O$505,"&lt;&gt;")&gt;1),IF(COUNTIFS($V$6:V481,29,$F$6:F481,F481,$C$6:C481,C481,$O$6:O481,"&lt;&gt;")=1,"Esta es la fila que se debe CONSERVAR (aparición 1 de "&amp;COUNTIFS($V$6:$V$505,29,$F$6:$F$505,F481,$C$6:$C$505,C481,$O$6:$O$505,"&lt;&gt;")&amp;" con el mismo tercero y valor, casilla 29). Si hay más filas iguales, bórreles el valor a ELLAS, no a esta.","DUPLICADO — ya existe otra fila con el mismo tercero y valor para casilla 29 (aparición "&amp;COUNTIFS($V$6:V481,29,$F$6:F481,F481,$C$6:C481,C481,$O$6:O481,"&lt;&gt;")&amp;" de "&amp;COUNTIFS($V$6:$V$505,29,$F$6:$F$505,F481,$C$6:$C$505,C481,$O$6:$O$505,"&lt;&gt;")&amp;"). Para resolverlo: seleccione la celda O"&amp;ROW()&amp;" (columna Valor a declarar de ESTA fila) y presione Supr."),""))</f>
        <v/>
      </c>
      <c r="X481" s="463">
        <f>IF(A481="","",F481)</f>
        <v/>
      </c>
      <c r="Y481" s="463">
        <f>IF(A481="","",SUMIF(Entrada_Manual!$I$88:$I$187,A481,Entrada_Manual!$F$88:$F$187))</f>
        <v/>
      </c>
      <c r="Z481" s="463">
        <f>IF(A481="","",X481-Y481)</f>
        <v/>
      </c>
      <c r="AA481">
        <f>IF(A481="","",SUMPRODUCT((Entrada_Manual!$I$88:$I$187=A481)*1))</f>
        <v/>
      </c>
      <c r="AB481">
        <f>IF(A481="","",IF(S481&lt;=1,"",IF(AA481=0,"PENDIENTE — SIN ASIGNAR",IF(Z481=0,"RESUELTO","PARCIAL — DIFERENCIA "&amp;TEXT(Z481,"#,##0")))))</f>
        <v/>
      </c>
    </row>
    <row r="482" ht="14.25" customHeight="1" s="235">
      <c r="A482" s="47">
        <f>IF(Exogena_RAW!E491&lt;&gt;"",ROW()-5,"")</f>
        <v/>
      </c>
      <c r="B482" s="48">
        <f>IF(A482="","",491)</f>
        <v/>
      </c>
      <c r="C482" s="48">
        <f>IF(A482="","",IFERROR(Exogena_RAW!A491,""))</f>
        <v/>
      </c>
      <c r="D482" s="48">
        <f>IF(A482="","",IFERROR(Exogena_RAW!B491,""))</f>
        <v/>
      </c>
      <c r="E482" s="48">
        <f>IF(A482="","",Exogena_RAW!E491)</f>
        <v/>
      </c>
      <c r="F482" s="461">
        <f>IF(A482="","",Exogena_RAW!F491)</f>
        <v/>
      </c>
      <c r="G482" s="48">
        <f>IF(A482="","",IFERROR(Exogena_RAW!G491,""))</f>
        <v/>
      </c>
      <c r="H482" s="48">
        <f>IF(A482="","",IFERROR(Exogena_RAW!H491,""))</f>
        <v/>
      </c>
      <c r="I482" s="48">
        <f>IF(A482="","",IFERROR(IF(S482&gt;1,"VARIAS CASILLAS",IF(S482=1,IF(T482=1,"PROPUESTA DE CASILLA","REVISIÓN: CASILLA NO DIRECTA"),IF(OR(ISNUMBER(SEARCH("TOPE",UPPER(E482))),ISNUMBER(SEARCH("TOPE",UPPER(G482)))),"SOLO CONTROL",IF(ISNUMBER(SEARCH("RETEN",UPPER(E482))),"RETENCIÓN","REVISAR")))),"REVISAR"))</f>
        <v/>
      </c>
      <c r="J482" s="48">
        <f>IF(A482="","",IF(ISNUMBER(SEARCH("ingreso laboral promedio de los últimos seis meses",E482)),"",IFERROR(IF(AND(S482=1,T482=1),U482,""),"")))</f>
        <v/>
      </c>
      <c r="K482" s="216" t="n"/>
      <c r="L482" s="48">
        <f>IF(A482="","",IFERROR(IF(K482&lt;&gt;"","Casilla elegida por usuario",IF(S482&gt;1,"Varias casillas — elegir en K",IF(J482&lt;&gt;"","Sugerencia directa",IF(S482=1,"No trasladar directo — revisar",IF(OR(ISNUMBER(SEARCH("TOPE",UPPER(E482))),ISNUMBER(SEARCH("TOPE",UPPER(G482)))),"Solo control","Revisar manualmente"))))),"Revisar manualmente"))</f>
        <v/>
      </c>
      <c r="M482" s="461">
        <f>IF(A482="","",IF(IF(K482&lt;&gt;"",K482,J482)="",0,IF(COUNTIFS(Reglas!$I$5:$I$118,IF(K482&lt;&gt;"",K482,J482),Reglas!$J$5:$J$118,"Sí")=1,F482,0)))</f>
        <v/>
      </c>
      <c r="N482" s="56" t="n"/>
      <c r="O482" s="462">
        <f>IF(A482="","",IF(M482=0,"",M482))</f>
        <v/>
      </c>
      <c r="P482" s="461">
        <f>IF(A482="","",IF(O482="",0,IF(ISNUMBER(O482),O482,0)))</f>
        <v/>
      </c>
      <c r="Q482" s="48">
        <f>IF(A482="","",IF(Exogena_RAW!$C$4="","BLOQUEADO: FALTA AÑO",IF(Exogena_RAW!$K$10&lt;&gt;Reglas!$B$5,"BLOQUEADO: AÑO",IF(IF(K482&lt;&gt;"",K482,J482)="",IF(S482&gt;1,"REQUIERE ASIGNACIÓN MANUAL (VARIAS CASILLAS)","INFORMATIVO (sin casilla — no se declara)"),IF(COUNTIFS(Reglas!$I$5:$I$118,IF(K482&lt;&gt;"",K482,J482),Reglas!$J$5:$J$118,"Sí")=0,"BLOQUEADO: CASILLA NO DIRECTA",IF(O482="","EXCLUIDO (valor borrado por el usuario)",IF(_xlfn.ISFORMULA(O482),IF(W482&lt;&gt;"","BORRADOR — VALOR SUGERIDO DIAN ⚠ VER ALERTA","BORRADOR — VALOR SUGERIDO DIAN"),IF(W482&lt;&gt;"","ACEPTADO ⚠ VER ALERTA","ACEPTADO"))))))))</f>
        <v/>
      </c>
      <c r="R482" s="218" t="n"/>
      <c r="S482" s="58">
        <f>IF(A482="","",IFERROR(--ISNUMBER(SEARCH("R28",G482)),0)+IFERROR(--ISNUMBER(SEARCH("R29",G482)),0)+IFERROR(--ISNUMBER(SEARCH("R30",G482)),0)+IFERROR(--ISNUMBER(SEARCH("R31",G482)),0)+IFERROR(--ISNUMBER(SEARCH("R32",G482)),0)+IFERROR(--ISNUMBER(SEARCH("R33",G482)),0)+IFERROR(--ISNUMBER(SEARCH("R34",G482)),0)+IFERROR(--ISNUMBER(SEARCH("R35",G482)),0)+IFERROR(--ISNUMBER(SEARCH("R36",G482)),0)+IFERROR(--ISNUMBER(SEARCH("R37",G482)),0)+IFERROR(--ISNUMBER(SEARCH("R38",G482)),0)+IFERROR(--ISNUMBER(SEARCH("R39",G482)),0)+IFERROR(--ISNUMBER(SEARCH("R40",G482)),0)+IFERROR(--ISNUMBER(SEARCH("R41",G482)),0)+IFERROR(--ISNUMBER(SEARCH("R42",G482)),0)+IFERROR(--ISNUMBER(SEARCH("R43",G482)),0)+IFERROR(--ISNUMBER(SEARCH("R44",G482)),0)+IFERROR(--ISNUMBER(SEARCH("R45",G482)),0)+IFERROR(--ISNUMBER(SEARCH("R46",G482)),0)+IFERROR(--ISNUMBER(SEARCH("R47",G482)),0)+IFERROR(--ISNUMBER(SEARCH("R48",G482)),0)+IFERROR(--ISNUMBER(SEARCH("R49",G482)),0)+IFERROR(--ISNUMBER(SEARCH("R50",G482)),0)+IFERROR(--ISNUMBER(SEARCH("R51",G482)),0)+IFERROR(--ISNUMBER(SEARCH("R52",G482)),0)+IFERROR(--ISNUMBER(SEARCH("R53",G482)),0)+IFERROR(--ISNUMBER(SEARCH("R54",G482)),0)+IFERROR(--ISNUMBER(SEARCH("R55",G482)),0)+IFERROR(--ISNUMBER(SEARCH("R56",G482)),0)+IFERROR(--ISNUMBER(SEARCH("R57",G482)),0)+IFERROR(--ISNUMBER(SEARCH("R58",G482)),0)+IFERROR(--ISNUMBER(SEARCH("R59",G482)),0)+IFERROR(--ISNUMBER(SEARCH("R60",G482)),0)+IFERROR(--ISNUMBER(SEARCH("R61",G482)),0)+IFERROR(--ISNUMBER(SEARCH("R62",G482)),0)+IFERROR(--ISNUMBER(SEARCH("R63",G482)),0)+IFERROR(--ISNUMBER(SEARCH("R64",G482)),0)+IFERROR(--ISNUMBER(SEARCH("R65",G482)),0)+IFERROR(--ISNUMBER(SEARCH("R66",G482)),0)+IFERROR(--ISNUMBER(SEARCH("R67",G482)),0)+IFERROR(--ISNUMBER(SEARCH("R68",G482)),0)+IFERROR(--ISNUMBER(SEARCH("R69",G482)),0)+IFERROR(--ISNUMBER(SEARCH("R70",G482)),0)+IFERROR(--ISNUMBER(SEARCH("R71",G482)),0)+IFERROR(--ISNUMBER(SEARCH("R72",G482)),0)+IFERROR(--ISNUMBER(SEARCH("R73",G482)),0)+IFERROR(--ISNUMBER(SEARCH("R74",G482)),0)+IFERROR(--ISNUMBER(SEARCH("R75",G482)),0)+IFERROR(--ISNUMBER(SEARCH("R76",G482)),0)+IFERROR(--ISNUMBER(SEARCH("R77",G482)),0)+IFERROR(--ISNUMBER(SEARCH("R78",G482)),0)+IFERROR(--ISNUMBER(SEARCH("R79",G482)),0)+IFERROR(--ISNUMBER(SEARCH("R80",G482)),0)+IFERROR(--ISNUMBER(SEARCH("R81",G482)),0)+IFERROR(--ISNUMBER(SEARCH("R82",G482)),0)+IFERROR(--ISNUMBER(SEARCH("R83",G482)),0)+IFERROR(--ISNUMBER(SEARCH("R84",G482)),0)+IFERROR(--ISNUMBER(SEARCH("R85",G482)),0)+IFERROR(--ISNUMBER(SEARCH("R86",G482)),0)+IFERROR(--ISNUMBER(SEARCH("R87",G482)),0)+IFERROR(--ISNUMBER(SEARCH("R88",G482)),0)+IFERROR(--ISNUMBER(SEARCH("R89",G482)),0)+IFERROR(--ISNUMBER(SEARCH("R90",G482)),0)+IFERROR(--ISNUMBER(SEARCH("R91",G482)),0)+IFERROR(--ISNUMBER(SEARCH("R92",G482)),0)+IFERROR(--ISNUMBER(SEARCH("R93",G482)),0)+IFERROR(--ISNUMBER(SEARCH("R94",G482)),0)+IFERROR(--ISNUMBER(SEARCH("R95",G482)),0)+IFERROR(--ISNUMBER(SEARCH("R96",G482)),0)+IFERROR(--ISNUMBER(SEARCH("R97",G482)),0)+IFERROR(--ISNUMBER(SEARCH("R98",G482)),0)+IFERROR(--ISNUMBER(SEARCH("R99",G482)),0)+IFERROR(--ISNUMBER(SEARCH("R100",G482)),0)+IFERROR(--ISNUMBER(SEARCH("R101",G482)),0)+IFERROR(--ISNUMBER(SEARCH("R102",G482)),0)+IFERROR(--ISNUMBER(SEARCH("R103",G482)),0)+IFERROR(--ISNUMBER(SEARCH("R104",G482)),0)+IFERROR(--ISNUMBER(SEARCH("R105",G482)),0)+IFERROR(--ISNUMBER(SEARCH("R106",G482)),0)+IFERROR(--ISNUMBER(SEARCH("R107",G482)),0)+IFERROR(--ISNUMBER(SEARCH("R108",G482)),0)+IFERROR(--ISNUMBER(SEARCH("R109",G482)),0)+IFERROR(--ISNUMBER(SEARCH("R110",G482)),0)+IFERROR(--ISNUMBER(SEARCH("R111",G482)),0)+IFERROR(--ISNUMBER(SEARCH("R112",G482)),0)+IFERROR(--ISNUMBER(SEARCH("R113",G482)),0)+IFERROR(--ISNUMBER(SEARCH("R114",G482)),0)+IFERROR(--ISNUMBER(SEARCH("R115",G482)),0)+IFERROR(--ISNUMBER(SEARCH("R116",G482)),0)+IFERROR(--ISNUMBER(SEARCH("R117",G482)),0)+IFERROR(--ISNUMBER(SEARCH("R118",G482)),0)+IFERROR(--ISNUMBER(SEARCH("R119",G482)),0)+IFERROR(--ISNUMBER(SEARCH("R120",G482)),0)+IFERROR(--ISNUMBER(SEARCH("R121",G482)),0)+IFERROR(--ISNUMBER(SEARCH("R122",G482)),0)+IFERROR(--ISNUMBER(SEARCH("R123",G482)),0)+IFERROR(--ISNUMBER(SEARCH("R124",G482)),0)+IFERROR(--ISNUMBER(SEARCH("R125",G482)),0)+IFERROR(--ISNUMBER(SEARCH("R126",G482)),0)+IFERROR(--ISNUMBER(SEARCH("R127",G482)),0)+IFERROR(--ISNUMBER(SEARCH("R128",G482)),0)+IFERROR(--ISNUMBER(SEARCH("R129",G482)),0)+IFERROR(--ISNUMBER(SEARCH("R130",G482)),0)+IFERROR(--ISNUMBER(SEARCH("R131",G482)),0)+IFERROR(--ISNUMBER(SEARCH("R132",G482)),0)+IFERROR(--ISNUMBER(SEARCH("R133",G482)),0)+IFERROR(--ISNUMBER(SEARCH("R134",G482)),0)+IFERROR(--ISNUMBER(SEARCH("R135",G482)),0)+IFERROR(--ISNUMBER(SEARCH("R136",G482)),0)+IFERROR(--ISNUMBER(SEARCH("R137",G482)),0)+IFERROR(--ISNUMBER(SEARCH("R138",G482)),0)+IFERROR(--ISNUMBER(SEARCH("R139",G482)),0)+IFERROR(--ISNUMBER(SEARCH("R140",G482)),0)+IFERROR(--ISNUMBER(SEARCH("R141",G482)),0))</f>
        <v/>
      </c>
      <c r="T482" s="58">
        <f>IF(A482="","",IFERROR(--ISNUMBER(SEARCH("R28",G482)),0)+IFERROR(--ISNUMBER(SEARCH("R29",G482)),0)+IFERROR(--ISNUMBER(SEARCH("R30",G482)),0)+IFERROR(--ISNUMBER(SEARCH("R32",G482)),0)+IFERROR(--ISNUMBER(SEARCH("R33",G482)),0)+IFERROR(--ISNUMBER(SEARCH("R35",G482)),0)+IFERROR(--ISNUMBER(SEARCH("R36",G482)),0)+IFERROR(--ISNUMBER(SEARCH("R38",G482)),0)+IFERROR(--ISNUMBER(SEARCH("R39",G482)),0)+IFERROR(--ISNUMBER(SEARCH("R43",G482)),0)+IFERROR(--ISNUMBER(SEARCH("R44",G482)),0)+IFERROR(--ISNUMBER(SEARCH("R45",G482)),0)+IFERROR(--ISNUMBER(SEARCH("R47",G482)),0)+IFERROR(--ISNUMBER(SEARCH("R48",G482)),0)+IFERROR(--ISNUMBER(SEARCH("R50",G482)),0)+IFERROR(--ISNUMBER(SEARCH("R51",G482)),0)+IFERROR(--ISNUMBER(SEARCH("R56",G482)),0)+IFERROR(--ISNUMBER(SEARCH("R58",G482)),0)+IFERROR(--ISNUMBER(SEARCH("R59",G482)),0)+IFERROR(--ISNUMBER(SEARCH("R60",G482)),0)+IFERROR(--ISNUMBER(SEARCH("R62",G482)),0)+IFERROR(--ISNUMBER(SEARCH("R63",G482)),0)+IFERROR(--ISNUMBER(SEARCH("R64",G482)),0)+IFERROR(--ISNUMBER(SEARCH("R66",G482)),0)+IFERROR(--ISNUMBER(SEARCH("R67",G482)),0)+IFERROR(--ISNUMBER(SEARCH("R72",G482)),0)+IFERROR(--ISNUMBER(SEARCH("R74",G482)),0)+IFERROR(--ISNUMBER(SEARCH("R75",G482)),0)+IFERROR(--ISNUMBER(SEARCH("R76",G482)),0)+IFERROR(--ISNUMBER(SEARCH("R77",G482)),0)+IFERROR(--ISNUMBER(SEARCH("R79",G482)),0)+IFERROR(--ISNUMBER(SEARCH("R80",G482)),0)+IFERROR(--ISNUMBER(SEARCH("R81",G482)),0)+IFERROR(--ISNUMBER(SEARCH("R83",G482)),0)+IFERROR(--ISNUMBER(SEARCH("R84",G482)),0)+IFERROR(--ISNUMBER(SEARCH("R89",G482)),0)+IFERROR(--ISNUMBER(SEARCH("R94",G482)),0)+IFERROR(--ISNUMBER(SEARCH("R95",G482)),0)+IFERROR(--ISNUMBER(SEARCH("R96",G482)),0)+IFERROR(--ISNUMBER(SEARCH("R98",G482)),0)+IFERROR(--ISNUMBER(SEARCH("R99",G482)),0)+IFERROR(--ISNUMBER(SEARCH("R100",G482)),0)+IFERROR(--ISNUMBER(SEARCH("R104",G482)),0)+IFERROR(--ISNUMBER(SEARCH("R105",G482)),0)+IFERROR(--ISNUMBER(SEARCH("R107",G482)),0)+IFERROR(--ISNUMBER(SEARCH("R108",G482)),0)+IFERROR(--ISNUMBER(SEARCH("R109",G482)),0)+IFERROR(--ISNUMBER(SEARCH("R110",G482)),0)+IFERROR(--ISNUMBER(SEARCH("R112",G482)),0)+IFERROR(--ISNUMBER(SEARCH("R113",G482)),0)+IFERROR(--ISNUMBER(SEARCH("R114",G482)),0)+IFERROR(--ISNUMBER(SEARCH("R118",G482)),0)+IFERROR(--ISNUMBER(SEARCH("R119",G482)),0)+IFERROR(--ISNUMBER(SEARCH("R120",G482)),0)+IFERROR(--ISNUMBER(SEARCH("R122",G482)),0)+IFERROR(--ISNUMBER(SEARCH("R123",G482)),0)+IFERROR(--ISNUMBER(SEARCH("R124",G482)),0)+IFERROR(--ISNUMBER(SEARCH("R128",G482)),0)+IFERROR(--ISNUMBER(SEARCH("R130",G482)),0)+IFERROR(--ISNUMBER(SEARCH("R131",G482)),0)+IFERROR(--ISNUMBER(SEARCH("R132",G482)),0)+IFERROR(--ISNUMBER(SEARCH("R135",G482)),0)+IFERROR(--ISNUMBER(SEARCH("R138",G482)),0)+IFERROR(--ISNUMBER(SEARCH("R141",G482)),0))</f>
        <v/>
      </c>
      <c r="U482" s="58">
        <f>IF(A482="","",IFERROR(--ISNUMBER(SEARCH("R28",G482))*28,0)+IFERROR(--ISNUMBER(SEARCH("R29",G482))*29,0)+IFERROR(--ISNUMBER(SEARCH("R30",G482))*30,0)+IFERROR(--ISNUMBER(SEARCH("R31",G482))*31,0)+IFERROR(--ISNUMBER(SEARCH("R32",G482))*32,0)+IFERROR(--ISNUMBER(SEARCH("R33",G482))*33,0)+IFERROR(--ISNUMBER(SEARCH("R34",G482))*34,0)+IFERROR(--ISNUMBER(SEARCH("R35",G482))*35,0)+IFERROR(--ISNUMBER(SEARCH("R36",G482))*36,0)+IFERROR(--ISNUMBER(SEARCH("R37",G482))*37,0)+IFERROR(--ISNUMBER(SEARCH("R38",G482))*38,0)+IFERROR(--ISNUMBER(SEARCH("R39",G482))*39,0)+IFERROR(--ISNUMBER(SEARCH("R40",G482))*40,0)+IFERROR(--ISNUMBER(SEARCH("R41",G482))*41,0)+IFERROR(--ISNUMBER(SEARCH("R42",G482))*42,0)+IFERROR(--ISNUMBER(SEARCH("R43",G482))*43,0)+IFERROR(--ISNUMBER(SEARCH("R44",G482))*44,0)+IFERROR(--ISNUMBER(SEARCH("R45",G482))*45,0)+IFERROR(--ISNUMBER(SEARCH("R46",G482))*46,0)+IFERROR(--ISNUMBER(SEARCH("R47",G482))*47,0)+IFERROR(--ISNUMBER(SEARCH("R48",G482))*48,0)+IFERROR(--ISNUMBER(SEARCH("R49",G482))*49,0)+IFERROR(--ISNUMBER(SEARCH("R50",G482))*50,0)+IFERROR(--ISNUMBER(SEARCH("R51",G482))*51,0)+IFERROR(--ISNUMBER(SEARCH("R52",G482))*52,0)+IFERROR(--ISNUMBER(SEARCH("R53",G482))*53,0)+IFERROR(--ISNUMBER(SEARCH("R54",G482))*54,0)+IFERROR(--ISNUMBER(SEARCH("R55",G482))*55,0)+IFERROR(--ISNUMBER(SEARCH("R56",G482))*56,0)+IFERROR(--ISNUMBER(SEARCH("R57",G482))*57,0)+IFERROR(--ISNUMBER(SEARCH("R58",G482))*58,0)+IFERROR(--ISNUMBER(SEARCH("R59",G482))*59,0)+IFERROR(--ISNUMBER(SEARCH("R60",G482))*60,0)+IFERROR(--ISNUMBER(SEARCH("R61",G482))*61,0)+IFERROR(--ISNUMBER(SEARCH("R62",G482))*62,0)+IFERROR(--ISNUMBER(SEARCH("R63",G482))*63,0)+IFERROR(--ISNUMBER(SEARCH("R64",G482))*64,0)+IFERROR(--ISNUMBER(SEARCH("R65",G482))*65,0)+IFERROR(--ISNUMBER(SEARCH("R66",G482))*66,0)+IFERROR(--ISNUMBER(SEARCH("R67",G482))*67,0)+IFERROR(--ISNUMBER(SEARCH("R68",G482))*68,0)+IFERROR(--ISNUMBER(SEARCH("R69",G482))*69,0)+IFERROR(--ISNUMBER(SEARCH("R70",G482))*70,0)+IFERROR(--ISNUMBER(SEARCH("R71",G482))*71,0)+IFERROR(--ISNUMBER(SEARCH("R72",G482))*72,0)+IFERROR(--ISNUMBER(SEARCH("R73",G482))*73,0)+IFERROR(--ISNUMBER(SEARCH("R74",G482))*74,0)+IFERROR(--ISNUMBER(SEARCH("R75",G482))*75,0)+IFERROR(--ISNUMBER(SEARCH("R76",G482))*76,0)+IFERROR(--ISNUMBER(SEARCH("R77",G482))*77,0)+IFERROR(--ISNUMBER(SEARCH("R78",G482))*78,0)+IFERROR(--ISNUMBER(SEARCH("R79",G482))*79,0)+IFERROR(--ISNUMBER(SEARCH("R80",G482))*80,0)+IFERROR(--ISNUMBER(SEARCH("R81",G482))*81,0)+IFERROR(--ISNUMBER(SEARCH("R82",G482))*82,0)+IFERROR(--ISNUMBER(SEARCH("R83",G482))*83,0)+IFERROR(--ISNUMBER(SEARCH("R84",G482))*84,0)+IFERROR(--ISNUMBER(SEARCH("R85",G482))*85,0)+IFERROR(--ISNUMBER(SEARCH("R86",G482))*86,0)+IFERROR(--ISNUMBER(SEARCH("R87",G482))*87,0)+IFERROR(--ISNUMBER(SEARCH("R88",G482))*88,0)+IFERROR(--ISNUMBER(SEARCH("R89",G482))*89,0)+IFERROR(--ISNUMBER(SEARCH("R90",G482))*90,0)+IFERROR(--ISNUMBER(SEARCH("R91",G482))*91,0)+IFERROR(--ISNUMBER(SEARCH("R92",G482))*92,0)+IFERROR(--ISNUMBER(SEARCH("R93",G482))*93,0)+IFERROR(--ISNUMBER(SEARCH("R94",G482))*94,0)+IFERROR(--ISNUMBER(SEARCH("R95",G482))*95,0)+IFERROR(--ISNUMBER(SEARCH("R96",G482))*96,0)+IFERROR(--ISNUMBER(SEARCH("R97",G482))*97,0)+IFERROR(--ISNUMBER(SEARCH("R98",G482))*98,0)+IFERROR(--ISNUMBER(SEARCH("R99",G482))*99,0)+IFERROR(--ISNUMBER(SEARCH("R100",G482))*100,0)+IFERROR(--ISNUMBER(SEARCH("R101",G482))*101,0)+IFERROR(--ISNUMBER(SEARCH("R102",G482))*102,0)+IFERROR(--ISNUMBER(SEARCH("R103",G482))*103,0)+IFERROR(--ISNUMBER(SEARCH("R104",G482))*104,0)+IFERROR(--ISNUMBER(SEARCH("R105",G482))*105,0)+IFERROR(--ISNUMBER(SEARCH("R106",G482))*106,0)+IFERROR(--ISNUMBER(SEARCH("R107",G482))*107,0)+IFERROR(--ISNUMBER(SEARCH("R108",G482))*108,0)+IFERROR(--ISNUMBER(SEARCH("R109",G482))*109,0)+IFERROR(--ISNUMBER(SEARCH("R110",G482))*110,0)+IFERROR(--ISNUMBER(SEARCH("R111",G482))*111,0)+IFERROR(--ISNUMBER(SEARCH("R112",G482))*112,0)+IFERROR(--ISNUMBER(SEARCH("R113",G482))*113,0)+IFERROR(--ISNUMBER(SEARCH("R114",G482))*114,0)+IFERROR(--ISNUMBER(SEARCH("R115",G482))*115,0)+IFERROR(--ISNUMBER(SEARCH("R116",G482))*116,0)+IFERROR(--ISNUMBER(SEARCH("R117",G482))*117,0)+IFERROR(--ISNUMBER(SEARCH("R118",G482))*118,0)+IFERROR(--ISNUMBER(SEARCH("R119",G482))*119,0)+IFERROR(--ISNUMBER(SEARCH("R120",G482))*120,0)+IFERROR(--ISNUMBER(SEARCH("R121",G482))*121,0)+IFERROR(--ISNUMBER(SEARCH("R122",G482))*122,0)+IFERROR(--ISNUMBER(SEARCH("R123",G482))*123,0)+IFERROR(--ISNUMBER(SEARCH("R124",G482))*124,0)+IFERROR(--ISNUMBER(SEARCH("R125",G482))*125,0)+IFERROR(--ISNUMBER(SEARCH("R126",G482))*126,0)+IFERROR(--ISNUMBER(SEARCH("R127",G482))*127,0)+IFERROR(--ISNUMBER(SEARCH("R128",G482))*128,0)+IFERROR(--ISNUMBER(SEARCH("R129",G482))*129,0)+IFERROR(--ISNUMBER(SEARCH("R130",G482))*130,0)+IFERROR(--ISNUMBER(SEARCH("R131",G482))*131,0)+IFERROR(--ISNUMBER(SEARCH("R132",G482))*132,0)+IFERROR(--ISNUMBER(SEARCH("R133",G482))*133,0)+IFERROR(--ISNUMBER(SEARCH("R134",G482))*134,0)+IFERROR(--ISNUMBER(SEARCH("R135",G482))*135,0)+IFERROR(--ISNUMBER(SEARCH("R136",G482))*136,0)+IFERROR(--ISNUMBER(SEARCH("R137",G482))*137,0)+IFERROR(--ISNUMBER(SEARCH("R138",G482))*138,0)+IFERROR(--ISNUMBER(SEARCH("R139",G482))*139,0)+IFERROR(--ISNUMBER(SEARCH("R140",G482))*140,0)+IFERROR(--ISNUMBER(SEARCH("R141",G482))*141,0))</f>
        <v/>
      </c>
      <c r="V482" s="59">
        <f>IF(A482="","",IF(K482&lt;&gt;"",K482,J482))</f>
        <v/>
      </c>
      <c r="W482" s="59">
        <f>IF(A482="","",IF(AND(V482=29,O482&lt;&gt;"",COUNTIFS($V$6:$V$505,29,$F$6:$F$505,F482,$C$6:$C$505,C482,$O$6:$O$505,"&lt;&gt;")&gt;1),IF(COUNTIFS($V$6:V482,29,$F$6:F482,F482,$C$6:C482,C482,$O$6:O482,"&lt;&gt;")=1,"Esta es la fila que se debe CONSERVAR (aparición 1 de "&amp;COUNTIFS($V$6:$V$505,29,$F$6:$F$505,F482,$C$6:$C$505,C482,$O$6:$O$505,"&lt;&gt;")&amp;" con el mismo tercero y valor, casilla 29). Si hay más filas iguales, bórreles el valor a ELLAS, no a esta.","DUPLICADO — ya existe otra fila con el mismo tercero y valor para casilla 29 (aparición "&amp;COUNTIFS($V$6:V482,29,$F$6:F482,F482,$C$6:C482,C482,$O$6:O482,"&lt;&gt;")&amp;" de "&amp;COUNTIFS($V$6:$V$505,29,$F$6:$F$505,F482,$C$6:$C$505,C482,$O$6:$O$505,"&lt;&gt;")&amp;"). Para resolverlo: seleccione la celda O"&amp;ROW()&amp;" (columna Valor a declarar de ESTA fila) y presione Supr."),""))</f>
        <v/>
      </c>
      <c r="X482" s="463">
        <f>IF(A482="","",F482)</f>
        <v/>
      </c>
      <c r="Y482" s="463">
        <f>IF(A482="","",SUMIF(Entrada_Manual!$I$88:$I$187,A482,Entrada_Manual!$F$88:$F$187))</f>
        <v/>
      </c>
      <c r="Z482" s="463">
        <f>IF(A482="","",X482-Y482)</f>
        <v/>
      </c>
      <c r="AA482">
        <f>IF(A482="","",SUMPRODUCT((Entrada_Manual!$I$88:$I$187=A482)*1))</f>
        <v/>
      </c>
      <c r="AB482">
        <f>IF(A482="","",IF(S482&lt;=1,"",IF(AA482=0,"PENDIENTE — SIN ASIGNAR",IF(Z482=0,"RESUELTO","PARCIAL — DIFERENCIA "&amp;TEXT(Z482,"#,##0")))))</f>
        <v/>
      </c>
    </row>
    <row r="483" ht="14.25" customHeight="1" s="235">
      <c r="A483" s="47">
        <f>IF(Exogena_RAW!E492&lt;&gt;"",ROW()-5,"")</f>
        <v/>
      </c>
      <c r="B483" s="48">
        <f>IF(A483="","",492)</f>
        <v/>
      </c>
      <c r="C483" s="48">
        <f>IF(A483="","",IFERROR(Exogena_RAW!A492,""))</f>
        <v/>
      </c>
      <c r="D483" s="48">
        <f>IF(A483="","",IFERROR(Exogena_RAW!B492,""))</f>
        <v/>
      </c>
      <c r="E483" s="48">
        <f>IF(A483="","",Exogena_RAW!E492)</f>
        <v/>
      </c>
      <c r="F483" s="461">
        <f>IF(A483="","",Exogena_RAW!F492)</f>
        <v/>
      </c>
      <c r="G483" s="48">
        <f>IF(A483="","",IFERROR(Exogena_RAW!G492,""))</f>
        <v/>
      </c>
      <c r="H483" s="48">
        <f>IF(A483="","",IFERROR(Exogena_RAW!H492,""))</f>
        <v/>
      </c>
      <c r="I483" s="48">
        <f>IF(A483="","",IFERROR(IF(S483&gt;1,"VARIAS CASILLAS",IF(S483=1,IF(T483=1,"PROPUESTA DE CASILLA","REVISIÓN: CASILLA NO DIRECTA"),IF(OR(ISNUMBER(SEARCH("TOPE",UPPER(E483))),ISNUMBER(SEARCH("TOPE",UPPER(G483)))),"SOLO CONTROL",IF(ISNUMBER(SEARCH("RETEN",UPPER(E483))),"RETENCIÓN","REVISAR")))),"REVISAR"))</f>
        <v/>
      </c>
      <c r="J483" s="48">
        <f>IF(A483="","",IF(ISNUMBER(SEARCH("ingreso laboral promedio de los últimos seis meses",E483)),"",IFERROR(IF(AND(S483=1,T483=1),U483,""),"")))</f>
        <v/>
      </c>
      <c r="K483" s="216" t="n"/>
      <c r="L483" s="48">
        <f>IF(A483="","",IFERROR(IF(K483&lt;&gt;"","Casilla elegida por usuario",IF(S483&gt;1,"Varias casillas — elegir en K",IF(J483&lt;&gt;"","Sugerencia directa",IF(S483=1,"No trasladar directo — revisar",IF(OR(ISNUMBER(SEARCH("TOPE",UPPER(E483))),ISNUMBER(SEARCH("TOPE",UPPER(G483)))),"Solo control","Revisar manualmente"))))),"Revisar manualmente"))</f>
        <v/>
      </c>
      <c r="M483" s="461">
        <f>IF(A483="","",IF(IF(K483&lt;&gt;"",K483,J483)="",0,IF(COUNTIFS(Reglas!$I$5:$I$118,IF(K483&lt;&gt;"",K483,J483),Reglas!$J$5:$J$118,"Sí")=1,F483,0)))</f>
        <v/>
      </c>
      <c r="N483" s="56" t="n"/>
      <c r="O483" s="462">
        <f>IF(A483="","",IF(M483=0,"",M483))</f>
        <v/>
      </c>
      <c r="P483" s="461">
        <f>IF(A483="","",IF(O483="",0,IF(ISNUMBER(O483),O483,0)))</f>
        <v/>
      </c>
      <c r="Q483" s="48">
        <f>IF(A483="","",IF(Exogena_RAW!$C$4="","BLOQUEADO: FALTA AÑO",IF(Exogena_RAW!$K$10&lt;&gt;Reglas!$B$5,"BLOQUEADO: AÑO",IF(IF(K483&lt;&gt;"",K483,J483)="",IF(S483&gt;1,"REQUIERE ASIGNACIÓN MANUAL (VARIAS CASILLAS)","INFORMATIVO (sin casilla — no se declara)"),IF(COUNTIFS(Reglas!$I$5:$I$118,IF(K483&lt;&gt;"",K483,J483),Reglas!$J$5:$J$118,"Sí")=0,"BLOQUEADO: CASILLA NO DIRECTA",IF(O483="","EXCLUIDO (valor borrado por el usuario)",IF(_xlfn.ISFORMULA(O483),IF(W483&lt;&gt;"","BORRADOR — VALOR SUGERIDO DIAN ⚠ VER ALERTA","BORRADOR — VALOR SUGERIDO DIAN"),IF(W483&lt;&gt;"","ACEPTADO ⚠ VER ALERTA","ACEPTADO"))))))))</f>
        <v/>
      </c>
      <c r="R483" s="218" t="n"/>
      <c r="S483" s="58">
        <f>IF(A483="","",IFERROR(--ISNUMBER(SEARCH("R28",G483)),0)+IFERROR(--ISNUMBER(SEARCH("R29",G483)),0)+IFERROR(--ISNUMBER(SEARCH("R30",G483)),0)+IFERROR(--ISNUMBER(SEARCH("R31",G483)),0)+IFERROR(--ISNUMBER(SEARCH("R32",G483)),0)+IFERROR(--ISNUMBER(SEARCH("R33",G483)),0)+IFERROR(--ISNUMBER(SEARCH("R34",G483)),0)+IFERROR(--ISNUMBER(SEARCH("R35",G483)),0)+IFERROR(--ISNUMBER(SEARCH("R36",G483)),0)+IFERROR(--ISNUMBER(SEARCH("R37",G483)),0)+IFERROR(--ISNUMBER(SEARCH("R38",G483)),0)+IFERROR(--ISNUMBER(SEARCH("R39",G483)),0)+IFERROR(--ISNUMBER(SEARCH("R40",G483)),0)+IFERROR(--ISNUMBER(SEARCH("R41",G483)),0)+IFERROR(--ISNUMBER(SEARCH("R42",G483)),0)+IFERROR(--ISNUMBER(SEARCH("R43",G483)),0)+IFERROR(--ISNUMBER(SEARCH("R44",G483)),0)+IFERROR(--ISNUMBER(SEARCH("R45",G483)),0)+IFERROR(--ISNUMBER(SEARCH("R46",G483)),0)+IFERROR(--ISNUMBER(SEARCH("R47",G483)),0)+IFERROR(--ISNUMBER(SEARCH("R48",G483)),0)+IFERROR(--ISNUMBER(SEARCH("R49",G483)),0)+IFERROR(--ISNUMBER(SEARCH("R50",G483)),0)+IFERROR(--ISNUMBER(SEARCH("R51",G483)),0)+IFERROR(--ISNUMBER(SEARCH("R52",G483)),0)+IFERROR(--ISNUMBER(SEARCH("R53",G483)),0)+IFERROR(--ISNUMBER(SEARCH("R54",G483)),0)+IFERROR(--ISNUMBER(SEARCH("R55",G483)),0)+IFERROR(--ISNUMBER(SEARCH("R56",G483)),0)+IFERROR(--ISNUMBER(SEARCH("R57",G483)),0)+IFERROR(--ISNUMBER(SEARCH("R58",G483)),0)+IFERROR(--ISNUMBER(SEARCH("R59",G483)),0)+IFERROR(--ISNUMBER(SEARCH("R60",G483)),0)+IFERROR(--ISNUMBER(SEARCH("R61",G483)),0)+IFERROR(--ISNUMBER(SEARCH("R62",G483)),0)+IFERROR(--ISNUMBER(SEARCH("R63",G483)),0)+IFERROR(--ISNUMBER(SEARCH("R64",G483)),0)+IFERROR(--ISNUMBER(SEARCH("R65",G483)),0)+IFERROR(--ISNUMBER(SEARCH("R66",G483)),0)+IFERROR(--ISNUMBER(SEARCH("R67",G483)),0)+IFERROR(--ISNUMBER(SEARCH("R68",G483)),0)+IFERROR(--ISNUMBER(SEARCH("R69",G483)),0)+IFERROR(--ISNUMBER(SEARCH("R70",G483)),0)+IFERROR(--ISNUMBER(SEARCH("R71",G483)),0)+IFERROR(--ISNUMBER(SEARCH("R72",G483)),0)+IFERROR(--ISNUMBER(SEARCH("R73",G483)),0)+IFERROR(--ISNUMBER(SEARCH("R74",G483)),0)+IFERROR(--ISNUMBER(SEARCH("R75",G483)),0)+IFERROR(--ISNUMBER(SEARCH("R76",G483)),0)+IFERROR(--ISNUMBER(SEARCH("R77",G483)),0)+IFERROR(--ISNUMBER(SEARCH("R78",G483)),0)+IFERROR(--ISNUMBER(SEARCH("R79",G483)),0)+IFERROR(--ISNUMBER(SEARCH("R80",G483)),0)+IFERROR(--ISNUMBER(SEARCH("R81",G483)),0)+IFERROR(--ISNUMBER(SEARCH("R82",G483)),0)+IFERROR(--ISNUMBER(SEARCH("R83",G483)),0)+IFERROR(--ISNUMBER(SEARCH("R84",G483)),0)+IFERROR(--ISNUMBER(SEARCH("R85",G483)),0)+IFERROR(--ISNUMBER(SEARCH("R86",G483)),0)+IFERROR(--ISNUMBER(SEARCH("R87",G483)),0)+IFERROR(--ISNUMBER(SEARCH("R88",G483)),0)+IFERROR(--ISNUMBER(SEARCH("R89",G483)),0)+IFERROR(--ISNUMBER(SEARCH("R90",G483)),0)+IFERROR(--ISNUMBER(SEARCH("R91",G483)),0)+IFERROR(--ISNUMBER(SEARCH("R92",G483)),0)+IFERROR(--ISNUMBER(SEARCH("R93",G483)),0)+IFERROR(--ISNUMBER(SEARCH("R94",G483)),0)+IFERROR(--ISNUMBER(SEARCH("R95",G483)),0)+IFERROR(--ISNUMBER(SEARCH("R96",G483)),0)+IFERROR(--ISNUMBER(SEARCH("R97",G483)),0)+IFERROR(--ISNUMBER(SEARCH("R98",G483)),0)+IFERROR(--ISNUMBER(SEARCH("R99",G483)),0)+IFERROR(--ISNUMBER(SEARCH("R100",G483)),0)+IFERROR(--ISNUMBER(SEARCH("R101",G483)),0)+IFERROR(--ISNUMBER(SEARCH("R102",G483)),0)+IFERROR(--ISNUMBER(SEARCH("R103",G483)),0)+IFERROR(--ISNUMBER(SEARCH("R104",G483)),0)+IFERROR(--ISNUMBER(SEARCH("R105",G483)),0)+IFERROR(--ISNUMBER(SEARCH("R106",G483)),0)+IFERROR(--ISNUMBER(SEARCH("R107",G483)),0)+IFERROR(--ISNUMBER(SEARCH("R108",G483)),0)+IFERROR(--ISNUMBER(SEARCH("R109",G483)),0)+IFERROR(--ISNUMBER(SEARCH("R110",G483)),0)+IFERROR(--ISNUMBER(SEARCH("R111",G483)),0)+IFERROR(--ISNUMBER(SEARCH("R112",G483)),0)+IFERROR(--ISNUMBER(SEARCH("R113",G483)),0)+IFERROR(--ISNUMBER(SEARCH("R114",G483)),0)+IFERROR(--ISNUMBER(SEARCH("R115",G483)),0)+IFERROR(--ISNUMBER(SEARCH("R116",G483)),0)+IFERROR(--ISNUMBER(SEARCH("R117",G483)),0)+IFERROR(--ISNUMBER(SEARCH("R118",G483)),0)+IFERROR(--ISNUMBER(SEARCH("R119",G483)),0)+IFERROR(--ISNUMBER(SEARCH("R120",G483)),0)+IFERROR(--ISNUMBER(SEARCH("R121",G483)),0)+IFERROR(--ISNUMBER(SEARCH("R122",G483)),0)+IFERROR(--ISNUMBER(SEARCH("R123",G483)),0)+IFERROR(--ISNUMBER(SEARCH("R124",G483)),0)+IFERROR(--ISNUMBER(SEARCH("R125",G483)),0)+IFERROR(--ISNUMBER(SEARCH("R126",G483)),0)+IFERROR(--ISNUMBER(SEARCH("R127",G483)),0)+IFERROR(--ISNUMBER(SEARCH("R128",G483)),0)+IFERROR(--ISNUMBER(SEARCH("R129",G483)),0)+IFERROR(--ISNUMBER(SEARCH("R130",G483)),0)+IFERROR(--ISNUMBER(SEARCH("R131",G483)),0)+IFERROR(--ISNUMBER(SEARCH("R132",G483)),0)+IFERROR(--ISNUMBER(SEARCH("R133",G483)),0)+IFERROR(--ISNUMBER(SEARCH("R134",G483)),0)+IFERROR(--ISNUMBER(SEARCH("R135",G483)),0)+IFERROR(--ISNUMBER(SEARCH("R136",G483)),0)+IFERROR(--ISNUMBER(SEARCH("R137",G483)),0)+IFERROR(--ISNUMBER(SEARCH("R138",G483)),0)+IFERROR(--ISNUMBER(SEARCH("R139",G483)),0)+IFERROR(--ISNUMBER(SEARCH("R140",G483)),0)+IFERROR(--ISNUMBER(SEARCH("R141",G483)),0))</f>
        <v/>
      </c>
      <c r="T483" s="58">
        <f>IF(A483="","",IFERROR(--ISNUMBER(SEARCH("R28",G483)),0)+IFERROR(--ISNUMBER(SEARCH("R29",G483)),0)+IFERROR(--ISNUMBER(SEARCH("R30",G483)),0)+IFERROR(--ISNUMBER(SEARCH("R32",G483)),0)+IFERROR(--ISNUMBER(SEARCH("R33",G483)),0)+IFERROR(--ISNUMBER(SEARCH("R35",G483)),0)+IFERROR(--ISNUMBER(SEARCH("R36",G483)),0)+IFERROR(--ISNUMBER(SEARCH("R38",G483)),0)+IFERROR(--ISNUMBER(SEARCH("R39",G483)),0)+IFERROR(--ISNUMBER(SEARCH("R43",G483)),0)+IFERROR(--ISNUMBER(SEARCH("R44",G483)),0)+IFERROR(--ISNUMBER(SEARCH("R45",G483)),0)+IFERROR(--ISNUMBER(SEARCH("R47",G483)),0)+IFERROR(--ISNUMBER(SEARCH("R48",G483)),0)+IFERROR(--ISNUMBER(SEARCH("R50",G483)),0)+IFERROR(--ISNUMBER(SEARCH("R51",G483)),0)+IFERROR(--ISNUMBER(SEARCH("R56",G483)),0)+IFERROR(--ISNUMBER(SEARCH("R58",G483)),0)+IFERROR(--ISNUMBER(SEARCH("R59",G483)),0)+IFERROR(--ISNUMBER(SEARCH("R60",G483)),0)+IFERROR(--ISNUMBER(SEARCH("R62",G483)),0)+IFERROR(--ISNUMBER(SEARCH("R63",G483)),0)+IFERROR(--ISNUMBER(SEARCH("R64",G483)),0)+IFERROR(--ISNUMBER(SEARCH("R66",G483)),0)+IFERROR(--ISNUMBER(SEARCH("R67",G483)),0)+IFERROR(--ISNUMBER(SEARCH("R72",G483)),0)+IFERROR(--ISNUMBER(SEARCH("R74",G483)),0)+IFERROR(--ISNUMBER(SEARCH("R75",G483)),0)+IFERROR(--ISNUMBER(SEARCH("R76",G483)),0)+IFERROR(--ISNUMBER(SEARCH("R77",G483)),0)+IFERROR(--ISNUMBER(SEARCH("R79",G483)),0)+IFERROR(--ISNUMBER(SEARCH("R80",G483)),0)+IFERROR(--ISNUMBER(SEARCH("R81",G483)),0)+IFERROR(--ISNUMBER(SEARCH("R83",G483)),0)+IFERROR(--ISNUMBER(SEARCH("R84",G483)),0)+IFERROR(--ISNUMBER(SEARCH("R89",G483)),0)+IFERROR(--ISNUMBER(SEARCH("R94",G483)),0)+IFERROR(--ISNUMBER(SEARCH("R95",G483)),0)+IFERROR(--ISNUMBER(SEARCH("R96",G483)),0)+IFERROR(--ISNUMBER(SEARCH("R98",G483)),0)+IFERROR(--ISNUMBER(SEARCH("R99",G483)),0)+IFERROR(--ISNUMBER(SEARCH("R100",G483)),0)+IFERROR(--ISNUMBER(SEARCH("R104",G483)),0)+IFERROR(--ISNUMBER(SEARCH("R105",G483)),0)+IFERROR(--ISNUMBER(SEARCH("R107",G483)),0)+IFERROR(--ISNUMBER(SEARCH("R108",G483)),0)+IFERROR(--ISNUMBER(SEARCH("R109",G483)),0)+IFERROR(--ISNUMBER(SEARCH("R110",G483)),0)+IFERROR(--ISNUMBER(SEARCH("R112",G483)),0)+IFERROR(--ISNUMBER(SEARCH("R113",G483)),0)+IFERROR(--ISNUMBER(SEARCH("R114",G483)),0)+IFERROR(--ISNUMBER(SEARCH("R118",G483)),0)+IFERROR(--ISNUMBER(SEARCH("R119",G483)),0)+IFERROR(--ISNUMBER(SEARCH("R120",G483)),0)+IFERROR(--ISNUMBER(SEARCH("R122",G483)),0)+IFERROR(--ISNUMBER(SEARCH("R123",G483)),0)+IFERROR(--ISNUMBER(SEARCH("R124",G483)),0)+IFERROR(--ISNUMBER(SEARCH("R128",G483)),0)+IFERROR(--ISNUMBER(SEARCH("R130",G483)),0)+IFERROR(--ISNUMBER(SEARCH("R131",G483)),0)+IFERROR(--ISNUMBER(SEARCH("R132",G483)),0)+IFERROR(--ISNUMBER(SEARCH("R135",G483)),0)+IFERROR(--ISNUMBER(SEARCH("R138",G483)),0)+IFERROR(--ISNUMBER(SEARCH("R141",G483)),0))</f>
        <v/>
      </c>
      <c r="U483" s="58">
        <f>IF(A483="","",IFERROR(--ISNUMBER(SEARCH("R28",G483))*28,0)+IFERROR(--ISNUMBER(SEARCH("R29",G483))*29,0)+IFERROR(--ISNUMBER(SEARCH("R30",G483))*30,0)+IFERROR(--ISNUMBER(SEARCH("R31",G483))*31,0)+IFERROR(--ISNUMBER(SEARCH("R32",G483))*32,0)+IFERROR(--ISNUMBER(SEARCH("R33",G483))*33,0)+IFERROR(--ISNUMBER(SEARCH("R34",G483))*34,0)+IFERROR(--ISNUMBER(SEARCH("R35",G483))*35,0)+IFERROR(--ISNUMBER(SEARCH("R36",G483))*36,0)+IFERROR(--ISNUMBER(SEARCH("R37",G483))*37,0)+IFERROR(--ISNUMBER(SEARCH("R38",G483))*38,0)+IFERROR(--ISNUMBER(SEARCH("R39",G483))*39,0)+IFERROR(--ISNUMBER(SEARCH("R40",G483))*40,0)+IFERROR(--ISNUMBER(SEARCH("R41",G483))*41,0)+IFERROR(--ISNUMBER(SEARCH("R42",G483))*42,0)+IFERROR(--ISNUMBER(SEARCH("R43",G483))*43,0)+IFERROR(--ISNUMBER(SEARCH("R44",G483))*44,0)+IFERROR(--ISNUMBER(SEARCH("R45",G483))*45,0)+IFERROR(--ISNUMBER(SEARCH("R46",G483))*46,0)+IFERROR(--ISNUMBER(SEARCH("R47",G483))*47,0)+IFERROR(--ISNUMBER(SEARCH("R48",G483))*48,0)+IFERROR(--ISNUMBER(SEARCH("R49",G483))*49,0)+IFERROR(--ISNUMBER(SEARCH("R50",G483))*50,0)+IFERROR(--ISNUMBER(SEARCH("R51",G483))*51,0)+IFERROR(--ISNUMBER(SEARCH("R52",G483))*52,0)+IFERROR(--ISNUMBER(SEARCH("R53",G483))*53,0)+IFERROR(--ISNUMBER(SEARCH("R54",G483))*54,0)+IFERROR(--ISNUMBER(SEARCH("R55",G483))*55,0)+IFERROR(--ISNUMBER(SEARCH("R56",G483))*56,0)+IFERROR(--ISNUMBER(SEARCH("R57",G483))*57,0)+IFERROR(--ISNUMBER(SEARCH("R58",G483))*58,0)+IFERROR(--ISNUMBER(SEARCH("R59",G483))*59,0)+IFERROR(--ISNUMBER(SEARCH("R60",G483))*60,0)+IFERROR(--ISNUMBER(SEARCH("R61",G483))*61,0)+IFERROR(--ISNUMBER(SEARCH("R62",G483))*62,0)+IFERROR(--ISNUMBER(SEARCH("R63",G483))*63,0)+IFERROR(--ISNUMBER(SEARCH("R64",G483))*64,0)+IFERROR(--ISNUMBER(SEARCH("R65",G483))*65,0)+IFERROR(--ISNUMBER(SEARCH("R66",G483))*66,0)+IFERROR(--ISNUMBER(SEARCH("R67",G483))*67,0)+IFERROR(--ISNUMBER(SEARCH("R68",G483))*68,0)+IFERROR(--ISNUMBER(SEARCH("R69",G483))*69,0)+IFERROR(--ISNUMBER(SEARCH("R70",G483))*70,0)+IFERROR(--ISNUMBER(SEARCH("R71",G483))*71,0)+IFERROR(--ISNUMBER(SEARCH("R72",G483))*72,0)+IFERROR(--ISNUMBER(SEARCH("R73",G483))*73,0)+IFERROR(--ISNUMBER(SEARCH("R74",G483))*74,0)+IFERROR(--ISNUMBER(SEARCH("R75",G483))*75,0)+IFERROR(--ISNUMBER(SEARCH("R76",G483))*76,0)+IFERROR(--ISNUMBER(SEARCH("R77",G483))*77,0)+IFERROR(--ISNUMBER(SEARCH("R78",G483))*78,0)+IFERROR(--ISNUMBER(SEARCH("R79",G483))*79,0)+IFERROR(--ISNUMBER(SEARCH("R80",G483))*80,0)+IFERROR(--ISNUMBER(SEARCH("R81",G483))*81,0)+IFERROR(--ISNUMBER(SEARCH("R82",G483))*82,0)+IFERROR(--ISNUMBER(SEARCH("R83",G483))*83,0)+IFERROR(--ISNUMBER(SEARCH("R84",G483))*84,0)+IFERROR(--ISNUMBER(SEARCH("R85",G483))*85,0)+IFERROR(--ISNUMBER(SEARCH("R86",G483))*86,0)+IFERROR(--ISNUMBER(SEARCH("R87",G483))*87,0)+IFERROR(--ISNUMBER(SEARCH("R88",G483))*88,0)+IFERROR(--ISNUMBER(SEARCH("R89",G483))*89,0)+IFERROR(--ISNUMBER(SEARCH("R90",G483))*90,0)+IFERROR(--ISNUMBER(SEARCH("R91",G483))*91,0)+IFERROR(--ISNUMBER(SEARCH("R92",G483))*92,0)+IFERROR(--ISNUMBER(SEARCH("R93",G483))*93,0)+IFERROR(--ISNUMBER(SEARCH("R94",G483))*94,0)+IFERROR(--ISNUMBER(SEARCH("R95",G483))*95,0)+IFERROR(--ISNUMBER(SEARCH("R96",G483))*96,0)+IFERROR(--ISNUMBER(SEARCH("R97",G483))*97,0)+IFERROR(--ISNUMBER(SEARCH("R98",G483))*98,0)+IFERROR(--ISNUMBER(SEARCH("R99",G483))*99,0)+IFERROR(--ISNUMBER(SEARCH("R100",G483))*100,0)+IFERROR(--ISNUMBER(SEARCH("R101",G483))*101,0)+IFERROR(--ISNUMBER(SEARCH("R102",G483))*102,0)+IFERROR(--ISNUMBER(SEARCH("R103",G483))*103,0)+IFERROR(--ISNUMBER(SEARCH("R104",G483))*104,0)+IFERROR(--ISNUMBER(SEARCH("R105",G483))*105,0)+IFERROR(--ISNUMBER(SEARCH("R106",G483))*106,0)+IFERROR(--ISNUMBER(SEARCH("R107",G483))*107,0)+IFERROR(--ISNUMBER(SEARCH("R108",G483))*108,0)+IFERROR(--ISNUMBER(SEARCH("R109",G483))*109,0)+IFERROR(--ISNUMBER(SEARCH("R110",G483))*110,0)+IFERROR(--ISNUMBER(SEARCH("R111",G483))*111,0)+IFERROR(--ISNUMBER(SEARCH("R112",G483))*112,0)+IFERROR(--ISNUMBER(SEARCH("R113",G483))*113,0)+IFERROR(--ISNUMBER(SEARCH("R114",G483))*114,0)+IFERROR(--ISNUMBER(SEARCH("R115",G483))*115,0)+IFERROR(--ISNUMBER(SEARCH("R116",G483))*116,0)+IFERROR(--ISNUMBER(SEARCH("R117",G483))*117,0)+IFERROR(--ISNUMBER(SEARCH("R118",G483))*118,0)+IFERROR(--ISNUMBER(SEARCH("R119",G483))*119,0)+IFERROR(--ISNUMBER(SEARCH("R120",G483))*120,0)+IFERROR(--ISNUMBER(SEARCH("R121",G483))*121,0)+IFERROR(--ISNUMBER(SEARCH("R122",G483))*122,0)+IFERROR(--ISNUMBER(SEARCH("R123",G483))*123,0)+IFERROR(--ISNUMBER(SEARCH("R124",G483))*124,0)+IFERROR(--ISNUMBER(SEARCH("R125",G483))*125,0)+IFERROR(--ISNUMBER(SEARCH("R126",G483))*126,0)+IFERROR(--ISNUMBER(SEARCH("R127",G483))*127,0)+IFERROR(--ISNUMBER(SEARCH("R128",G483))*128,0)+IFERROR(--ISNUMBER(SEARCH("R129",G483))*129,0)+IFERROR(--ISNUMBER(SEARCH("R130",G483))*130,0)+IFERROR(--ISNUMBER(SEARCH("R131",G483))*131,0)+IFERROR(--ISNUMBER(SEARCH("R132",G483))*132,0)+IFERROR(--ISNUMBER(SEARCH("R133",G483))*133,0)+IFERROR(--ISNUMBER(SEARCH("R134",G483))*134,0)+IFERROR(--ISNUMBER(SEARCH("R135",G483))*135,0)+IFERROR(--ISNUMBER(SEARCH("R136",G483))*136,0)+IFERROR(--ISNUMBER(SEARCH("R137",G483))*137,0)+IFERROR(--ISNUMBER(SEARCH("R138",G483))*138,0)+IFERROR(--ISNUMBER(SEARCH("R139",G483))*139,0)+IFERROR(--ISNUMBER(SEARCH("R140",G483))*140,0)+IFERROR(--ISNUMBER(SEARCH("R141",G483))*141,0))</f>
        <v/>
      </c>
      <c r="V483" s="59">
        <f>IF(A483="","",IF(K483&lt;&gt;"",K483,J483))</f>
        <v/>
      </c>
      <c r="W483" s="59">
        <f>IF(A483="","",IF(AND(V483=29,O483&lt;&gt;"",COUNTIFS($V$6:$V$505,29,$F$6:$F$505,F483,$C$6:$C$505,C483,$O$6:$O$505,"&lt;&gt;")&gt;1),IF(COUNTIFS($V$6:V483,29,$F$6:F483,F483,$C$6:C483,C483,$O$6:O483,"&lt;&gt;")=1,"Esta es la fila que se debe CONSERVAR (aparición 1 de "&amp;COUNTIFS($V$6:$V$505,29,$F$6:$F$505,F483,$C$6:$C$505,C483,$O$6:$O$505,"&lt;&gt;")&amp;" con el mismo tercero y valor, casilla 29). Si hay más filas iguales, bórreles el valor a ELLAS, no a esta.","DUPLICADO — ya existe otra fila con el mismo tercero y valor para casilla 29 (aparición "&amp;COUNTIFS($V$6:V483,29,$F$6:F483,F483,$C$6:C483,C483,$O$6:O483,"&lt;&gt;")&amp;" de "&amp;COUNTIFS($V$6:$V$505,29,$F$6:$F$505,F483,$C$6:$C$505,C483,$O$6:$O$505,"&lt;&gt;")&amp;"). Para resolverlo: seleccione la celda O"&amp;ROW()&amp;" (columna Valor a declarar de ESTA fila) y presione Supr."),""))</f>
        <v/>
      </c>
      <c r="X483" s="463">
        <f>IF(A483="","",F483)</f>
        <v/>
      </c>
      <c r="Y483" s="463">
        <f>IF(A483="","",SUMIF(Entrada_Manual!$I$88:$I$187,A483,Entrada_Manual!$F$88:$F$187))</f>
        <v/>
      </c>
      <c r="Z483" s="463">
        <f>IF(A483="","",X483-Y483)</f>
        <v/>
      </c>
      <c r="AA483">
        <f>IF(A483="","",SUMPRODUCT((Entrada_Manual!$I$88:$I$187=A483)*1))</f>
        <v/>
      </c>
      <c r="AB483">
        <f>IF(A483="","",IF(S483&lt;=1,"",IF(AA483=0,"PENDIENTE — SIN ASIGNAR",IF(Z483=0,"RESUELTO","PARCIAL — DIFERENCIA "&amp;TEXT(Z483,"#,##0")))))</f>
        <v/>
      </c>
    </row>
    <row r="484" ht="14.25" customHeight="1" s="235">
      <c r="A484" s="47">
        <f>IF(Exogena_RAW!E493&lt;&gt;"",ROW()-5,"")</f>
        <v/>
      </c>
      <c r="B484" s="48">
        <f>IF(A484="","",493)</f>
        <v/>
      </c>
      <c r="C484" s="48">
        <f>IF(A484="","",IFERROR(Exogena_RAW!A493,""))</f>
        <v/>
      </c>
      <c r="D484" s="48">
        <f>IF(A484="","",IFERROR(Exogena_RAW!B493,""))</f>
        <v/>
      </c>
      <c r="E484" s="48">
        <f>IF(A484="","",Exogena_RAW!E493)</f>
        <v/>
      </c>
      <c r="F484" s="461">
        <f>IF(A484="","",Exogena_RAW!F493)</f>
        <v/>
      </c>
      <c r="G484" s="48">
        <f>IF(A484="","",IFERROR(Exogena_RAW!G493,""))</f>
        <v/>
      </c>
      <c r="H484" s="48">
        <f>IF(A484="","",IFERROR(Exogena_RAW!H493,""))</f>
        <v/>
      </c>
      <c r="I484" s="48">
        <f>IF(A484="","",IFERROR(IF(S484&gt;1,"VARIAS CASILLAS",IF(S484=1,IF(T484=1,"PROPUESTA DE CASILLA","REVISIÓN: CASILLA NO DIRECTA"),IF(OR(ISNUMBER(SEARCH("TOPE",UPPER(E484))),ISNUMBER(SEARCH("TOPE",UPPER(G484)))),"SOLO CONTROL",IF(ISNUMBER(SEARCH("RETEN",UPPER(E484))),"RETENCIÓN","REVISAR")))),"REVISAR"))</f>
        <v/>
      </c>
      <c r="J484" s="48">
        <f>IF(A484="","",IF(ISNUMBER(SEARCH("ingreso laboral promedio de los últimos seis meses",E484)),"",IFERROR(IF(AND(S484=1,T484=1),U484,""),"")))</f>
        <v/>
      </c>
      <c r="K484" s="216" t="n"/>
      <c r="L484" s="48">
        <f>IF(A484="","",IFERROR(IF(K484&lt;&gt;"","Casilla elegida por usuario",IF(S484&gt;1,"Varias casillas — elegir en K",IF(J484&lt;&gt;"","Sugerencia directa",IF(S484=1,"No trasladar directo — revisar",IF(OR(ISNUMBER(SEARCH("TOPE",UPPER(E484))),ISNUMBER(SEARCH("TOPE",UPPER(G484)))),"Solo control","Revisar manualmente"))))),"Revisar manualmente"))</f>
        <v/>
      </c>
      <c r="M484" s="461">
        <f>IF(A484="","",IF(IF(K484&lt;&gt;"",K484,J484)="",0,IF(COUNTIFS(Reglas!$I$5:$I$118,IF(K484&lt;&gt;"",K484,J484),Reglas!$J$5:$J$118,"Sí")=1,F484,0)))</f>
        <v/>
      </c>
      <c r="N484" s="56" t="n"/>
      <c r="O484" s="462">
        <f>IF(A484="","",IF(M484=0,"",M484))</f>
        <v/>
      </c>
      <c r="P484" s="461">
        <f>IF(A484="","",IF(O484="",0,IF(ISNUMBER(O484),O484,0)))</f>
        <v/>
      </c>
      <c r="Q484" s="48">
        <f>IF(A484="","",IF(Exogena_RAW!$C$4="","BLOQUEADO: FALTA AÑO",IF(Exogena_RAW!$K$10&lt;&gt;Reglas!$B$5,"BLOQUEADO: AÑO",IF(IF(K484&lt;&gt;"",K484,J484)="",IF(S484&gt;1,"REQUIERE ASIGNACIÓN MANUAL (VARIAS CASILLAS)","INFORMATIVO (sin casilla — no se declara)"),IF(COUNTIFS(Reglas!$I$5:$I$118,IF(K484&lt;&gt;"",K484,J484),Reglas!$J$5:$J$118,"Sí")=0,"BLOQUEADO: CASILLA NO DIRECTA",IF(O484="","EXCLUIDO (valor borrado por el usuario)",IF(_xlfn.ISFORMULA(O484),IF(W484&lt;&gt;"","BORRADOR — VALOR SUGERIDO DIAN ⚠ VER ALERTA","BORRADOR — VALOR SUGERIDO DIAN"),IF(W484&lt;&gt;"","ACEPTADO ⚠ VER ALERTA","ACEPTADO"))))))))</f>
        <v/>
      </c>
      <c r="R484" s="218" t="n"/>
      <c r="S484" s="58">
        <f>IF(A484="","",IFERROR(--ISNUMBER(SEARCH("R28",G484)),0)+IFERROR(--ISNUMBER(SEARCH("R29",G484)),0)+IFERROR(--ISNUMBER(SEARCH("R30",G484)),0)+IFERROR(--ISNUMBER(SEARCH("R31",G484)),0)+IFERROR(--ISNUMBER(SEARCH("R32",G484)),0)+IFERROR(--ISNUMBER(SEARCH("R33",G484)),0)+IFERROR(--ISNUMBER(SEARCH("R34",G484)),0)+IFERROR(--ISNUMBER(SEARCH("R35",G484)),0)+IFERROR(--ISNUMBER(SEARCH("R36",G484)),0)+IFERROR(--ISNUMBER(SEARCH("R37",G484)),0)+IFERROR(--ISNUMBER(SEARCH("R38",G484)),0)+IFERROR(--ISNUMBER(SEARCH("R39",G484)),0)+IFERROR(--ISNUMBER(SEARCH("R40",G484)),0)+IFERROR(--ISNUMBER(SEARCH("R41",G484)),0)+IFERROR(--ISNUMBER(SEARCH("R42",G484)),0)+IFERROR(--ISNUMBER(SEARCH("R43",G484)),0)+IFERROR(--ISNUMBER(SEARCH("R44",G484)),0)+IFERROR(--ISNUMBER(SEARCH("R45",G484)),0)+IFERROR(--ISNUMBER(SEARCH("R46",G484)),0)+IFERROR(--ISNUMBER(SEARCH("R47",G484)),0)+IFERROR(--ISNUMBER(SEARCH("R48",G484)),0)+IFERROR(--ISNUMBER(SEARCH("R49",G484)),0)+IFERROR(--ISNUMBER(SEARCH("R50",G484)),0)+IFERROR(--ISNUMBER(SEARCH("R51",G484)),0)+IFERROR(--ISNUMBER(SEARCH("R52",G484)),0)+IFERROR(--ISNUMBER(SEARCH("R53",G484)),0)+IFERROR(--ISNUMBER(SEARCH("R54",G484)),0)+IFERROR(--ISNUMBER(SEARCH("R55",G484)),0)+IFERROR(--ISNUMBER(SEARCH("R56",G484)),0)+IFERROR(--ISNUMBER(SEARCH("R57",G484)),0)+IFERROR(--ISNUMBER(SEARCH("R58",G484)),0)+IFERROR(--ISNUMBER(SEARCH("R59",G484)),0)+IFERROR(--ISNUMBER(SEARCH("R60",G484)),0)+IFERROR(--ISNUMBER(SEARCH("R61",G484)),0)+IFERROR(--ISNUMBER(SEARCH("R62",G484)),0)+IFERROR(--ISNUMBER(SEARCH("R63",G484)),0)+IFERROR(--ISNUMBER(SEARCH("R64",G484)),0)+IFERROR(--ISNUMBER(SEARCH("R65",G484)),0)+IFERROR(--ISNUMBER(SEARCH("R66",G484)),0)+IFERROR(--ISNUMBER(SEARCH("R67",G484)),0)+IFERROR(--ISNUMBER(SEARCH("R68",G484)),0)+IFERROR(--ISNUMBER(SEARCH("R69",G484)),0)+IFERROR(--ISNUMBER(SEARCH("R70",G484)),0)+IFERROR(--ISNUMBER(SEARCH("R71",G484)),0)+IFERROR(--ISNUMBER(SEARCH("R72",G484)),0)+IFERROR(--ISNUMBER(SEARCH("R73",G484)),0)+IFERROR(--ISNUMBER(SEARCH("R74",G484)),0)+IFERROR(--ISNUMBER(SEARCH("R75",G484)),0)+IFERROR(--ISNUMBER(SEARCH("R76",G484)),0)+IFERROR(--ISNUMBER(SEARCH("R77",G484)),0)+IFERROR(--ISNUMBER(SEARCH("R78",G484)),0)+IFERROR(--ISNUMBER(SEARCH("R79",G484)),0)+IFERROR(--ISNUMBER(SEARCH("R80",G484)),0)+IFERROR(--ISNUMBER(SEARCH("R81",G484)),0)+IFERROR(--ISNUMBER(SEARCH("R82",G484)),0)+IFERROR(--ISNUMBER(SEARCH("R83",G484)),0)+IFERROR(--ISNUMBER(SEARCH("R84",G484)),0)+IFERROR(--ISNUMBER(SEARCH("R85",G484)),0)+IFERROR(--ISNUMBER(SEARCH("R86",G484)),0)+IFERROR(--ISNUMBER(SEARCH("R87",G484)),0)+IFERROR(--ISNUMBER(SEARCH("R88",G484)),0)+IFERROR(--ISNUMBER(SEARCH("R89",G484)),0)+IFERROR(--ISNUMBER(SEARCH("R90",G484)),0)+IFERROR(--ISNUMBER(SEARCH("R91",G484)),0)+IFERROR(--ISNUMBER(SEARCH("R92",G484)),0)+IFERROR(--ISNUMBER(SEARCH("R93",G484)),0)+IFERROR(--ISNUMBER(SEARCH("R94",G484)),0)+IFERROR(--ISNUMBER(SEARCH("R95",G484)),0)+IFERROR(--ISNUMBER(SEARCH("R96",G484)),0)+IFERROR(--ISNUMBER(SEARCH("R97",G484)),0)+IFERROR(--ISNUMBER(SEARCH("R98",G484)),0)+IFERROR(--ISNUMBER(SEARCH("R99",G484)),0)+IFERROR(--ISNUMBER(SEARCH("R100",G484)),0)+IFERROR(--ISNUMBER(SEARCH("R101",G484)),0)+IFERROR(--ISNUMBER(SEARCH("R102",G484)),0)+IFERROR(--ISNUMBER(SEARCH("R103",G484)),0)+IFERROR(--ISNUMBER(SEARCH("R104",G484)),0)+IFERROR(--ISNUMBER(SEARCH("R105",G484)),0)+IFERROR(--ISNUMBER(SEARCH("R106",G484)),0)+IFERROR(--ISNUMBER(SEARCH("R107",G484)),0)+IFERROR(--ISNUMBER(SEARCH("R108",G484)),0)+IFERROR(--ISNUMBER(SEARCH("R109",G484)),0)+IFERROR(--ISNUMBER(SEARCH("R110",G484)),0)+IFERROR(--ISNUMBER(SEARCH("R111",G484)),0)+IFERROR(--ISNUMBER(SEARCH("R112",G484)),0)+IFERROR(--ISNUMBER(SEARCH("R113",G484)),0)+IFERROR(--ISNUMBER(SEARCH("R114",G484)),0)+IFERROR(--ISNUMBER(SEARCH("R115",G484)),0)+IFERROR(--ISNUMBER(SEARCH("R116",G484)),0)+IFERROR(--ISNUMBER(SEARCH("R117",G484)),0)+IFERROR(--ISNUMBER(SEARCH("R118",G484)),0)+IFERROR(--ISNUMBER(SEARCH("R119",G484)),0)+IFERROR(--ISNUMBER(SEARCH("R120",G484)),0)+IFERROR(--ISNUMBER(SEARCH("R121",G484)),0)+IFERROR(--ISNUMBER(SEARCH("R122",G484)),0)+IFERROR(--ISNUMBER(SEARCH("R123",G484)),0)+IFERROR(--ISNUMBER(SEARCH("R124",G484)),0)+IFERROR(--ISNUMBER(SEARCH("R125",G484)),0)+IFERROR(--ISNUMBER(SEARCH("R126",G484)),0)+IFERROR(--ISNUMBER(SEARCH("R127",G484)),0)+IFERROR(--ISNUMBER(SEARCH("R128",G484)),0)+IFERROR(--ISNUMBER(SEARCH("R129",G484)),0)+IFERROR(--ISNUMBER(SEARCH("R130",G484)),0)+IFERROR(--ISNUMBER(SEARCH("R131",G484)),0)+IFERROR(--ISNUMBER(SEARCH("R132",G484)),0)+IFERROR(--ISNUMBER(SEARCH("R133",G484)),0)+IFERROR(--ISNUMBER(SEARCH("R134",G484)),0)+IFERROR(--ISNUMBER(SEARCH("R135",G484)),0)+IFERROR(--ISNUMBER(SEARCH("R136",G484)),0)+IFERROR(--ISNUMBER(SEARCH("R137",G484)),0)+IFERROR(--ISNUMBER(SEARCH("R138",G484)),0)+IFERROR(--ISNUMBER(SEARCH("R139",G484)),0)+IFERROR(--ISNUMBER(SEARCH("R140",G484)),0)+IFERROR(--ISNUMBER(SEARCH("R141",G484)),0))</f>
        <v/>
      </c>
      <c r="T484" s="58">
        <f>IF(A484="","",IFERROR(--ISNUMBER(SEARCH("R28",G484)),0)+IFERROR(--ISNUMBER(SEARCH("R29",G484)),0)+IFERROR(--ISNUMBER(SEARCH("R30",G484)),0)+IFERROR(--ISNUMBER(SEARCH("R32",G484)),0)+IFERROR(--ISNUMBER(SEARCH("R33",G484)),0)+IFERROR(--ISNUMBER(SEARCH("R35",G484)),0)+IFERROR(--ISNUMBER(SEARCH("R36",G484)),0)+IFERROR(--ISNUMBER(SEARCH("R38",G484)),0)+IFERROR(--ISNUMBER(SEARCH("R39",G484)),0)+IFERROR(--ISNUMBER(SEARCH("R43",G484)),0)+IFERROR(--ISNUMBER(SEARCH("R44",G484)),0)+IFERROR(--ISNUMBER(SEARCH("R45",G484)),0)+IFERROR(--ISNUMBER(SEARCH("R47",G484)),0)+IFERROR(--ISNUMBER(SEARCH("R48",G484)),0)+IFERROR(--ISNUMBER(SEARCH("R50",G484)),0)+IFERROR(--ISNUMBER(SEARCH("R51",G484)),0)+IFERROR(--ISNUMBER(SEARCH("R56",G484)),0)+IFERROR(--ISNUMBER(SEARCH("R58",G484)),0)+IFERROR(--ISNUMBER(SEARCH("R59",G484)),0)+IFERROR(--ISNUMBER(SEARCH("R60",G484)),0)+IFERROR(--ISNUMBER(SEARCH("R62",G484)),0)+IFERROR(--ISNUMBER(SEARCH("R63",G484)),0)+IFERROR(--ISNUMBER(SEARCH("R64",G484)),0)+IFERROR(--ISNUMBER(SEARCH("R66",G484)),0)+IFERROR(--ISNUMBER(SEARCH("R67",G484)),0)+IFERROR(--ISNUMBER(SEARCH("R72",G484)),0)+IFERROR(--ISNUMBER(SEARCH("R74",G484)),0)+IFERROR(--ISNUMBER(SEARCH("R75",G484)),0)+IFERROR(--ISNUMBER(SEARCH("R76",G484)),0)+IFERROR(--ISNUMBER(SEARCH("R77",G484)),0)+IFERROR(--ISNUMBER(SEARCH("R79",G484)),0)+IFERROR(--ISNUMBER(SEARCH("R80",G484)),0)+IFERROR(--ISNUMBER(SEARCH("R81",G484)),0)+IFERROR(--ISNUMBER(SEARCH("R83",G484)),0)+IFERROR(--ISNUMBER(SEARCH("R84",G484)),0)+IFERROR(--ISNUMBER(SEARCH("R89",G484)),0)+IFERROR(--ISNUMBER(SEARCH("R94",G484)),0)+IFERROR(--ISNUMBER(SEARCH("R95",G484)),0)+IFERROR(--ISNUMBER(SEARCH("R96",G484)),0)+IFERROR(--ISNUMBER(SEARCH("R98",G484)),0)+IFERROR(--ISNUMBER(SEARCH("R99",G484)),0)+IFERROR(--ISNUMBER(SEARCH("R100",G484)),0)+IFERROR(--ISNUMBER(SEARCH("R104",G484)),0)+IFERROR(--ISNUMBER(SEARCH("R105",G484)),0)+IFERROR(--ISNUMBER(SEARCH("R107",G484)),0)+IFERROR(--ISNUMBER(SEARCH("R108",G484)),0)+IFERROR(--ISNUMBER(SEARCH("R109",G484)),0)+IFERROR(--ISNUMBER(SEARCH("R110",G484)),0)+IFERROR(--ISNUMBER(SEARCH("R112",G484)),0)+IFERROR(--ISNUMBER(SEARCH("R113",G484)),0)+IFERROR(--ISNUMBER(SEARCH("R114",G484)),0)+IFERROR(--ISNUMBER(SEARCH("R118",G484)),0)+IFERROR(--ISNUMBER(SEARCH("R119",G484)),0)+IFERROR(--ISNUMBER(SEARCH("R120",G484)),0)+IFERROR(--ISNUMBER(SEARCH("R122",G484)),0)+IFERROR(--ISNUMBER(SEARCH("R123",G484)),0)+IFERROR(--ISNUMBER(SEARCH("R124",G484)),0)+IFERROR(--ISNUMBER(SEARCH("R128",G484)),0)+IFERROR(--ISNUMBER(SEARCH("R130",G484)),0)+IFERROR(--ISNUMBER(SEARCH("R131",G484)),0)+IFERROR(--ISNUMBER(SEARCH("R132",G484)),0)+IFERROR(--ISNUMBER(SEARCH("R135",G484)),0)+IFERROR(--ISNUMBER(SEARCH("R138",G484)),0)+IFERROR(--ISNUMBER(SEARCH("R141",G484)),0))</f>
        <v/>
      </c>
      <c r="U484" s="58">
        <f>IF(A484="","",IFERROR(--ISNUMBER(SEARCH("R28",G484))*28,0)+IFERROR(--ISNUMBER(SEARCH("R29",G484))*29,0)+IFERROR(--ISNUMBER(SEARCH("R30",G484))*30,0)+IFERROR(--ISNUMBER(SEARCH("R31",G484))*31,0)+IFERROR(--ISNUMBER(SEARCH("R32",G484))*32,0)+IFERROR(--ISNUMBER(SEARCH("R33",G484))*33,0)+IFERROR(--ISNUMBER(SEARCH("R34",G484))*34,0)+IFERROR(--ISNUMBER(SEARCH("R35",G484))*35,0)+IFERROR(--ISNUMBER(SEARCH("R36",G484))*36,0)+IFERROR(--ISNUMBER(SEARCH("R37",G484))*37,0)+IFERROR(--ISNUMBER(SEARCH("R38",G484))*38,0)+IFERROR(--ISNUMBER(SEARCH("R39",G484))*39,0)+IFERROR(--ISNUMBER(SEARCH("R40",G484))*40,0)+IFERROR(--ISNUMBER(SEARCH("R41",G484))*41,0)+IFERROR(--ISNUMBER(SEARCH("R42",G484))*42,0)+IFERROR(--ISNUMBER(SEARCH("R43",G484))*43,0)+IFERROR(--ISNUMBER(SEARCH("R44",G484))*44,0)+IFERROR(--ISNUMBER(SEARCH("R45",G484))*45,0)+IFERROR(--ISNUMBER(SEARCH("R46",G484))*46,0)+IFERROR(--ISNUMBER(SEARCH("R47",G484))*47,0)+IFERROR(--ISNUMBER(SEARCH("R48",G484))*48,0)+IFERROR(--ISNUMBER(SEARCH("R49",G484))*49,0)+IFERROR(--ISNUMBER(SEARCH("R50",G484))*50,0)+IFERROR(--ISNUMBER(SEARCH("R51",G484))*51,0)+IFERROR(--ISNUMBER(SEARCH("R52",G484))*52,0)+IFERROR(--ISNUMBER(SEARCH("R53",G484))*53,0)+IFERROR(--ISNUMBER(SEARCH("R54",G484))*54,0)+IFERROR(--ISNUMBER(SEARCH("R55",G484))*55,0)+IFERROR(--ISNUMBER(SEARCH("R56",G484))*56,0)+IFERROR(--ISNUMBER(SEARCH("R57",G484))*57,0)+IFERROR(--ISNUMBER(SEARCH("R58",G484))*58,0)+IFERROR(--ISNUMBER(SEARCH("R59",G484))*59,0)+IFERROR(--ISNUMBER(SEARCH("R60",G484))*60,0)+IFERROR(--ISNUMBER(SEARCH("R61",G484))*61,0)+IFERROR(--ISNUMBER(SEARCH("R62",G484))*62,0)+IFERROR(--ISNUMBER(SEARCH("R63",G484))*63,0)+IFERROR(--ISNUMBER(SEARCH("R64",G484))*64,0)+IFERROR(--ISNUMBER(SEARCH("R65",G484))*65,0)+IFERROR(--ISNUMBER(SEARCH("R66",G484))*66,0)+IFERROR(--ISNUMBER(SEARCH("R67",G484))*67,0)+IFERROR(--ISNUMBER(SEARCH("R68",G484))*68,0)+IFERROR(--ISNUMBER(SEARCH("R69",G484))*69,0)+IFERROR(--ISNUMBER(SEARCH("R70",G484))*70,0)+IFERROR(--ISNUMBER(SEARCH("R71",G484))*71,0)+IFERROR(--ISNUMBER(SEARCH("R72",G484))*72,0)+IFERROR(--ISNUMBER(SEARCH("R73",G484))*73,0)+IFERROR(--ISNUMBER(SEARCH("R74",G484))*74,0)+IFERROR(--ISNUMBER(SEARCH("R75",G484))*75,0)+IFERROR(--ISNUMBER(SEARCH("R76",G484))*76,0)+IFERROR(--ISNUMBER(SEARCH("R77",G484))*77,0)+IFERROR(--ISNUMBER(SEARCH("R78",G484))*78,0)+IFERROR(--ISNUMBER(SEARCH("R79",G484))*79,0)+IFERROR(--ISNUMBER(SEARCH("R80",G484))*80,0)+IFERROR(--ISNUMBER(SEARCH("R81",G484))*81,0)+IFERROR(--ISNUMBER(SEARCH("R82",G484))*82,0)+IFERROR(--ISNUMBER(SEARCH("R83",G484))*83,0)+IFERROR(--ISNUMBER(SEARCH("R84",G484))*84,0)+IFERROR(--ISNUMBER(SEARCH("R85",G484))*85,0)+IFERROR(--ISNUMBER(SEARCH("R86",G484))*86,0)+IFERROR(--ISNUMBER(SEARCH("R87",G484))*87,0)+IFERROR(--ISNUMBER(SEARCH("R88",G484))*88,0)+IFERROR(--ISNUMBER(SEARCH("R89",G484))*89,0)+IFERROR(--ISNUMBER(SEARCH("R90",G484))*90,0)+IFERROR(--ISNUMBER(SEARCH("R91",G484))*91,0)+IFERROR(--ISNUMBER(SEARCH("R92",G484))*92,0)+IFERROR(--ISNUMBER(SEARCH("R93",G484))*93,0)+IFERROR(--ISNUMBER(SEARCH("R94",G484))*94,0)+IFERROR(--ISNUMBER(SEARCH("R95",G484))*95,0)+IFERROR(--ISNUMBER(SEARCH("R96",G484))*96,0)+IFERROR(--ISNUMBER(SEARCH("R97",G484))*97,0)+IFERROR(--ISNUMBER(SEARCH("R98",G484))*98,0)+IFERROR(--ISNUMBER(SEARCH("R99",G484))*99,0)+IFERROR(--ISNUMBER(SEARCH("R100",G484))*100,0)+IFERROR(--ISNUMBER(SEARCH("R101",G484))*101,0)+IFERROR(--ISNUMBER(SEARCH("R102",G484))*102,0)+IFERROR(--ISNUMBER(SEARCH("R103",G484))*103,0)+IFERROR(--ISNUMBER(SEARCH("R104",G484))*104,0)+IFERROR(--ISNUMBER(SEARCH("R105",G484))*105,0)+IFERROR(--ISNUMBER(SEARCH("R106",G484))*106,0)+IFERROR(--ISNUMBER(SEARCH("R107",G484))*107,0)+IFERROR(--ISNUMBER(SEARCH("R108",G484))*108,0)+IFERROR(--ISNUMBER(SEARCH("R109",G484))*109,0)+IFERROR(--ISNUMBER(SEARCH("R110",G484))*110,0)+IFERROR(--ISNUMBER(SEARCH("R111",G484))*111,0)+IFERROR(--ISNUMBER(SEARCH("R112",G484))*112,0)+IFERROR(--ISNUMBER(SEARCH("R113",G484))*113,0)+IFERROR(--ISNUMBER(SEARCH("R114",G484))*114,0)+IFERROR(--ISNUMBER(SEARCH("R115",G484))*115,0)+IFERROR(--ISNUMBER(SEARCH("R116",G484))*116,0)+IFERROR(--ISNUMBER(SEARCH("R117",G484))*117,0)+IFERROR(--ISNUMBER(SEARCH("R118",G484))*118,0)+IFERROR(--ISNUMBER(SEARCH("R119",G484))*119,0)+IFERROR(--ISNUMBER(SEARCH("R120",G484))*120,0)+IFERROR(--ISNUMBER(SEARCH("R121",G484))*121,0)+IFERROR(--ISNUMBER(SEARCH("R122",G484))*122,0)+IFERROR(--ISNUMBER(SEARCH("R123",G484))*123,0)+IFERROR(--ISNUMBER(SEARCH("R124",G484))*124,0)+IFERROR(--ISNUMBER(SEARCH("R125",G484))*125,0)+IFERROR(--ISNUMBER(SEARCH("R126",G484))*126,0)+IFERROR(--ISNUMBER(SEARCH("R127",G484))*127,0)+IFERROR(--ISNUMBER(SEARCH("R128",G484))*128,0)+IFERROR(--ISNUMBER(SEARCH("R129",G484))*129,0)+IFERROR(--ISNUMBER(SEARCH("R130",G484))*130,0)+IFERROR(--ISNUMBER(SEARCH("R131",G484))*131,0)+IFERROR(--ISNUMBER(SEARCH("R132",G484))*132,0)+IFERROR(--ISNUMBER(SEARCH("R133",G484))*133,0)+IFERROR(--ISNUMBER(SEARCH("R134",G484))*134,0)+IFERROR(--ISNUMBER(SEARCH("R135",G484))*135,0)+IFERROR(--ISNUMBER(SEARCH("R136",G484))*136,0)+IFERROR(--ISNUMBER(SEARCH("R137",G484))*137,0)+IFERROR(--ISNUMBER(SEARCH("R138",G484))*138,0)+IFERROR(--ISNUMBER(SEARCH("R139",G484))*139,0)+IFERROR(--ISNUMBER(SEARCH("R140",G484))*140,0)+IFERROR(--ISNUMBER(SEARCH("R141",G484))*141,0))</f>
        <v/>
      </c>
      <c r="V484" s="59">
        <f>IF(A484="","",IF(K484&lt;&gt;"",K484,J484))</f>
        <v/>
      </c>
      <c r="W484" s="59">
        <f>IF(A484="","",IF(AND(V484=29,O484&lt;&gt;"",COUNTIFS($V$6:$V$505,29,$F$6:$F$505,F484,$C$6:$C$505,C484,$O$6:$O$505,"&lt;&gt;")&gt;1),IF(COUNTIFS($V$6:V484,29,$F$6:F484,F484,$C$6:C484,C484,$O$6:O484,"&lt;&gt;")=1,"Esta es la fila que se debe CONSERVAR (aparición 1 de "&amp;COUNTIFS($V$6:$V$505,29,$F$6:$F$505,F484,$C$6:$C$505,C484,$O$6:$O$505,"&lt;&gt;")&amp;" con el mismo tercero y valor, casilla 29). Si hay más filas iguales, bórreles el valor a ELLAS, no a esta.","DUPLICADO — ya existe otra fila con el mismo tercero y valor para casilla 29 (aparición "&amp;COUNTIFS($V$6:V484,29,$F$6:F484,F484,$C$6:C484,C484,$O$6:O484,"&lt;&gt;")&amp;" de "&amp;COUNTIFS($V$6:$V$505,29,$F$6:$F$505,F484,$C$6:$C$505,C484,$O$6:$O$505,"&lt;&gt;")&amp;"). Para resolverlo: seleccione la celda O"&amp;ROW()&amp;" (columna Valor a declarar de ESTA fila) y presione Supr."),""))</f>
        <v/>
      </c>
      <c r="X484" s="463">
        <f>IF(A484="","",F484)</f>
        <v/>
      </c>
      <c r="Y484" s="463">
        <f>IF(A484="","",SUMIF(Entrada_Manual!$I$88:$I$187,A484,Entrada_Manual!$F$88:$F$187))</f>
        <v/>
      </c>
      <c r="Z484" s="463">
        <f>IF(A484="","",X484-Y484)</f>
        <v/>
      </c>
      <c r="AA484">
        <f>IF(A484="","",SUMPRODUCT((Entrada_Manual!$I$88:$I$187=A484)*1))</f>
        <v/>
      </c>
      <c r="AB484">
        <f>IF(A484="","",IF(S484&lt;=1,"",IF(AA484=0,"PENDIENTE — SIN ASIGNAR",IF(Z484=0,"RESUELTO","PARCIAL — DIFERENCIA "&amp;TEXT(Z484,"#,##0")))))</f>
        <v/>
      </c>
    </row>
    <row r="485" ht="14.25" customHeight="1" s="235">
      <c r="A485" s="47">
        <f>IF(Exogena_RAW!E494&lt;&gt;"",ROW()-5,"")</f>
        <v/>
      </c>
      <c r="B485" s="48">
        <f>IF(A485="","",494)</f>
        <v/>
      </c>
      <c r="C485" s="48">
        <f>IF(A485="","",IFERROR(Exogena_RAW!A494,""))</f>
        <v/>
      </c>
      <c r="D485" s="48">
        <f>IF(A485="","",IFERROR(Exogena_RAW!B494,""))</f>
        <v/>
      </c>
      <c r="E485" s="48">
        <f>IF(A485="","",Exogena_RAW!E494)</f>
        <v/>
      </c>
      <c r="F485" s="461">
        <f>IF(A485="","",Exogena_RAW!F494)</f>
        <v/>
      </c>
      <c r="G485" s="48">
        <f>IF(A485="","",IFERROR(Exogena_RAW!G494,""))</f>
        <v/>
      </c>
      <c r="H485" s="48">
        <f>IF(A485="","",IFERROR(Exogena_RAW!H494,""))</f>
        <v/>
      </c>
      <c r="I485" s="48">
        <f>IF(A485="","",IFERROR(IF(S485&gt;1,"VARIAS CASILLAS",IF(S485=1,IF(T485=1,"PROPUESTA DE CASILLA","REVISIÓN: CASILLA NO DIRECTA"),IF(OR(ISNUMBER(SEARCH("TOPE",UPPER(E485))),ISNUMBER(SEARCH("TOPE",UPPER(G485)))),"SOLO CONTROL",IF(ISNUMBER(SEARCH("RETEN",UPPER(E485))),"RETENCIÓN","REVISAR")))),"REVISAR"))</f>
        <v/>
      </c>
      <c r="J485" s="48">
        <f>IF(A485="","",IF(ISNUMBER(SEARCH("ingreso laboral promedio de los últimos seis meses",E485)),"",IFERROR(IF(AND(S485=1,T485=1),U485,""),"")))</f>
        <v/>
      </c>
      <c r="K485" s="216" t="n"/>
      <c r="L485" s="48">
        <f>IF(A485="","",IFERROR(IF(K485&lt;&gt;"","Casilla elegida por usuario",IF(S485&gt;1,"Varias casillas — elegir en K",IF(J485&lt;&gt;"","Sugerencia directa",IF(S485=1,"No trasladar directo — revisar",IF(OR(ISNUMBER(SEARCH("TOPE",UPPER(E485))),ISNUMBER(SEARCH("TOPE",UPPER(G485)))),"Solo control","Revisar manualmente"))))),"Revisar manualmente"))</f>
        <v/>
      </c>
      <c r="M485" s="461">
        <f>IF(A485="","",IF(IF(K485&lt;&gt;"",K485,J485)="",0,IF(COUNTIFS(Reglas!$I$5:$I$118,IF(K485&lt;&gt;"",K485,J485),Reglas!$J$5:$J$118,"Sí")=1,F485,0)))</f>
        <v/>
      </c>
      <c r="N485" s="56" t="n"/>
      <c r="O485" s="462">
        <f>IF(A485="","",IF(M485=0,"",M485))</f>
        <v/>
      </c>
      <c r="P485" s="461">
        <f>IF(A485="","",IF(O485="",0,IF(ISNUMBER(O485),O485,0)))</f>
        <v/>
      </c>
      <c r="Q485" s="48">
        <f>IF(A485="","",IF(Exogena_RAW!$C$4="","BLOQUEADO: FALTA AÑO",IF(Exogena_RAW!$K$10&lt;&gt;Reglas!$B$5,"BLOQUEADO: AÑO",IF(IF(K485&lt;&gt;"",K485,J485)="",IF(S485&gt;1,"REQUIERE ASIGNACIÓN MANUAL (VARIAS CASILLAS)","INFORMATIVO (sin casilla — no se declara)"),IF(COUNTIFS(Reglas!$I$5:$I$118,IF(K485&lt;&gt;"",K485,J485),Reglas!$J$5:$J$118,"Sí")=0,"BLOQUEADO: CASILLA NO DIRECTA",IF(O485="","EXCLUIDO (valor borrado por el usuario)",IF(_xlfn.ISFORMULA(O485),IF(W485&lt;&gt;"","BORRADOR — VALOR SUGERIDO DIAN ⚠ VER ALERTA","BORRADOR — VALOR SUGERIDO DIAN"),IF(W485&lt;&gt;"","ACEPTADO ⚠ VER ALERTA","ACEPTADO"))))))))</f>
        <v/>
      </c>
      <c r="R485" s="218" t="n"/>
      <c r="S485" s="58">
        <f>IF(A485="","",IFERROR(--ISNUMBER(SEARCH("R28",G485)),0)+IFERROR(--ISNUMBER(SEARCH("R29",G485)),0)+IFERROR(--ISNUMBER(SEARCH("R30",G485)),0)+IFERROR(--ISNUMBER(SEARCH("R31",G485)),0)+IFERROR(--ISNUMBER(SEARCH("R32",G485)),0)+IFERROR(--ISNUMBER(SEARCH("R33",G485)),0)+IFERROR(--ISNUMBER(SEARCH("R34",G485)),0)+IFERROR(--ISNUMBER(SEARCH("R35",G485)),0)+IFERROR(--ISNUMBER(SEARCH("R36",G485)),0)+IFERROR(--ISNUMBER(SEARCH("R37",G485)),0)+IFERROR(--ISNUMBER(SEARCH("R38",G485)),0)+IFERROR(--ISNUMBER(SEARCH("R39",G485)),0)+IFERROR(--ISNUMBER(SEARCH("R40",G485)),0)+IFERROR(--ISNUMBER(SEARCH("R41",G485)),0)+IFERROR(--ISNUMBER(SEARCH("R42",G485)),0)+IFERROR(--ISNUMBER(SEARCH("R43",G485)),0)+IFERROR(--ISNUMBER(SEARCH("R44",G485)),0)+IFERROR(--ISNUMBER(SEARCH("R45",G485)),0)+IFERROR(--ISNUMBER(SEARCH("R46",G485)),0)+IFERROR(--ISNUMBER(SEARCH("R47",G485)),0)+IFERROR(--ISNUMBER(SEARCH("R48",G485)),0)+IFERROR(--ISNUMBER(SEARCH("R49",G485)),0)+IFERROR(--ISNUMBER(SEARCH("R50",G485)),0)+IFERROR(--ISNUMBER(SEARCH("R51",G485)),0)+IFERROR(--ISNUMBER(SEARCH("R52",G485)),0)+IFERROR(--ISNUMBER(SEARCH("R53",G485)),0)+IFERROR(--ISNUMBER(SEARCH("R54",G485)),0)+IFERROR(--ISNUMBER(SEARCH("R55",G485)),0)+IFERROR(--ISNUMBER(SEARCH("R56",G485)),0)+IFERROR(--ISNUMBER(SEARCH("R57",G485)),0)+IFERROR(--ISNUMBER(SEARCH("R58",G485)),0)+IFERROR(--ISNUMBER(SEARCH("R59",G485)),0)+IFERROR(--ISNUMBER(SEARCH("R60",G485)),0)+IFERROR(--ISNUMBER(SEARCH("R61",G485)),0)+IFERROR(--ISNUMBER(SEARCH("R62",G485)),0)+IFERROR(--ISNUMBER(SEARCH("R63",G485)),0)+IFERROR(--ISNUMBER(SEARCH("R64",G485)),0)+IFERROR(--ISNUMBER(SEARCH("R65",G485)),0)+IFERROR(--ISNUMBER(SEARCH("R66",G485)),0)+IFERROR(--ISNUMBER(SEARCH("R67",G485)),0)+IFERROR(--ISNUMBER(SEARCH("R68",G485)),0)+IFERROR(--ISNUMBER(SEARCH("R69",G485)),0)+IFERROR(--ISNUMBER(SEARCH("R70",G485)),0)+IFERROR(--ISNUMBER(SEARCH("R71",G485)),0)+IFERROR(--ISNUMBER(SEARCH("R72",G485)),0)+IFERROR(--ISNUMBER(SEARCH("R73",G485)),0)+IFERROR(--ISNUMBER(SEARCH("R74",G485)),0)+IFERROR(--ISNUMBER(SEARCH("R75",G485)),0)+IFERROR(--ISNUMBER(SEARCH("R76",G485)),0)+IFERROR(--ISNUMBER(SEARCH("R77",G485)),0)+IFERROR(--ISNUMBER(SEARCH("R78",G485)),0)+IFERROR(--ISNUMBER(SEARCH("R79",G485)),0)+IFERROR(--ISNUMBER(SEARCH("R80",G485)),0)+IFERROR(--ISNUMBER(SEARCH("R81",G485)),0)+IFERROR(--ISNUMBER(SEARCH("R82",G485)),0)+IFERROR(--ISNUMBER(SEARCH("R83",G485)),0)+IFERROR(--ISNUMBER(SEARCH("R84",G485)),0)+IFERROR(--ISNUMBER(SEARCH("R85",G485)),0)+IFERROR(--ISNUMBER(SEARCH("R86",G485)),0)+IFERROR(--ISNUMBER(SEARCH("R87",G485)),0)+IFERROR(--ISNUMBER(SEARCH("R88",G485)),0)+IFERROR(--ISNUMBER(SEARCH("R89",G485)),0)+IFERROR(--ISNUMBER(SEARCH("R90",G485)),0)+IFERROR(--ISNUMBER(SEARCH("R91",G485)),0)+IFERROR(--ISNUMBER(SEARCH("R92",G485)),0)+IFERROR(--ISNUMBER(SEARCH("R93",G485)),0)+IFERROR(--ISNUMBER(SEARCH("R94",G485)),0)+IFERROR(--ISNUMBER(SEARCH("R95",G485)),0)+IFERROR(--ISNUMBER(SEARCH("R96",G485)),0)+IFERROR(--ISNUMBER(SEARCH("R97",G485)),0)+IFERROR(--ISNUMBER(SEARCH("R98",G485)),0)+IFERROR(--ISNUMBER(SEARCH("R99",G485)),0)+IFERROR(--ISNUMBER(SEARCH("R100",G485)),0)+IFERROR(--ISNUMBER(SEARCH("R101",G485)),0)+IFERROR(--ISNUMBER(SEARCH("R102",G485)),0)+IFERROR(--ISNUMBER(SEARCH("R103",G485)),0)+IFERROR(--ISNUMBER(SEARCH("R104",G485)),0)+IFERROR(--ISNUMBER(SEARCH("R105",G485)),0)+IFERROR(--ISNUMBER(SEARCH("R106",G485)),0)+IFERROR(--ISNUMBER(SEARCH("R107",G485)),0)+IFERROR(--ISNUMBER(SEARCH("R108",G485)),0)+IFERROR(--ISNUMBER(SEARCH("R109",G485)),0)+IFERROR(--ISNUMBER(SEARCH("R110",G485)),0)+IFERROR(--ISNUMBER(SEARCH("R111",G485)),0)+IFERROR(--ISNUMBER(SEARCH("R112",G485)),0)+IFERROR(--ISNUMBER(SEARCH("R113",G485)),0)+IFERROR(--ISNUMBER(SEARCH("R114",G485)),0)+IFERROR(--ISNUMBER(SEARCH("R115",G485)),0)+IFERROR(--ISNUMBER(SEARCH("R116",G485)),0)+IFERROR(--ISNUMBER(SEARCH("R117",G485)),0)+IFERROR(--ISNUMBER(SEARCH("R118",G485)),0)+IFERROR(--ISNUMBER(SEARCH("R119",G485)),0)+IFERROR(--ISNUMBER(SEARCH("R120",G485)),0)+IFERROR(--ISNUMBER(SEARCH("R121",G485)),0)+IFERROR(--ISNUMBER(SEARCH("R122",G485)),0)+IFERROR(--ISNUMBER(SEARCH("R123",G485)),0)+IFERROR(--ISNUMBER(SEARCH("R124",G485)),0)+IFERROR(--ISNUMBER(SEARCH("R125",G485)),0)+IFERROR(--ISNUMBER(SEARCH("R126",G485)),0)+IFERROR(--ISNUMBER(SEARCH("R127",G485)),0)+IFERROR(--ISNUMBER(SEARCH("R128",G485)),0)+IFERROR(--ISNUMBER(SEARCH("R129",G485)),0)+IFERROR(--ISNUMBER(SEARCH("R130",G485)),0)+IFERROR(--ISNUMBER(SEARCH("R131",G485)),0)+IFERROR(--ISNUMBER(SEARCH("R132",G485)),0)+IFERROR(--ISNUMBER(SEARCH("R133",G485)),0)+IFERROR(--ISNUMBER(SEARCH("R134",G485)),0)+IFERROR(--ISNUMBER(SEARCH("R135",G485)),0)+IFERROR(--ISNUMBER(SEARCH("R136",G485)),0)+IFERROR(--ISNUMBER(SEARCH("R137",G485)),0)+IFERROR(--ISNUMBER(SEARCH("R138",G485)),0)+IFERROR(--ISNUMBER(SEARCH("R139",G485)),0)+IFERROR(--ISNUMBER(SEARCH("R140",G485)),0)+IFERROR(--ISNUMBER(SEARCH("R141",G485)),0))</f>
        <v/>
      </c>
      <c r="T485" s="58">
        <f>IF(A485="","",IFERROR(--ISNUMBER(SEARCH("R28",G485)),0)+IFERROR(--ISNUMBER(SEARCH("R29",G485)),0)+IFERROR(--ISNUMBER(SEARCH("R30",G485)),0)+IFERROR(--ISNUMBER(SEARCH("R32",G485)),0)+IFERROR(--ISNUMBER(SEARCH("R33",G485)),0)+IFERROR(--ISNUMBER(SEARCH("R35",G485)),0)+IFERROR(--ISNUMBER(SEARCH("R36",G485)),0)+IFERROR(--ISNUMBER(SEARCH("R38",G485)),0)+IFERROR(--ISNUMBER(SEARCH("R39",G485)),0)+IFERROR(--ISNUMBER(SEARCH("R43",G485)),0)+IFERROR(--ISNUMBER(SEARCH("R44",G485)),0)+IFERROR(--ISNUMBER(SEARCH("R45",G485)),0)+IFERROR(--ISNUMBER(SEARCH("R47",G485)),0)+IFERROR(--ISNUMBER(SEARCH("R48",G485)),0)+IFERROR(--ISNUMBER(SEARCH("R50",G485)),0)+IFERROR(--ISNUMBER(SEARCH("R51",G485)),0)+IFERROR(--ISNUMBER(SEARCH("R56",G485)),0)+IFERROR(--ISNUMBER(SEARCH("R58",G485)),0)+IFERROR(--ISNUMBER(SEARCH("R59",G485)),0)+IFERROR(--ISNUMBER(SEARCH("R60",G485)),0)+IFERROR(--ISNUMBER(SEARCH("R62",G485)),0)+IFERROR(--ISNUMBER(SEARCH("R63",G485)),0)+IFERROR(--ISNUMBER(SEARCH("R64",G485)),0)+IFERROR(--ISNUMBER(SEARCH("R66",G485)),0)+IFERROR(--ISNUMBER(SEARCH("R67",G485)),0)+IFERROR(--ISNUMBER(SEARCH("R72",G485)),0)+IFERROR(--ISNUMBER(SEARCH("R74",G485)),0)+IFERROR(--ISNUMBER(SEARCH("R75",G485)),0)+IFERROR(--ISNUMBER(SEARCH("R76",G485)),0)+IFERROR(--ISNUMBER(SEARCH("R77",G485)),0)+IFERROR(--ISNUMBER(SEARCH("R79",G485)),0)+IFERROR(--ISNUMBER(SEARCH("R80",G485)),0)+IFERROR(--ISNUMBER(SEARCH("R81",G485)),0)+IFERROR(--ISNUMBER(SEARCH("R83",G485)),0)+IFERROR(--ISNUMBER(SEARCH("R84",G485)),0)+IFERROR(--ISNUMBER(SEARCH("R89",G485)),0)+IFERROR(--ISNUMBER(SEARCH("R94",G485)),0)+IFERROR(--ISNUMBER(SEARCH("R95",G485)),0)+IFERROR(--ISNUMBER(SEARCH("R96",G485)),0)+IFERROR(--ISNUMBER(SEARCH("R98",G485)),0)+IFERROR(--ISNUMBER(SEARCH("R99",G485)),0)+IFERROR(--ISNUMBER(SEARCH("R100",G485)),0)+IFERROR(--ISNUMBER(SEARCH("R104",G485)),0)+IFERROR(--ISNUMBER(SEARCH("R105",G485)),0)+IFERROR(--ISNUMBER(SEARCH("R107",G485)),0)+IFERROR(--ISNUMBER(SEARCH("R108",G485)),0)+IFERROR(--ISNUMBER(SEARCH("R109",G485)),0)+IFERROR(--ISNUMBER(SEARCH("R110",G485)),0)+IFERROR(--ISNUMBER(SEARCH("R112",G485)),0)+IFERROR(--ISNUMBER(SEARCH("R113",G485)),0)+IFERROR(--ISNUMBER(SEARCH("R114",G485)),0)+IFERROR(--ISNUMBER(SEARCH("R118",G485)),0)+IFERROR(--ISNUMBER(SEARCH("R119",G485)),0)+IFERROR(--ISNUMBER(SEARCH("R120",G485)),0)+IFERROR(--ISNUMBER(SEARCH("R122",G485)),0)+IFERROR(--ISNUMBER(SEARCH("R123",G485)),0)+IFERROR(--ISNUMBER(SEARCH("R124",G485)),0)+IFERROR(--ISNUMBER(SEARCH("R128",G485)),0)+IFERROR(--ISNUMBER(SEARCH("R130",G485)),0)+IFERROR(--ISNUMBER(SEARCH("R131",G485)),0)+IFERROR(--ISNUMBER(SEARCH("R132",G485)),0)+IFERROR(--ISNUMBER(SEARCH("R135",G485)),0)+IFERROR(--ISNUMBER(SEARCH("R138",G485)),0)+IFERROR(--ISNUMBER(SEARCH("R141",G485)),0))</f>
        <v/>
      </c>
      <c r="U485" s="58">
        <f>IF(A485="","",IFERROR(--ISNUMBER(SEARCH("R28",G485))*28,0)+IFERROR(--ISNUMBER(SEARCH("R29",G485))*29,0)+IFERROR(--ISNUMBER(SEARCH("R30",G485))*30,0)+IFERROR(--ISNUMBER(SEARCH("R31",G485))*31,0)+IFERROR(--ISNUMBER(SEARCH("R32",G485))*32,0)+IFERROR(--ISNUMBER(SEARCH("R33",G485))*33,0)+IFERROR(--ISNUMBER(SEARCH("R34",G485))*34,0)+IFERROR(--ISNUMBER(SEARCH("R35",G485))*35,0)+IFERROR(--ISNUMBER(SEARCH("R36",G485))*36,0)+IFERROR(--ISNUMBER(SEARCH("R37",G485))*37,0)+IFERROR(--ISNUMBER(SEARCH("R38",G485))*38,0)+IFERROR(--ISNUMBER(SEARCH("R39",G485))*39,0)+IFERROR(--ISNUMBER(SEARCH("R40",G485))*40,0)+IFERROR(--ISNUMBER(SEARCH("R41",G485))*41,0)+IFERROR(--ISNUMBER(SEARCH("R42",G485))*42,0)+IFERROR(--ISNUMBER(SEARCH("R43",G485))*43,0)+IFERROR(--ISNUMBER(SEARCH("R44",G485))*44,0)+IFERROR(--ISNUMBER(SEARCH("R45",G485))*45,0)+IFERROR(--ISNUMBER(SEARCH("R46",G485))*46,0)+IFERROR(--ISNUMBER(SEARCH("R47",G485))*47,0)+IFERROR(--ISNUMBER(SEARCH("R48",G485))*48,0)+IFERROR(--ISNUMBER(SEARCH("R49",G485))*49,0)+IFERROR(--ISNUMBER(SEARCH("R50",G485))*50,0)+IFERROR(--ISNUMBER(SEARCH("R51",G485))*51,0)+IFERROR(--ISNUMBER(SEARCH("R52",G485))*52,0)+IFERROR(--ISNUMBER(SEARCH("R53",G485))*53,0)+IFERROR(--ISNUMBER(SEARCH("R54",G485))*54,0)+IFERROR(--ISNUMBER(SEARCH("R55",G485))*55,0)+IFERROR(--ISNUMBER(SEARCH("R56",G485))*56,0)+IFERROR(--ISNUMBER(SEARCH("R57",G485))*57,0)+IFERROR(--ISNUMBER(SEARCH("R58",G485))*58,0)+IFERROR(--ISNUMBER(SEARCH("R59",G485))*59,0)+IFERROR(--ISNUMBER(SEARCH("R60",G485))*60,0)+IFERROR(--ISNUMBER(SEARCH("R61",G485))*61,0)+IFERROR(--ISNUMBER(SEARCH("R62",G485))*62,0)+IFERROR(--ISNUMBER(SEARCH("R63",G485))*63,0)+IFERROR(--ISNUMBER(SEARCH("R64",G485))*64,0)+IFERROR(--ISNUMBER(SEARCH("R65",G485))*65,0)+IFERROR(--ISNUMBER(SEARCH("R66",G485))*66,0)+IFERROR(--ISNUMBER(SEARCH("R67",G485))*67,0)+IFERROR(--ISNUMBER(SEARCH("R68",G485))*68,0)+IFERROR(--ISNUMBER(SEARCH("R69",G485))*69,0)+IFERROR(--ISNUMBER(SEARCH("R70",G485))*70,0)+IFERROR(--ISNUMBER(SEARCH("R71",G485))*71,0)+IFERROR(--ISNUMBER(SEARCH("R72",G485))*72,0)+IFERROR(--ISNUMBER(SEARCH("R73",G485))*73,0)+IFERROR(--ISNUMBER(SEARCH("R74",G485))*74,0)+IFERROR(--ISNUMBER(SEARCH("R75",G485))*75,0)+IFERROR(--ISNUMBER(SEARCH("R76",G485))*76,0)+IFERROR(--ISNUMBER(SEARCH("R77",G485))*77,0)+IFERROR(--ISNUMBER(SEARCH("R78",G485))*78,0)+IFERROR(--ISNUMBER(SEARCH("R79",G485))*79,0)+IFERROR(--ISNUMBER(SEARCH("R80",G485))*80,0)+IFERROR(--ISNUMBER(SEARCH("R81",G485))*81,0)+IFERROR(--ISNUMBER(SEARCH("R82",G485))*82,0)+IFERROR(--ISNUMBER(SEARCH("R83",G485))*83,0)+IFERROR(--ISNUMBER(SEARCH("R84",G485))*84,0)+IFERROR(--ISNUMBER(SEARCH("R85",G485))*85,0)+IFERROR(--ISNUMBER(SEARCH("R86",G485))*86,0)+IFERROR(--ISNUMBER(SEARCH("R87",G485))*87,0)+IFERROR(--ISNUMBER(SEARCH("R88",G485))*88,0)+IFERROR(--ISNUMBER(SEARCH("R89",G485))*89,0)+IFERROR(--ISNUMBER(SEARCH("R90",G485))*90,0)+IFERROR(--ISNUMBER(SEARCH("R91",G485))*91,0)+IFERROR(--ISNUMBER(SEARCH("R92",G485))*92,0)+IFERROR(--ISNUMBER(SEARCH("R93",G485))*93,0)+IFERROR(--ISNUMBER(SEARCH("R94",G485))*94,0)+IFERROR(--ISNUMBER(SEARCH("R95",G485))*95,0)+IFERROR(--ISNUMBER(SEARCH("R96",G485))*96,0)+IFERROR(--ISNUMBER(SEARCH("R97",G485))*97,0)+IFERROR(--ISNUMBER(SEARCH("R98",G485))*98,0)+IFERROR(--ISNUMBER(SEARCH("R99",G485))*99,0)+IFERROR(--ISNUMBER(SEARCH("R100",G485))*100,0)+IFERROR(--ISNUMBER(SEARCH("R101",G485))*101,0)+IFERROR(--ISNUMBER(SEARCH("R102",G485))*102,0)+IFERROR(--ISNUMBER(SEARCH("R103",G485))*103,0)+IFERROR(--ISNUMBER(SEARCH("R104",G485))*104,0)+IFERROR(--ISNUMBER(SEARCH("R105",G485))*105,0)+IFERROR(--ISNUMBER(SEARCH("R106",G485))*106,0)+IFERROR(--ISNUMBER(SEARCH("R107",G485))*107,0)+IFERROR(--ISNUMBER(SEARCH("R108",G485))*108,0)+IFERROR(--ISNUMBER(SEARCH("R109",G485))*109,0)+IFERROR(--ISNUMBER(SEARCH("R110",G485))*110,0)+IFERROR(--ISNUMBER(SEARCH("R111",G485))*111,0)+IFERROR(--ISNUMBER(SEARCH("R112",G485))*112,0)+IFERROR(--ISNUMBER(SEARCH("R113",G485))*113,0)+IFERROR(--ISNUMBER(SEARCH("R114",G485))*114,0)+IFERROR(--ISNUMBER(SEARCH("R115",G485))*115,0)+IFERROR(--ISNUMBER(SEARCH("R116",G485))*116,0)+IFERROR(--ISNUMBER(SEARCH("R117",G485))*117,0)+IFERROR(--ISNUMBER(SEARCH("R118",G485))*118,0)+IFERROR(--ISNUMBER(SEARCH("R119",G485))*119,0)+IFERROR(--ISNUMBER(SEARCH("R120",G485))*120,0)+IFERROR(--ISNUMBER(SEARCH("R121",G485))*121,0)+IFERROR(--ISNUMBER(SEARCH("R122",G485))*122,0)+IFERROR(--ISNUMBER(SEARCH("R123",G485))*123,0)+IFERROR(--ISNUMBER(SEARCH("R124",G485))*124,0)+IFERROR(--ISNUMBER(SEARCH("R125",G485))*125,0)+IFERROR(--ISNUMBER(SEARCH("R126",G485))*126,0)+IFERROR(--ISNUMBER(SEARCH("R127",G485))*127,0)+IFERROR(--ISNUMBER(SEARCH("R128",G485))*128,0)+IFERROR(--ISNUMBER(SEARCH("R129",G485))*129,0)+IFERROR(--ISNUMBER(SEARCH("R130",G485))*130,0)+IFERROR(--ISNUMBER(SEARCH("R131",G485))*131,0)+IFERROR(--ISNUMBER(SEARCH("R132",G485))*132,0)+IFERROR(--ISNUMBER(SEARCH("R133",G485))*133,0)+IFERROR(--ISNUMBER(SEARCH("R134",G485))*134,0)+IFERROR(--ISNUMBER(SEARCH("R135",G485))*135,0)+IFERROR(--ISNUMBER(SEARCH("R136",G485))*136,0)+IFERROR(--ISNUMBER(SEARCH("R137",G485))*137,0)+IFERROR(--ISNUMBER(SEARCH("R138",G485))*138,0)+IFERROR(--ISNUMBER(SEARCH("R139",G485))*139,0)+IFERROR(--ISNUMBER(SEARCH("R140",G485))*140,0)+IFERROR(--ISNUMBER(SEARCH("R141",G485))*141,0))</f>
        <v/>
      </c>
      <c r="V485" s="59">
        <f>IF(A485="","",IF(K485&lt;&gt;"",K485,J485))</f>
        <v/>
      </c>
      <c r="W485" s="59">
        <f>IF(A485="","",IF(AND(V485=29,O485&lt;&gt;"",COUNTIFS($V$6:$V$505,29,$F$6:$F$505,F485,$C$6:$C$505,C485,$O$6:$O$505,"&lt;&gt;")&gt;1),IF(COUNTIFS($V$6:V485,29,$F$6:F485,F485,$C$6:C485,C485,$O$6:O485,"&lt;&gt;")=1,"Esta es la fila que se debe CONSERVAR (aparición 1 de "&amp;COUNTIFS($V$6:$V$505,29,$F$6:$F$505,F485,$C$6:$C$505,C485,$O$6:$O$505,"&lt;&gt;")&amp;" con el mismo tercero y valor, casilla 29). Si hay más filas iguales, bórreles el valor a ELLAS, no a esta.","DUPLICADO — ya existe otra fila con el mismo tercero y valor para casilla 29 (aparición "&amp;COUNTIFS($V$6:V485,29,$F$6:F485,F485,$C$6:C485,C485,$O$6:O485,"&lt;&gt;")&amp;" de "&amp;COUNTIFS($V$6:$V$505,29,$F$6:$F$505,F485,$C$6:$C$505,C485,$O$6:$O$505,"&lt;&gt;")&amp;"). Para resolverlo: seleccione la celda O"&amp;ROW()&amp;" (columna Valor a declarar de ESTA fila) y presione Supr."),""))</f>
        <v/>
      </c>
      <c r="X485" s="463">
        <f>IF(A485="","",F485)</f>
        <v/>
      </c>
      <c r="Y485" s="463">
        <f>IF(A485="","",SUMIF(Entrada_Manual!$I$88:$I$187,A485,Entrada_Manual!$F$88:$F$187))</f>
        <v/>
      </c>
      <c r="Z485" s="463">
        <f>IF(A485="","",X485-Y485)</f>
        <v/>
      </c>
      <c r="AA485">
        <f>IF(A485="","",SUMPRODUCT((Entrada_Manual!$I$88:$I$187=A485)*1))</f>
        <v/>
      </c>
      <c r="AB485">
        <f>IF(A485="","",IF(S485&lt;=1,"",IF(AA485=0,"PENDIENTE — SIN ASIGNAR",IF(Z485=0,"RESUELTO","PARCIAL — DIFERENCIA "&amp;TEXT(Z485,"#,##0")))))</f>
        <v/>
      </c>
    </row>
    <row r="486" ht="14.25" customHeight="1" s="235">
      <c r="A486" s="47">
        <f>IF(Exogena_RAW!E495&lt;&gt;"",ROW()-5,"")</f>
        <v/>
      </c>
      <c r="B486" s="48">
        <f>IF(A486="","",495)</f>
        <v/>
      </c>
      <c r="C486" s="48">
        <f>IF(A486="","",IFERROR(Exogena_RAW!A495,""))</f>
        <v/>
      </c>
      <c r="D486" s="48">
        <f>IF(A486="","",IFERROR(Exogena_RAW!B495,""))</f>
        <v/>
      </c>
      <c r="E486" s="48">
        <f>IF(A486="","",Exogena_RAW!E495)</f>
        <v/>
      </c>
      <c r="F486" s="461">
        <f>IF(A486="","",Exogena_RAW!F495)</f>
        <v/>
      </c>
      <c r="G486" s="48">
        <f>IF(A486="","",IFERROR(Exogena_RAW!G495,""))</f>
        <v/>
      </c>
      <c r="H486" s="48">
        <f>IF(A486="","",IFERROR(Exogena_RAW!H495,""))</f>
        <v/>
      </c>
      <c r="I486" s="48">
        <f>IF(A486="","",IFERROR(IF(S486&gt;1,"VARIAS CASILLAS",IF(S486=1,IF(T486=1,"PROPUESTA DE CASILLA","REVISIÓN: CASILLA NO DIRECTA"),IF(OR(ISNUMBER(SEARCH("TOPE",UPPER(E486))),ISNUMBER(SEARCH("TOPE",UPPER(G486)))),"SOLO CONTROL",IF(ISNUMBER(SEARCH("RETEN",UPPER(E486))),"RETENCIÓN","REVISAR")))),"REVISAR"))</f>
        <v/>
      </c>
      <c r="J486" s="48">
        <f>IF(A486="","",IF(ISNUMBER(SEARCH("ingreso laboral promedio de los últimos seis meses",E486)),"",IFERROR(IF(AND(S486=1,T486=1),U486,""),"")))</f>
        <v/>
      </c>
      <c r="K486" s="216" t="n"/>
      <c r="L486" s="48">
        <f>IF(A486="","",IFERROR(IF(K486&lt;&gt;"","Casilla elegida por usuario",IF(S486&gt;1,"Varias casillas — elegir en K",IF(J486&lt;&gt;"","Sugerencia directa",IF(S486=1,"No trasladar directo — revisar",IF(OR(ISNUMBER(SEARCH("TOPE",UPPER(E486))),ISNUMBER(SEARCH("TOPE",UPPER(G486)))),"Solo control","Revisar manualmente"))))),"Revisar manualmente"))</f>
        <v/>
      </c>
      <c r="M486" s="461">
        <f>IF(A486="","",IF(IF(K486&lt;&gt;"",K486,J486)="",0,IF(COUNTIFS(Reglas!$I$5:$I$118,IF(K486&lt;&gt;"",K486,J486),Reglas!$J$5:$J$118,"Sí")=1,F486,0)))</f>
        <v/>
      </c>
      <c r="N486" s="56" t="n"/>
      <c r="O486" s="462">
        <f>IF(A486="","",IF(M486=0,"",M486))</f>
        <v/>
      </c>
      <c r="P486" s="461">
        <f>IF(A486="","",IF(O486="",0,IF(ISNUMBER(O486),O486,0)))</f>
        <v/>
      </c>
      <c r="Q486" s="48">
        <f>IF(A486="","",IF(Exogena_RAW!$C$4="","BLOQUEADO: FALTA AÑO",IF(Exogena_RAW!$K$10&lt;&gt;Reglas!$B$5,"BLOQUEADO: AÑO",IF(IF(K486&lt;&gt;"",K486,J486)="",IF(S486&gt;1,"REQUIERE ASIGNACIÓN MANUAL (VARIAS CASILLAS)","INFORMATIVO (sin casilla — no se declara)"),IF(COUNTIFS(Reglas!$I$5:$I$118,IF(K486&lt;&gt;"",K486,J486),Reglas!$J$5:$J$118,"Sí")=0,"BLOQUEADO: CASILLA NO DIRECTA",IF(O486="","EXCLUIDO (valor borrado por el usuario)",IF(_xlfn.ISFORMULA(O486),IF(W486&lt;&gt;"","BORRADOR — VALOR SUGERIDO DIAN ⚠ VER ALERTA","BORRADOR — VALOR SUGERIDO DIAN"),IF(W486&lt;&gt;"","ACEPTADO ⚠ VER ALERTA","ACEPTADO"))))))))</f>
        <v/>
      </c>
      <c r="R486" s="218" t="n"/>
      <c r="S486" s="58">
        <f>IF(A486="","",IFERROR(--ISNUMBER(SEARCH("R28",G486)),0)+IFERROR(--ISNUMBER(SEARCH("R29",G486)),0)+IFERROR(--ISNUMBER(SEARCH("R30",G486)),0)+IFERROR(--ISNUMBER(SEARCH("R31",G486)),0)+IFERROR(--ISNUMBER(SEARCH("R32",G486)),0)+IFERROR(--ISNUMBER(SEARCH("R33",G486)),0)+IFERROR(--ISNUMBER(SEARCH("R34",G486)),0)+IFERROR(--ISNUMBER(SEARCH("R35",G486)),0)+IFERROR(--ISNUMBER(SEARCH("R36",G486)),0)+IFERROR(--ISNUMBER(SEARCH("R37",G486)),0)+IFERROR(--ISNUMBER(SEARCH("R38",G486)),0)+IFERROR(--ISNUMBER(SEARCH("R39",G486)),0)+IFERROR(--ISNUMBER(SEARCH("R40",G486)),0)+IFERROR(--ISNUMBER(SEARCH("R41",G486)),0)+IFERROR(--ISNUMBER(SEARCH("R42",G486)),0)+IFERROR(--ISNUMBER(SEARCH("R43",G486)),0)+IFERROR(--ISNUMBER(SEARCH("R44",G486)),0)+IFERROR(--ISNUMBER(SEARCH("R45",G486)),0)+IFERROR(--ISNUMBER(SEARCH("R46",G486)),0)+IFERROR(--ISNUMBER(SEARCH("R47",G486)),0)+IFERROR(--ISNUMBER(SEARCH("R48",G486)),0)+IFERROR(--ISNUMBER(SEARCH("R49",G486)),0)+IFERROR(--ISNUMBER(SEARCH("R50",G486)),0)+IFERROR(--ISNUMBER(SEARCH("R51",G486)),0)+IFERROR(--ISNUMBER(SEARCH("R52",G486)),0)+IFERROR(--ISNUMBER(SEARCH("R53",G486)),0)+IFERROR(--ISNUMBER(SEARCH("R54",G486)),0)+IFERROR(--ISNUMBER(SEARCH("R55",G486)),0)+IFERROR(--ISNUMBER(SEARCH("R56",G486)),0)+IFERROR(--ISNUMBER(SEARCH("R57",G486)),0)+IFERROR(--ISNUMBER(SEARCH("R58",G486)),0)+IFERROR(--ISNUMBER(SEARCH("R59",G486)),0)+IFERROR(--ISNUMBER(SEARCH("R60",G486)),0)+IFERROR(--ISNUMBER(SEARCH("R61",G486)),0)+IFERROR(--ISNUMBER(SEARCH("R62",G486)),0)+IFERROR(--ISNUMBER(SEARCH("R63",G486)),0)+IFERROR(--ISNUMBER(SEARCH("R64",G486)),0)+IFERROR(--ISNUMBER(SEARCH("R65",G486)),0)+IFERROR(--ISNUMBER(SEARCH("R66",G486)),0)+IFERROR(--ISNUMBER(SEARCH("R67",G486)),0)+IFERROR(--ISNUMBER(SEARCH("R68",G486)),0)+IFERROR(--ISNUMBER(SEARCH("R69",G486)),0)+IFERROR(--ISNUMBER(SEARCH("R70",G486)),0)+IFERROR(--ISNUMBER(SEARCH("R71",G486)),0)+IFERROR(--ISNUMBER(SEARCH("R72",G486)),0)+IFERROR(--ISNUMBER(SEARCH("R73",G486)),0)+IFERROR(--ISNUMBER(SEARCH("R74",G486)),0)+IFERROR(--ISNUMBER(SEARCH("R75",G486)),0)+IFERROR(--ISNUMBER(SEARCH("R76",G486)),0)+IFERROR(--ISNUMBER(SEARCH("R77",G486)),0)+IFERROR(--ISNUMBER(SEARCH("R78",G486)),0)+IFERROR(--ISNUMBER(SEARCH("R79",G486)),0)+IFERROR(--ISNUMBER(SEARCH("R80",G486)),0)+IFERROR(--ISNUMBER(SEARCH("R81",G486)),0)+IFERROR(--ISNUMBER(SEARCH("R82",G486)),0)+IFERROR(--ISNUMBER(SEARCH("R83",G486)),0)+IFERROR(--ISNUMBER(SEARCH("R84",G486)),0)+IFERROR(--ISNUMBER(SEARCH("R85",G486)),0)+IFERROR(--ISNUMBER(SEARCH("R86",G486)),0)+IFERROR(--ISNUMBER(SEARCH("R87",G486)),0)+IFERROR(--ISNUMBER(SEARCH("R88",G486)),0)+IFERROR(--ISNUMBER(SEARCH("R89",G486)),0)+IFERROR(--ISNUMBER(SEARCH("R90",G486)),0)+IFERROR(--ISNUMBER(SEARCH("R91",G486)),0)+IFERROR(--ISNUMBER(SEARCH("R92",G486)),0)+IFERROR(--ISNUMBER(SEARCH("R93",G486)),0)+IFERROR(--ISNUMBER(SEARCH("R94",G486)),0)+IFERROR(--ISNUMBER(SEARCH("R95",G486)),0)+IFERROR(--ISNUMBER(SEARCH("R96",G486)),0)+IFERROR(--ISNUMBER(SEARCH("R97",G486)),0)+IFERROR(--ISNUMBER(SEARCH("R98",G486)),0)+IFERROR(--ISNUMBER(SEARCH("R99",G486)),0)+IFERROR(--ISNUMBER(SEARCH("R100",G486)),0)+IFERROR(--ISNUMBER(SEARCH("R101",G486)),0)+IFERROR(--ISNUMBER(SEARCH("R102",G486)),0)+IFERROR(--ISNUMBER(SEARCH("R103",G486)),0)+IFERROR(--ISNUMBER(SEARCH("R104",G486)),0)+IFERROR(--ISNUMBER(SEARCH("R105",G486)),0)+IFERROR(--ISNUMBER(SEARCH("R106",G486)),0)+IFERROR(--ISNUMBER(SEARCH("R107",G486)),0)+IFERROR(--ISNUMBER(SEARCH("R108",G486)),0)+IFERROR(--ISNUMBER(SEARCH("R109",G486)),0)+IFERROR(--ISNUMBER(SEARCH("R110",G486)),0)+IFERROR(--ISNUMBER(SEARCH("R111",G486)),0)+IFERROR(--ISNUMBER(SEARCH("R112",G486)),0)+IFERROR(--ISNUMBER(SEARCH("R113",G486)),0)+IFERROR(--ISNUMBER(SEARCH("R114",G486)),0)+IFERROR(--ISNUMBER(SEARCH("R115",G486)),0)+IFERROR(--ISNUMBER(SEARCH("R116",G486)),0)+IFERROR(--ISNUMBER(SEARCH("R117",G486)),0)+IFERROR(--ISNUMBER(SEARCH("R118",G486)),0)+IFERROR(--ISNUMBER(SEARCH("R119",G486)),0)+IFERROR(--ISNUMBER(SEARCH("R120",G486)),0)+IFERROR(--ISNUMBER(SEARCH("R121",G486)),0)+IFERROR(--ISNUMBER(SEARCH("R122",G486)),0)+IFERROR(--ISNUMBER(SEARCH("R123",G486)),0)+IFERROR(--ISNUMBER(SEARCH("R124",G486)),0)+IFERROR(--ISNUMBER(SEARCH("R125",G486)),0)+IFERROR(--ISNUMBER(SEARCH("R126",G486)),0)+IFERROR(--ISNUMBER(SEARCH("R127",G486)),0)+IFERROR(--ISNUMBER(SEARCH("R128",G486)),0)+IFERROR(--ISNUMBER(SEARCH("R129",G486)),0)+IFERROR(--ISNUMBER(SEARCH("R130",G486)),0)+IFERROR(--ISNUMBER(SEARCH("R131",G486)),0)+IFERROR(--ISNUMBER(SEARCH("R132",G486)),0)+IFERROR(--ISNUMBER(SEARCH("R133",G486)),0)+IFERROR(--ISNUMBER(SEARCH("R134",G486)),0)+IFERROR(--ISNUMBER(SEARCH("R135",G486)),0)+IFERROR(--ISNUMBER(SEARCH("R136",G486)),0)+IFERROR(--ISNUMBER(SEARCH("R137",G486)),0)+IFERROR(--ISNUMBER(SEARCH("R138",G486)),0)+IFERROR(--ISNUMBER(SEARCH("R139",G486)),0)+IFERROR(--ISNUMBER(SEARCH("R140",G486)),0)+IFERROR(--ISNUMBER(SEARCH("R141",G486)),0))</f>
        <v/>
      </c>
      <c r="T486" s="58">
        <f>IF(A486="","",IFERROR(--ISNUMBER(SEARCH("R28",G486)),0)+IFERROR(--ISNUMBER(SEARCH("R29",G486)),0)+IFERROR(--ISNUMBER(SEARCH("R30",G486)),0)+IFERROR(--ISNUMBER(SEARCH("R32",G486)),0)+IFERROR(--ISNUMBER(SEARCH("R33",G486)),0)+IFERROR(--ISNUMBER(SEARCH("R35",G486)),0)+IFERROR(--ISNUMBER(SEARCH("R36",G486)),0)+IFERROR(--ISNUMBER(SEARCH("R38",G486)),0)+IFERROR(--ISNUMBER(SEARCH("R39",G486)),0)+IFERROR(--ISNUMBER(SEARCH("R43",G486)),0)+IFERROR(--ISNUMBER(SEARCH("R44",G486)),0)+IFERROR(--ISNUMBER(SEARCH("R45",G486)),0)+IFERROR(--ISNUMBER(SEARCH("R47",G486)),0)+IFERROR(--ISNUMBER(SEARCH("R48",G486)),0)+IFERROR(--ISNUMBER(SEARCH("R50",G486)),0)+IFERROR(--ISNUMBER(SEARCH("R51",G486)),0)+IFERROR(--ISNUMBER(SEARCH("R56",G486)),0)+IFERROR(--ISNUMBER(SEARCH("R58",G486)),0)+IFERROR(--ISNUMBER(SEARCH("R59",G486)),0)+IFERROR(--ISNUMBER(SEARCH("R60",G486)),0)+IFERROR(--ISNUMBER(SEARCH("R62",G486)),0)+IFERROR(--ISNUMBER(SEARCH("R63",G486)),0)+IFERROR(--ISNUMBER(SEARCH("R64",G486)),0)+IFERROR(--ISNUMBER(SEARCH("R66",G486)),0)+IFERROR(--ISNUMBER(SEARCH("R67",G486)),0)+IFERROR(--ISNUMBER(SEARCH("R72",G486)),0)+IFERROR(--ISNUMBER(SEARCH("R74",G486)),0)+IFERROR(--ISNUMBER(SEARCH("R75",G486)),0)+IFERROR(--ISNUMBER(SEARCH("R76",G486)),0)+IFERROR(--ISNUMBER(SEARCH("R77",G486)),0)+IFERROR(--ISNUMBER(SEARCH("R79",G486)),0)+IFERROR(--ISNUMBER(SEARCH("R80",G486)),0)+IFERROR(--ISNUMBER(SEARCH("R81",G486)),0)+IFERROR(--ISNUMBER(SEARCH("R83",G486)),0)+IFERROR(--ISNUMBER(SEARCH("R84",G486)),0)+IFERROR(--ISNUMBER(SEARCH("R89",G486)),0)+IFERROR(--ISNUMBER(SEARCH("R94",G486)),0)+IFERROR(--ISNUMBER(SEARCH("R95",G486)),0)+IFERROR(--ISNUMBER(SEARCH("R96",G486)),0)+IFERROR(--ISNUMBER(SEARCH("R98",G486)),0)+IFERROR(--ISNUMBER(SEARCH("R99",G486)),0)+IFERROR(--ISNUMBER(SEARCH("R100",G486)),0)+IFERROR(--ISNUMBER(SEARCH("R104",G486)),0)+IFERROR(--ISNUMBER(SEARCH("R105",G486)),0)+IFERROR(--ISNUMBER(SEARCH("R107",G486)),0)+IFERROR(--ISNUMBER(SEARCH("R108",G486)),0)+IFERROR(--ISNUMBER(SEARCH("R109",G486)),0)+IFERROR(--ISNUMBER(SEARCH("R110",G486)),0)+IFERROR(--ISNUMBER(SEARCH("R112",G486)),0)+IFERROR(--ISNUMBER(SEARCH("R113",G486)),0)+IFERROR(--ISNUMBER(SEARCH("R114",G486)),0)+IFERROR(--ISNUMBER(SEARCH("R118",G486)),0)+IFERROR(--ISNUMBER(SEARCH("R119",G486)),0)+IFERROR(--ISNUMBER(SEARCH("R120",G486)),0)+IFERROR(--ISNUMBER(SEARCH("R122",G486)),0)+IFERROR(--ISNUMBER(SEARCH("R123",G486)),0)+IFERROR(--ISNUMBER(SEARCH("R124",G486)),0)+IFERROR(--ISNUMBER(SEARCH("R128",G486)),0)+IFERROR(--ISNUMBER(SEARCH("R130",G486)),0)+IFERROR(--ISNUMBER(SEARCH("R131",G486)),0)+IFERROR(--ISNUMBER(SEARCH("R132",G486)),0)+IFERROR(--ISNUMBER(SEARCH("R135",G486)),0)+IFERROR(--ISNUMBER(SEARCH("R138",G486)),0)+IFERROR(--ISNUMBER(SEARCH("R141",G486)),0))</f>
        <v/>
      </c>
      <c r="U486" s="58">
        <f>IF(A486="","",IFERROR(--ISNUMBER(SEARCH("R28",G486))*28,0)+IFERROR(--ISNUMBER(SEARCH("R29",G486))*29,0)+IFERROR(--ISNUMBER(SEARCH("R30",G486))*30,0)+IFERROR(--ISNUMBER(SEARCH("R31",G486))*31,0)+IFERROR(--ISNUMBER(SEARCH("R32",G486))*32,0)+IFERROR(--ISNUMBER(SEARCH("R33",G486))*33,0)+IFERROR(--ISNUMBER(SEARCH("R34",G486))*34,0)+IFERROR(--ISNUMBER(SEARCH("R35",G486))*35,0)+IFERROR(--ISNUMBER(SEARCH("R36",G486))*36,0)+IFERROR(--ISNUMBER(SEARCH("R37",G486))*37,0)+IFERROR(--ISNUMBER(SEARCH("R38",G486))*38,0)+IFERROR(--ISNUMBER(SEARCH("R39",G486))*39,0)+IFERROR(--ISNUMBER(SEARCH("R40",G486))*40,0)+IFERROR(--ISNUMBER(SEARCH("R41",G486))*41,0)+IFERROR(--ISNUMBER(SEARCH("R42",G486))*42,0)+IFERROR(--ISNUMBER(SEARCH("R43",G486))*43,0)+IFERROR(--ISNUMBER(SEARCH("R44",G486))*44,0)+IFERROR(--ISNUMBER(SEARCH("R45",G486))*45,0)+IFERROR(--ISNUMBER(SEARCH("R46",G486))*46,0)+IFERROR(--ISNUMBER(SEARCH("R47",G486))*47,0)+IFERROR(--ISNUMBER(SEARCH("R48",G486))*48,0)+IFERROR(--ISNUMBER(SEARCH("R49",G486))*49,0)+IFERROR(--ISNUMBER(SEARCH("R50",G486))*50,0)+IFERROR(--ISNUMBER(SEARCH("R51",G486))*51,0)+IFERROR(--ISNUMBER(SEARCH("R52",G486))*52,0)+IFERROR(--ISNUMBER(SEARCH("R53",G486))*53,0)+IFERROR(--ISNUMBER(SEARCH("R54",G486))*54,0)+IFERROR(--ISNUMBER(SEARCH("R55",G486))*55,0)+IFERROR(--ISNUMBER(SEARCH("R56",G486))*56,0)+IFERROR(--ISNUMBER(SEARCH("R57",G486))*57,0)+IFERROR(--ISNUMBER(SEARCH("R58",G486))*58,0)+IFERROR(--ISNUMBER(SEARCH("R59",G486))*59,0)+IFERROR(--ISNUMBER(SEARCH("R60",G486))*60,0)+IFERROR(--ISNUMBER(SEARCH("R61",G486))*61,0)+IFERROR(--ISNUMBER(SEARCH("R62",G486))*62,0)+IFERROR(--ISNUMBER(SEARCH("R63",G486))*63,0)+IFERROR(--ISNUMBER(SEARCH("R64",G486))*64,0)+IFERROR(--ISNUMBER(SEARCH("R65",G486))*65,0)+IFERROR(--ISNUMBER(SEARCH("R66",G486))*66,0)+IFERROR(--ISNUMBER(SEARCH("R67",G486))*67,0)+IFERROR(--ISNUMBER(SEARCH("R68",G486))*68,0)+IFERROR(--ISNUMBER(SEARCH("R69",G486))*69,0)+IFERROR(--ISNUMBER(SEARCH("R70",G486))*70,0)+IFERROR(--ISNUMBER(SEARCH("R71",G486))*71,0)+IFERROR(--ISNUMBER(SEARCH("R72",G486))*72,0)+IFERROR(--ISNUMBER(SEARCH("R73",G486))*73,0)+IFERROR(--ISNUMBER(SEARCH("R74",G486))*74,0)+IFERROR(--ISNUMBER(SEARCH("R75",G486))*75,0)+IFERROR(--ISNUMBER(SEARCH("R76",G486))*76,0)+IFERROR(--ISNUMBER(SEARCH("R77",G486))*77,0)+IFERROR(--ISNUMBER(SEARCH("R78",G486))*78,0)+IFERROR(--ISNUMBER(SEARCH("R79",G486))*79,0)+IFERROR(--ISNUMBER(SEARCH("R80",G486))*80,0)+IFERROR(--ISNUMBER(SEARCH("R81",G486))*81,0)+IFERROR(--ISNUMBER(SEARCH("R82",G486))*82,0)+IFERROR(--ISNUMBER(SEARCH("R83",G486))*83,0)+IFERROR(--ISNUMBER(SEARCH("R84",G486))*84,0)+IFERROR(--ISNUMBER(SEARCH("R85",G486))*85,0)+IFERROR(--ISNUMBER(SEARCH("R86",G486))*86,0)+IFERROR(--ISNUMBER(SEARCH("R87",G486))*87,0)+IFERROR(--ISNUMBER(SEARCH("R88",G486))*88,0)+IFERROR(--ISNUMBER(SEARCH("R89",G486))*89,0)+IFERROR(--ISNUMBER(SEARCH("R90",G486))*90,0)+IFERROR(--ISNUMBER(SEARCH("R91",G486))*91,0)+IFERROR(--ISNUMBER(SEARCH("R92",G486))*92,0)+IFERROR(--ISNUMBER(SEARCH("R93",G486))*93,0)+IFERROR(--ISNUMBER(SEARCH("R94",G486))*94,0)+IFERROR(--ISNUMBER(SEARCH("R95",G486))*95,0)+IFERROR(--ISNUMBER(SEARCH("R96",G486))*96,0)+IFERROR(--ISNUMBER(SEARCH("R97",G486))*97,0)+IFERROR(--ISNUMBER(SEARCH("R98",G486))*98,0)+IFERROR(--ISNUMBER(SEARCH("R99",G486))*99,0)+IFERROR(--ISNUMBER(SEARCH("R100",G486))*100,0)+IFERROR(--ISNUMBER(SEARCH("R101",G486))*101,0)+IFERROR(--ISNUMBER(SEARCH("R102",G486))*102,0)+IFERROR(--ISNUMBER(SEARCH("R103",G486))*103,0)+IFERROR(--ISNUMBER(SEARCH("R104",G486))*104,0)+IFERROR(--ISNUMBER(SEARCH("R105",G486))*105,0)+IFERROR(--ISNUMBER(SEARCH("R106",G486))*106,0)+IFERROR(--ISNUMBER(SEARCH("R107",G486))*107,0)+IFERROR(--ISNUMBER(SEARCH("R108",G486))*108,0)+IFERROR(--ISNUMBER(SEARCH("R109",G486))*109,0)+IFERROR(--ISNUMBER(SEARCH("R110",G486))*110,0)+IFERROR(--ISNUMBER(SEARCH("R111",G486))*111,0)+IFERROR(--ISNUMBER(SEARCH("R112",G486))*112,0)+IFERROR(--ISNUMBER(SEARCH("R113",G486))*113,0)+IFERROR(--ISNUMBER(SEARCH("R114",G486))*114,0)+IFERROR(--ISNUMBER(SEARCH("R115",G486))*115,0)+IFERROR(--ISNUMBER(SEARCH("R116",G486))*116,0)+IFERROR(--ISNUMBER(SEARCH("R117",G486))*117,0)+IFERROR(--ISNUMBER(SEARCH("R118",G486))*118,0)+IFERROR(--ISNUMBER(SEARCH("R119",G486))*119,0)+IFERROR(--ISNUMBER(SEARCH("R120",G486))*120,0)+IFERROR(--ISNUMBER(SEARCH("R121",G486))*121,0)+IFERROR(--ISNUMBER(SEARCH("R122",G486))*122,0)+IFERROR(--ISNUMBER(SEARCH("R123",G486))*123,0)+IFERROR(--ISNUMBER(SEARCH("R124",G486))*124,0)+IFERROR(--ISNUMBER(SEARCH("R125",G486))*125,0)+IFERROR(--ISNUMBER(SEARCH("R126",G486))*126,0)+IFERROR(--ISNUMBER(SEARCH("R127",G486))*127,0)+IFERROR(--ISNUMBER(SEARCH("R128",G486))*128,0)+IFERROR(--ISNUMBER(SEARCH("R129",G486))*129,0)+IFERROR(--ISNUMBER(SEARCH("R130",G486))*130,0)+IFERROR(--ISNUMBER(SEARCH("R131",G486))*131,0)+IFERROR(--ISNUMBER(SEARCH("R132",G486))*132,0)+IFERROR(--ISNUMBER(SEARCH("R133",G486))*133,0)+IFERROR(--ISNUMBER(SEARCH("R134",G486))*134,0)+IFERROR(--ISNUMBER(SEARCH("R135",G486))*135,0)+IFERROR(--ISNUMBER(SEARCH("R136",G486))*136,0)+IFERROR(--ISNUMBER(SEARCH("R137",G486))*137,0)+IFERROR(--ISNUMBER(SEARCH("R138",G486))*138,0)+IFERROR(--ISNUMBER(SEARCH("R139",G486))*139,0)+IFERROR(--ISNUMBER(SEARCH("R140",G486))*140,0)+IFERROR(--ISNUMBER(SEARCH("R141",G486))*141,0))</f>
        <v/>
      </c>
      <c r="V486" s="59">
        <f>IF(A486="","",IF(K486&lt;&gt;"",K486,J486))</f>
        <v/>
      </c>
      <c r="W486" s="59">
        <f>IF(A486="","",IF(AND(V486=29,O486&lt;&gt;"",COUNTIFS($V$6:$V$505,29,$F$6:$F$505,F486,$C$6:$C$505,C486,$O$6:$O$505,"&lt;&gt;")&gt;1),IF(COUNTIFS($V$6:V486,29,$F$6:F486,F486,$C$6:C486,C486,$O$6:O486,"&lt;&gt;")=1,"Esta es la fila que se debe CONSERVAR (aparición 1 de "&amp;COUNTIFS($V$6:$V$505,29,$F$6:$F$505,F486,$C$6:$C$505,C486,$O$6:$O$505,"&lt;&gt;")&amp;" con el mismo tercero y valor, casilla 29). Si hay más filas iguales, bórreles el valor a ELLAS, no a esta.","DUPLICADO — ya existe otra fila con el mismo tercero y valor para casilla 29 (aparición "&amp;COUNTIFS($V$6:V486,29,$F$6:F486,F486,$C$6:C486,C486,$O$6:O486,"&lt;&gt;")&amp;" de "&amp;COUNTIFS($V$6:$V$505,29,$F$6:$F$505,F486,$C$6:$C$505,C486,$O$6:$O$505,"&lt;&gt;")&amp;"). Para resolverlo: seleccione la celda O"&amp;ROW()&amp;" (columna Valor a declarar de ESTA fila) y presione Supr."),""))</f>
        <v/>
      </c>
      <c r="X486" s="463">
        <f>IF(A486="","",F486)</f>
        <v/>
      </c>
      <c r="Y486" s="463">
        <f>IF(A486="","",SUMIF(Entrada_Manual!$I$88:$I$187,A486,Entrada_Manual!$F$88:$F$187))</f>
        <v/>
      </c>
      <c r="Z486" s="463">
        <f>IF(A486="","",X486-Y486)</f>
        <v/>
      </c>
      <c r="AA486">
        <f>IF(A486="","",SUMPRODUCT((Entrada_Manual!$I$88:$I$187=A486)*1))</f>
        <v/>
      </c>
      <c r="AB486">
        <f>IF(A486="","",IF(S486&lt;=1,"",IF(AA486=0,"PENDIENTE — SIN ASIGNAR",IF(Z486=0,"RESUELTO","PARCIAL — DIFERENCIA "&amp;TEXT(Z486,"#,##0")))))</f>
        <v/>
      </c>
    </row>
    <row r="487" ht="14.25" customHeight="1" s="235">
      <c r="A487" s="47">
        <f>IF(Exogena_RAW!E496&lt;&gt;"",ROW()-5,"")</f>
        <v/>
      </c>
      <c r="B487" s="48">
        <f>IF(A487="","",496)</f>
        <v/>
      </c>
      <c r="C487" s="48">
        <f>IF(A487="","",IFERROR(Exogena_RAW!A496,""))</f>
        <v/>
      </c>
      <c r="D487" s="48">
        <f>IF(A487="","",IFERROR(Exogena_RAW!B496,""))</f>
        <v/>
      </c>
      <c r="E487" s="48">
        <f>IF(A487="","",Exogena_RAW!E496)</f>
        <v/>
      </c>
      <c r="F487" s="461">
        <f>IF(A487="","",Exogena_RAW!F496)</f>
        <v/>
      </c>
      <c r="G487" s="48">
        <f>IF(A487="","",IFERROR(Exogena_RAW!G496,""))</f>
        <v/>
      </c>
      <c r="H487" s="48">
        <f>IF(A487="","",IFERROR(Exogena_RAW!H496,""))</f>
        <v/>
      </c>
      <c r="I487" s="48">
        <f>IF(A487="","",IFERROR(IF(S487&gt;1,"VARIAS CASILLAS",IF(S487=1,IF(T487=1,"PROPUESTA DE CASILLA","REVISIÓN: CASILLA NO DIRECTA"),IF(OR(ISNUMBER(SEARCH("TOPE",UPPER(E487))),ISNUMBER(SEARCH("TOPE",UPPER(G487)))),"SOLO CONTROL",IF(ISNUMBER(SEARCH("RETEN",UPPER(E487))),"RETENCIÓN","REVISAR")))),"REVISAR"))</f>
        <v/>
      </c>
      <c r="J487" s="48">
        <f>IF(A487="","",IF(ISNUMBER(SEARCH("ingreso laboral promedio de los últimos seis meses",E487)),"",IFERROR(IF(AND(S487=1,T487=1),U487,""),"")))</f>
        <v/>
      </c>
      <c r="K487" s="216" t="n"/>
      <c r="L487" s="48">
        <f>IF(A487="","",IFERROR(IF(K487&lt;&gt;"","Casilla elegida por usuario",IF(S487&gt;1,"Varias casillas — elegir en K",IF(J487&lt;&gt;"","Sugerencia directa",IF(S487=1,"No trasladar directo — revisar",IF(OR(ISNUMBER(SEARCH("TOPE",UPPER(E487))),ISNUMBER(SEARCH("TOPE",UPPER(G487)))),"Solo control","Revisar manualmente"))))),"Revisar manualmente"))</f>
        <v/>
      </c>
      <c r="M487" s="461">
        <f>IF(A487="","",IF(IF(K487&lt;&gt;"",K487,J487)="",0,IF(COUNTIFS(Reglas!$I$5:$I$118,IF(K487&lt;&gt;"",K487,J487),Reglas!$J$5:$J$118,"Sí")=1,F487,0)))</f>
        <v/>
      </c>
      <c r="N487" s="56" t="n"/>
      <c r="O487" s="462">
        <f>IF(A487="","",IF(M487=0,"",M487))</f>
        <v/>
      </c>
      <c r="P487" s="461">
        <f>IF(A487="","",IF(O487="",0,IF(ISNUMBER(O487),O487,0)))</f>
        <v/>
      </c>
      <c r="Q487" s="48">
        <f>IF(A487="","",IF(Exogena_RAW!$C$4="","BLOQUEADO: FALTA AÑO",IF(Exogena_RAW!$K$10&lt;&gt;Reglas!$B$5,"BLOQUEADO: AÑO",IF(IF(K487&lt;&gt;"",K487,J487)="",IF(S487&gt;1,"REQUIERE ASIGNACIÓN MANUAL (VARIAS CASILLAS)","INFORMATIVO (sin casilla — no se declara)"),IF(COUNTIFS(Reglas!$I$5:$I$118,IF(K487&lt;&gt;"",K487,J487),Reglas!$J$5:$J$118,"Sí")=0,"BLOQUEADO: CASILLA NO DIRECTA",IF(O487="","EXCLUIDO (valor borrado por el usuario)",IF(_xlfn.ISFORMULA(O487),IF(W487&lt;&gt;"","BORRADOR — VALOR SUGERIDO DIAN ⚠ VER ALERTA","BORRADOR — VALOR SUGERIDO DIAN"),IF(W487&lt;&gt;"","ACEPTADO ⚠ VER ALERTA","ACEPTADO"))))))))</f>
        <v/>
      </c>
      <c r="R487" s="218" t="n"/>
      <c r="S487" s="58">
        <f>IF(A487="","",IFERROR(--ISNUMBER(SEARCH("R28",G487)),0)+IFERROR(--ISNUMBER(SEARCH("R29",G487)),0)+IFERROR(--ISNUMBER(SEARCH("R30",G487)),0)+IFERROR(--ISNUMBER(SEARCH("R31",G487)),0)+IFERROR(--ISNUMBER(SEARCH("R32",G487)),0)+IFERROR(--ISNUMBER(SEARCH("R33",G487)),0)+IFERROR(--ISNUMBER(SEARCH("R34",G487)),0)+IFERROR(--ISNUMBER(SEARCH("R35",G487)),0)+IFERROR(--ISNUMBER(SEARCH("R36",G487)),0)+IFERROR(--ISNUMBER(SEARCH("R37",G487)),0)+IFERROR(--ISNUMBER(SEARCH("R38",G487)),0)+IFERROR(--ISNUMBER(SEARCH("R39",G487)),0)+IFERROR(--ISNUMBER(SEARCH("R40",G487)),0)+IFERROR(--ISNUMBER(SEARCH("R41",G487)),0)+IFERROR(--ISNUMBER(SEARCH("R42",G487)),0)+IFERROR(--ISNUMBER(SEARCH("R43",G487)),0)+IFERROR(--ISNUMBER(SEARCH("R44",G487)),0)+IFERROR(--ISNUMBER(SEARCH("R45",G487)),0)+IFERROR(--ISNUMBER(SEARCH("R46",G487)),0)+IFERROR(--ISNUMBER(SEARCH("R47",G487)),0)+IFERROR(--ISNUMBER(SEARCH("R48",G487)),0)+IFERROR(--ISNUMBER(SEARCH("R49",G487)),0)+IFERROR(--ISNUMBER(SEARCH("R50",G487)),0)+IFERROR(--ISNUMBER(SEARCH("R51",G487)),0)+IFERROR(--ISNUMBER(SEARCH("R52",G487)),0)+IFERROR(--ISNUMBER(SEARCH("R53",G487)),0)+IFERROR(--ISNUMBER(SEARCH("R54",G487)),0)+IFERROR(--ISNUMBER(SEARCH("R55",G487)),0)+IFERROR(--ISNUMBER(SEARCH("R56",G487)),0)+IFERROR(--ISNUMBER(SEARCH("R57",G487)),0)+IFERROR(--ISNUMBER(SEARCH("R58",G487)),0)+IFERROR(--ISNUMBER(SEARCH("R59",G487)),0)+IFERROR(--ISNUMBER(SEARCH("R60",G487)),0)+IFERROR(--ISNUMBER(SEARCH("R61",G487)),0)+IFERROR(--ISNUMBER(SEARCH("R62",G487)),0)+IFERROR(--ISNUMBER(SEARCH("R63",G487)),0)+IFERROR(--ISNUMBER(SEARCH("R64",G487)),0)+IFERROR(--ISNUMBER(SEARCH("R65",G487)),0)+IFERROR(--ISNUMBER(SEARCH("R66",G487)),0)+IFERROR(--ISNUMBER(SEARCH("R67",G487)),0)+IFERROR(--ISNUMBER(SEARCH("R68",G487)),0)+IFERROR(--ISNUMBER(SEARCH("R69",G487)),0)+IFERROR(--ISNUMBER(SEARCH("R70",G487)),0)+IFERROR(--ISNUMBER(SEARCH("R71",G487)),0)+IFERROR(--ISNUMBER(SEARCH("R72",G487)),0)+IFERROR(--ISNUMBER(SEARCH("R73",G487)),0)+IFERROR(--ISNUMBER(SEARCH("R74",G487)),0)+IFERROR(--ISNUMBER(SEARCH("R75",G487)),0)+IFERROR(--ISNUMBER(SEARCH("R76",G487)),0)+IFERROR(--ISNUMBER(SEARCH("R77",G487)),0)+IFERROR(--ISNUMBER(SEARCH("R78",G487)),0)+IFERROR(--ISNUMBER(SEARCH("R79",G487)),0)+IFERROR(--ISNUMBER(SEARCH("R80",G487)),0)+IFERROR(--ISNUMBER(SEARCH("R81",G487)),0)+IFERROR(--ISNUMBER(SEARCH("R82",G487)),0)+IFERROR(--ISNUMBER(SEARCH("R83",G487)),0)+IFERROR(--ISNUMBER(SEARCH("R84",G487)),0)+IFERROR(--ISNUMBER(SEARCH("R85",G487)),0)+IFERROR(--ISNUMBER(SEARCH("R86",G487)),0)+IFERROR(--ISNUMBER(SEARCH("R87",G487)),0)+IFERROR(--ISNUMBER(SEARCH("R88",G487)),0)+IFERROR(--ISNUMBER(SEARCH("R89",G487)),0)+IFERROR(--ISNUMBER(SEARCH("R90",G487)),0)+IFERROR(--ISNUMBER(SEARCH("R91",G487)),0)+IFERROR(--ISNUMBER(SEARCH("R92",G487)),0)+IFERROR(--ISNUMBER(SEARCH("R93",G487)),0)+IFERROR(--ISNUMBER(SEARCH("R94",G487)),0)+IFERROR(--ISNUMBER(SEARCH("R95",G487)),0)+IFERROR(--ISNUMBER(SEARCH("R96",G487)),0)+IFERROR(--ISNUMBER(SEARCH("R97",G487)),0)+IFERROR(--ISNUMBER(SEARCH("R98",G487)),0)+IFERROR(--ISNUMBER(SEARCH("R99",G487)),0)+IFERROR(--ISNUMBER(SEARCH("R100",G487)),0)+IFERROR(--ISNUMBER(SEARCH("R101",G487)),0)+IFERROR(--ISNUMBER(SEARCH("R102",G487)),0)+IFERROR(--ISNUMBER(SEARCH("R103",G487)),0)+IFERROR(--ISNUMBER(SEARCH("R104",G487)),0)+IFERROR(--ISNUMBER(SEARCH("R105",G487)),0)+IFERROR(--ISNUMBER(SEARCH("R106",G487)),0)+IFERROR(--ISNUMBER(SEARCH("R107",G487)),0)+IFERROR(--ISNUMBER(SEARCH("R108",G487)),0)+IFERROR(--ISNUMBER(SEARCH("R109",G487)),0)+IFERROR(--ISNUMBER(SEARCH("R110",G487)),0)+IFERROR(--ISNUMBER(SEARCH("R111",G487)),0)+IFERROR(--ISNUMBER(SEARCH("R112",G487)),0)+IFERROR(--ISNUMBER(SEARCH("R113",G487)),0)+IFERROR(--ISNUMBER(SEARCH("R114",G487)),0)+IFERROR(--ISNUMBER(SEARCH("R115",G487)),0)+IFERROR(--ISNUMBER(SEARCH("R116",G487)),0)+IFERROR(--ISNUMBER(SEARCH("R117",G487)),0)+IFERROR(--ISNUMBER(SEARCH("R118",G487)),0)+IFERROR(--ISNUMBER(SEARCH("R119",G487)),0)+IFERROR(--ISNUMBER(SEARCH("R120",G487)),0)+IFERROR(--ISNUMBER(SEARCH("R121",G487)),0)+IFERROR(--ISNUMBER(SEARCH("R122",G487)),0)+IFERROR(--ISNUMBER(SEARCH("R123",G487)),0)+IFERROR(--ISNUMBER(SEARCH("R124",G487)),0)+IFERROR(--ISNUMBER(SEARCH("R125",G487)),0)+IFERROR(--ISNUMBER(SEARCH("R126",G487)),0)+IFERROR(--ISNUMBER(SEARCH("R127",G487)),0)+IFERROR(--ISNUMBER(SEARCH("R128",G487)),0)+IFERROR(--ISNUMBER(SEARCH("R129",G487)),0)+IFERROR(--ISNUMBER(SEARCH("R130",G487)),0)+IFERROR(--ISNUMBER(SEARCH("R131",G487)),0)+IFERROR(--ISNUMBER(SEARCH("R132",G487)),0)+IFERROR(--ISNUMBER(SEARCH("R133",G487)),0)+IFERROR(--ISNUMBER(SEARCH("R134",G487)),0)+IFERROR(--ISNUMBER(SEARCH("R135",G487)),0)+IFERROR(--ISNUMBER(SEARCH("R136",G487)),0)+IFERROR(--ISNUMBER(SEARCH("R137",G487)),0)+IFERROR(--ISNUMBER(SEARCH("R138",G487)),0)+IFERROR(--ISNUMBER(SEARCH("R139",G487)),0)+IFERROR(--ISNUMBER(SEARCH("R140",G487)),0)+IFERROR(--ISNUMBER(SEARCH("R141",G487)),0))</f>
        <v/>
      </c>
      <c r="T487" s="58">
        <f>IF(A487="","",IFERROR(--ISNUMBER(SEARCH("R28",G487)),0)+IFERROR(--ISNUMBER(SEARCH("R29",G487)),0)+IFERROR(--ISNUMBER(SEARCH("R30",G487)),0)+IFERROR(--ISNUMBER(SEARCH("R32",G487)),0)+IFERROR(--ISNUMBER(SEARCH("R33",G487)),0)+IFERROR(--ISNUMBER(SEARCH("R35",G487)),0)+IFERROR(--ISNUMBER(SEARCH("R36",G487)),0)+IFERROR(--ISNUMBER(SEARCH("R38",G487)),0)+IFERROR(--ISNUMBER(SEARCH("R39",G487)),0)+IFERROR(--ISNUMBER(SEARCH("R43",G487)),0)+IFERROR(--ISNUMBER(SEARCH("R44",G487)),0)+IFERROR(--ISNUMBER(SEARCH("R45",G487)),0)+IFERROR(--ISNUMBER(SEARCH("R47",G487)),0)+IFERROR(--ISNUMBER(SEARCH("R48",G487)),0)+IFERROR(--ISNUMBER(SEARCH("R50",G487)),0)+IFERROR(--ISNUMBER(SEARCH("R51",G487)),0)+IFERROR(--ISNUMBER(SEARCH("R56",G487)),0)+IFERROR(--ISNUMBER(SEARCH("R58",G487)),0)+IFERROR(--ISNUMBER(SEARCH("R59",G487)),0)+IFERROR(--ISNUMBER(SEARCH("R60",G487)),0)+IFERROR(--ISNUMBER(SEARCH("R62",G487)),0)+IFERROR(--ISNUMBER(SEARCH("R63",G487)),0)+IFERROR(--ISNUMBER(SEARCH("R64",G487)),0)+IFERROR(--ISNUMBER(SEARCH("R66",G487)),0)+IFERROR(--ISNUMBER(SEARCH("R67",G487)),0)+IFERROR(--ISNUMBER(SEARCH("R72",G487)),0)+IFERROR(--ISNUMBER(SEARCH("R74",G487)),0)+IFERROR(--ISNUMBER(SEARCH("R75",G487)),0)+IFERROR(--ISNUMBER(SEARCH("R76",G487)),0)+IFERROR(--ISNUMBER(SEARCH("R77",G487)),0)+IFERROR(--ISNUMBER(SEARCH("R79",G487)),0)+IFERROR(--ISNUMBER(SEARCH("R80",G487)),0)+IFERROR(--ISNUMBER(SEARCH("R81",G487)),0)+IFERROR(--ISNUMBER(SEARCH("R83",G487)),0)+IFERROR(--ISNUMBER(SEARCH("R84",G487)),0)+IFERROR(--ISNUMBER(SEARCH("R89",G487)),0)+IFERROR(--ISNUMBER(SEARCH("R94",G487)),0)+IFERROR(--ISNUMBER(SEARCH("R95",G487)),0)+IFERROR(--ISNUMBER(SEARCH("R96",G487)),0)+IFERROR(--ISNUMBER(SEARCH("R98",G487)),0)+IFERROR(--ISNUMBER(SEARCH("R99",G487)),0)+IFERROR(--ISNUMBER(SEARCH("R100",G487)),0)+IFERROR(--ISNUMBER(SEARCH("R104",G487)),0)+IFERROR(--ISNUMBER(SEARCH("R105",G487)),0)+IFERROR(--ISNUMBER(SEARCH("R107",G487)),0)+IFERROR(--ISNUMBER(SEARCH("R108",G487)),0)+IFERROR(--ISNUMBER(SEARCH("R109",G487)),0)+IFERROR(--ISNUMBER(SEARCH("R110",G487)),0)+IFERROR(--ISNUMBER(SEARCH("R112",G487)),0)+IFERROR(--ISNUMBER(SEARCH("R113",G487)),0)+IFERROR(--ISNUMBER(SEARCH("R114",G487)),0)+IFERROR(--ISNUMBER(SEARCH("R118",G487)),0)+IFERROR(--ISNUMBER(SEARCH("R119",G487)),0)+IFERROR(--ISNUMBER(SEARCH("R120",G487)),0)+IFERROR(--ISNUMBER(SEARCH("R122",G487)),0)+IFERROR(--ISNUMBER(SEARCH("R123",G487)),0)+IFERROR(--ISNUMBER(SEARCH("R124",G487)),0)+IFERROR(--ISNUMBER(SEARCH("R128",G487)),0)+IFERROR(--ISNUMBER(SEARCH("R130",G487)),0)+IFERROR(--ISNUMBER(SEARCH("R131",G487)),0)+IFERROR(--ISNUMBER(SEARCH("R132",G487)),0)+IFERROR(--ISNUMBER(SEARCH("R135",G487)),0)+IFERROR(--ISNUMBER(SEARCH("R138",G487)),0)+IFERROR(--ISNUMBER(SEARCH("R141",G487)),0))</f>
        <v/>
      </c>
      <c r="U487" s="58">
        <f>IF(A487="","",IFERROR(--ISNUMBER(SEARCH("R28",G487))*28,0)+IFERROR(--ISNUMBER(SEARCH("R29",G487))*29,0)+IFERROR(--ISNUMBER(SEARCH("R30",G487))*30,0)+IFERROR(--ISNUMBER(SEARCH("R31",G487))*31,0)+IFERROR(--ISNUMBER(SEARCH("R32",G487))*32,0)+IFERROR(--ISNUMBER(SEARCH("R33",G487))*33,0)+IFERROR(--ISNUMBER(SEARCH("R34",G487))*34,0)+IFERROR(--ISNUMBER(SEARCH("R35",G487))*35,0)+IFERROR(--ISNUMBER(SEARCH("R36",G487))*36,0)+IFERROR(--ISNUMBER(SEARCH("R37",G487))*37,0)+IFERROR(--ISNUMBER(SEARCH("R38",G487))*38,0)+IFERROR(--ISNUMBER(SEARCH("R39",G487))*39,0)+IFERROR(--ISNUMBER(SEARCH("R40",G487))*40,0)+IFERROR(--ISNUMBER(SEARCH("R41",G487))*41,0)+IFERROR(--ISNUMBER(SEARCH("R42",G487))*42,0)+IFERROR(--ISNUMBER(SEARCH("R43",G487))*43,0)+IFERROR(--ISNUMBER(SEARCH("R44",G487))*44,0)+IFERROR(--ISNUMBER(SEARCH("R45",G487))*45,0)+IFERROR(--ISNUMBER(SEARCH("R46",G487))*46,0)+IFERROR(--ISNUMBER(SEARCH("R47",G487))*47,0)+IFERROR(--ISNUMBER(SEARCH("R48",G487))*48,0)+IFERROR(--ISNUMBER(SEARCH("R49",G487))*49,0)+IFERROR(--ISNUMBER(SEARCH("R50",G487))*50,0)+IFERROR(--ISNUMBER(SEARCH("R51",G487))*51,0)+IFERROR(--ISNUMBER(SEARCH("R52",G487))*52,0)+IFERROR(--ISNUMBER(SEARCH("R53",G487))*53,0)+IFERROR(--ISNUMBER(SEARCH("R54",G487))*54,0)+IFERROR(--ISNUMBER(SEARCH("R55",G487))*55,0)+IFERROR(--ISNUMBER(SEARCH("R56",G487))*56,0)+IFERROR(--ISNUMBER(SEARCH("R57",G487))*57,0)+IFERROR(--ISNUMBER(SEARCH("R58",G487))*58,0)+IFERROR(--ISNUMBER(SEARCH("R59",G487))*59,0)+IFERROR(--ISNUMBER(SEARCH("R60",G487))*60,0)+IFERROR(--ISNUMBER(SEARCH("R61",G487))*61,0)+IFERROR(--ISNUMBER(SEARCH("R62",G487))*62,0)+IFERROR(--ISNUMBER(SEARCH("R63",G487))*63,0)+IFERROR(--ISNUMBER(SEARCH("R64",G487))*64,0)+IFERROR(--ISNUMBER(SEARCH("R65",G487))*65,0)+IFERROR(--ISNUMBER(SEARCH("R66",G487))*66,0)+IFERROR(--ISNUMBER(SEARCH("R67",G487))*67,0)+IFERROR(--ISNUMBER(SEARCH("R68",G487))*68,0)+IFERROR(--ISNUMBER(SEARCH("R69",G487))*69,0)+IFERROR(--ISNUMBER(SEARCH("R70",G487))*70,0)+IFERROR(--ISNUMBER(SEARCH("R71",G487))*71,0)+IFERROR(--ISNUMBER(SEARCH("R72",G487))*72,0)+IFERROR(--ISNUMBER(SEARCH("R73",G487))*73,0)+IFERROR(--ISNUMBER(SEARCH("R74",G487))*74,0)+IFERROR(--ISNUMBER(SEARCH("R75",G487))*75,0)+IFERROR(--ISNUMBER(SEARCH("R76",G487))*76,0)+IFERROR(--ISNUMBER(SEARCH("R77",G487))*77,0)+IFERROR(--ISNUMBER(SEARCH("R78",G487))*78,0)+IFERROR(--ISNUMBER(SEARCH("R79",G487))*79,0)+IFERROR(--ISNUMBER(SEARCH("R80",G487))*80,0)+IFERROR(--ISNUMBER(SEARCH("R81",G487))*81,0)+IFERROR(--ISNUMBER(SEARCH("R82",G487))*82,0)+IFERROR(--ISNUMBER(SEARCH("R83",G487))*83,0)+IFERROR(--ISNUMBER(SEARCH("R84",G487))*84,0)+IFERROR(--ISNUMBER(SEARCH("R85",G487))*85,0)+IFERROR(--ISNUMBER(SEARCH("R86",G487))*86,0)+IFERROR(--ISNUMBER(SEARCH("R87",G487))*87,0)+IFERROR(--ISNUMBER(SEARCH("R88",G487))*88,0)+IFERROR(--ISNUMBER(SEARCH("R89",G487))*89,0)+IFERROR(--ISNUMBER(SEARCH("R90",G487))*90,0)+IFERROR(--ISNUMBER(SEARCH("R91",G487))*91,0)+IFERROR(--ISNUMBER(SEARCH("R92",G487))*92,0)+IFERROR(--ISNUMBER(SEARCH("R93",G487))*93,0)+IFERROR(--ISNUMBER(SEARCH("R94",G487))*94,0)+IFERROR(--ISNUMBER(SEARCH("R95",G487))*95,0)+IFERROR(--ISNUMBER(SEARCH("R96",G487))*96,0)+IFERROR(--ISNUMBER(SEARCH("R97",G487))*97,0)+IFERROR(--ISNUMBER(SEARCH("R98",G487))*98,0)+IFERROR(--ISNUMBER(SEARCH("R99",G487))*99,0)+IFERROR(--ISNUMBER(SEARCH("R100",G487))*100,0)+IFERROR(--ISNUMBER(SEARCH("R101",G487))*101,0)+IFERROR(--ISNUMBER(SEARCH("R102",G487))*102,0)+IFERROR(--ISNUMBER(SEARCH("R103",G487))*103,0)+IFERROR(--ISNUMBER(SEARCH("R104",G487))*104,0)+IFERROR(--ISNUMBER(SEARCH("R105",G487))*105,0)+IFERROR(--ISNUMBER(SEARCH("R106",G487))*106,0)+IFERROR(--ISNUMBER(SEARCH("R107",G487))*107,0)+IFERROR(--ISNUMBER(SEARCH("R108",G487))*108,0)+IFERROR(--ISNUMBER(SEARCH("R109",G487))*109,0)+IFERROR(--ISNUMBER(SEARCH("R110",G487))*110,0)+IFERROR(--ISNUMBER(SEARCH("R111",G487))*111,0)+IFERROR(--ISNUMBER(SEARCH("R112",G487))*112,0)+IFERROR(--ISNUMBER(SEARCH("R113",G487))*113,0)+IFERROR(--ISNUMBER(SEARCH("R114",G487))*114,0)+IFERROR(--ISNUMBER(SEARCH("R115",G487))*115,0)+IFERROR(--ISNUMBER(SEARCH("R116",G487))*116,0)+IFERROR(--ISNUMBER(SEARCH("R117",G487))*117,0)+IFERROR(--ISNUMBER(SEARCH("R118",G487))*118,0)+IFERROR(--ISNUMBER(SEARCH("R119",G487))*119,0)+IFERROR(--ISNUMBER(SEARCH("R120",G487))*120,0)+IFERROR(--ISNUMBER(SEARCH("R121",G487))*121,0)+IFERROR(--ISNUMBER(SEARCH("R122",G487))*122,0)+IFERROR(--ISNUMBER(SEARCH("R123",G487))*123,0)+IFERROR(--ISNUMBER(SEARCH("R124",G487))*124,0)+IFERROR(--ISNUMBER(SEARCH("R125",G487))*125,0)+IFERROR(--ISNUMBER(SEARCH("R126",G487))*126,0)+IFERROR(--ISNUMBER(SEARCH("R127",G487))*127,0)+IFERROR(--ISNUMBER(SEARCH("R128",G487))*128,0)+IFERROR(--ISNUMBER(SEARCH("R129",G487))*129,0)+IFERROR(--ISNUMBER(SEARCH("R130",G487))*130,0)+IFERROR(--ISNUMBER(SEARCH("R131",G487))*131,0)+IFERROR(--ISNUMBER(SEARCH("R132",G487))*132,0)+IFERROR(--ISNUMBER(SEARCH("R133",G487))*133,0)+IFERROR(--ISNUMBER(SEARCH("R134",G487))*134,0)+IFERROR(--ISNUMBER(SEARCH("R135",G487))*135,0)+IFERROR(--ISNUMBER(SEARCH("R136",G487))*136,0)+IFERROR(--ISNUMBER(SEARCH("R137",G487))*137,0)+IFERROR(--ISNUMBER(SEARCH("R138",G487))*138,0)+IFERROR(--ISNUMBER(SEARCH("R139",G487))*139,0)+IFERROR(--ISNUMBER(SEARCH("R140",G487))*140,0)+IFERROR(--ISNUMBER(SEARCH("R141",G487))*141,0))</f>
        <v/>
      </c>
      <c r="V487" s="59">
        <f>IF(A487="","",IF(K487&lt;&gt;"",K487,J487))</f>
        <v/>
      </c>
      <c r="W487" s="59">
        <f>IF(A487="","",IF(AND(V487=29,O487&lt;&gt;"",COUNTIFS($V$6:$V$505,29,$F$6:$F$505,F487,$C$6:$C$505,C487,$O$6:$O$505,"&lt;&gt;")&gt;1),IF(COUNTIFS($V$6:V487,29,$F$6:F487,F487,$C$6:C487,C487,$O$6:O487,"&lt;&gt;")=1,"Esta es la fila que se debe CONSERVAR (aparición 1 de "&amp;COUNTIFS($V$6:$V$505,29,$F$6:$F$505,F487,$C$6:$C$505,C487,$O$6:$O$505,"&lt;&gt;")&amp;" con el mismo tercero y valor, casilla 29). Si hay más filas iguales, bórreles el valor a ELLAS, no a esta.","DUPLICADO — ya existe otra fila con el mismo tercero y valor para casilla 29 (aparición "&amp;COUNTIFS($V$6:V487,29,$F$6:F487,F487,$C$6:C487,C487,$O$6:O487,"&lt;&gt;")&amp;" de "&amp;COUNTIFS($V$6:$V$505,29,$F$6:$F$505,F487,$C$6:$C$505,C487,$O$6:$O$505,"&lt;&gt;")&amp;"). Para resolverlo: seleccione la celda O"&amp;ROW()&amp;" (columna Valor a declarar de ESTA fila) y presione Supr."),""))</f>
        <v/>
      </c>
      <c r="X487" s="463">
        <f>IF(A487="","",F487)</f>
        <v/>
      </c>
      <c r="Y487" s="463">
        <f>IF(A487="","",SUMIF(Entrada_Manual!$I$88:$I$187,A487,Entrada_Manual!$F$88:$F$187))</f>
        <v/>
      </c>
      <c r="Z487" s="463">
        <f>IF(A487="","",X487-Y487)</f>
        <v/>
      </c>
      <c r="AA487">
        <f>IF(A487="","",SUMPRODUCT((Entrada_Manual!$I$88:$I$187=A487)*1))</f>
        <v/>
      </c>
      <c r="AB487">
        <f>IF(A487="","",IF(S487&lt;=1,"",IF(AA487=0,"PENDIENTE — SIN ASIGNAR",IF(Z487=0,"RESUELTO","PARCIAL — DIFERENCIA "&amp;TEXT(Z487,"#,##0")))))</f>
        <v/>
      </c>
    </row>
    <row r="488" ht="14.25" customHeight="1" s="235">
      <c r="A488" s="47">
        <f>IF(Exogena_RAW!E497&lt;&gt;"",ROW()-5,"")</f>
        <v/>
      </c>
      <c r="B488" s="48">
        <f>IF(A488="","",497)</f>
        <v/>
      </c>
      <c r="C488" s="48">
        <f>IF(A488="","",IFERROR(Exogena_RAW!A497,""))</f>
        <v/>
      </c>
      <c r="D488" s="48">
        <f>IF(A488="","",IFERROR(Exogena_RAW!B497,""))</f>
        <v/>
      </c>
      <c r="E488" s="48">
        <f>IF(A488="","",Exogena_RAW!E497)</f>
        <v/>
      </c>
      <c r="F488" s="461">
        <f>IF(A488="","",Exogena_RAW!F497)</f>
        <v/>
      </c>
      <c r="G488" s="48">
        <f>IF(A488="","",IFERROR(Exogena_RAW!G497,""))</f>
        <v/>
      </c>
      <c r="H488" s="48">
        <f>IF(A488="","",IFERROR(Exogena_RAW!H497,""))</f>
        <v/>
      </c>
      <c r="I488" s="48">
        <f>IF(A488="","",IFERROR(IF(S488&gt;1,"VARIAS CASILLAS",IF(S488=1,IF(T488=1,"PROPUESTA DE CASILLA","REVISIÓN: CASILLA NO DIRECTA"),IF(OR(ISNUMBER(SEARCH("TOPE",UPPER(E488))),ISNUMBER(SEARCH("TOPE",UPPER(G488)))),"SOLO CONTROL",IF(ISNUMBER(SEARCH("RETEN",UPPER(E488))),"RETENCIÓN","REVISAR")))),"REVISAR"))</f>
        <v/>
      </c>
      <c r="J488" s="48">
        <f>IF(A488="","",IF(ISNUMBER(SEARCH("ingreso laboral promedio de los últimos seis meses",E488)),"",IFERROR(IF(AND(S488=1,T488=1),U488,""),"")))</f>
        <v/>
      </c>
      <c r="K488" s="216" t="n"/>
      <c r="L488" s="48">
        <f>IF(A488="","",IFERROR(IF(K488&lt;&gt;"","Casilla elegida por usuario",IF(S488&gt;1,"Varias casillas — elegir en K",IF(J488&lt;&gt;"","Sugerencia directa",IF(S488=1,"No trasladar directo — revisar",IF(OR(ISNUMBER(SEARCH("TOPE",UPPER(E488))),ISNUMBER(SEARCH("TOPE",UPPER(G488)))),"Solo control","Revisar manualmente"))))),"Revisar manualmente"))</f>
        <v/>
      </c>
      <c r="M488" s="461">
        <f>IF(A488="","",IF(IF(K488&lt;&gt;"",K488,J488)="",0,IF(COUNTIFS(Reglas!$I$5:$I$118,IF(K488&lt;&gt;"",K488,J488),Reglas!$J$5:$J$118,"Sí")=1,F488,0)))</f>
        <v/>
      </c>
      <c r="N488" s="56" t="n"/>
      <c r="O488" s="462">
        <f>IF(A488="","",IF(M488=0,"",M488))</f>
        <v/>
      </c>
      <c r="P488" s="461">
        <f>IF(A488="","",IF(O488="",0,IF(ISNUMBER(O488),O488,0)))</f>
        <v/>
      </c>
      <c r="Q488" s="48">
        <f>IF(A488="","",IF(Exogena_RAW!$C$4="","BLOQUEADO: FALTA AÑO",IF(Exogena_RAW!$K$10&lt;&gt;Reglas!$B$5,"BLOQUEADO: AÑO",IF(IF(K488&lt;&gt;"",K488,J488)="",IF(S488&gt;1,"REQUIERE ASIGNACIÓN MANUAL (VARIAS CASILLAS)","INFORMATIVO (sin casilla — no se declara)"),IF(COUNTIFS(Reglas!$I$5:$I$118,IF(K488&lt;&gt;"",K488,J488),Reglas!$J$5:$J$118,"Sí")=0,"BLOQUEADO: CASILLA NO DIRECTA",IF(O488="","EXCLUIDO (valor borrado por el usuario)",IF(_xlfn.ISFORMULA(O488),IF(W488&lt;&gt;"","BORRADOR — VALOR SUGERIDO DIAN ⚠ VER ALERTA","BORRADOR — VALOR SUGERIDO DIAN"),IF(W488&lt;&gt;"","ACEPTADO ⚠ VER ALERTA","ACEPTADO"))))))))</f>
        <v/>
      </c>
      <c r="R488" s="218" t="n"/>
      <c r="S488" s="58">
        <f>IF(A488="","",IFERROR(--ISNUMBER(SEARCH("R28",G488)),0)+IFERROR(--ISNUMBER(SEARCH("R29",G488)),0)+IFERROR(--ISNUMBER(SEARCH("R30",G488)),0)+IFERROR(--ISNUMBER(SEARCH("R31",G488)),0)+IFERROR(--ISNUMBER(SEARCH("R32",G488)),0)+IFERROR(--ISNUMBER(SEARCH("R33",G488)),0)+IFERROR(--ISNUMBER(SEARCH("R34",G488)),0)+IFERROR(--ISNUMBER(SEARCH("R35",G488)),0)+IFERROR(--ISNUMBER(SEARCH("R36",G488)),0)+IFERROR(--ISNUMBER(SEARCH("R37",G488)),0)+IFERROR(--ISNUMBER(SEARCH("R38",G488)),0)+IFERROR(--ISNUMBER(SEARCH("R39",G488)),0)+IFERROR(--ISNUMBER(SEARCH("R40",G488)),0)+IFERROR(--ISNUMBER(SEARCH("R41",G488)),0)+IFERROR(--ISNUMBER(SEARCH("R42",G488)),0)+IFERROR(--ISNUMBER(SEARCH("R43",G488)),0)+IFERROR(--ISNUMBER(SEARCH("R44",G488)),0)+IFERROR(--ISNUMBER(SEARCH("R45",G488)),0)+IFERROR(--ISNUMBER(SEARCH("R46",G488)),0)+IFERROR(--ISNUMBER(SEARCH("R47",G488)),0)+IFERROR(--ISNUMBER(SEARCH("R48",G488)),0)+IFERROR(--ISNUMBER(SEARCH("R49",G488)),0)+IFERROR(--ISNUMBER(SEARCH("R50",G488)),0)+IFERROR(--ISNUMBER(SEARCH("R51",G488)),0)+IFERROR(--ISNUMBER(SEARCH("R52",G488)),0)+IFERROR(--ISNUMBER(SEARCH("R53",G488)),0)+IFERROR(--ISNUMBER(SEARCH("R54",G488)),0)+IFERROR(--ISNUMBER(SEARCH("R55",G488)),0)+IFERROR(--ISNUMBER(SEARCH("R56",G488)),0)+IFERROR(--ISNUMBER(SEARCH("R57",G488)),0)+IFERROR(--ISNUMBER(SEARCH("R58",G488)),0)+IFERROR(--ISNUMBER(SEARCH("R59",G488)),0)+IFERROR(--ISNUMBER(SEARCH("R60",G488)),0)+IFERROR(--ISNUMBER(SEARCH("R61",G488)),0)+IFERROR(--ISNUMBER(SEARCH("R62",G488)),0)+IFERROR(--ISNUMBER(SEARCH("R63",G488)),0)+IFERROR(--ISNUMBER(SEARCH("R64",G488)),0)+IFERROR(--ISNUMBER(SEARCH("R65",G488)),0)+IFERROR(--ISNUMBER(SEARCH("R66",G488)),0)+IFERROR(--ISNUMBER(SEARCH("R67",G488)),0)+IFERROR(--ISNUMBER(SEARCH("R68",G488)),0)+IFERROR(--ISNUMBER(SEARCH("R69",G488)),0)+IFERROR(--ISNUMBER(SEARCH("R70",G488)),0)+IFERROR(--ISNUMBER(SEARCH("R71",G488)),0)+IFERROR(--ISNUMBER(SEARCH("R72",G488)),0)+IFERROR(--ISNUMBER(SEARCH("R73",G488)),0)+IFERROR(--ISNUMBER(SEARCH("R74",G488)),0)+IFERROR(--ISNUMBER(SEARCH("R75",G488)),0)+IFERROR(--ISNUMBER(SEARCH("R76",G488)),0)+IFERROR(--ISNUMBER(SEARCH("R77",G488)),0)+IFERROR(--ISNUMBER(SEARCH("R78",G488)),0)+IFERROR(--ISNUMBER(SEARCH("R79",G488)),0)+IFERROR(--ISNUMBER(SEARCH("R80",G488)),0)+IFERROR(--ISNUMBER(SEARCH("R81",G488)),0)+IFERROR(--ISNUMBER(SEARCH("R82",G488)),0)+IFERROR(--ISNUMBER(SEARCH("R83",G488)),0)+IFERROR(--ISNUMBER(SEARCH("R84",G488)),0)+IFERROR(--ISNUMBER(SEARCH("R85",G488)),0)+IFERROR(--ISNUMBER(SEARCH("R86",G488)),0)+IFERROR(--ISNUMBER(SEARCH("R87",G488)),0)+IFERROR(--ISNUMBER(SEARCH("R88",G488)),0)+IFERROR(--ISNUMBER(SEARCH("R89",G488)),0)+IFERROR(--ISNUMBER(SEARCH("R90",G488)),0)+IFERROR(--ISNUMBER(SEARCH("R91",G488)),0)+IFERROR(--ISNUMBER(SEARCH("R92",G488)),0)+IFERROR(--ISNUMBER(SEARCH("R93",G488)),0)+IFERROR(--ISNUMBER(SEARCH("R94",G488)),0)+IFERROR(--ISNUMBER(SEARCH("R95",G488)),0)+IFERROR(--ISNUMBER(SEARCH("R96",G488)),0)+IFERROR(--ISNUMBER(SEARCH("R97",G488)),0)+IFERROR(--ISNUMBER(SEARCH("R98",G488)),0)+IFERROR(--ISNUMBER(SEARCH("R99",G488)),0)+IFERROR(--ISNUMBER(SEARCH("R100",G488)),0)+IFERROR(--ISNUMBER(SEARCH("R101",G488)),0)+IFERROR(--ISNUMBER(SEARCH("R102",G488)),0)+IFERROR(--ISNUMBER(SEARCH("R103",G488)),0)+IFERROR(--ISNUMBER(SEARCH("R104",G488)),0)+IFERROR(--ISNUMBER(SEARCH("R105",G488)),0)+IFERROR(--ISNUMBER(SEARCH("R106",G488)),0)+IFERROR(--ISNUMBER(SEARCH("R107",G488)),0)+IFERROR(--ISNUMBER(SEARCH("R108",G488)),0)+IFERROR(--ISNUMBER(SEARCH("R109",G488)),0)+IFERROR(--ISNUMBER(SEARCH("R110",G488)),0)+IFERROR(--ISNUMBER(SEARCH("R111",G488)),0)+IFERROR(--ISNUMBER(SEARCH("R112",G488)),0)+IFERROR(--ISNUMBER(SEARCH("R113",G488)),0)+IFERROR(--ISNUMBER(SEARCH("R114",G488)),0)+IFERROR(--ISNUMBER(SEARCH("R115",G488)),0)+IFERROR(--ISNUMBER(SEARCH("R116",G488)),0)+IFERROR(--ISNUMBER(SEARCH("R117",G488)),0)+IFERROR(--ISNUMBER(SEARCH("R118",G488)),0)+IFERROR(--ISNUMBER(SEARCH("R119",G488)),0)+IFERROR(--ISNUMBER(SEARCH("R120",G488)),0)+IFERROR(--ISNUMBER(SEARCH("R121",G488)),0)+IFERROR(--ISNUMBER(SEARCH("R122",G488)),0)+IFERROR(--ISNUMBER(SEARCH("R123",G488)),0)+IFERROR(--ISNUMBER(SEARCH("R124",G488)),0)+IFERROR(--ISNUMBER(SEARCH("R125",G488)),0)+IFERROR(--ISNUMBER(SEARCH("R126",G488)),0)+IFERROR(--ISNUMBER(SEARCH("R127",G488)),0)+IFERROR(--ISNUMBER(SEARCH("R128",G488)),0)+IFERROR(--ISNUMBER(SEARCH("R129",G488)),0)+IFERROR(--ISNUMBER(SEARCH("R130",G488)),0)+IFERROR(--ISNUMBER(SEARCH("R131",G488)),0)+IFERROR(--ISNUMBER(SEARCH("R132",G488)),0)+IFERROR(--ISNUMBER(SEARCH("R133",G488)),0)+IFERROR(--ISNUMBER(SEARCH("R134",G488)),0)+IFERROR(--ISNUMBER(SEARCH("R135",G488)),0)+IFERROR(--ISNUMBER(SEARCH("R136",G488)),0)+IFERROR(--ISNUMBER(SEARCH("R137",G488)),0)+IFERROR(--ISNUMBER(SEARCH("R138",G488)),0)+IFERROR(--ISNUMBER(SEARCH("R139",G488)),0)+IFERROR(--ISNUMBER(SEARCH("R140",G488)),0)+IFERROR(--ISNUMBER(SEARCH("R141",G488)),0))</f>
        <v/>
      </c>
      <c r="T488" s="58">
        <f>IF(A488="","",IFERROR(--ISNUMBER(SEARCH("R28",G488)),0)+IFERROR(--ISNUMBER(SEARCH("R29",G488)),0)+IFERROR(--ISNUMBER(SEARCH("R30",G488)),0)+IFERROR(--ISNUMBER(SEARCH("R32",G488)),0)+IFERROR(--ISNUMBER(SEARCH("R33",G488)),0)+IFERROR(--ISNUMBER(SEARCH("R35",G488)),0)+IFERROR(--ISNUMBER(SEARCH("R36",G488)),0)+IFERROR(--ISNUMBER(SEARCH("R38",G488)),0)+IFERROR(--ISNUMBER(SEARCH("R39",G488)),0)+IFERROR(--ISNUMBER(SEARCH("R43",G488)),0)+IFERROR(--ISNUMBER(SEARCH("R44",G488)),0)+IFERROR(--ISNUMBER(SEARCH("R45",G488)),0)+IFERROR(--ISNUMBER(SEARCH("R47",G488)),0)+IFERROR(--ISNUMBER(SEARCH("R48",G488)),0)+IFERROR(--ISNUMBER(SEARCH("R50",G488)),0)+IFERROR(--ISNUMBER(SEARCH("R51",G488)),0)+IFERROR(--ISNUMBER(SEARCH("R56",G488)),0)+IFERROR(--ISNUMBER(SEARCH("R58",G488)),0)+IFERROR(--ISNUMBER(SEARCH("R59",G488)),0)+IFERROR(--ISNUMBER(SEARCH("R60",G488)),0)+IFERROR(--ISNUMBER(SEARCH("R62",G488)),0)+IFERROR(--ISNUMBER(SEARCH("R63",G488)),0)+IFERROR(--ISNUMBER(SEARCH("R64",G488)),0)+IFERROR(--ISNUMBER(SEARCH("R66",G488)),0)+IFERROR(--ISNUMBER(SEARCH("R67",G488)),0)+IFERROR(--ISNUMBER(SEARCH("R72",G488)),0)+IFERROR(--ISNUMBER(SEARCH("R74",G488)),0)+IFERROR(--ISNUMBER(SEARCH("R75",G488)),0)+IFERROR(--ISNUMBER(SEARCH("R76",G488)),0)+IFERROR(--ISNUMBER(SEARCH("R77",G488)),0)+IFERROR(--ISNUMBER(SEARCH("R79",G488)),0)+IFERROR(--ISNUMBER(SEARCH("R80",G488)),0)+IFERROR(--ISNUMBER(SEARCH("R81",G488)),0)+IFERROR(--ISNUMBER(SEARCH("R83",G488)),0)+IFERROR(--ISNUMBER(SEARCH("R84",G488)),0)+IFERROR(--ISNUMBER(SEARCH("R89",G488)),0)+IFERROR(--ISNUMBER(SEARCH("R94",G488)),0)+IFERROR(--ISNUMBER(SEARCH("R95",G488)),0)+IFERROR(--ISNUMBER(SEARCH("R96",G488)),0)+IFERROR(--ISNUMBER(SEARCH("R98",G488)),0)+IFERROR(--ISNUMBER(SEARCH("R99",G488)),0)+IFERROR(--ISNUMBER(SEARCH("R100",G488)),0)+IFERROR(--ISNUMBER(SEARCH("R104",G488)),0)+IFERROR(--ISNUMBER(SEARCH("R105",G488)),0)+IFERROR(--ISNUMBER(SEARCH("R107",G488)),0)+IFERROR(--ISNUMBER(SEARCH("R108",G488)),0)+IFERROR(--ISNUMBER(SEARCH("R109",G488)),0)+IFERROR(--ISNUMBER(SEARCH("R110",G488)),0)+IFERROR(--ISNUMBER(SEARCH("R112",G488)),0)+IFERROR(--ISNUMBER(SEARCH("R113",G488)),0)+IFERROR(--ISNUMBER(SEARCH("R114",G488)),0)+IFERROR(--ISNUMBER(SEARCH("R118",G488)),0)+IFERROR(--ISNUMBER(SEARCH("R119",G488)),0)+IFERROR(--ISNUMBER(SEARCH("R120",G488)),0)+IFERROR(--ISNUMBER(SEARCH("R122",G488)),0)+IFERROR(--ISNUMBER(SEARCH("R123",G488)),0)+IFERROR(--ISNUMBER(SEARCH("R124",G488)),0)+IFERROR(--ISNUMBER(SEARCH("R128",G488)),0)+IFERROR(--ISNUMBER(SEARCH("R130",G488)),0)+IFERROR(--ISNUMBER(SEARCH("R131",G488)),0)+IFERROR(--ISNUMBER(SEARCH("R132",G488)),0)+IFERROR(--ISNUMBER(SEARCH("R135",G488)),0)+IFERROR(--ISNUMBER(SEARCH("R138",G488)),0)+IFERROR(--ISNUMBER(SEARCH("R141",G488)),0))</f>
        <v/>
      </c>
      <c r="U488" s="58">
        <f>IF(A488="","",IFERROR(--ISNUMBER(SEARCH("R28",G488))*28,0)+IFERROR(--ISNUMBER(SEARCH("R29",G488))*29,0)+IFERROR(--ISNUMBER(SEARCH("R30",G488))*30,0)+IFERROR(--ISNUMBER(SEARCH("R31",G488))*31,0)+IFERROR(--ISNUMBER(SEARCH("R32",G488))*32,0)+IFERROR(--ISNUMBER(SEARCH("R33",G488))*33,0)+IFERROR(--ISNUMBER(SEARCH("R34",G488))*34,0)+IFERROR(--ISNUMBER(SEARCH("R35",G488))*35,0)+IFERROR(--ISNUMBER(SEARCH("R36",G488))*36,0)+IFERROR(--ISNUMBER(SEARCH("R37",G488))*37,0)+IFERROR(--ISNUMBER(SEARCH("R38",G488))*38,0)+IFERROR(--ISNUMBER(SEARCH("R39",G488))*39,0)+IFERROR(--ISNUMBER(SEARCH("R40",G488))*40,0)+IFERROR(--ISNUMBER(SEARCH("R41",G488))*41,0)+IFERROR(--ISNUMBER(SEARCH("R42",G488))*42,0)+IFERROR(--ISNUMBER(SEARCH("R43",G488))*43,0)+IFERROR(--ISNUMBER(SEARCH("R44",G488))*44,0)+IFERROR(--ISNUMBER(SEARCH("R45",G488))*45,0)+IFERROR(--ISNUMBER(SEARCH("R46",G488))*46,0)+IFERROR(--ISNUMBER(SEARCH("R47",G488))*47,0)+IFERROR(--ISNUMBER(SEARCH("R48",G488))*48,0)+IFERROR(--ISNUMBER(SEARCH("R49",G488))*49,0)+IFERROR(--ISNUMBER(SEARCH("R50",G488))*50,0)+IFERROR(--ISNUMBER(SEARCH("R51",G488))*51,0)+IFERROR(--ISNUMBER(SEARCH("R52",G488))*52,0)+IFERROR(--ISNUMBER(SEARCH("R53",G488))*53,0)+IFERROR(--ISNUMBER(SEARCH("R54",G488))*54,0)+IFERROR(--ISNUMBER(SEARCH("R55",G488))*55,0)+IFERROR(--ISNUMBER(SEARCH("R56",G488))*56,0)+IFERROR(--ISNUMBER(SEARCH("R57",G488))*57,0)+IFERROR(--ISNUMBER(SEARCH("R58",G488))*58,0)+IFERROR(--ISNUMBER(SEARCH("R59",G488))*59,0)+IFERROR(--ISNUMBER(SEARCH("R60",G488))*60,0)+IFERROR(--ISNUMBER(SEARCH("R61",G488))*61,0)+IFERROR(--ISNUMBER(SEARCH("R62",G488))*62,0)+IFERROR(--ISNUMBER(SEARCH("R63",G488))*63,0)+IFERROR(--ISNUMBER(SEARCH("R64",G488))*64,0)+IFERROR(--ISNUMBER(SEARCH("R65",G488))*65,0)+IFERROR(--ISNUMBER(SEARCH("R66",G488))*66,0)+IFERROR(--ISNUMBER(SEARCH("R67",G488))*67,0)+IFERROR(--ISNUMBER(SEARCH("R68",G488))*68,0)+IFERROR(--ISNUMBER(SEARCH("R69",G488))*69,0)+IFERROR(--ISNUMBER(SEARCH("R70",G488))*70,0)+IFERROR(--ISNUMBER(SEARCH("R71",G488))*71,0)+IFERROR(--ISNUMBER(SEARCH("R72",G488))*72,0)+IFERROR(--ISNUMBER(SEARCH("R73",G488))*73,0)+IFERROR(--ISNUMBER(SEARCH("R74",G488))*74,0)+IFERROR(--ISNUMBER(SEARCH("R75",G488))*75,0)+IFERROR(--ISNUMBER(SEARCH("R76",G488))*76,0)+IFERROR(--ISNUMBER(SEARCH("R77",G488))*77,0)+IFERROR(--ISNUMBER(SEARCH("R78",G488))*78,0)+IFERROR(--ISNUMBER(SEARCH("R79",G488))*79,0)+IFERROR(--ISNUMBER(SEARCH("R80",G488))*80,0)+IFERROR(--ISNUMBER(SEARCH("R81",G488))*81,0)+IFERROR(--ISNUMBER(SEARCH("R82",G488))*82,0)+IFERROR(--ISNUMBER(SEARCH("R83",G488))*83,0)+IFERROR(--ISNUMBER(SEARCH("R84",G488))*84,0)+IFERROR(--ISNUMBER(SEARCH("R85",G488))*85,0)+IFERROR(--ISNUMBER(SEARCH("R86",G488))*86,0)+IFERROR(--ISNUMBER(SEARCH("R87",G488))*87,0)+IFERROR(--ISNUMBER(SEARCH("R88",G488))*88,0)+IFERROR(--ISNUMBER(SEARCH("R89",G488))*89,0)+IFERROR(--ISNUMBER(SEARCH("R90",G488))*90,0)+IFERROR(--ISNUMBER(SEARCH("R91",G488))*91,0)+IFERROR(--ISNUMBER(SEARCH("R92",G488))*92,0)+IFERROR(--ISNUMBER(SEARCH("R93",G488))*93,0)+IFERROR(--ISNUMBER(SEARCH("R94",G488))*94,0)+IFERROR(--ISNUMBER(SEARCH("R95",G488))*95,0)+IFERROR(--ISNUMBER(SEARCH("R96",G488))*96,0)+IFERROR(--ISNUMBER(SEARCH("R97",G488))*97,0)+IFERROR(--ISNUMBER(SEARCH("R98",G488))*98,0)+IFERROR(--ISNUMBER(SEARCH("R99",G488))*99,0)+IFERROR(--ISNUMBER(SEARCH("R100",G488))*100,0)+IFERROR(--ISNUMBER(SEARCH("R101",G488))*101,0)+IFERROR(--ISNUMBER(SEARCH("R102",G488))*102,0)+IFERROR(--ISNUMBER(SEARCH("R103",G488))*103,0)+IFERROR(--ISNUMBER(SEARCH("R104",G488))*104,0)+IFERROR(--ISNUMBER(SEARCH("R105",G488))*105,0)+IFERROR(--ISNUMBER(SEARCH("R106",G488))*106,0)+IFERROR(--ISNUMBER(SEARCH("R107",G488))*107,0)+IFERROR(--ISNUMBER(SEARCH("R108",G488))*108,0)+IFERROR(--ISNUMBER(SEARCH("R109",G488))*109,0)+IFERROR(--ISNUMBER(SEARCH("R110",G488))*110,0)+IFERROR(--ISNUMBER(SEARCH("R111",G488))*111,0)+IFERROR(--ISNUMBER(SEARCH("R112",G488))*112,0)+IFERROR(--ISNUMBER(SEARCH("R113",G488))*113,0)+IFERROR(--ISNUMBER(SEARCH("R114",G488))*114,0)+IFERROR(--ISNUMBER(SEARCH("R115",G488))*115,0)+IFERROR(--ISNUMBER(SEARCH("R116",G488))*116,0)+IFERROR(--ISNUMBER(SEARCH("R117",G488))*117,0)+IFERROR(--ISNUMBER(SEARCH("R118",G488))*118,0)+IFERROR(--ISNUMBER(SEARCH("R119",G488))*119,0)+IFERROR(--ISNUMBER(SEARCH("R120",G488))*120,0)+IFERROR(--ISNUMBER(SEARCH("R121",G488))*121,0)+IFERROR(--ISNUMBER(SEARCH("R122",G488))*122,0)+IFERROR(--ISNUMBER(SEARCH("R123",G488))*123,0)+IFERROR(--ISNUMBER(SEARCH("R124",G488))*124,0)+IFERROR(--ISNUMBER(SEARCH("R125",G488))*125,0)+IFERROR(--ISNUMBER(SEARCH("R126",G488))*126,0)+IFERROR(--ISNUMBER(SEARCH("R127",G488))*127,0)+IFERROR(--ISNUMBER(SEARCH("R128",G488))*128,0)+IFERROR(--ISNUMBER(SEARCH("R129",G488))*129,0)+IFERROR(--ISNUMBER(SEARCH("R130",G488))*130,0)+IFERROR(--ISNUMBER(SEARCH("R131",G488))*131,0)+IFERROR(--ISNUMBER(SEARCH("R132",G488))*132,0)+IFERROR(--ISNUMBER(SEARCH("R133",G488))*133,0)+IFERROR(--ISNUMBER(SEARCH("R134",G488))*134,0)+IFERROR(--ISNUMBER(SEARCH("R135",G488))*135,0)+IFERROR(--ISNUMBER(SEARCH("R136",G488))*136,0)+IFERROR(--ISNUMBER(SEARCH("R137",G488))*137,0)+IFERROR(--ISNUMBER(SEARCH("R138",G488))*138,0)+IFERROR(--ISNUMBER(SEARCH("R139",G488))*139,0)+IFERROR(--ISNUMBER(SEARCH("R140",G488))*140,0)+IFERROR(--ISNUMBER(SEARCH("R141",G488))*141,0))</f>
        <v/>
      </c>
      <c r="V488" s="59">
        <f>IF(A488="","",IF(K488&lt;&gt;"",K488,J488))</f>
        <v/>
      </c>
      <c r="W488" s="59">
        <f>IF(A488="","",IF(AND(V488=29,O488&lt;&gt;"",COUNTIFS($V$6:$V$505,29,$F$6:$F$505,F488,$C$6:$C$505,C488,$O$6:$O$505,"&lt;&gt;")&gt;1),IF(COUNTIFS($V$6:V488,29,$F$6:F488,F488,$C$6:C488,C488,$O$6:O488,"&lt;&gt;")=1,"Esta es la fila que se debe CONSERVAR (aparición 1 de "&amp;COUNTIFS($V$6:$V$505,29,$F$6:$F$505,F488,$C$6:$C$505,C488,$O$6:$O$505,"&lt;&gt;")&amp;" con el mismo tercero y valor, casilla 29). Si hay más filas iguales, bórreles el valor a ELLAS, no a esta.","DUPLICADO — ya existe otra fila con el mismo tercero y valor para casilla 29 (aparición "&amp;COUNTIFS($V$6:V488,29,$F$6:F488,F488,$C$6:C488,C488,$O$6:O488,"&lt;&gt;")&amp;" de "&amp;COUNTIFS($V$6:$V$505,29,$F$6:$F$505,F488,$C$6:$C$505,C488,$O$6:$O$505,"&lt;&gt;")&amp;"). Para resolverlo: seleccione la celda O"&amp;ROW()&amp;" (columna Valor a declarar de ESTA fila) y presione Supr."),""))</f>
        <v/>
      </c>
      <c r="X488" s="463">
        <f>IF(A488="","",F488)</f>
        <v/>
      </c>
      <c r="Y488" s="463">
        <f>IF(A488="","",SUMIF(Entrada_Manual!$I$88:$I$187,A488,Entrada_Manual!$F$88:$F$187))</f>
        <v/>
      </c>
      <c r="Z488" s="463">
        <f>IF(A488="","",X488-Y488)</f>
        <v/>
      </c>
      <c r="AA488">
        <f>IF(A488="","",SUMPRODUCT((Entrada_Manual!$I$88:$I$187=A488)*1))</f>
        <v/>
      </c>
      <c r="AB488">
        <f>IF(A488="","",IF(S488&lt;=1,"",IF(AA488=0,"PENDIENTE — SIN ASIGNAR",IF(Z488=0,"RESUELTO","PARCIAL — DIFERENCIA "&amp;TEXT(Z488,"#,##0")))))</f>
        <v/>
      </c>
    </row>
    <row r="489" ht="14.25" customHeight="1" s="235">
      <c r="A489" s="47">
        <f>IF(Exogena_RAW!E498&lt;&gt;"",ROW()-5,"")</f>
        <v/>
      </c>
      <c r="B489" s="48">
        <f>IF(A489="","",498)</f>
        <v/>
      </c>
      <c r="C489" s="48">
        <f>IF(A489="","",IFERROR(Exogena_RAW!A498,""))</f>
        <v/>
      </c>
      <c r="D489" s="48">
        <f>IF(A489="","",IFERROR(Exogena_RAW!B498,""))</f>
        <v/>
      </c>
      <c r="E489" s="48">
        <f>IF(A489="","",Exogena_RAW!E498)</f>
        <v/>
      </c>
      <c r="F489" s="461">
        <f>IF(A489="","",Exogena_RAW!F498)</f>
        <v/>
      </c>
      <c r="G489" s="48">
        <f>IF(A489="","",IFERROR(Exogena_RAW!G498,""))</f>
        <v/>
      </c>
      <c r="H489" s="48">
        <f>IF(A489="","",IFERROR(Exogena_RAW!H498,""))</f>
        <v/>
      </c>
      <c r="I489" s="48">
        <f>IF(A489="","",IFERROR(IF(S489&gt;1,"VARIAS CASILLAS",IF(S489=1,IF(T489=1,"PROPUESTA DE CASILLA","REVISIÓN: CASILLA NO DIRECTA"),IF(OR(ISNUMBER(SEARCH("TOPE",UPPER(E489))),ISNUMBER(SEARCH("TOPE",UPPER(G489)))),"SOLO CONTROL",IF(ISNUMBER(SEARCH("RETEN",UPPER(E489))),"RETENCIÓN","REVISAR")))),"REVISAR"))</f>
        <v/>
      </c>
      <c r="J489" s="48">
        <f>IF(A489="","",IF(ISNUMBER(SEARCH("ingreso laboral promedio de los últimos seis meses",E489)),"",IFERROR(IF(AND(S489=1,T489=1),U489,""),"")))</f>
        <v/>
      </c>
      <c r="K489" s="216" t="n"/>
      <c r="L489" s="48">
        <f>IF(A489="","",IFERROR(IF(K489&lt;&gt;"","Casilla elegida por usuario",IF(S489&gt;1,"Varias casillas — elegir en K",IF(J489&lt;&gt;"","Sugerencia directa",IF(S489=1,"No trasladar directo — revisar",IF(OR(ISNUMBER(SEARCH("TOPE",UPPER(E489))),ISNUMBER(SEARCH("TOPE",UPPER(G489)))),"Solo control","Revisar manualmente"))))),"Revisar manualmente"))</f>
        <v/>
      </c>
      <c r="M489" s="461">
        <f>IF(A489="","",IF(IF(K489&lt;&gt;"",K489,J489)="",0,IF(COUNTIFS(Reglas!$I$5:$I$118,IF(K489&lt;&gt;"",K489,J489),Reglas!$J$5:$J$118,"Sí")=1,F489,0)))</f>
        <v/>
      </c>
      <c r="N489" s="56" t="n"/>
      <c r="O489" s="462">
        <f>IF(A489="","",IF(M489=0,"",M489))</f>
        <v/>
      </c>
      <c r="P489" s="461">
        <f>IF(A489="","",IF(O489="",0,IF(ISNUMBER(O489),O489,0)))</f>
        <v/>
      </c>
      <c r="Q489" s="48">
        <f>IF(A489="","",IF(Exogena_RAW!$C$4="","BLOQUEADO: FALTA AÑO",IF(Exogena_RAW!$K$10&lt;&gt;Reglas!$B$5,"BLOQUEADO: AÑO",IF(IF(K489&lt;&gt;"",K489,J489)="",IF(S489&gt;1,"REQUIERE ASIGNACIÓN MANUAL (VARIAS CASILLAS)","INFORMATIVO (sin casilla — no se declara)"),IF(COUNTIFS(Reglas!$I$5:$I$118,IF(K489&lt;&gt;"",K489,J489),Reglas!$J$5:$J$118,"Sí")=0,"BLOQUEADO: CASILLA NO DIRECTA",IF(O489="","EXCLUIDO (valor borrado por el usuario)",IF(_xlfn.ISFORMULA(O489),IF(W489&lt;&gt;"","BORRADOR — VALOR SUGERIDO DIAN ⚠ VER ALERTA","BORRADOR — VALOR SUGERIDO DIAN"),IF(W489&lt;&gt;"","ACEPTADO ⚠ VER ALERTA","ACEPTADO"))))))))</f>
        <v/>
      </c>
      <c r="R489" s="218" t="n"/>
      <c r="S489" s="58">
        <f>IF(A489="","",IFERROR(--ISNUMBER(SEARCH("R28",G489)),0)+IFERROR(--ISNUMBER(SEARCH("R29",G489)),0)+IFERROR(--ISNUMBER(SEARCH("R30",G489)),0)+IFERROR(--ISNUMBER(SEARCH("R31",G489)),0)+IFERROR(--ISNUMBER(SEARCH("R32",G489)),0)+IFERROR(--ISNUMBER(SEARCH("R33",G489)),0)+IFERROR(--ISNUMBER(SEARCH("R34",G489)),0)+IFERROR(--ISNUMBER(SEARCH("R35",G489)),0)+IFERROR(--ISNUMBER(SEARCH("R36",G489)),0)+IFERROR(--ISNUMBER(SEARCH("R37",G489)),0)+IFERROR(--ISNUMBER(SEARCH("R38",G489)),0)+IFERROR(--ISNUMBER(SEARCH("R39",G489)),0)+IFERROR(--ISNUMBER(SEARCH("R40",G489)),0)+IFERROR(--ISNUMBER(SEARCH("R41",G489)),0)+IFERROR(--ISNUMBER(SEARCH("R42",G489)),0)+IFERROR(--ISNUMBER(SEARCH("R43",G489)),0)+IFERROR(--ISNUMBER(SEARCH("R44",G489)),0)+IFERROR(--ISNUMBER(SEARCH("R45",G489)),0)+IFERROR(--ISNUMBER(SEARCH("R46",G489)),0)+IFERROR(--ISNUMBER(SEARCH("R47",G489)),0)+IFERROR(--ISNUMBER(SEARCH("R48",G489)),0)+IFERROR(--ISNUMBER(SEARCH("R49",G489)),0)+IFERROR(--ISNUMBER(SEARCH("R50",G489)),0)+IFERROR(--ISNUMBER(SEARCH("R51",G489)),0)+IFERROR(--ISNUMBER(SEARCH("R52",G489)),0)+IFERROR(--ISNUMBER(SEARCH("R53",G489)),0)+IFERROR(--ISNUMBER(SEARCH("R54",G489)),0)+IFERROR(--ISNUMBER(SEARCH("R55",G489)),0)+IFERROR(--ISNUMBER(SEARCH("R56",G489)),0)+IFERROR(--ISNUMBER(SEARCH("R57",G489)),0)+IFERROR(--ISNUMBER(SEARCH("R58",G489)),0)+IFERROR(--ISNUMBER(SEARCH("R59",G489)),0)+IFERROR(--ISNUMBER(SEARCH("R60",G489)),0)+IFERROR(--ISNUMBER(SEARCH("R61",G489)),0)+IFERROR(--ISNUMBER(SEARCH("R62",G489)),0)+IFERROR(--ISNUMBER(SEARCH("R63",G489)),0)+IFERROR(--ISNUMBER(SEARCH("R64",G489)),0)+IFERROR(--ISNUMBER(SEARCH("R65",G489)),0)+IFERROR(--ISNUMBER(SEARCH("R66",G489)),0)+IFERROR(--ISNUMBER(SEARCH("R67",G489)),0)+IFERROR(--ISNUMBER(SEARCH("R68",G489)),0)+IFERROR(--ISNUMBER(SEARCH("R69",G489)),0)+IFERROR(--ISNUMBER(SEARCH("R70",G489)),0)+IFERROR(--ISNUMBER(SEARCH("R71",G489)),0)+IFERROR(--ISNUMBER(SEARCH("R72",G489)),0)+IFERROR(--ISNUMBER(SEARCH("R73",G489)),0)+IFERROR(--ISNUMBER(SEARCH("R74",G489)),0)+IFERROR(--ISNUMBER(SEARCH("R75",G489)),0)+IFERROR(--ISNUMBER(SEARCH("R76",G489)),0)+IFERROR(--ISNUMBER(SEARCH("R77",G489)),0)+IFERROR(--ISNUMBER(SEARCH("R78",G489)),0)+IFERROR(--ISNUMBER(SEARCH("R79",G489)),0)+IFERROR(--ISNUMBER(SEARCH("R80",G489)),0)+IFERROR(--ISNUMBER(SEARCH("R81",G489)),0)+IFERROR(--ISNUMBER(SEARCH("R82",G489)),0)+IFERROR(--ISNUMBER(SEARCH("R83",G489)),0)+IFERROR(--ISNUMBER(SEARCH("R84",G489)),0)+IFERROR(--ISNUMBER(SEARCH("R85",G489)),0)+IFERROR(--ISNUMBER(SEARCH("R86",G489)),0)+IFERROR(--ISNUMBER(SEARCH("R87",G489)),0)+IFERROR(--ISNUMBER(SEARCH("R88",G489)),0)+IFERROR(--ISNUMBER(SEARCH("R89",G489)),0)+IFERROR(--ISNUMBER(SEARCH("R90",G489)),0)+IFERROR(--ISNUMBER(SEARCH("R91",G489)),0)+IFERROR(--ISNUMBER(SEARCH("R92",G489)),0)+IFERROR(--ISNUMBER(SEARCH("R93",G489)),0)+IFERROR(--ISNUMBER(SEARCH("R94",G489)),0)+IFERROR(--ISNUMBER(SEARCH("R95",G489)),0)+IFERROR(--ISNUMBER(SEARCH("R96",G489)),0)+IFERROR(--ISNUMBER(SEARCH("R97",G489)),0)+IFERROR(--ISNUMBER(SEARCH("R98",G489)),0)+IFERROR(--ISNUMBER(SEARCH("R99",G489)),0)+IFERROR(--ISNUMBER(SEARCH("R100",G489)),0)+IFERROR(--ISNUMBER(SEARCH("R101",G489)),0)+IFERROR(--ISNUMBER(SEARCH("R102",G489)),0)+IFERROR(--ISNUMBER(SEARCH("R103",G489)),0)+IFERROR(--ISNUMBER(SEARCH("R104",G489)),0)+IFERROR(--ISNUMBER(SEARCH("R105",G489)),0)+IFERROR(--ISNUMBER(SEARCH("R106",G489)),0)+IFERROR(--ISNUMBER(SEARCH("R107",G489)),0)+IFERROR(--ISNUMBER(SEARCH("R108",G489)),0)+IFERROR(--ISNUMBER(SEARCH("R109",G489)),0)+IFERROR(--ISNUMBER(SEARCH("R110",G489)),0)+IFERROR(--ISNUMBER(SEARCH("R111",G489)),0)+IFERROR(--ISNUMBER(SEARCH("R112",G489)),0)+IFERROR(--ISNUMBER(SEARCH("R113",G489)),0)+IFERROR(--ISNUMBER(SEARCH("R114",G489)),0)+IFERROR(--ISNUMBER(SEARCH("R115",G489)),0)+IFERROR(--ISNUMBER(SEARCH("R116",G489)),0)+IFERROR(--ISNUMBER(SEARCH("R117",G489)),0)+IFERROR(--ISNUMBER(SEARCH("R118",G489)),0)+IFERROR(--ISNUMBER(SEARCH("R119",G489)),0)+IFERROR(--ISNUMBER(SEARCH("R120",G489)),0)+IFERROR(--ISNUMBER(SEARCH("R121",G489)),0)+IFERROR(--ISNUMBER(SEARCH("R122",G489)),0)+IFERROR(--ISNUMBER(SEARCH("R123",G489)),0)+IFERROR(--ISNUMBER(SEARCH("R124",G489)),0)+IFERROR(--ISNUMBER(SEARCH("R125",G489)),0)+IFERROR(--ISNUMBER(SEARCH("R126",G489)),0)+IFERROR(--ISNUMBER(SEARCH("R127",G489)),0)+IFERROR(--ISNUMBER(SEARCH("R128",G489)),0)+IFERROR(--ISNUMBER(SEARCH("R129",G489)),0)+IFERROR(--ISNUMBER(SEARCH("R130",G489)),0)+IFERROR(--ISNUMBER(SEARCH("R131",G489)),0)+IFERROR(--ISNUMBER(SEARCH("R132",G489)),0)+IFERROR(--ISNUMBER(SEARCH("R133",G489)),0)+IFERROR(--ISNUMBER(SEARCH("R134",G489)),0)+IFERROR(--ISNUMBER(SEARCH("R135",G489)),0)+IFERROR(--ISNUMBER(SEARCH("R136",G489)),0)+IFERROR(--ISNUMBER(SEARCH("R137",G489)),0)+IFERROR(--ISNUMBER(SEARCH("R138",G489)),0)+IFERROR(--ISNUMBER(SEARCH("R139",G489)),0)+IFERROR(--ISNUMBER(SEARCH("R140",G489)),0)+IFERROR(--ISNUMBER(SEARCH("R141",G489)),0))</f>
        <v/>
      </c>
      <c r="T489" s="58">
        <f>IF(A489="","",IFERROR(--ISNUMBER(SEARCH("R28",G489)),0)+IFERROR(--ISNUMBER(SEARCH("R29",G489)),0)+IFERROR(--ISNUMBER(SEARCH("R30",G489)),0)+IFERROR(--ISNUMBER(SEARCH("R32",G489)),0)+IFERROR(--ISNUMBER(SEARCH("R33",G489)),0)+IFERROR(--ISNUMBER(SEARCH("R35",G489)),0)+IFERROR(--ISNUMBER(SEARCH("R36",G489)),0)+IFERROR(--ISNUMBER(SEARCH("R38",G489)),0)+IFERROR(--ISNUMBER(SEARCH("R39",G489)),0)+IFERROR(--ISNUMBER(SEARCH("R43",G489)),0)+IFERROR(--ISNUMBER(SEARCH("R44",G489)),0)+IFERROR(--ISNUMBER(SEARCH("R45",G489)),0)+IFERROR(--ISNUMBER(SEARCH("R47",G489)),0)+IFERROR(--ISNUMBER(SEARCH("R48",G489)),0)+IFERROR(--ISNUMBER(SEARCH("R50",G489)),0)+IFERROR(--ISNUMBER(SEARCH("R51",G489)),0)+IFERROR(--ISNUMBER(SEARCH("R56",G489)),0)+IFERROR(--ISNUMBER(SEARCH("R58",G489)),0)+IFERROR(--ISNUMBER(SEARCH("R59",G489)),0)+IFERROR(--ISNUMBER(SEARCH("R60",G489)),0)+IFERROR(--ISNUMBER(SEARCH("R62",G489)),0)+IFERROR(--ISNUMBER(SEARCH("R63",G489)),0)+IFERROR(--ISNUMBER(SEARCH("R64",G489)),0)+IFERROR(--ISNUMBER(SEARCH("R66",G489)),0)+IFERROR(--ISNUMBER(SEARCH("R67",G489)),0)+IFERROR(--ISNUMBER(SEARCH("R72",G489)),0)+IFERROR(--ISNUMBER(SEARCH("R74",G489)),0)+IFERROR(--ISNUMBER(SEARCH("R75",G489)),0)+IFERROR(--ISNUMBER(SEARCH("R76",G489)),0)+IFERROR(--ISNUMBER(SEARCH("R77",G489)),0)+IFERROR(--ISNUMBER(SEARCH("R79",G489)),0)+IFERROR(--ISNUMBER(SEARCH("R80",G489)),0)+IFERROR(--ISNUMBER(SEARCH("R81",G489)),0)+IFERROR(--ISNUMBER(SEARCH("R83",G489)),0)+IFERROR(--ISNUMBER(SEARCH("R84",G489)),0)+IFERROR(--ISNUMBER(SEARCH("R89",G489)),0)+IFERROR(--ISNUMBER(SEARCH("R94",G489)),0)+IFERROR(--ISNUMBER(SEARCH("R95",G489)),0)+IFERROR(--ISNUMBER(SEARCH("R96",G489)),0)+IFERROR(--ISNUMBER(SEARCH("R98",G489)),0)+IFERROR(--ISNUMBER(SEARCH("R99",G489)),0)+IFERROR(--ISNUMBER(SEARCH("R100",G489)),0)+IFERROR(--ISNUMBER(SEARCH("R104",G489)),0)+IFERROR(--ISNUMBER(SEARCH("R105",G489)),0)+IFERROR(--ISNUMBER(SEARCH("R107",G489)),0)+IFERROR(--ISNUMBER(SEARCH("R108",G489)),0)+IFERROR(--ISNUMBER(SEARCH("R109",G489)),0)+IFERROR(--ISNUMBER(SEARCH("R110",G489)),0)+IFERROR(--ISNUMBER(SEARCH("R112",G489)),0)+IFERROR(--ISNUMBER(SEARCH("R113",G489)),0)+IFERROR(--ISNUMBER(SEARCH("R114",G489)),0)+IFERROR(--ISNUMBER(SEARCH("R118",G489)),0)+IFERROR(--ISNUMBER(SEARCH("R119",G489)),0)+IFERROR(--ISNUMBER(SEARCH("R120",G489)),0)+IFERROR(--ISNUMBER(SEARCH("R122",G489)),0)+IFERROR(--ISNUMBER(SEARCH("R123",G489)),0)+IFERROR(--ISNUMBER(SEARCH("R124",G489)),0)+IFERROR(--ISNUMBER(SEARCH("R128",G489)),0)+IFERROR(--ISNUMBER(SEARCH("R130",G489)),0)+IFERROR(--ISNUMBER(SEARCH("R131",G489)),0)+IFERROR(--ISNUMBER(SEARCH("R132",G489)),0)+IFERROR(--ISNUMBER(SEARCH("R135",G489)),0)+IFERROR(--ISNUMBER(SEARCH("R138",G489)),0)+IFERROR(--ISNUMBER(SEARCH("R141",G489)),0))</f>
        <v/>
      </c>
      <c r="U489" s="58">
        <f>IF(A489="","",IFERROR(--ISNUMBER(SEARCH("R28",G489))*28,0)+IFERROR(--ISNUMBER(SEARCH("R29",G489))*29,0)+IFERROR(--ISNUMBER(SEARCH("R30",G489))*30,0)+IFERROR(--ISNUMBER(SEARCH("R31",G489))*31,0)+IFERROR(--ISNUMBER(SEARCH("R32",G489))*32,0)+IFERROR(--ISNUMBER(SEARCH("R33",G489))*33,0)+IFERROR(--ISNUMBER(SEARCH("R34",G489))*34,0)+IFERROR(--ISNUMBER(SEARCH("R35",G489))*35,0)+IFERROR(--ISNUMBER(SEARCH("R36",G489))*36,0)+IFERROR(--ISNUMBER(SEARCH("R37",G489))*37,0)+IFERROR(--ISNUMBER(SEARCH("R38",G489))*38,0)+IFERROR(--ISNUMBER(SEARCH("R39",G489))*39,0)+IFERROR(--ISNUMBER(SEARCH("R40",G489))*40,0)+IFERROR(--ISNUMBER(SEARCH("R41",G489))*41,0)+IFERROR(--ISNUMBER(SEARCH("R42",G489))*42,0)+IFERROR(--ISNUMBER(SEARCH("R43",G489))*43,0)+IFERROR(--ISNUMBER(SEARCH("R44",G489))*44,0)+IFERROR(--ISNUMBER(SEARCH("R45",G489))*45,0)+IFERROR(--ISNUMBER(SEARCH("R46",G489))*46,0)+IFERROR(--ISNUMBER(SEARCH("R47",G489))*47,0)+IFERROR(--ISNUMBER(SEARCH("R48",G489))*48,0)+IFERROR(--ISNUMBER(SEARCH("R49",G489))*49,0)+IFERROR(--ISNUMBER(SEARCH("R50",G489))*50,0)+IFERROR(--ISNUMBER(SEARCH("R51",G489))*51,0)+IFERROR(--ISNUMBER(SEARCH("R52",G489))*52,0)+IFERROR(--ISNUMBER(SEARCH("R53",G489))*53,0)+IFERROR(--ISNUMBER(SEARCH("R54",G489))*54,0)+IFERROR(--ISNUMBER(SEARCH("R55",G489))*55,0)+IFERROR(--ISNUMBER(SEARCH("R56",G489))*56,0)+IFERROR(--ISNUMBER(SEARCH("R57",G489))*57,0)+IFERROR(--ISNUMBER(SEARCH("R58",G489))*58,0)+IFERROR(--ISNUMBER(SEARCH("R59",G489))*59,0)+IFERROR(--ISNUMBER(SEARCH("R60",G489))*60,0)+IFERROR(--ISNUMBER(SEARCH("R61",G489))*61,0)+IFERROR(--ISNUMBER(SEARCH("R62",G489))*62,0)+IFERROR(--ISNUMBER(SEARCH("R63",G489))*63,0)+IFERROR(--ISNUMBER(SEARCH("R64",G489))*64,0)+IFERROR(--ISNUMBER(SEARCH("R65",G489))*65,0)+IFERROR(--ISNUMBER(SEARCH("R66",G489))*66,0)+IFERROR(--ISNUMBER(SEARCH("R67",G489))*67,0)+IFERROR(--ISNUMBER(SEARCH("R68",G489))*68,0)+IFERROR(--ISNUMBER(SEARCH("R69",G489))*69,0)+IFERROR(--ISNUMBER(SEARCH("R70",G489))*70,0)+IFERROR(--ISNUMBER(SEARCH("R71",G489))*71,0)+IFERROR(--ISNUMBER(SEARCH("R72",G489))*72,0)+IFERROR(--ISNUMBER(SEARCH("R73",G489))*73,0)+IFERROR(--ISNUMBER(SEARCH("R74",G489))*74,0)+IFERROR(--ISNUMBER(SEARCH("R75",G489))*75,0)+IFERROR(--ISNUMBER(SEARCH("R76",G489))*76,0)+IFERROR(--ISNUMBER(SEARCH("R77",G489))*77,0)+IFERROR(--ISNUMBER(SEARCH("R78",G489))*78,0)+IFERROR(--ISNUMBER(SEARCH("R79",G489))*79,0)+IFERROR(--ISNUMBER(SEARCH("R80",G489))*80,0)+IFERROR(--ISNUMBER(SEARCH("R81",G489))*81,0)+IFERROR(--ISNUMBER(SEARCH("R82",G489))*82,0)+IFERROR(--ISNUMBER(SEARCH("R83",G489))*83,0)+IFERROR(--ISNUMBER(SEARCH("R84",G489))*84,0)+IFERROR(--ISNUMBER(SEARCH("R85",G489))*85,0)+IFERROR(--ISNUMBER(SEARCH("R86",G489))*86,0)+IFERROR(--ISNUMBER(SEARCH("R87",G489))*87,0)+IFERROR(--ISNUMBER(SEARCH("R88",G489))*88,0)+IFERROR(--ISNUMBER(SEARCH("R89",G489))*89,0)+IFERROR(--ISNUMBER(SEARCH("R90",G489))*90,0)+IFERROR(--ISNUMBER(SEARCH("R91",G489))*91,0)+IFERROR(--ISNUMBER(SEARCH("R92",G489))*92,0)+IFERROR(--ISNUMBER(SEARCH("R93",G489))*93,0)+IFERROR(--ISNUMBER(SEARCH("R94",G489))*94,0)+IFERROR(--ISNUMBER(SEARCH("R95",G489))*95,0)+IFERROR(--ISNUMBER(SEARCH("R96",G489))*96,0)+IFERROR(--ISNUMBER(SEARCH("R97",G489))*97,0)+IFERROR(--ISNUMBER(SEARCH("R98",G489))*98,0)+IFERROR(--ISNUMBER(SEARCH("R99",G489))*99,0)+IFERROR(--ISNUMBER(SEARCH("R100",G489))*100,0)+IFERROR(--ISNUMBER(SEARCH("R101",G489))*101,0)+IFERROR(--ISNUMBER(SEARCH("R102",G489))*102,0)+IFERROR(--ISNUMBER(SEARCH("R103",G489))*103,0)+IFERROR(--ISNUMBER(SEARCH("R104",G489))*104,0)+IFERROR(--ISNUMBER(SEARCH("R105",G489))*105,0)+IFERROR(--ISNUMBER(SEARCH("R106",G489))*106,0)+IFERROR(--ISNUMBER(SEARCH("R107",G489))*107,0)+IFERROR(--ISNUMBER(SEARCH("R108",G489))*108,0)+IFERROR(--ISNUMBER(SEARCH("R109",G489))*109,0)+IFERROR(--ISNUMBER(SEARCH("R110",G489))*110,0)+IFERROR(--ISNUMBER(SEARCH("R111",G489))*111,0)+IFERROR(--ISNUMBER(SEARCH("R112",G489))*112,0)+IFERROR(--ISNUMBER(SEARCH("R113",G489))*113,0)+IFERROR(--ISNUMBER(SEARCH("R114",G489))*114,0)+IFERROR(--ISNUMBER(SEARCH("R115",G489))*115,0)+IFERROR(--ISNUMBER(SEARCH("R116",G489))*116,0)+IFERROR(--ISNUMBER(SEARCH("R117",G489))*117,0)+IFERROR(--ISNUMBER(SEARCH("R118",G489))*118,0)+IFERROR(--ISNUMBER(SEARCH("R119",G489))*119,0)+IFERROR(--ISNUMBER(SEARCH("R120",G489))*120,0)+IFERROR(--ISNUMBER(SEARCH("R121",G489))*121,0)+IFERROR(--ISNUMBER(SEARCH("R122",G489))*122,0)+IFERROR(--ISNUMBER(SEARCH("R123",G489))*123,0)+IFERROR(--ISNUMBER(SEARCH("R124",G489))*124,0)+IFERROR(--ISNUMBER(SEARCH("R125",G489))*125,0)+IFERROR(--ISNUMBER(SEARCH("R126",G489))*126,0)+IFERROR(--ISNUMBER(SEARCH("R127",G489))*127,0)+IFERROR(--ISNUMBER(SEARCH("R128",G489))*128,0)+IFERROR(--ISNUMBER(SEARCH("R129",G489))*129,0)+IFERROR(--ISNUMBER(SEARCH("R130",G489))*130,0)+IFERROR(--ISNUMBER(SEARCH("R131",G489))*131,0)+IFERROR(--ISNUMBER(SEARCH("R132",G489))*132,0)+IFERROR(--ISNUMBER(SEARCH("R133",G489))*133,0)+IFERROR(--ISNUMBER(SEARCH("R134",G489))*134,0)+IFERROR(--ISNUMBER(SEARCH("R135",G489))*135,0)+IFERROR(--ISNUMBER(SEARCH("R136",G489))*136,0)+IFERROR(--ISNUMBER(SEARCH("R137",G489))*137,0)+IFERROR(--ISNUMBER(SEARCH("R138",G489))*138,0)+IFERROR(--ISNUMBER(SEARCH("R139",G489))*139,0)+IFERROR(--ISNUMBER(SEARCH("R140",G489))*140,0)+IFERROR(--ISNUMBER(SEARCH("R141",G489))*141,0))</f>
        <v/>
      </c>
      <c r="V489" s="59">
        <f>IF(A489="","",IF(K489&lt;&gt;"",K489,J489))</f>
        <v/>
      </c>
      <c r="W489" s="59">
        <f>IF(A489="","",IF(AND(V489=29,O489&lt;&gt;"",COUNTIFS($V$6:$V$505,29,$F$6:$F$505,F489,$C$6:$C$505,C489,$O$6:$O$505,"&lt;&gt;")&gt;1),IF(COUNTIFS($V$6:V489,29,$F$6:F489,F489,$C$6:C489,C489,$O$6:O489,"&lt;&gt;")=1,"Esta es la fila que se debe CONSERVAR (aparición 1 de "&amp;COUNTIFS($V$6:$V$505,29,$F$6:$F$505,F489,$C$6:$C$505,C489,$O$6:$O$505,"&lt;&gt;")&amp;" con el mismo tercero y valor, casilla 29). Si hay más filas iguales, bórreles el valor a ELLAS, no a esta.","DUPLICADO — ya existe otra fila con el mismo tercero y valor para casilla 29 (aparición "&amp;COUNTIFS($V$6:V489,29,$F$6:F489,F489,$C$6:C489,C489,$O$6:O489,"&lt;&gt;")&amp;" de "&amp;COUNTIFS($V$6:$V$505,29,$F$6:$F$505,F489,$C$6:$C$505,C489,$O$6:$O$505,"&lt;&gt;")&amp;"). Para resolverlo: seleccione la celda O"&amp;ROW()&amp;" (columna Valor a declarar de ESTA fila) y presione Supr."),""))</f>
        <v/>
      </c>
      <c r="X489" s="463">
        <f>IF(A489="","",F489)</f>
        <v/>
      </c>
      <c r="Y489" s="463">
        <f>IF(A489="","",SUMIF(Entrada_Manual!$I$88:$I$187,A489,Entrada_Manual!$F$88:$F$187))</f>
        <v/>
      </c>
      <c r="Z489" s="463">
        <f>IF(A489="","",X489-Y489)</f>
        <v/>
      </c>
      <c r="AA489">
        <f>IF(A489="","",SUMPRODUCT((Entrada_Manual!$I$88:$I$187=A489)*1))</f>
        <v/>
      </c>
      <c r="AB489">
        <f>IF(A489="","",IF(S489&lt;=1,"",IF(AA489=0,"PENDIENTE — SIN ASIGNAR",IF(Z489=0,"RESUELTO","PARCIAL — DIFERENCIA "&amp;TEXT(Z489,"#,##0")))))</f>
        <v/>
      </c>
    </row>
    <row r="490" ht="14.25" customHeight="1" s="235">
      <c r="A490" s="47">
        <f>IF(Exogena_RAW!E499&lt;&gt;"",ROW()-5,"")</f>
        <v/>
      </c>
      <c r="B490" s="48">
        <f>IF(A490="","",499)</f>
        <v/>
      </c>
      <c r="C490" s="48">
        <f>IF(A490="","",IFERROR(Exogena_RAW!A499,""))</f>
        <v/>
      </c>
      <c r="D490" s="48">
        <f>IF(A490="","",IFERROR(Exogena_RAW!B499,""))</f>
        <v/>
      </c>
      <c r="E490" s="48">
        <f>IF(A490="","",Exogena_RAW!E499)</f>
        <v/>
      </c>
      <c r="F490" s="461">
        <f>IF(A490="","",Exogena_RAW!F499)</f>
        <v/>
      </c>
      <c r="G490" s="48">
        <f>IF(A490="","",IFERROR(Exogena_RAW!G499,""))</f>
        <v/>
      </c>
      <c r="H490" s="48">
        <f>IF(A490="","",IFERROR(Exogena_RAW!H499,""))</f>
        <v/>
      </c>
      <c r="I490" s="48">
        <f>IF(A490="","",IFERROR(IF(S490&gt;1,"VARIAS CASILLAS",IF(S490=1,IF(T490=1,"PROPUESTA DE CASILLA","REVISIÓN: CASILLA NO DIRECTA"),IF(OR(ISNUMBER(SEARCH("TOPE",UPPER(E490))),ISNUMBER(SEARCH("TOPE",UPPER(G490)))),"SOLO CONTROL",IF(ISNUMBER(SEARCH("RETEN",UPPER(E490))),"RETENCIÓN","REVISAR")))),"REVISAR"))</f>
        <v/>
      </c>
      <c r="J490" s="48">
        <f>IF(A490="","",IF(ISNUMBER(SEARCH("ingreso laboral promedio de los últimos seis meses",E490)),"",IFERROR(IF(AND(S490=1,T490=1),U490,""),"")))</f>
        <v/>
      </c>
      <c r="K490" s="216" t="n"/>
      <c r="L490" s="48">
        <f>IF(A490="","",IFERROR(IF(K490&lt;&gt;"","Casilla elegida por usuario",IF(S490&gt;1,"Varias casillas — elegir en K",IF(J490&lt;&gt;"","Sugerencia directa",IF(S490=1,"No trasladar directo — revisar",IF(OR(ISNUMBER(SEARCH("TOPE",UPPER(E490))),ISNUMBER(SEARCH("TOPE",UPPER(G490)))),"Solo control","Revisar manualmente"))))),"Revisar manualmente"))</f>
        <v/>
      </c>
      <c r="M490" s="461">
        <f>IF(A490="","",IF(IF(K490&lt;&gt;"",K490,J490)="",0,IF(COUNTIFS(Reglas!$I$5:$I$118,IF(K490&lt;&gt;"",K490,J490),Reglas!$J$5:$J$118,"Sí")=1,F490,0)))</f>
        <v/>
      </c>
      <c r="N490" s="56" t="n"/>
      <c r="O490" s="462">
        <f>IF(A490="","",IF(M490=0,"",M490))</f>
        <v/>
      </c>
      <c r="P490" s="461">
        <f>IF(A490="","",IF(O490="",0,IF(ISNUMBER(O490),O490,0)))</f>
        <v/>
      </c>
      <c r="Q490" s="48">
        <f>IF(A490="","",IF(Exogena_RAW!$C$4="","BLOQUEADO: FALTA AÑO",IF(Exogena_RAW!$K$10&lt;&gt;Reglas!$B$5,"BLOQUEADO: AÑO",IF(IF(K490&lt;&gt;"",K490,J490)="",IF(S490&gt;1,"REQUIERE ASIGNACIÓN MANUAL (VARIAS CASILLAS)","INFORMATIVO (sin casilla — no se declara)"),IF(COUNTIFS(Reglas!$I$5:$I$118,IF(K490&lt;&gt;"",K490,J490),Reglas!$J$5:$J$118,"Sí")=0,"BLOQUEADO: CASILLA NO DIRECTA",IF(O490="","EXCLUIDO (valor borrado por el usuario)",IF(_xlfn.ISFORMULA(O490),IF(W490&lt;&gt;"","BORRADOR — VALOR SUGERIDO DIAN ⚠ VER ALERTA","BORRADOR — VALOR SUGERIDO DIAN"),IF(W490&lt;&gt;"","ACEPTADO ⚠ VER ALERTA","ACEPTADO"))))))))</f>
        <v/>
      </c>
      <c r="R490" s="218" t="n"/>
      <c r="S490" s="58">
        <f>IF(A490="","",IFERROR(--ISNUMBER(SEARCH("R28",G490)),0)+IFERROR(--ISNUMBER(SEARCH("R29",G490)),0)+IFERROR(--ISNUMBER(SEARCH("R30",G490)),0)+IFERROR(--ISNUMBER(SEARCH("R31",G490)),0)+IFERROR(--ISNUMBER(SEARCH("R32",G490)),0)+IFERROR(--ISNUMBER(SEARCH("R33",G490)),0)+IFERROR(--ISNUMBER(SEARCH("R34",G490)),0)+IFERROR(--ISNUMBER(SEARCH("R35",G490)),0)+IFERROR(--ISNUMBER(SEARCH("R36",G490)),0)+IFERROR(--ISNUMBER(SEARCH("R37",G490)),0)+IFERROR(--ISNUMBER(SEARCH("R38",G490)),0)+IFERROR(--ISNUMBER(SEARCH("R39",G490)),0)+IFERROR(--ISNUMBER(SEARCH("R40",G490)),0)+IFERROR(--ISNUMBER(SEARCH("R41",G490)),0)+IFERROR(--ISNUMBER(SEARCH("R42",G490)),0)+IFERROR(--ISNUMBER(SEARCH("R43",G490)),0)+IFERROR(--ISNUMBER(SEARCH("R44",G490)),0)+IFERROR(--ISNUMBER(SEARCH("R45",G490)),0)+IFERROR(--ISNUMBER(SEARCH("R46",G490)),0)+IFERROR(--ISNUMBER(SEARCH("R47",G490)),0)+IFERROR(--ISNUMBER(SEARCH("R48",G490)),0)+IFERROR(--ISNUMBER(SEARCH("R49",G490)),0)+IFERROR(--ISNUMBER(SEARCH("R50",G490)),0)+IFERROR(--ISNUMBER(SEARCH("R51",G490)),0)+IFERROR(--ISNUMBER(SEARCH("R52",G490)),0)+IFERROR(--ISNUMBER(SEARCH("R53",G490)),0)+IFERROR(--ISNUMBER(SEARCH("R54",G490)),0)+IFERROR(--ISNUMBER(SEARCH("R55",G490)),0)+IFERROR(--ISNUMBER(SEARCH("R56",G490)),0)+IFERROR(--ISNUMBER(SEARCH("R57",G490)),0)+IFERROR(--ISNUMBER(SEARCH("R58",G490)),0)+IFERROR(--ISNUMBER(SEARCH("R59",G490)),0)+IFERROR(--ISNUMBER(SEARCH("R60",G490)),0)+IFERROR(--ISNUMBER(SEARCH("R61",G490)),0)+IFERROR(--ISNUMBER(SEARCH("R62",G490)),0)+IFERROR(--ISNUMBER(SEARCH("R63",G490)),0)+IFERROR(--ISNUMBER(SEARCH("R64",G490)),0)+IFERROR(--ISNUMBER(SEARCH("R65",G490)),0)+IFERROR(--ISNUMBER(SEARCH("R66",G490)),0)+IFERROR(--ISNUMBER(SEARCH("R67",G490)),0)+IFERROR(--ISNUMBER(SEARCH("R68",G490)),0)+IFERROR(--ISNUMBER(SEARCH("R69",G490)),0)+IFERROR(--ISNUMBER(SEARCH("R70",G490)),0)+IFERROR(--ISNUMBER(SEARCH("R71",G490)),0)+IFERROR(--ISNUMBER(SEARCH("R72",G490)),0)+IFERROR(--ISNUMBER(SEARCH("R73",G490)),0)+IFERROR(--ISNUMBER(SEARCH("R74",G490)),0)+IFERROR(--ISNUMBER(SEARCH("R75",G490)),0)+IFERROR(--ISNUMBER(SEARCH("R76",G490)),0)+IFERROR(--ISNUMBER(SEARCH("R77",G490)),0)+IFERROR(--ISNUMBER(SEARCH("R78",G490)),0)+IFERROR(--ISNUMBER(SEARCH("R79",G490)),0)+IFERROR(--ISNUMBER(SEARCH("R80",G490)),0)+IFERROR(--ISNUMBER(SEARCH("R81",G490)),0)+IFERROR(--ISNUMBER(SEARCH("R82",G490)),0)+IFERROR(--ISNUMBER(SEARCH("R83",G490)),0)+IFERROR(--ISNUMBER(SEARCH("R84",G490)),0)+IFERROR(--ISNUMBER(SEARCH("R85",G490)),0)+IFERROR(--ISNUMBER(SEARCH("R86",G490)),0)+IFERROR(--ISNUMBER(SEARCH("R87",G490)),0)+IFERROR(--ISNUMBER(SEARCH("R88",G490)),0)+IFERROR(--ISNUMBER(SEARCH("R89",G490)),0)+IFERROR(--ISNUMBER(SEARCH("R90",G490)),0)+IFERROR(--ISNUMBER(SEARCH("R91",G490)),0)+IFERROR(--ISNUMBER(SEARCH("R92",G490)),0)+IFERROR(--ISNUMBER(SEARCH("R93",G490)),0)+IFERROR(--ISNUMBER(SEARCH("R94",G490)),0)+IFERROR(--ISNUMBER(SEARCH("R95",G490)),0)+IFERROR(--ISNUMBER(SEARCH("R96",G490)),0)+IFERROR(--ISNUMBER(SEARCH("R97",G490)),0)+IFERROR(--ISNUMBER(SEARCH("R98",G490)),0)+IFERROR(--ISNUMBER(SEARCH("R99",G490)),0)+IFERROR(--ISNUMBER(SEARCH("R100",G490)),0)+IFERROR(--ISNUMBER(SEARCH("R101",G490)),0)+IFERROR(--ISNUMBER(SEARCH("R102",G490)),0)+IFERROR(--ISNUMBER(SEARCH("R103",G490)),0)+IFERROR(--ISNUMBER(SEARCH("R104",G490)),0)+IFERROR(--ISNUMBER(SEARCH("R105",G490)),0)+IFERROR(--ISNUMBER(SEARCH("R106",G490)),0)+IFERROR(--ISNUMBER(SEARCH("R107",G490)),0)+IFERROR(--ISNUMBER(SEARCH("R108",G490)),0)+IFERROR(--ISNUMBER(SEARCH("R109",G490)),0)+IFERROR(--ISNUMBER(SEARCH("R110",G490)),0)+IFERROR(--ISNUMBER(SEARCH("R111",G490)),0)+IFERROR(--ISNUMBER(SEARCH("R112",G490)),0)+IFERROR(--ISNUMBER(SEARCH("R113",G490)),0)+IFERROR(--ISNUMBER(SEARCH("R114",G490)),0)+IFERROR(--ISNUMBER(SEARCH("R115",G490)),0)+IFERROR(--ISNUMBER(SEARCH("R116",G490)),0)+IFERROR(--ISNUMBER(SEARCH("R117",G490)),0)+IFERROR(--ISNUMBER(SEARCH("R118",G490)),0)+IFERROR(--ISNUMBER(SEARCH("R119",G490)),0)+IFERROR(--ISNUMBER(SEARCH("R120",G490)),0)+IFERROR(--ISNUMBER(SEARCH("R121",G490)),0)+IFERROR(--ISNUMBER(SEARCH("R122",G490)),0)+IFERROR(--ISNUMBER(SEARCH("R123",G490)),0)+IFERROR(--ISNUMBER(SEARCH("R124",G490)),0)+IFERROR(--ISNUMBER(SEARCH("R125",G490)),0)+IFERROR(--ISNUMBER(SEARCH("R126",G490)),0)+IFERROR(--ISNUMBER(SEARCH("R127",G490)),0)+IFERROR(--ISNUMBER(SEARCH("R128",G490)),0)+IFERROR(--ISNUMBER(SEARCH("R129",G490)),0)+IFERROR(--ISNUMBER(SEARCH("R130",G490)),0)+IFERROR(--ISNUMBER(SEARCH("R131",G490)),0)+IFERROR(--ISNUMBER(SEARCH("R132",G490)),0)+IFERROR(--ISNUMBER(SEARCH("R133",G490)),0)+IFERROR(--ISNUMBER(SEARCH("R134",G490)),0)+IFERROR(--ISNUMBER(SEARCH("R135",G490)),0)+IFERROR(--ISNUMBER(SEARCH("R136",G490)),0)+IFERROR(--ISNUMBER(SEARCH("R137",G490)),0)+IFERROR(--ISNUMBER(SEARCH("R138",G490)),0)+IFERROR(--ISNUMBER(SEARCH("R139",G490)),0)+IFERROR(--ISNUMBER(SEARCH("R140",G490)),0)+IFERROR(--ISNUMBER(SEARCH("R141",G490)),0))</f>
        <v/>
      </c>
      <c r="T490" s="58">
        <f>IF(A490="","",IFERROR(--ISNUMBER(SEARCH("R28",G490)),0)+IFERROR(--ISNUMBER(SEARCH("R29",G490)),0)+IFERROR(--ISNUMBER(SEARCH("R30",G490)),0)+IFERROR(--ISNUMBER(SEARCH("R32",G490)),0)+IFERROR(--ISNUMBER(SEARCH("R33",G490)),0)+IFERROR(--ISNUMBER(SEARCH("R35",G490)),0)+IFERROR(--ISNUMBER(SEARCH("R36",G490)),0)+IFERROR(--ISNUMBER(SEARCH("R38",G490)),0)+IFERROR(--ISNUMBER(SEARCH("R39",G490)),0)+IFERROR(--ISNUMBER(SEARCH("R43",G490)),0)+IFERROR(--ISNUMBER(SEARCH("R44",G490)),0)+IFERROR(--ISNUMBER(SEARCH("R45",G490)),0)+IFERROR(--ISNUMBER(SEARCH("R47",G490)),0)+IFERROR(--ISNUMBER(SEARCH("R48",G490)),0)+IFERROR(--ISNUMBER(SEARCH("R50",G490)),0)+IFERROR(--ISNUMBER(SEARCH("R51",G490)),0)+IFERROR(--ISNUMBER(SEARCH("R56",G490)),0)+IFERROR(--ISNUMBER(SEARCH("R58",G490)),0)+IFERROR(--ISNUMBER(SEARCH("R59",G490)),0)+IFERROR(--ISNUMBER(SEARCH("R60",G490)),0)+IFERROR(--ISNUMBER(SEARCH("R62",G490)),0)+IFERROR(--ISNUMBER(SEARCH("R63",G490)),0)+IFERROR(--ISNUMBER(SEARCH("R64",G490)),0)+IFERROR(--ISNUMBER(SEARCH("R66",G490)),0)+IFERROR(--ISNUMBER(SEARCH("R67",G490)),0)+IFERROR(--ISNUMBER(SEARCH("R72",G490)),0)+IFERROR(--ISNUMBER(SEARCH("R74",G490)),0)+IFERROR(--ISNUMBER(SEARCH("R75",G490)),0)+IFERROR(--ISNUMBER(SEARCH("R76",G490)),0)+IFERROR(--ISNUMBER(SEARCH("R77",G490)),0)+IFERROR(--ISNUMBER(SEARCH("R79",G490)),0)+IFERROR(--ISNUMBER(SEARCH("R80",G490)),0)+IFERROR(--ISNUMBER(SEARCH("R81",G490)),0)+IFERROR(--ISNUMBER(SEARCH("R83",G490)),0)+IFERROR(--ISNUMBER(SEARCH("R84",G490)),0)+IFERROR(--ISNUMBER(SEARCH("R89",G490)),0)+IFERROR(--ISNUMBER(SEARCH("R94",G490)),0)+IFERROR(--ISNUMBER(SEARCH("R95",G490)),0)+IFERROR(--ISNUMBER(SEARCH("R96",G490)),0)+IFERROR(--ISNUMBER(SEARCH("R98",G490)),0)+IFERROR(--ISNUMBER(SEARCH("R99",G490)),0)+IFERROR(--ISNUMBER(SEARCH("R100",G490)),0)+IFERROR(--ISNUMBER(SEARCH("R104",G490)),0)+IFERROR(--ISNUMBER(SEARCH("R105",G490)),0)+IFERROR(--ISNUMBER(SEARCH("R107",G490)),0)+IFERROR(--ISNUMBER(SEARCH("R108",G490)),0)+IFERROR(--ISNUMBER(SEARCH("R109",G490)),0)+IFERROR(--ISNUMBER(SEARCH("R110",G490)),0)+IFERROR(--ISNUMBER(SEARCH("R112",G490)),0)+IFERROR(--ISNUMBER(SEARCH("R113",G490)),0)+IFERROR(--ISNUMBER(SEARCH("R114",G490)),0)+IFERROR(--ISNUMBER(SEARCH("R118",G490)),0)+IFERROR(--ISNUMBER(SEARCH("R119",G490)),0)+IFERROR(--ISNUMBER(SEARCH("R120",G490)),0)+IFERROR(--ISNUMBER(SEARCH("R122",G490)),0)+IFERROR(--ISNUMBER(SEARCH("R123",G490)),0)+IFERROR(--ISNUMBER(SEARCH("R124",G490)),0)+IFERROR(--ISNUMBER(SEARCH("R128",G490)),0)+IFERROR(--ISNUMBER(SEARCH("R130",G490)),0)+IFERROR(--ISNUMBER(SEARCH("R131",G490)),0)+IFERROR(--ISNUMBER(SEARCH("R132",G490)),0)+IFERROR(--ISNUMBER(SEARCH("R135",G490)),0)+IFERROR(--ISNUMBER(SEARCH("R138",G490)),0)+IFERROR(--ISNUMBER(SEARCH("R141",G490)),0))</f>
        <v/>
      </c>
      <c r="U490" s="58">
        <f>IF(A490="","",IFERROR(--ISNUMBER(SEARCH("R28",G490))*28,0)+IFERROR(--ISNUMBER(SEARCH("R29",G490))*29,0)+IFERROR(--ISNUMBER(SEARCH("R30",G490))*30,0)+IFERROR(--ISNUMBER(SEARCH("R31",G490))*31,0)+IFERROR(--ISNUMBER(SEARCH("R32",G490))*32,0)+IFERROR(--ISNUMBER(SEARCH("R33",G490))*33,0)+IFERROR(--ISNUMBER(SEARCH("R34",G490))*34,0)+IFERROR(--ISNUMBER(SEARCH("R35",G490))*35,0)+IFERROR(--ISNUMBER(SEARCH("R36",G490))*36,0)+IFERROR(--ISNUMBER(SEARCH("R37",G490))*37,0)+IFERROR(--ISNUMBER(SEARCH("R38",G490))*38,0)+IFERROR(--ISNUMBER(SEARCH("R39",G490))*39,0)+IFERROR(--ISNUMBER(SEARCH("R40",G490))*40,0)+IFERROR(--ISNUMBER(SEARCH("R41",G490))*41,0)+IFERROR(--ISNUMBER(SEARCH("R42",G490))*42,0)+IFERROR(--ISNUMBER(SEARCH("R43",G490))*43,0)+IFERROR(--ISNUMBER(SEARCH("R44",G490))*44,0)+IFERROR(--ISNUMBER(SEARCH("R45",G490))*45,0)+IFERROR(--ISNUMBER(SEARCH("R46",G490))*46,0)+IFERROR(--ISNUMBER(SEARCH("R47",G490))*47,0)+IFERROR(--ISNUMBER(SEARCH("R48",G490))*48,0)+IFERROR(--ISNUMBER(SEARCH("R49",G490))*49,0)+IFERROR(--ISNUMBER(SEARCH("R50",G490))*50,0)+IFERROR(--ISNUMBER(SEARCH("R51",G490))*51,0)+IFERROR(--ISNUMBER(SEARCH("R52",G490))*52,0)+IFERROR(--ISNUMBER(SEARCH("R53",G490))*53,0)+IFERROR(--ISNUMBER(SEARCH("R54",G490))*54,0)+IFERROR(--ISNUMBER(SEARCH("R55",G490))*55,0)+IFERROR(--ISNUMBER(SEARCH("R56",G490))*56,0)+IFERROR(--ISNUMBER(SEARCH("R57",G490))*57,0)+IFERROR(--ISNUMBER(SEARCH("R58",G490))*58,0)+IFERROR(--ISNUMBER(SEARCH("R59",G490))*59,0)+IFERROR(--ISNUMBER(SEARCH("R60",G490))*60,0)+IFERROR(--ISNUMBER(SEARCH("R61",G490))*61,0)+IFERROR(--ISNUMBER(SEARCH("R62",G490))*62,0)+IFERROR(--ISNUMBER(SEARCH("R63",G490))*63,0)+IFERROR(--ISNUMBER(SEARCH("R64",G490))*64,0)+IFERROR(--ISNUMBER(SEARCH("R65",G490))*65,0)+IFERROR(--ISNUMBER(SEARCH("R66",G490))*66,0)+IFERROR(--ISNUMBER(SEARCH("R67",G490))*67,0)+IFERROR(--ISNUMBER(SEARCH("R68",G490))*68,0)+IFERROR(--ISNUMBER(SEARCH("R69",G490))*69,0)+IFERROR(--ISNUMBER(SEARCH("R70",G490))*70,0)+IFERROR(--ISNUMBER(SEARCH("R71",G490))*71,0)+IFERROR(--ISNUMBER(SEARCH("R72",G490))*72,0)+IFERROR(--ISNUMBER(SEARCH("R73",G490))*73,0)+IFERROR(--ISNUMBER(SEARCH("R74",G490))*74,0)+IFERROR(--ISNUMBER(SEARCH("R75",G490))*75,0)+IFERROR(--ISNUMBER(SEARCH("R76",G490))*76,0)+IFERROR(--ISNUMBER(SEARCH("R77",G490))*77,0)+IFERROR(--ISNUMBER(SEARCH("R78",G490))*78,0)+IFERROR(--ISNUMBER(SEARCH("R79",G490))*79,0)+IFERROR(--ISNUMBER(SEARCH("R80",G490))*80,0)+IFERROR(--ISNUMBER(SEARCH("R81",G490))*81,0)+IFERROR(--ISNUMBER(SEARCH("R82",G490))*82,0)+IFERROR(--ISNUMBER(SEARCH("R83",G490))*83,0)+IFERROR(--ISNUMBER(SEARCH("R84",G490))*84,0)+IFERROR(--ISNUMBER(SEARCH("R85",G490))*85,0)+IFERROR(--ISNUMBER(SEARCH("R86",G490))*86,0)+IFERROR(--ISNUMBER(SEARCH("R87",G490))*87,0)+IFERROR(--ISNUMBER(SEARCH("R88",G490))*88,0)+IFERROR(--ISNUMBER(SEARCH("R89",G490))*89,0)+IFERROR(--ISNUMBER(SEARCH("R90",G490))*90,0)+IFERROR(--ISNUMBER(SEARCH("R91",G490))*91,0)+IFERROR(--ISNUMBER(SEARCH("R92",G490))*92,0)+IFERROR(--ISNUMBER(SEARCH("R93",G490))*93,0)+IFERROR(--ISNUMBER(SEARCH("R94",G490))*94,0)+IFERROR(--ISNUMBER(SEARCH("R95",G490))*95,0)+IFERROR(--ISNUMBER(SEARCH("R96",G490))*96,0)+IFERROR(--ISNUMBER(SEARCH("R97",G490))*97,0)+IFERROR(--ISNUMBER(SEARCH("R98",G490))*98,0)+IFERROR(--ISNUMBER(SEARCH("R99",G490))*99,0)+IFERROR(--ISNUMBER(SEARCH("R100",G490))*100,0)+IFERROR(--ISNUMBER(SEARCH("R101",G490))*101,0)+IFERROR(--ISNUMBER(SEARCH("R102",G490))*102,0)+IFERROR(--ISNUMBER(SEARCH("R103",G490))*103,0)+IFERROR(--ISNUMBER(SEARCH("R104",G490))*104,0)+IFERROR(--ISNUMBER(SEARCH("R105",G490))*105,0)+IFERROR(--ISNUMBER(SEARCH("R106",G490))*106,0)+IFERROR(--ISNUMBER(SEARCH("R107",G490))*107,0)+IFERROR(--ISNUMBER(SEARCH("R108",G490))*108,0)+IFERROR(--ISNUMBER(SEARCH("R109",G490))*109,0)+IFERROR(--ISNUMBER(SEARCH("R110",G490))*110,0)+IFERROR(--ISNUMBER(SEARCH("R111",G490))*111,0)+IFERROR(--ISNUMBER(SEARCH("R112",G490))*112,0)+IFERROR(--ISNUMBER(SEARCH("R113",G490))*113,0)+IFERROR(--ISNUMBER(SEARCH("R114",G490))*114,0)+IFERROR(--ISNUMBER(SEARCH("R115",G490))*115,0)+IFERROR(--ISNUMBER(SEARCH("R116",G490))*116,0)+IFERROR(--ISNUMBER(SEARCH("R117",G490))*117,0)+IFERROR(--ISNUMBER(SEARCH("R118",G490))*118,0)+IFERROR(--ISNUMBER(SEARCH("R119",G490))*119,0)+IFERROR(--ISNUMBER(SEARCH("R120",G490))*120,0)+IFERROR(--ISNUMBER(SEARCH("R121",G490))*121,0)+IFERROR(--ISNUMBER(SEARCH("R122",G490))*122,0)+IFERROR(--ISNUMBER(SEARCH("R123",G490))*123,0)+IFERROR(--ISNUMBER(SEARCH("R124",G490))*124,0)+IFERROR(--ISNUMBER(SEARCH("R125",G490))*125,0)+IFERROR(--ISNUMBER(SEARCH("R126",G490))*126,0)+IFERROR(--ISNUMBER(SEARCH("R127",G490))*127,0)+IFERROR(--ISNUMBER(SEARCH("R128",G490))*128,0)+IFERROR(--ISNUMBER(SEARCH("R129",G490))*129,0)+IFERROR(--ISNUMBER(SEARCH("R130",G490))*130,0)+IFERROR(--ISNUMBER(SEARCH("R131",G490))*131,0)+IFERROR(--ISNUMBER(SEARCH("R132",G490))*132,0)+IFERROR(--ISNUMBER(SEARCH("R133",G490))*133,0)+IFERROR(--ISNUMBER(SEARCH("R134",G490))*134,0)+IFERROR(--ISNUMBER(SEARCH("R135",G490))*135,0)+IFERROR(--ISNUMBER(SEARCH("R136",G490))*136,0)+IFERROR(--ISNUMBER(SEARCH("R137",G490))*137,0)+IFERROR(--ISNUMBER(SEARCH("R138",G490))*138,0)+IFERROR(--ISNUMBER(SEARCH("R139",G490))*139,0)+IFERROR(--ISNUMBER(SEARCH("R140",G490))*140,0)+IFERROR(--ISNUMBER(SEARCH("R141",G490))*141,0))</f>
        <v/>
      </c>
      <c r="V490" s="59">
        <f>IF(A490="","",IF(K490&lt;&gt;"",K490,J490))</f>
        <v/>
      </c>
      <c r="W490" s="59">
        <f>IF(A490="","",IF(AND(V490=29,O490&lt;&gt;"",COUNTIFS($V$6:$V$505,29,$F$6:$F$505,F490,$C$6:$C$505,C490,$O$6:$O$505,"&lt;&gt;")&gt;1),IF(COUNTIFS($V$6:V490,29,$F$6:F490,F490,$C$6:C490,C490,$O$6:O490,"&lt;&gt;")=1,"Esta es la fila que se debe CONSERVAR (aparición 1 de "&amp;COUNTIFS($V$6:$V$505,29,$F$6:$F$505,F490,$C$6:$C$505,C490,$O$6:$O$505,"&lt;&gt;")&amp;" con el mismo tercero y valor, casilla 29). Si hay más filas iguales, bórreles el valor a ELLAS, no a esta.","DUPLICADO — ya existe otra fila con el mismo tercero y valor para casilla 29 (aparición "&amp;COUNTIFS($V$6:V490,29,$F$6:F490,F490,$C$6:C490,C490,$O$6:O490,"&lt;&gt;")&amp;" de "&amp;COUNTIFS($V$6:$V$505,29,$F$6:$F$505,F490,$C$6:$C$505,C490,$O$6:$O$505,"&lt;&gt;")&amp;"). Para resolverlo: seleccione la celda O"&amp;ROW()&amp;" (columna Valor a declarar de ESTA fila) y presione Supr."),""))</f>
        <v/>
      </c>
      <c r="X490" s="463">
        <f>IF(A490="","",F490)</f>
        <v/>
      </c>
      <c r="Y490" s="463">
        <f>IF(A490="","",SUMIF(Entrada_Manual!$I$88:$I$187,A490,Entrada_Manual!$F$88:$F$187))</f>
        <v/>
      </c>
      <c r="Z490" s="463">
        <f>IF(A490="","",X490-Y490)</f>
        <v/>
      </c>
      <c r="AA490">
        <f>IF(A490="","",SUMPRODUCT((Entrada_Manual!$I$88:$I$187=A490)*1))</f>
        <v/>
      </c>
      <c r="AB490">
        <f>IF(A490="","",IF(S490&lt;=1,"",IF(AA490=0,"PENDIENTE — SIN ASIGNAR",IF(Z490=0,"RESUELTO","PARCIAL — DIFERENCIA "&amp;TEXT(Z490,"#,##0")))))</f>
        <v/>
      </c>
    </row>
    <row r="491" ht="14.25" customHeight="1" s="235">
      <c r="A491" s="47">
        <f>IF(Exogena_RAW!E500&lt;&gt;"",ROW()-5,"")</f>
        <v/>
      </c>
      <c r="B491" s="48">
        <f>IF(A491="","",500)</f>
        <v/>
      </c>
      <c r="C491" s="48">
        <f>IF(A491="","",IFERROR(Exogena_RAW!A500,""))</f>
        <v/>
      </c>
      <c r="D491" s="48">
        <f>IF(A491="","",IFERROR(Exogena_RAW!B500,""))</f>
        <v/>
      </c>
      <c r="E491" s="48">
        <f>IF(A491="","",Exogena_RAW!E500)</f>
        <v/>
      </c>
      <c r="F491" s="461">
        <f>IF(A491="","",Exogena_RAW!F500)</f>
        <v/>
      </c>
      <c r="G491" s="48">
        <f>IF(A491="","",IFERROR(Exogena_RAW!G500,""))</f>
        <v/>
      </c>
      <c r="H491" s="48">
        <f>IF(A491="","",IFERROR(Exogena_RAW!H500,""))</f>
        <v/>
      </c>
      <c r="I491" s="48">
        <f>IF(A491="","",IFERROR(IF(S491&gt;1,"VARIAS CASILLAS",IF(S491=1,IF(T491=1,"PROPUESTA DE CASILLA","REVISIÓN: CASILLA NO DIRECTA"),IF(OR(ISNUMBER(SEARCH("TOPE",UPPER(E491))),ISNUMBER(SEARCH("TOPE",UPPER(G491)))),"SOLO CONTROL",IF(ISNUMBER(SEARCH("RETEN",UPPER(E491))),"RETENCIÓN","REVISAR")))),"REVISAR"))</f>
        <v/>
      </c>
      <c r="J491" s="48">
        <f>IF(A491="","",IF(ISNUMBER(SEARCH("ingreso laboral promedio de los últimos seis meses",E491)),"",IFERROR(IF(AND(S491=1,T491=1),U491,""),"")))</f>
        <v/>
      </c>
      <c r="K491" s="216" t="n"/>
      <c r="L491" s="48">
        <f>IF(A491="","",IFERROR(IF(K491&lt;&gt;"","Casilla elegida por usuario",IF(S491&gt;1,"Varias casillas — elegir en K",IF(J491&lt;&gt;"","Sugerencia directa",IF(S491=1,"No trasladar directo — revisar",IF(OR(ISNUMBER(SEARCH("TOPE",UPPER(E491))),ISNUMBER(SEARCH("TOPE",UPPER(G491)))),"Solo control","Revisar manualmente"))))),"Revisar manualmente"))</f>
        <v/>
      </c>
      <c r="M491" s="461">
        <f>IF(A491="","",IF(IF(K491&lt;&gt;"",K491,J491)="",0,IF(COUNTIFS(Reglas!$I$5:$I$118,IF(K491&lt;&gt;"",K491,J491),Reglas!$J$5:$J$118,"Sí")=1,F491,0)))</f>
        <v/>
      </c>
      <c r="N491" s="56" t="n"/>
      <c r="O491" s="462">
        <f>IF(A491="","",IF(M491=0,"",M491))</f>
        <v/>
      </c>
      <c r="P491" s="461">
        <f>IF(A491="","",IF(O491="",0,IF(ISNUMBER(O491),O491,0)))</f>
        <v/>
      </c>
      <c r="Q491" s="48">
        <f>IF(A491="","",IF(Exogena_RAW!$C$4="","BLOQUEADO: FALTA AÑO",IF(Exogena_RAW!$K$10&lt;&gt;Reglas!$B$5,"BLOQUEADO: AÑO",IF(IF(K491&lt;&gt;"",K491,J491)="",IF(S491&gt;1,"REQUIERE ASIGNACIÓN MANUAL (VARIAS CASILLAS)","INFORMATIVO (sin casilla — no se declara)"),IF(COUNTIFS(Reglas!$I$5:$I$118,IF(K491&lt;&gt;"",K491,J491),Reglas!$J$5:$J$118,"Sí")=0,"BLOQUEADO: CASILLA NO DIRECTA",IF(O491="","EXCLUIDO (valor borrado por el usuario)",IF(_xlfn.ISFORMULA(O491),IF(W491&lt;&gt;"","BORRADOR — VALOR SUGERIDO DIAN ⚠ VER ALERTA","BORRADOR — VALOR SUGERIDO DIAN"),IF(W491&lt;&gt;"","ACEPTADO ⚠ VER ALERTA","ACEPTADO"))))))))</f>
        <v/>
      </c>
      <c r="R491" s="218" t="n"/>
      <c r="S491" s="58">
        <f>IF(A491="","",IFERROR(--ISNUMBER(SEARCH("R28",G491)),0)+IFERROR(--ISNUMBER(SEARCH("R29",G491)),0)+IFERROR(--ISNUMBER(SEARCH("R30",G491)),0)+IFERROR(--ISNUMBER(SEARCH("R31",G491)),0)+IFERROR(--ISNUMBER(SEARCH("R32",G491)),0)+IFERROR(--ISNUMBER(SEARCH("R33",G491)),0)+IFERROR(--ISNUMBER(SEARCH("R34",G491)),0)+IFERROR(--ISNUMBER(SEARCH("R35",G491)),0)+IFERROR(--ISNUMBER(SEARCH("R36",G491)),0)+IFERROR(--ISNUMBER(SEARCH("R37",G491)),0)+IFERROR(--ISNUMBER(SEARCH("R38",G491)),0)+IFERROR(--ISNUMBER(SEARCH("R39",G491)),0)+IFERROR(--ISNUMBER(SEARCH("R40",G491)),0)+IFERROR(--ISNUMBER(SEARCH("R41",G491)),0)+IFERROR(--ISNUMBER(SEARCH("R42",G491)),0)+IFERROR(--ISNUMBER(SEARCH("R43",G491)),0)+IFERROR(--ISNUMBER(SEARCH("R44",G491)),0)+IFERROR(--ISNUMBER(SEARCH("R45",G491)),0)+IFERROR(--ISNUMBER(SEARCH("R46",G491)),0)+IFERROR(--ISNUMBER(SEARCH("R47",G491)),0)+IFERROR(--ISNUMBER(SEARCH("R48",G491)),0)+IFERROR(--ISNUMBER(SEARCH("R49",G491)),0)+IFERROR(--ISNUMBER(SEARCH("R50",G491)),0)+IFERROR(--ISNUMBER(SEARCH("R51",G491)),0)+IFERROR(--ISNUMBER(SEARCH("R52",G491)),0)+IFERROR(--ISNUMBER(SEARCH("R53",G491)),0)+IFERROR(--ISNUMBER(SEARCH("R54",G491)),0)+IFERROR(--ISNUMBER(SEARCH("R55",G491)),0)+IFERROR(--ISNUMBER(SEARCH("R56",G491)),0)+IFERROR(--ISNUMBER(SEARCH("R57",G491)),0)+IFERROR(--ISNUMBER(SEARCH("R58",G491)),0)+IFERROR(--ISNUMBER(SEARCH("R59",G491)),0)+IFERROR(--ISNUMBER(SEARCH("R60",G491)),0)+IFERROR(--ISNUMBER(SEARCH("R61",G491)),0)+IFERROR(--ISNUMBER(SEARCH("R62",G491)),0)+IFERROR(--ISNUMBER(SEARCH("R63",G491)),0)+IFERROR(--ISNUMBER(SEARCH("R64",G491)),0)+IFERROR(--ISNUMBER(SEARCH("R65",G491)),0)+IFERROR(--ISNUMBER(SEARCH("R66",G491)),0)+IFERROR(--ISNUMBER(SEARCH("R67",G491)),0)+IFERROR(--ISNUMBER(SEARCH("R68",G491)),0)+IFERROR(--ISNUMBER(SEARCH("R69",G491)),0)+IFERROR(--ISNUMBER(SEARCH("R70",G491)),0)+IFERROR(--ISNUMBER(SEARCH("R71",G491)),0)+IFERROR(--ISNUMBER(SEARCH("R72",G491)),0)+IFERROR(--ISNUMBER(SEARCH("R73",G491)),0)+IFERROR(--ISNUMBER(SEARCH("R74",G491)),0)+IFERROR(--ISNUMBER(SEARCH("R75",G491)),0)+IFERROR(--ISNUMBER(SEARCH("R76",G491)),0)+IFERROR(--ISNUMBER(SEARCH("R77",G491)),0)+IFERROR(--ISNUMBER(SEARCH("R78",G491)),0)+IFERROR(--ISNUMBER(SEARCH("R79",G491)),0)+IFERROR(--ISNUMBER(SEARCH("R80",G491)),0)+IFERROR(--ISNUMBER(SEARCH("R81",G491)),0)+IFERROR(--ISNUMBER(SEARCH("R82",G491)),0)+IFERROR(--ISNUMBER(SEARCH("R83",G491)),0)+IFERROR(--ISNUMBER(SEARCH("R84",G491)),0)+IFERROR(--ISNUMBER(SEARCH("R85",G491)),0)+IFERROR(--ISNUMBER(SEARCH("R86",G491)),0)+IFERROR(--ISNUMBER(SEARCH("R87",G491)),0)+IFERROR(--ISNUMBER(SEARCH("R88",G491)),0)+IFERROR(--ISNUMBER(SEARCH("R89",G491)),0)+IFERROR(--ISNUMBER(SEARCH("R90",G491)),0)+IFERROR(--ISNUMBER(SEARCH("R91",G491)),0)+IFERROR(--ISNUMBER(SEARCH("R92",G491)),0)+IFERROR(--ISNUMBER(SEARCH("R93",G491)),0)+IFERROR(--ISNUMBER(SEARCH("R94",G491)),0)+IFERROR(--ISNUMBER(SEARCH("R95",G491)),0)+IFERROR(--ISNUMBER(SEARCH("R96",G491)),0)+IFERROR(--ISNUMBER(SEARCH("R97",G491)),0)+IFERROR(--ISNUMBER(SEARCH("R98",G491)),0)+IFERROR(--ISNUMBER(SEARCH("R99",G491)),0)+IFERROR(--ISNUMBER(SEARCH("R100",G491)),0)+IFERROR(--ISNUMBER(SEARCH("R101",G491)),0)+IFERROR(--ISNUMBER(SEARCH("R102",G491)),0)+IFERROR(--ISNUMBER(SEARCH("R103",G491)),0)+IFERROR(--ISNUMBER(SEARCH("R104",G491)),0)+IFERROR(--ISNUMBER(SEARCH("R105",G491)),0)+IFERROR(--ISNUMBER(SEARCH("R106",G491)),0)+IFERROR(--ISNUMBER(SEARCH("R107",G491)),0)+IFERROR(--ISNUMBER(SEARCH("R108",G491)),0)+IFERROR(--ISNUMBER(SEARCH("R109",G491)),0)+IFERROR(--ISNUMBER(SEARCH("R110",G491)),0)+IFERROR(--ISNUMBER(SEARCH("R111",G491)),0)+IFERROR(--ISNUMBER(SEARCH("R112",G491)),0)+IFERROR(--ISNUMBER(SEARCH("R113",G491)),0)+IFERROR(--ISNUMBER(SEARCH("R114",G491)),0)+IFERROR(--ISNUMBER(SEARCH("R115",G491)),0)+IFERROR(--ISNUMBER(SEARCH("R116",G491)),0)+IFERROR(--ISNUMBER(SEARCH("R117",G491)),0)+IFERROR(--ISNUMBER(SEARCH("R118",G491)),0)+IFERROR(--ISNUMBER(SEARCH("R119",G491)),0)+IFERROR(--ISNUMBER(SEARCH("R120",G491)),0)+IFERROR(--ISNUMBER(SEARCH("R121",G491)),0)+IFERROR(--ISNUMBER(SEARCH("R122",G491)),0)+IFERROR(--ISNUMBER(SEARCH("R123",G491)),0)+IFERROR(--ISNUMBER(SEARCH("R124",G491)),0)+IFERROR(--ISNUMBER(SEARCH("R125",G491)),0)+IFERROR(--ISNUMBER(SEARCH("R126",G491)),0)+IFERROR(--ISNUMBER(SEARCH("R127",G491)),0)+IFERROR(--ISNUMBER(SEARCH("R128",G491)),0)+IFERROR(--ISNUMBER(SEARCH("R129",G491)),0)+IFERROR(--ISNUMBER(SEARCH("R130",G491)),0)+IFERROR(--ISNUMBER(SEARCH("R131",G491)),0)+IFERROR(--ISNUMBER(SEARCH("R132",G491)),0)+IFERROR(--ISNUMBER(SEARCH("R133",G491)),0)+IFERROR(--ISNUMBER(SEARCH("R134",G491)),0)+IFERROR(--ISNUMBER(SEARCH("R135",G491)),0)+IFERROR(--ISNUMBER(SEARCH("R136",G491)),0)+IFERROR(--ISNUMBER(SEARCH("R137",G491)),0)+IFERROR(--ISNUMBER(SEARCH("R138",G491)),0)+IFERROR(--ISNUMBER(SEARCH("R139",G491)),0)+IFERROR(--ISNUMBER(SEARCH("R140",G491)),0)+IFERROR(--ISNUMBER(SEARCH("R141",G491)),0))</f>
        <v/>
      </c>
      <c r="T491" s="58">
        <f>IF(A491="","",IFERROR(--ISNUMBER(SEARCH("R28",G491)),0)+IFERROR(--ISNUMBER(SEARCH("R29",G491)),0)+IFERROR(--ISNUMBER(SEARCH("R30",G491)),0)+IFERROR(--ISNUMBER(SEARCH("R32",G491)),0)+IFERROR(--ISNUMBER(SEARCH("R33",G491)),0)+IFERROR(--ISNUMBER(SEARCH("R35",G491)),0)+IFERROR(--ISNUMBER(SEARCH("R36",G491)),0)+IFERROR(--ISNUMBER(SEARCH("R38",G491)),0)+IFERROR(--ISNUMBER(SEARCH("R39",G491)),0)+IFERROR(--ISNUMBER(SEARCH("R43",G491)),0)+IFERROR(--ISNUMBER(SEARCH("R44",G491)),0)+IFERROR(--ISNUMBER(SEARCH("R45",G491)),0)+IFERROR(--ISNUMBER(SEARCH("R47",G491)),0)+IFERROR(--ISNUMBER(SEARCH("R48",G491)),0)+IFERROR(--ISNUMBER(SEARCH("R50",G491)),0)+IFERROR(--ISNUMBER(SEARCH("R51",G491)),0)+IFERROR(--ISNUMBER(SEARCH("R56",G491)),0)+IFERROR(--ISNUMBER(SEARCH("R58",G491)),0)+IFERROR(--ISNUMBER(SEARCH("R59",G491)),0)+IFERROR(--ISNUMBER(SEARCH("R60",G491)),0)+IFERROR(--ISNUMBER(SEARCH("R62",G491)),0)+IFERROR(--ISNUMBER(SEARCH("R63",G491)),0)+IFERROR(--ISNUMBER(SEARCH("R64",G491)),0)+IFERROR(--ISNUMBER(SEARCH("R66",G491)),0)+IFERROR(--ISNUMBER(SEARCH("R67",G491)),0)+IFERROR(--ISNUMBER(SEARCH("R72",G491)),0)+IFERROR(--ISNUMBER(SEARCH("R74",G491)),0)+IFERROR(--ISNUMBER(SEARCH("R75",G491)),0)+IFERROR(--ISNUMBER(SEARCH("R76",G491)),0)+IFERROR(--ISNUMBER(SEARCH("R77",G491)),0)+IFERROR(--ISNUMBER(SEARCH("R79",G491)),0)+IFERROR(--ISNUMBER(SEARCH("R80",G491)),0)+IFERROR(--ISNUMBER(SEARCH("R81",G491)),0)+IFERROR(--ISNUMBER(SEARCH("R83",G491)),0)+IFERROR(--ISNUMBER(SEARCH("R84",G491)),0)+IFERROR(--ISNUMBER(SEARCH("R89",G491)),0)+IFERROR(--ISNUMBER(SEARCH("R94",G491)),0)+IFERROR(--ISNUMBER(SEARCH("R95",G491)),0)+IFERROR(--ISNUMBER(SEARCH("R96",G491)),0)+IFERROR(--ISNUMBER(SEARCH("R98",G491)),0)+IFERROR(--ISNUMBER(SEARCH("R99",G491)),0)+IFERROR(--ISNUMBER(SEARCH("R100",G491)),0)+IFERROR(--ISNUMBER(SEARCH("R104",G491)),0)+IFERROR(--ISNUMBER(SEARCH("R105",G491)),0)+IFERROR(--ISNUMBER(SEARCH("R107",G491)),0)+IFERROR(--ISNUMBER(SEARCH("R108",G491)),0)+IFERROR(--ISNUMBER(SEARCH("R109",G491)),0)+IFERROR(--ISNUMBER(SEARCH("R110",G491)),0)+IFERROR(--ISNUMBER(SEARCH("R112",G491)),0)+IFERROR(--ISNUMBER(SEARCH("R113",G491)),0)+IFERROR(--ISNUMBER(SEARCH("R114",G491)),0)+IFERROR(--ISNUMBER(SEARCH("R118",G491)),0)+IFERROR(--ISNUMBER(SEARCH("R119",G491)),0)+IFERROR(--ISNUMBER(SEARCH("R120",G491)),0)+IFERROR(--ISNUMBER(SEARCH("R122",G491)),0)+IFERROR(--ISNUMBER(SEARCH("R123",G491)),0)+IFERROR(--ISNUMBER(SEARCH("R124",G491)),0)+IFERROR(--ISNUMBER(SEARCH("R128",G491)),0)+IFERROR(--ISNUMBER(SEARCH("R130",G491)),0)+IFERROR(--ISNUMBER(SEARCH("R131",G491)),0)+IFERROR(--ISNUMBER(SEARCH("R132",G491)),0)+IFERROR(--ISNUMBER(SEARCH("R135",G491)),0)+IFERROR(--ISNUMBER(SEARCH("R138",G491)),0)+IFERROR(--ISNUMBER(SEARCH("R141",G491)),0))</f>
        <v/>
      </c>
      <c r="U491" s="58">
        <f>IF(A491="","",IFERROR(--ISNUMBER(SEARCH("R28",G491))*28,0)+IFERROR(--ISNUMBER(SEARCH("R29",G491))*29,0)+IFERROR(--ISNUMBER(SEARCH("R30",G491))*30,0)+IFERROR(--ISNUMBER(SEARCH("R31",G491))*31,0)+IFERROR(--ISNUMBER(SEARCH("R32",G491))*32,0)+IFERROR(--ISNUMBER(SEARCH("R33",G491))*33,0)+IFERROR(--ISNUMBER(SEARCH("R34",G491))*34,0)+IFERROR(--ISNUMBER(SEARCH("R35",G491))*35,0)+IFERROR(--ISNUMBER(SEARCH("R36",G491))*36,0)+IFERROR(--ISNUMBER(SEARCH("R37",G491))*37,0)+IFERROR(--ISNUMBER(SEARCH("R38",G491))*38,0)+IFERROR(--ISNUMBER(SEARCH("R39",G491))*39,0)+IFERROR(--ISNUMBER(SEARCH("R40",G491))*40,0)+IFERROR(--ISNUMBER(SEARCH("R41",G491))*41,0)+IFERROR(--ISNUMBER(SEARCH("R42",G491))*42,0)+IFERROR(--ISNUMBER(SEARCH("R43",G491))*43,0)+IFERROR(--ISNUMBER(SEARCH("R44",G491))*44,0)+IFERROR(--ISNUMBER(SEARCH("R45",G491))*45,0)+IFERROR(--ISNUMBER(SEARCH("R46",G491))*46,0)+IFERROR(--ISNUMBER(SEARCH("R47",G491))*47,0)+IFERROR(--ISNUMBER(SEARCH("R48",G491))*48,0)+IFERROR(--ISNUMBER(SEARCH("R49",G491))*49,0)+IFERROR(--ISNUMBER(SEARCH("R50",G491))*50,0)+IFERROR(--ISNUMBER(SEARCH("R51",G491))*51,0)+IFERROR(--ISNUMBER(SEARCH("R52",G491))*52,0)+IFERROR(--ISNUMBER(SEARCH("R53",G491))*53,0)+IFERROR(--ISNUMBER(SEARCH("R54",G491))*54,0)+IFERROR(--ISNUMBER(SEARCH("R55",G491))*55,0)+IFERROR(--ISNUMBER(SEARCH("R56",G491))*56,0)+IFERROR(--ISNUMBER(SEARCH("R57",G491))*57,0)+IFERROR(--ISNUMBER(SEARCH("R58",G491))*58,0)+IFERROR(--ISNUMBER(SEARCH("R59",G491))*59,0)+IFERROR(--ISNUMBER(SEARCH("R60",G491))*60,0)+IFERROR(--ISNUMBER(SEARCH("R61",G491))*61,0)+IFERROR(--ISNUMBER(SEARCH("R62",G491))*62,0)+IFERROR(--ISNUMBER(SEARCH("R63",G491))*63,0)+IFERROR(--ISNUMBER(SEARCH("R64",G491))*64,0)+IFERROR(--ISNUMBER(SEARCH("R65",G491))*65,0)+IFERROR(--ISNUMBER(SEARCH("R66",G491))*66,0)+IFERROR(--ISNUMBER(SEARCH("R67",G491))*67,0)+IFERROR(--ISNUMBER(SEARCH("R68",G491))*68,0)+IFERROR(--ISNUMBER(SEARCH("R69",G491))*69,0)+IFERROR(--ISNUMBER(SEARCH("R70",G491))*70,0)+IFERROR(--ISNUMBER(SEARCH("R71",G491))*71,0)+IFERROR(--ISNUMBER(SEARCH("R72",G491))*72,0)+IFERROR(--ISNUMBER(SEARCH("R73",G491))*73,0)+IFERROR(--ISNUMBER(SEARCH("R74",G491))*74,0)+IFERROR(--ISNUMBER(SEARCH("R75",G491))*75,0)+IFERROR(--ISNUMBER(SEARCH("R76",G491))*76,0)+IFERROR(--ISNUMBER(SEARCH("R77",G491))*77,0)+IFERROR(--ISNUMBER(SEARCH("R78",G491))*78,0)+IFERROR(--ISNUMBER(SEARCH("R79",G491))*79,0)+IFERROR(--ISNUMBER(SEARCH("R80",G491))*80,0)+IFERROR(--ISNUMBER(SEARCH("R81",G491))*81,0)+IFERROR(--ISNUMBER(SEARCH("R82",G491))*82,0)+IFERROR(--ISNUMBER(SEARCH("R83",G491))*83,0)+IFERROR(--ISNUMBER(SEARCH("R84",G491))*84,0)+IFERROR(--ISNUMBER(SEARCH("R85",G491))*85,0)+IFERROR(--ISNUMBER(SEARCH("R86",G491))*86,0)+IFERROR(--ISNUMBER(SEARCH("R87",G491))*87,0)+IFERROR(--ISNUMBER(SEARCH("R88",G491))*88,0)+IFERROR(--ISNUMBER(SEARCH("R89",G491))*89,0)+IFERROR(--ISNUMBER(SEARCH("R90",G491))*90,0)+IFERROR(--ISNUMBER(SEARCH("R91",G491))*91,0)+IFERROR(--ISNUMBER(SEARCH("R92",G491))*92,0)+IFERROR(--ISNUMBER(SEARCH("R93",G491))*93,0)+IFERROR(--ISNUMBER(SEARCH("R94",G491))*94,0)+IFERROR(--ISNUMBER(SEARCH("R95",G491))*95,0)+IFERROR(--ISNUMBER(SEARCH("R96",G491))*96,0)+IFERROR(--ISNUMBER(SEARCH("R97",G491))*97,0)+IFERROR(--ISNUMBER(SEARCH("R98",G491))*98,0)+IFERROR(--ISNUMBER(SEARCH("R99",G491))*99,0)+IFERROR(--ISNUMBER(SEARCH("R100",G491))*100,0)+IFERROR(--ISNUMBER(SEARCH("R101",G491))*101,0)+IFERROR(--ISNUMBER(SEARCH("R102",G491))*102,0)+IFERROR(--ISNUMBER(SEARCH("R103",G491))*103,0)+IFERROR(--ISNUMBER(SEARCH("R104",G491))*104,0)+IFERROR(--ISNUMBER(SEARCH("R105",G491))*105,0)+IFERROR(--ISNUMBER(SEARCH("R106",G491))*106,0)+IFERROR(--ISNUMBER(SEARCH("R107",G491))*107,0)+IFERROR(--ISNUMBER(SEARCH("R108",G491))*108,0)+IFERROR(--ISNUMBER(SEARCH("R109",G491))*109,0)+IFERROR(--ISNUMBER(SEARCH("R110",G491))*110,0)+IFERROR(--ISNUMBER(SEARCH("R111",G491))*111,0)+IFERROR(--ISNUMBER(SEARCH("R112",G491))*112,0)+IFERROR(--ISNUMBER(SEARCH("R113",G491))*113,0)+IFERROR(--ISNUMBER(SEARCH("R114",G491))*114,0)+IFERROR(--ISNUMBER(SEARCH("R115",G491))*115,0)+IFERROR(--ISNUMBER(SEARCH("R116",G491))*116,0)+IFERROR(--ISNUMBER(SEARCH("R117",G491))*117,0)+IFERROR(--ISNUMBER(SEARCH("R118",G491))*118,0)+IFERROR(--ISNUMBER(SEARCH("R119",G491))*119,0)+IFERROR(--ISNUMBER(SEARCH("R120",G491))*120,0)+IFERROR(--ISNUMBER(SEARCH("R121",G491))*121,0)+IFERROR(--ISNUMBER(SEARCH("R122",G491))*122,0)+IFERROR(--ISNUMBER(SEARCH("R123",G491))*123,0)+IFERROR(--ISNUMBER(SEARCH("R124",G491))*124,0)+IFERROR(--ISNUMBER(SEARCH("R125",G491))*125,0)+IFERROR(--ISNUMBER(SEARCH("R126",G491))*126,0)+IFERROR(--ISNUMBER(SEARCH("R127",G491))*127,0)+IFERROR(--ISNUMBER(SEARCH("R128",G491))*128,0)+IFERROR(--ISNUMBER(SEARCH("R129",G491))*129,0)+IFERROR(--ISNUMBER(SEARCH("R130",G491))*130,0)+IFERROR(--ISNUMBER(SEARCH("R131",G491))*131,0)+IFERROR(--ISNUMBER(SEARCH("R132",G491))*132,0)+IFERROR(--ISNUMBER(SEARCH("R133",G491))*133,0)+IFERROR(--ISNUMBER(SEARCH("R134",G491))*134,0)+IFERROR(--ISNUMBER(SEARCH("R135",G491))*135,0)+IFERROR(--ISNUMBER(SEARCH("R136",G491))*136,0)+IFERROR(--ISNUMBER(SEARCH("R137",G491))*137,0)+IFERROR(--ISNUMBER(SEARCH("R138",G491))*138,0)+IFERROR(--ISNUMBER(SEARCH("R139",G491))*139,0)+IFERROR(--ISNUMBER(SEARCH("R140",G491))*140,0)+IFERROR(--ISNUMBER(SEARCH("R141",G491))*141,0))</f>
        <v/>
      </c>
      <c r="V491" s="59">
        <f>IF(A491="","",IF(K491&lt;&gt;"",K491,J491))</f>
        <v/>
      </c>
      <c r="W491" s="59">
        <f>IF(A491="","",IF(AND(V491=29,O491&lt;&gt;"",COUNTIFS($V$6:$V$505,29,$F$6:$F$505,F491,$C$6:$C$505,C491,$O$6:$O$505,"&lt;&gt;")&gt;1),IF(COUNTIFS($V$6:V491,29,$F$6:F491,F491,$C$6:C491,C491,$O$6:O491,"&lt;&gt;")=1,"Esta es la fila que se debe CONSERVAR (aparición 1 de "&amp;COUNTIFS($V$6:$V$505,29,$F$6:$F$505,F491,$C$6:$C$505,C491,$O$6:$O$505,"&lt;&gt;")&amp;" con el mismo tercero y valor, casilla 29). Si hay más filas iguales, bórreles el valor a ELLAS, no a esta.","DUPLICADO — ya existe otra fila con el mismo tercero y valor para casilla 29 (aparición "&amp;COUNTIFS($V$6:V491,29,$F$6:F491,F491,$C$6:C491,C491,$O$6:O491,"&lt;&gt;")&amp;" de "&amp;COUNTIFS($V$6:$V$505,29,$F$6:$F$505,F491,$C$6:$C$505,C491,$O$6:$O$505,"&lt;&gt;")&amp;"). Para resolverlo: seleccione la celda O"&amp;ROW()&amp;" (columna Valor a declarar de ESTA fila) y presione Supr."),""))</f>
        <v/>
      </c>
      <c r="X491" s="463">
        <f>IF(A491="","",F491)</f>
        <v/>
      </c>
      <c r="Y491" s="463">
        <f>IF(A491="","",SUMIF(Entrada_Manual!$I$88:$I$187,A491,Entrada_Manual!$F$88:$F$187))</f>
        <v/>
      </c>
      <c r="Z491" s="463">
        <f>IF(A491="","",X491-Y491)</f>
        <v/>
      </c>
      <c r="AA491">
        <f>IF(A491="","",SUMPRODUCT((Entrada_Manual!$I$88:$I$187=A491)*1))</f>
        <v/>
      </c>
      <c r="AB491">
        <f>IF(A491="","",IF(S491&lt;=1,"",IF(AA491=0,"PENDIENTE — SIN ASIGNAR",IF(Z491=0,"RESUELTO","PARCIAL — DIFERENCIA "&amp;TEXT(Z491,"#,##0")))))</f>
        <v/>
      </c>
    </row>
    <row r="492" ht="14.25" customHeight="1" s="235">
      <c r="A492" s="47">
        <f>IF(Exogena_RAW!E501&lt;&gt;"",ROW()-5,"")</f>
        <v/>
      </c>
      <c r="B492" s="48">
        <f>IF(A492="","",501)</f>
        <v/>
      </c>
      <c r="C492" s="48">
        <f>IF(A492="","",IFERROR(Exogena_RAW!A501,""))</f>
        <v/>
      </c>
      <c r="D492" s="48">
        <f>IF(A492="","",IFERROR(Exogena_RAW!B501,""))</f>
        <v/>
      </c>
      <c r="E492" s="48">
        <f>IF(A492="","",Exogena_RAW!E501)</f>
        <v/>
      </c>
      <c r="F492" s="461">
        <f>IF(A492="","",Exogena_RAW!F501)</f>
        <v/>
      </c>
      <c r="G492" s="48">
        <f>IF(A492="","",IFERROR(Exogena_RAW!G501,""))</f>
        <v/>
      </c>
      <c r="H492" s="48">
        <f>IF(A492="","",IFERROR(Exogena_RAW!H501,""))</f>
        <v/>
      </c>
      <c r="I492" s="48">
        <f>IF(A492="","",IFERROR(IF(S492&gt;1,"VARIAS CASILLAS",IF(S492=1,IF(T492=1,"PROPUESTA DE CASILLA","REVISIÓN: CASILLA NO DIRECTA"),IF(OR(ISNUMBER(SEARCH("TOPE",UPPER(E492))),ISNUMBER(SEARCH("TOPE",UPPER(G492)))),"SOLO CONTROL",IF(ISNUMBER(SEARCH("RETEN",UPPER(E492))),"RETENCIÓN","REVISAR")))),"REVISAR"))</f>
        <v/>
      </c>
      <c r="J492" s="48">
        <f>IF(A492="","",IF(ISNUMBER(SEARCH("ingreso laboral promedio de los últimos seis meses",E492)),"",IFERROR(IF(AND(S492=1,T492=1),U492,""),"")))</f>
        <v/>
      </c>
      <c r="K492" s="216" t="n"/>
      <c r="L492" s="48">
        <f>IF(A492="","",IFERROR(IF(K492&lt;&gt;"","Casilla elegida por usuario",IF(S492&gt;1,"Varias casillas — elegir en K",IF(J492&lt;&gt;"","Sugerencia directa",IF(S492=1,"No trasladar directo — revisar",IF(OR(ISNUMBER(SEARCH("TOPE",UPPER(E492))),ISNUMBER(SEARCH("TOPE",UPPER(G492)))),"Solo control","Revisar manualmente"))))),"Revisar manualmente"))</f>
        <v/>
      </c>
      <c r="M492" s="461">
        <f>IF(A492="","",IF(IF(K492&lt;&gt;"",K492,J492)="",0,IF(COUNTIFS(Reglas!$I$5:$I$118,IF(K492&lt;&gt;"",K492,J492),Reglas!$J$5:$J$118,"Sí")=1,F492,0)))</f>
        <v/>
      </c>
      <c r="N492" s="56" t="n"/>
      <c r="O492" s="462">
        <f>IF(A492="","",IF(M492=0,"",M492))</f>
        <v/>
      </c>
      <c r="P492" s="461">
        <f>IF(A492="","",IF(O492="",0,IF(ISNUMBER(O492),O492,0)))</f>
        <v/>
      </c>
      <c r="Q492" s="48">
        <f>IF(A492="","",IF(Exogena_RAW!$C$4="","BLOQUEADO: FALTA AÑO",IF(Exogena_RAW!$K$10&lt;&gt;Reglas!$B$5,"BLOQUEADO: AÑO",IF(IF(K492&lt;&gt;"",K492,J492)="",IF(S492&gt;1,"REQUIERE ASIGNACIÓN MANUAL (VARIAS CASILLAS)","INFORMATIVO (sin casilla — no se declara)"),IF(COUNTIFS(Reglas!$I$5:$I$118,IF(K492&lt;&gt;"",K492,J492),Reglas!$J$5:$J$118,"Sí")=0,"BLOQUEADO: CASILLA NO DIRECTA",IF(O492="","EXCLUIDO (valor borrado por el usuario)",IF(_xlfn.ISFORMULA(O492),IF(W492&lt;&gt;"","BORRADOR — VALOR SUGERIDO DIAN ⚠ VER ALERTA","BORRADOR — VALOR SUGERIDO DIAN"),IF(W492&lt;&gt;"","ACEPTADO ⚠ VER ALERTA","ACEPTADO"))))))))</f>
        <v/>
      </c>
      <c r="R492" s="218" t="n"/>
      <c r="S492" s="58">
        <f>IF(A492="","",IFERROR(--ISNUMBER(SEARCH("R28",G492)),0)+IFERROR(--ISNUMBER(SEARCH("R29",G492)),0)+IFERROR(--ISNUMBER(SEARCH("R30",G492)),0)+IFERROR(--ISNUMBER(SEARCH("R31",G492)),0)+IFERROR(--ISNUMBER(SEARCH("R32",G492)),0)+IFERROR(--ISNUMBER(SEARCH("R33",G492)),0)+IFERROR(--ISNUMBER(SEARCH("R34",G492)),0)+IFERROR(--ISNUMBER(SEARCH("R35",G492)),0)+IFERROR(--ISNUMBER(SEARCH("R36",G492)),0)+IFERROR(--ISNUMBER(SEARCH("R37",G492)),0)+IFERROR(--ISNUMBER(SEARCH("R38",G492)),0)+IFERROR(--ISNUMBER(SEARCH("R39",G492)),0)+IFERROR(--ISNUMBER(SEARCH("R40",G492)),0)+IFERROR(--ISNUMBER(SEARCH("R41",G492)),0)+IFERROR(--ISNUMBER(SEARCH("R42",G492)),0)+IFERROR(--ISNUMBER(SEARCH("R43",G492)),0)+IFERROR(--ISNUMBER(SEARCH("R44",G492)),0)+IFERROR(--ISNUMBER(SEARCH("R45",G492)),0)+IFERROR(--ISNUMBER(SEARCH("R46",G492)),0)+IFERROR(--ISNUMBER(SEARCH("R47",G492)),0)+IFERROR(--ISNUMBER(SEARCH("R48",G492)),0)+IFERROR(--ISNUMBER(SEARCH("R49",G492)),0)+IFERROR(--ISNUMBER(SEARCH("R50",G492)),0)+IFERROR(--ISNUMBER(SEARCH("R51",G492)),0)+IFERROR(--ISNUMBER(SEARCH("R52",G492)),0)+IFERROR(--ISNUMBER(SEARCH("R53",G492)),0)+IFERROR(--ISNUMBER(SEARCH("R54",G492)),0)+IFERROR(--ISNUMBER(SEARCH("R55",G492)),0)+IFERROR(--ISNUMBER(SEARCH("R56",G492)),0)+IFERROR(--ISNUMBER(SEARCH("R57",G492)),0)+IFERROR(--ISNUMBER(SEARCH("R58",G492)),0)+IFERROR(--ISNUMBER(SEARCH("R59",G492)),0)+IFERROR(--ISNUMBER(SEARCH("R60",G492)),0)+IFERROR(--ISNUMBER(SEARCH("R61",G492)),0)+IFERROR(--ISNUMBER(SEARCH("R62",G492)),0)+IFERROR(--ISNUMBER(SEARCH("R63",G492)),0)+IFERROR(--ISNUMBER(SEARCH("R64",G492)),0)+IFERROR(--ISNUMBER(SEARCH("R65",G492)),0)+IFERROR(--ISNUMBER(SEARCH("R66",G492)),0)+IFERROR(--ISNUMBER(SEARCH("R67",G492)),0)+IFERROR(--ISNUMBER(SEARCH("R68",G492)),0)+IFERROR(--ISNUMBER(SEARCH("R69",G492)),0)+IFERROR(--ISNUMBER(SEARCH("R70",G492)),0)+IFERROR(--ISNUMBER(SEARCH("R71",G492)),0)+IFERROR(--ISNUMBER(SEARCH("R72",G492)),0)+IFERROR(--ISNUMBER(SEARCH("R73",G492)),0)+IFERROR(--ISNUMBER(SEARCH("R74",G492)),0)+IFERROR(--ISNUMBER(SEARCH("R75",G492)),0)+IFERROR(--ISNUMBER(SEARCH("R76",G492)),0)+IFERROR(--ISNUMBER(SEARCH("R77",G492)),0)+IFERROR(--ISNUMBER(SEARCH("R78",G492)),0)+IFERROR(--ISNUMBER(SEARCH("R79",G492)),0)+IFERROR(--ISNUMBER(SEARCH("R80",G492)),0)+IFERROR(--ISNUMBER(SEARCH("R81",G492)),0)+IFERROR(--ISNUMBER(SEARCH("R82",G492)),0)+IFERROR(--ISNUMBER(SEARCH("R83",G492)),0)+IFERROR(--ISNUMBER(SEARCH("R84",G492)),0)+IFERROR(--ISNUMBER(SEARCH("R85",G492)),0)+IFERROR(--ISNUMBER(SEARCH("R86",G492)),0)+IFERROR(--ISNUMBER(SEARCH("R87",G492)),0)+IFERROR(--ISNUMBER(SEARCH("R88",G492)),0)+IFERROR(--ISNUMBER(SEARCH("R89",G492)),0)+IFERROR(--ISNUMBER(SEARCH("R90",G492)),0)+IFERROR(--ISNUMBER(SEARCH("R91",G492)),0)+IFERROR(--ISNUMBER(SEARCH("R92",G492)),0)+IFERROR(--ISNUMBER(SEARCH("R93",G492)),0)+IFERROR(--ISNUMBER(SEARCH("R94",G492)),0)+IFERROR(--ISNUMBER(SEARCH("R95",G492)),0)+IFERROR(--ISNUMBER(SEARCH("R96",G492)),0)+IFERROR(--ISNUMBER(SEARCH("R97",G492)),0)+IFERROR(--ISNUMBER(SEARCH("R98",G492)),0)+IFERROR(--ISNUMBER(SEARCH("R99",G492)),0)+IFERROR(--ISNUMBER(SEARCH("R100",G492)),0)+IFERROR(--ISNUMBER(SEARCH("R101",G492)),0)+IFERROR(--ISNUMBER(SEARCH("R102",G492)),0)+IFERROR(--ISNUMBER(SEARCH("R103",G492)),0)+IFERROR(--ISNUMBER(SEARCH("R104",G492)),0)+IFERROR(--ISNUMBER(SEARCH("R105",G492)),0)+IFERROR(--ISNUMBER(SEARCH("R106",G492)),0)+IFERROR(--ISNUMBER(SEARCH("R107",G492)),0)+IFERROR(--ISNUMBER(SEARCH("R108",G492)),0)+IFERROR(--ISNUMBER(SEARCH("R109",G492)),0)+IFERROR(--ISNUMBER(SEARCH("R110",G492)),0)+IFERROR(--ISNUMBER(SEARCH("R111",G492)),0)+IFERROR(--ISNUMBER(SEARCH("R112",G492)),0)+IFERROR(--ISNUMBER(SEARCH("R113",G492)),0)+IFERROR(--ISNUMBER(SEARCH("R114",G492)),0)+IFERROR(--ISNUMBER(SEARCH("R115",G492)),0)+IFERROR(--ISNUMBER(SEARCH("R116",G492)),0)+IFERROR(--ISNUMBER(SEARCH("R117",G492)),0)+IFERROR(--ISNUMBER(SEARCH("R118",G492)),0)+IFERROR(--ISNUMBER(SEARCH("R119",G492)),0)+IFERROR(--ISNUMBER(SEARCH("R120",G492)),0)+IFERROR(--ISNUMBER(SEARCH("R121",G492)),0)+IFERROR(--ISNUMBER(SEARCH("R122",G492)),0)+IFERROR(--ISNUMBER(SEARCH("R123",G492)),0)+IFERROR(--ISNUMBER(SEARCH("R124",G492)),0)+IFERROR(--ISNUMBER(SEARCH("R125",G492)),0)+IFERROR(--ISNUMBER(SEARCH("R126",G492)),0)+IFERROR(--ISNUMBER(SEARCH("R127",G492)),0)+IFERROR(--ISNUMBER(SEARCH("R128",G492)),0)+IFERROR(--ISNUMBER(SEARCH("R129",G492)),0)+IFERROR(--ISNUMBER(SEARCH("R130",G492)),0)+IFERROR(--ISNUMBER(SEARCH("R131",G492)),0)+IFERROR(--ISNUMBER(SEARCH("R132",G492)),0)+IFERROR(--ISNUMBER(SEARCH("R133",G492)),0)+IFERROR(--ISNUMBER(SEARCH("R134",G492)),0)+IFERROR(--ISNUMBER(SEARCH("R135",G492)),0)+IFERROR(--ISNUMBER(SEARCH("R136",G492)),0)+IFERROR(--ISNUMBER(SEARCH("R137",G492)),0)+IFERROR(--ISNUMBER(SEARCH("R138",G492)),0)+IFERROR(--ISNUMBER(SEARCH("R139",G492)),0)+IFERROR(--ISNUMBER(SEARCH("R140",G492)),0)+IFERROR(--ISNUMBER(SEARCH("R141",G492)),0))</f>
        <v/>
      </c>
      <c r="T492" s="58">
        <f>IF(A492="","",IFERROR(--ISNUMBER(SEARCH("R28",G492)),0)+IFERROR(--ISNUMBER(SEARCH("R29",G492)),0)+IFERROR(--ISNUMBER(SEARCH("R30",G492)),0)+IFERROR(--ISNUMBER(SEARCH("R32",G492)),0)+IFERROR(--ISNUMBER(SEARCH("R33",G492)),0)+IFERROR(--ISNUMBER(SEARCH("R35",G492)),0)+IFERROR(--ISNUMBER(SEARCH("R36",G492)),0)+IFERROR(--ISNUMBER(SEARCH("R38",G492)),0)+IFERROR(--ISNUMBER(SEARCH("R39",G492)),0)+IFERROR(--ISNUMBER(SEARCH("R43",G492)),0)+IFERROR(--ISNUMBER(SEARCH("R44",G492)),0)+IFERROR(--ISNUMBER(SEARCH("R45",G492)),0)+IFERROR(--ISNUMBER(SEARCH("R47",G492)),0)+IFERROR(--ISNUMBER(SEARCH("R48",G492)),0)+IFERROR(--ISNUMBER(SEARCH("R50",G492)),0)+IFERROR(--ISNUMBER(SEARCH("R51",G492)),0)+IFERROR(--ISNUMBER(SEARCH("R56",G492)),0)+IFERROR(--ISNUMBER(SEARCH("R58",G492)),0)+IFERROR(--ISNUMBER(SEARCH("R59",G492)),0)+IFERROR(--ISNUMBER(SEARCH("R60",G492)),0)+IFERROR(--ISNUMBER(SEARCH("R62",G492)),0)+IFERROR(--ISNUMBER(SEARCH("R63",G492)),0)+IFERROR(--ISNUMBER(SEARCH("R64",G492)),0)+IFERROR(--ISNUMBER(SEARCH("R66",G492)),0)+IFERROR(--ISNUMBER(SEARCH("R67",G492)),0)+IFERROR(--ISNUMBER(SEARCH("R72",G492)),0)+IFERROR(--ISNUMBER(SEARCH("R74",G492)),0)+IFERROR(--ISNUMBER(SEARCH("R75",G492)),0)+IFERROR(--ISNUMBER(SEARCH("R76",G492)),0)+IFERROR(--ISNUMBER(SEARCH("R77",G492)),0)+IFERROR(--ISNUMBER(SEARCH("R79",G492)),0)+IFERROR(--ISNUMBER(SEARCH("R80",G492)),0)+IFERROR(--ISNUMBER(SEARCH("R81",G492)),0)+IFERROR(--ISNUMBER(SEARCH("R83",G492)),0)+IFERROR(--ISNUMBER(SEARCH("R84",G492)),0)+IFERROR(--ISNUMBER(SEARCH("R89",G492)),0)+IFERROR(--ISNUMBER(SEARCH("R94",G492)),0)+IFERROR(--ISNUMBER(SEARCH("R95",G492)),0)+IFERROR(--ISNUMBER(SEARCH("R96",G492)),0)+IFERROR(--ISNUMBER(SEARCH("R98",G492)),0)+IFERROR(--ISNUMBER(SEARCH("R99",G492)),0)+IFERROR(--ISNUMBER(SEARCH("R100",G492)),0)+IFERROR(--ISNUMBER(SEARCH("R104",G492)),0)+IFERROR(--ISNUMBER(SEARCH("R105",G492)),0)+IFERROR(--ISNUMBER(SEARCH("R107",G492)),0)+IFERROR(--ISNUMBER(SEARCH("R108",G492)),0)+IFERROR(--ISNUMBER(SEARCH("R109",G492)),0)+IFERROR(--ISNUMBER(SEARCH("R110",G492)),0)+IFERROR(--ISNUMBER(SEARCH("R112",G492)),0)+IFERROR(--ISNUMBER(SEARCH("R113",G492)),0)+IFERROR(--ISNUMBER(SEARCH("R114",G492)),0)+IFERROR(--ISNUMBER(SEARCH("R118",G492)),0)+IFERROR(--ISNUMBER(SEARCH("R119",G492)),0)+IFERROR(--ISNUMBER(SEARCH("R120",G492)),0)+IFERROR(--ISNUMBER(SEARCH("R122",G492)),0)+IFERROR(--ISNUMBER(SEARCH("R123",G492)),0)+IFERROR(--ISNUMBER(SEARCH("R124",G492)),0)+IFERROR(--ISNUMBER(SEARCH("R128",G492)),0)+IFERROR(--ISNUMBER(SEARCH("R130",G492)),0)+IFERROR(--ISNUMBER(SEARCH("R131",G492)),0)+IFERROR(--ISNUMBER(SEARCH("R132",G492)),0)+IFERROR(--ISNUMBER(SEARCH("R135",G492)),0)+IFERROR(--ISNUMBER(SEARCH("R138",G492)),0)+IFERROR(--ISNUMBER(SEARCH("R141",G492)),0))</f>
        <v/>
      </c>
      <c r="U492" s="58">
        <f>IF(A492="","",IFERROR(--ISNUMBER(SEARCH("R28",G492))*28,0)+IFERROR(--ISNUMBER(SEARCH("R29",G492))*29,0)+IFERROR(--ISNUMBER(SEARCH("R30",G492))*30,0)+IFERROR(--ISNUMBER(SEARCH("R31",G492))*31,0)+IFERROR(--ISNUMBER(SEARCH("R32",G492))*32,0)+IFERROR(--ISNUMBER(SEARCH("R33",G492))*33,0)+IFERROR(--ISNUMBER(SEARCH("R34",G492))*34,0)+IFERROR(--ISNUMBER(SEARCH("R35",G492))*35,0)+IFERROR(--ISNUMBER(SEARCH("R36",G492))*36,0)+IFERROR(--ISNUMBER(SEARCH("R37",G492))*37,0)+IFERROR(--ISNUMBER(SEARCH("R38",G492))*38,0)+IFERROR(--ISNUMBER(SEARCH("R39",G492))*39,0)+IFERROR(--ISNUMBER(SEARCH("R40",G492))*40,0)+IFERROR(--ISNUMBER(SEARCH("R41",G492))*41,0)+IFERROR(--ISNUMBER(SEARCH("R42",G492))*42,0)+IFERROR(--ISNUMBER(SEARCH("R43",G492))*43,0)+IFERROR(--ISNUMBER(SEARCH("R44",G492))*44,0)+IFERROR(--ISNUMBER(SEARCH("R45",G492))*45,0)+IFERROR(--ISNUMBER(SEARCH("R46",G492))*46,0)+IFERROR(--ISNUMBER(SEARCH("R47",G492))*47,0)+IFERROR(--ISNUMBER(SEARCH("R48",G492))*48,0)+IFERROR(--ISNUMBER(SEARCH("R49",G492))*49,0)+IFERROR(--ISNUMBER(SEARCH("R50",G492))*50,0)+IFERROR(--ISNUMBER(SEARCH("R51",G492))*51,0)+IFERROR(--ISNUMBER(SEARCH("R52",G492))*52,0)+IFERROR(--ISNUMBER(SEARCH("R53",G492))*53,0)+IFERROR(--ISNUMBER(SEARCH("R54",G492))*54,0)+IFERROR(--ISNUMBER(SEARCH("R55",G492))*55,0)+IFERROR(--ISNUMBER(SEARCH("R56",G492))*56,0)+IFERROR(--ISNUMBER(SEARCH("R57",G492))*57,0)+IFERROR(--ISNUMBER(SEARCH("R58",G492))*58,0)+IFERROR(--ISNUMBER(SEARCH("R59",G492))*59,0)+IFERROR(--ISNUMBER(SEARCH("R60",G492))*60,0)+IFERROR(--ISNUMBER(SEARCH("R61",G492))*61,0)+IFERROR(--ISNUMBER(SEARCH("R62",G492))*62,0)+IFERROR(--ISNUMBER(SEARCH("R63",G492))*63,0)+IFERROR(--ISNUMBER(SEARCH("R64",G492))*64,0)+IFERROR(--ISNUMBER(SEARCH("R65",G492))*65,0)+IFERROR(--ISNUMBER(SEARCH("R66",G492))*66,0)+IFERROR(--ISNUMBER(SEARCH("R67",G492))*67,0)+IFERROR(--ISNUMBER(SEARCH("R68",G492))*68,0)+IFERROR(--ISNUMBER(SEARCH("R69",G492))*69,0)+IFERROR(--ISNUMBER(SEARCH("R70",G492))*70,0)+IFERROR(--ISNUMBER(SEARCH("R71",G492))*71,0)+IFERROR(--ISNUMBER(SEARCH("R72",G492))*72,0)+IFERROR(--ISNUMBER(SEARCH("R73",G492))*73,0)+IFERROR(--ISNUMBER(SEARCH("R74",G492))*74,0)+IFERROR(--ISNUMBER(SEARCH("R75",G492))*75,0)+IFERROR(--ISNUMBER(SEARCH("R76",G492))*76,0)+IFERROR(--ISNUMBER(SEARCH("R77",G492))*77,0)+IFERROR(--ISNUMBER(SEARCH("R78",G492))*78,0)+IFERROR(--ISNUMBER(SEARCH("R79",G492))*79,0)+IFERROR(--ISNUMBER(SEARCH("R80",G492))*80,0)+IFERROR(--ISNUMBER(SEARCH("R81",G492))*81,0)+IFERROR(--ISNUMBER(SEARCH("R82",G492))*82,0)+IFERROR(--ISNUMBER(SEARCH("R83",G492))*83,0)+IFERROR(--ISNUMBER(SEARCH("R84",G492))*84,0)+IFERROR(--ISNUMBER(SEARCH("R85",G492))*85,0)+IFERROR(--ISNUMBER(SEARCH("R86",G492))*86,0)+IFERROR(--ISNUMBER(SEARCH("R87",G492))*87,0)+IFERROR(--ISNUMBER(SEARCH("R88",G492))*88,0)+IFERROR(--ISNUMBER(SEARCH("R89",G492))*89,0)+IFERROR(--ISNUMBER(SEARCH("R90",G492))*90,0)+IFERROR(--ISNUMBER(SEARCH("R91",G492))*91,0)+IFERROR(--ISNUMBER(SEARCH("R92",G492))*92,0)+IFERROR(--ISNUMBER(SEARCH("R93",G492))*93,0)+IFERROR(--ISNUMBER(SEARCH("R94",G492))*94,0)+IFERROR(--ISNUMBER(SEARCH("R95",G492))*95,0)+IFERROR(--ISNUMBER(SEARCH("R96",G492))*96,0)+IFERROR(--ISNUMBER(SEARCH("R97",G492))*97,0)+IFERROR(--ISNUMBER(SEARCH("R98",G492))*98,0)+IFERROR(--ISNUMBER(SEARCH("R99",G492))*99,0)+IFERROR(--ISNUMBER(SEARCH("R100",G492))*100,0)+IFERROR(--ISNUMBER(SEARCH("R101",G492))*101,0)+IFERROR(--ISNUMBER(SEARCH("R102",G492))*102,0)+IFERROR(--ISNUMBER(SEARCH("R103",G492))*103,0)+IFERROR(--ISNUMBER(SEARCH("R104",G492))*104,0)+IFERROR(--ISNUMBER(SEARCH("R105",G492))*105,0)+IFERROR(--ISNUMBER(SEARCH("R106",G492))*106,0)+IFERROR(--ISNUMBER(SEARCH("R107",G492))*107,0)+IFERROR(--ISNUMBER(SEARCH("R108",G492))*108,0)+IFERROR(--ISNUMBER(SEARCH("R109",G492))*109,0)+IFERROR(--ISNUMBER(SEARCH("R110",G492))*110,0)+IFERROR(--ISNUMBER(SEARCH("R111",G492))*111,0)+IFERROR(--ISNUMBER(SEARCH("R112",G492))*112,0)+IFERROR(--ISNUMBER(SEARCH("R113",G492))*113,0)+IFERROR(--ISNUMBER(SEARCH("R114",G492))*114,0)+IFERROR(--ISNUMBER(SEARCH("R115",G492))*115,0)+IFERROR(--ISNUMBER(SEARCH("R116",G492))*116,0)+IFERROR(--ISNUMBER(SEARCH("R117",G492))*117,0)+IFERROR(--ISNUMBER(SEARCH("R118",G492))*118,0)+IFERROR(--ISNUMBER(SEARCH("R119",G492))*119,0)+IFERROR(--ISNUMBER(SEARCH("R120",G492))*120,0)+IFERROR(--ISNUMBER(SEARCH("R121",G492))*121,0)+IFERROR(--ISNUMBER(SEARCH("R122",G492))*122,0)+IFERROR(--ISNUMBER(SEARCH("R123",G492))*123,0)+IFERROR(--ISNUMBER(SEARCH("R124",G492))*124,0)+IFERROR(--ISNUMBER(SEARCH("R125",G492))*125,0)+IFERROR(--ISNUMBER(SEARCH("R126",G492))*126,0)+IFERROR(--ISNUMBER(SEARCH("R127",G492))*127,0)+IFERROR(--ISNUMBER(SEARCH("R128",G492))*128,0)+IFERROR(--ISNUMBER(SEARCH("R129",G492))*129,0)+IFERROR(--ISNUMBER(SEARCH("R130",G492))*130,0)+IFERROR(--ISNUMBER(SEARCH("R131",G492))*131,0)+IFERROR(--ISNUMBER(SEARCH("R132",G492))*132,0)+IFERROR(--ISNUMBER(SEARCH("R133",G492))*133,0)+IFERROR(--ISNUMBER(SEARCH("R134",G492))*134,0)+IFERROR(--ISNUMBER(SEARCH("R135",G492))*135,0)+IFERROR(--ISNUMBER(SEARCH("R136",G492))*136,0)+IFERROR(--ISNUMBER(SEARCH("R137",G492))*137,0)+IFERROR(--ISNUMBER(SEARCH("R138",G492))*138,0)+IFERROR(--ISNUMBER(SEARCH("R139",G492))*139,0)+IFERROR(--ISNUMBER(SEARCH("R140",G492))*140,0)+IFERROR(--ISNUMBER(SEARCH("R141",G492))*141,0))</f>
        <v/>
      </c>
      <c r="V492" s="59">
        <f>IF(A492="","",IF(K492&lt;&gt;"",K492,J492))</f>
        <v/>
      </c>
      <c r="W492" s="59">
        <f>IF(A492="","",IF(AND(V492=29,O492&lt;&gt;"",COUNTIFS($V$6:$V$505,29,$F$6:$F$505,F492,$C$6:$C$505,C492,$O$6:$O$505,"&lt;&gt;")&gt;1),IF(COUNTIFS($V$6:V492,29,$F$6:F492,F492,$C$6:C492,C492,$O$6:O492,"&lt;&gt;")=1,"Esta es la fila que se debe CONSERVAR (aparición 1 de "&amp;COUNTIFS($V$6:$V$505,29,$F$6:$F$505,F492,$C$6:$C$505,C492,$O$6:$O$505,"&lt;&gt;")&amp;" con el mismo tercero y valor, casilla 29). Si hay más filas iguales, bórreles el valor a ELLAS, no a esta.","DUPLICADO — ya existe otra fila con el mismo tercero y valor para casilla 29 (aparición "&amp;COUNTIFS($V$6:V492,29,$F$6:F492,F492,$C$6:C492,C492,$O$6:O492,"&lt;&gt;")&amp;" de "&amp;COUNTIFS($V$6:$V$505,29,$F$6:$F$505,F492,$C$6:$C$505,C492,$O$6:$O$505,"&lt;&gt;")&amp;"). Para resolverlo: seleccione la celda O"&amp;ROW()&amp;" (columna Valor a declarar de ESTA fila) y presione Supr."),""))</f>
        <v/>
      </c>
      <c r="X492" s="463">
        <f>IF(A492="","",F492)</f>
        <v/>
      </c>
      <c r="Y492" s="463">
        <f>IF(A492="","",SUMIF(Entrada_Manual!$I$88:$I$187,A492,Entrada_Manual!$F$88:$F$187))</f>
        <v/>
      </c>
      <c r="Z492" s="463">
        <f>IF(A492="","",X492-Y492)</f>
        <v/>
      </c>
      <c r="AA492">
        <f>IF(A492="","",SUMPRODUCT((Entrada_Manual!$I$88:$I$187=A492)*1))</f>
        <v/>
      </c>
      <c r="AB492">
        <f>IF(A492="","",IF(S492&lt;=1,"",IF(AA492=0,"PENDIENTE — SIN ASIGNAR",IF(Z492=0,"RESUELTO","PARCIAL — DIFERENCIA "&amp;TEXT(Z492,"#,##0")))))</f>
        <v/>
      </c>
    </row>
    <row r="493" ht="14.25" customHeight="1" s="235">
      <c r="A493" s="47">
        <f>IF(Exogena_RAW!E502&lt;&gt;"",ROW()-5,"")</f>
        <v/>
      </c>
      <c r="B493" s="48">
        <f>IF(A493="","",502)</f>
        <v/>
      </c>
      <c r="C493" s="48">
        <f>IF(A493="","",IFERROR(Exogena_RAW!A502,""))</f>
        <v/>
      </c>
      <c r="D493" s="48">
        <f>IF(A493="","",IFERROR(Exogena_RAW!B502,""))</f>
        <v/>
      </c>
      <c r="E493" s="48">
        <f>IF(A493="","",Exogena_RAW!E502)</f>
        <v/>
      </c>
      <c r="F493" s="461">
        <f>IF(A493="","",Exogena_RAW!F502)</f>
        <v/>
      </c>
      <c r="G493" s="48">
        <f>IF(A493="","",IFERROR(Exogena_RAW!G502,""))</f>
        <v/>
      </c>
      <c r="H493" s="48">
        <f>IF(A493="","",IFERROR(Exogena_RAW!H502,""))</f>
        <v/>
      </c>
      <c r="I493" s="48">
        <f>IF(A493="","",IFERROR(IF(S493&gt;1,"VARIAS CASILLAS",IF(S493=1,IF(T493=1,"PROPUESTA DE CASILLA","REVISIÓN: CASILLA NO DIRECTA"),IF(OR(ISNUMBER(SEARCH("TOPE",UPPER(E493))),ISNUMBER(SEARCH("TOPE",UPPER(G493)))),"SOLO CONTROL",IF(ISNUMBER(SEARCH("RETEN",UPPER(E493))),"RETENCIÓN","REVISAR")))),"REVISAR"))</f>
        <v/>
      </c>
      <c r="J493" s="48">
        <f>IF(A493="","",IF(ISNUMBER(SEARCH("ingreso laboral promedio de los últimos seis meses",E493)),"",IFERROR(IF(AND(S493=1,T493=1),U493,""),"")))</f>
        <v/>
      </c>
      <c r="K493" s="216" t="n"/>
      <c r="L493" s="48">
        <f>IF(A493="","",IFERROR(IF(K493&lt;&gt;"","Casilla elegida por usuario",IF(S493&gt;1,"Varias casillas — elegir en K",IF(J493&lt;&gt;"","Sugerencia directa",IF(S493=1,"No trasladar directo — revisar",IF(OR(ISNUMBER(SEARCH("TOPE",UPPER(E493))),ISNUMBER(SEARCH("TOPE",UPPER(G493)))),"Solo control","Revisar manualmente"))))),"Revisar manualmente"))</f>
        <v/>
      </c>
      <c r="M493" s="461">
        <f>IF(A493="","",IF(IF(K493&lt;&gt;"",K493,J493)="",0,IF(COUNTIFS(Reglas!$I$5:$I$118,IF(K493&lt;&gt;"",K493,J493),Reglas!$J$5:$J$118,"Sí")=1,F493,0)))</f>
        <v/>
      </c>
      <c r="N493" s="56" t="n"/>
      <c r="O493" s="462">
        <f>IF(A493="","",IF(M493=0,"",M493))</f>
        <v/>
      </c>
      <c r="P493" s="461">
        <f>IF(A493="","",IF(O493="",0,IF(ISNUMBER(O493),O493,0)))</f>
        <v/>
      </c>
      <c r="Q493" s="48">
        <f>IF(A493="","",IF(Exogena_RAW!$C$4="","BLOQUEADO: FALTA AÑO",IF(Exogena_RAW!$K$10&lt;&gt;Reglas!$B$5,"BLOQUEADO: AÑO",IF(IF(K493&lt;&gt;"",K493,J493)="",IF(S493&gt;1,"REQUIERE ASIGNACIÓN MANUAL (VARIAS CASILLAS)","INFORMATIVO (sin casilla — no se declara)"),IF(COUNTIFS(Reglas!$I$5:$I$118,IF(K493&lt;&gt;"",K493,J493),Reglas!$J$5:$J$118,"Sí")=0,"BLOQUEADO: CASILLA NO DIRECTA",IF(O493="","EXCLUIDO (valor borrado por el usuario)",IF(_xlfn.ISFORMULA(O493),IF(W493&lt;&gt;"","BORRADOR — VALOR SUGERIDO DIAN ⚠ VER ALERTA","BORRADOR — VALOR SUGERIDO DIAN"),IF(W493&lt;&gt;"","ACEPTADO ⚠ VER ALERTA","ACEPTADO"))))))))</f>
        <v/>
      </c>
      <c r="R493" s="218" t="n"/>
      <c r="S493" s="58">
        <f>IF(A493="","",IFERROR(--ISNUMBER(SEARCH("R28",G493)),0)+IFERROR(--ISNUMBER(SEARCH("R29",G493)),0)+IFERROR(--ISNUMBER(SEARCH("R30",G493)),0)+IFERROR(--ISNUMBER(SEARCH("R31",G493)),0)+IFERROR(--ISNUMBER(SEARCH("R32",G493)),0)+IFERROR(--ISNUMBER(SEARCH("R33",G493)),0)+IFERROR(--ISNUMBER(SEARCH("R34",G493)),0)+IFERROR(--ISNUMBER(SEARCH("R35",G493)),0)+IFERROR(--ISNUMBER(SEARCH("R36",G493)),0)+IFERROR(--ISNUMBER(SEARCH("R37",G493)),0)+IFERROR(--ISNUMBER(SEARCH("R38",G493)),0)+IFERROR(--ISNUMBER(SEARCH("R39",G493)),0)+IFERROR(--ISNUMBER(SEARCH("R40",G493)),0)+IFERROR(--ISNUMBER(SEARCH("R41",G493)),0)+IFERROR(--ISNUMBER(SEARCH("R42",G493)),0)+IFERROR(--ISNUMBER(SEARCH("R43",G493)),0)+IFERROR(--ISNUMBER(SEARCH("R44",G493)),0)+IFERROR(--ISNUMBER(SEARCH("R45",G493)),0)+IFERROR(--ISNUMBER(SEARCH("R46",G493)),0)+IFERROR(--ISNUMBER(SEARCH("R47",G493)),0)+IFERROR(--ISNUMBER(SEARCH("R48",G493)),0)+IFERROR(--ISNUMBER(SEARCH("R49",G493)),0)+IFERROR(--ISNUMBER(SEARCH("R50",G493)),0)+IFERROR(--ISNUMBER(SEARCH("R51",G493)),0)+IFERROR(--ISNUMBER(SEARCH("R52",G493)),0)+IFERROR(--ISNUMBER(SEARCH("R53",G493)),0)+IFERROR(--ISNUMBER(SEARCH("R54",G493)),0)+IFERROR(--ISNUMBER(SEARCH("R55",G493)),0)+IFERROR(--ISNUMBER(SEARCH("R56",G493)),0)+IFERROR(--ISNUMBER(SEARCH("R57",G493)),0)+IFERROR(--ISNUMBER(SEARCH("R58",G493)),0)+IFERROR(--ISNUMBER(SEARCH("R59",G493)),0)+IFERROR(--ISNUMBER(SEARCH("R60",G493)),0)+IFERROR(--ISNUMBER(SEARCH("R61",G493)),0)+IFERROR(--ISNUMBER(SEARCH("R62",G493)),0)+IFERROR(--ISNUMBER(SEARCH("R63",G493)),0)+IFERROR(--ISNUMBER(SEARCH("R64",G493)),0)+IFERROR(--ISNUMBER(SEARCH("R65",G493)),0)+IFERROR(--ISNUMBER(SEARCH("R66",G493)),0)+IFERROR(--ISNUMBER(SEARCH("R67",G493)),0)+IFERROR(--ISNUMBER(SEARCH("R68",G493)),0)+IFERROR(--ISNUMBER(SEARCH("R69",G493)),0)+IFERROR(--ISNUMBER(SEARCH("R70",G493)),0)+IFERROR(--ISNUMBER(SEARCH("R71",G493)),0)+IFERROR(--ISNUMBER(SEARCH("R72",G493)),0)+IFERROR(--ISNUMBER(SEARCH("R73",G493)),0)+IFERROR(--ISNUMBER(SEARCH("R74",G493)),0)+IFERROR(--ISNUMBER(SEARCH("R75",G493)),0)+IFERROR(--ISNUMBER(SEARCH("R76",G493)),0)+IFERROR(--ISNUMBER(SEARCH("R77",G493)),0)+IFERROR(--ISNUMBER(SEARCH("R78",G493)),0)+IFERROR(--ISNUMBER(SEARCH("R79",G493)),0)+IFERROR(--ISNUMBER(SEARCH("R80",G493)),0)+IFERROR(--ISNUMBER(SEARCH("R81",G493)),0)+IFERROR(--ISNUMBER(SEARCH("R82",G493)),0)+IFERROR(--ISNUMBER(SEARCH("R83",G493)),0)+IFERROR(--ISNUMBER(SEARCH("R84",G493)),0)+IFERROR(--ISNUMBER(SEARCH("R85",G493)),0)+IFERROR(--ISNUMBER(SEARCH("R86",G493)),0)+IFERROR(--ISNUMBER(SEARCH("R87",G493)),0)+IFERROR(--ISNUMBER(SEARCH("R88",G493)),0)+IFERROR(--ISNUMBER(SEARCH("R89",G493)),0)+IFERROR(--ISNUMBER(SEARCH("R90",G493)),0)+IFERROR(--ISNUMBER(SEARCH("R91",G493)),0)+IFERROR(--ISNUMBER(SEARCH("R92",G493)),0)+IFERROR(--ISNUMBER(SEARCH("R93",G493)),0)+IFERROR(--ISNUMBER(SEARCH("R94",G493)),0)+IFERROR(--ISNUMBER(SEARCH("R95",G493)),0)+IFERROR(--ISNUMBER(SEARCH("R96",G493)),0)+IFERROR(--ISNUMBER(SEARCH("R97",G493)),0)+IFERROR(--ISNUMBER(SEARCH("R98",G493)),0)+IFERROR(--ISNUMBER(SEARCH("R99",G493)),0)+IFERROR(--ISNUMBER(SEARCH("R100",G493)),0)+IFERROR(--ISNUMBER(SEARCH("R101",G493)),0)+IFERROR(--ISNUMBER(SEARCH("R102",G493)),0)+IFERROR(--ISNUMBER(SEARCH("R103",G493)),0)+IFERROR(--ISNUMBER(SEARCH("R104",G493)),0)+IFERROR(--ISNUMBER(SEARCH("R105",G493)),0)+IFERROR(--ISNUMBER(SEARCH("R106",G493)),0)+IFERROR(--ISNUMBER(SEARCH("R107",G493)),0)+IFERROR(--ISNUMBER(SEARCH("R108",G493)),0)+IFERROR(--ISNUMBER(SEARCH("R109",G493)),0)+IFERROR(--ISNUMBER(SEARCH("R110",G493)),0)+IFERROR(--ISNUMBER(SEARCH("R111",G493)),0)+IFERROR(--ISNUMBER(SEARCH("R112",G493)),0)+IFERROR(--ISNUMBER(SEARCH("R113",G493)),0)+IFERROR(--ISNUMBER(SEARCH("R114",G493)),0)+IFERROR(--ISNUMBER(SEARCH("R115",G493)),0)+IFERROR(--ISNUMBER(SEARCH("R116",G493)),0)+IFERROR(--ISNUMBER(SEARCH("R117",G493)),0)+IFERROR(--ISNUMBER(SEARCH("R118",G493)),0)+IFERROR(--ISNUMBER(SEARCH("R119",G493)),0)+IFERROR(--ISNUMBER(SEARCH("R120",G493)),0)+IFERROR(--ISNUMBER(SEARCH("R121",G493)),0)+IFERROR(--ISNUMBER(SEARCH("R122",G493)),0)+IFERROR(--ISNUMBER(SEARCH("R123",G493)),0)+IFERROR(--ISNUMBER(SEARCH("R124",G493)),0)+IFERROR(--ISNUMBER(SEARCH("R125",G493)),0)+IFERROR(--ISNUMBER(SEARCH("R126",G493)),0)+IFERROR(--ISNUMBER(SEARCH("R127",G493)),0)+IFERROR(--ISNUMBER(SEARCH("R128",G493)),0)+IFERROR(--ISNUMBER(SEARCH("R129",G493)),0)+IFERROR(--ISNUMBER(SEARCH("R130",G493)),0)+IFERROR(--ISNUMBER(SEARCH("R131",G493)),0)+IFERROR(--ISNUMBER(SEARCH("R132",G493)),0)+IFERROR(--ISNUMBER(SEARCH("R133",G493)),0)+IFERROR(--ISNUMBER(SEARCH("R134",G493)),0)+IFERROR(--ISNUMBER(SEARCH("R135",G493)),0)+IFERROR(--ISNUMBER(SEARCH("R136",G493)),0)+IFERROR(--ISNUMBER(SEARCH("R137",G493)),0)+IFERROR(--ISNUMBER(SEARCH("R138",G493)),0)+IFERROR(--ISNUMBER(SEARCH("R139",G493)),0)+IFERROR(--ISNUMBER(SEARCH("R140",G493)),0)+IFERROR(--ISNUMBER(SEARCH("R141",G493)),0))</f>
        <v/>
      </c>
      <c r="T493" s="58">
        <f>IF(A493="","",IFERROR(--ISNUMBER(SEARCH("R28",G493)),0)+IFERROR(--ISNUMBER(SEARCH("R29",G493)),0)+IFERROR(--ISNUMBER(SEARCH("R30",G493)),0)+IFERROR(--ISNUMBER(SEARCH("R32",G493)),0)+IFERROR(--ISNUMBER(SEARCH("R33",G493)),0)+IFERROR(--ISNUMBER(SEARCH("R35",G493)),0)+IFERROR(--ISNUMBER(SEARCH("R36",G493)),0)+IFERROR(--ISNUMBER(SEARCH("R38",G493)),0)+IFERROR(--ISNUMBER(SEARCH("R39",G493)),0)+IFERROR(--ISNUMBER(SEARCH("R43",G493)),0)+IFERROR(--ISNUMBER(SEARCH("R44",G493)),0)+IFERROR(--ISNUMBER(SEARCH("R45",G493)),0)+IFERROR(--ISNUMBER(SEARCH("R47",G493)),0)+IFERROR(--ISNUMBER(SEARCH("R48",G493)),0)+IFERROR(--ISNUMBER(SEARCH("R50",G493)),0)+IFERROR(--ISNUMBER(SEARCH("R51",G493)),0)+IFERROR(--ISNUMBER(SEARCH("R56",G493)),0)+IFERROR(--ISNUMBER(SEARCH("R58",G493)),0)+IFERROR(--ISNUMBER(SEARCH("R59",G493)),0)+IFERROR(--ISNUMBER(SEARCH("R60",G493)),0)+IFERROR(--ISNUMBER(SEARCH("R62",G493)),0)+IFERROR(--ISNUMBER(SEARCH("R63",G493)),0)+IFERROR(--ISNUMBER(SEARCH("R64",G493)),0)+IFERROR(--ISNUMBER(SEARCH("R66",G493)),0)+IFERROR(--ISNUMBER(SEARCH("R67",G493)),0)+IFERROR(--ISNUMBER(SEARCH("R72",G493)),0)+IFERROR(--ISNUMBER(SEARCH("R74",G493)),0)+IFERROR(--ISNUMBER(SEARCH("R75",G493)),0)+IFERROR(--ISNUMBER(SEARCH("R76",G493)),0)+IFERROR(--ISNUMBER(SEARCH("R77",G493)),0)+IFERROR(--ISNUMBER(SEARCH("R79",G493)),0)+IFERROR(--ISNUMBER(SEARCH("R80",G493)),0)+IFERROR(--ISNUMBER(SEARCH("R81",G493)),0)+IFERROR(--ISNUMBER(SEARCH("R83",G493)),0)+IFERROR(--ISNUMBER(SEARCH("R84",G493)),0)+IFERROR(--ISNUMBER(SEARCH("R89",G493)),0)+IFERROR(--ISNUMBER(SEARCH("R94",G493)),0)+IFERROR(--ISNUMBER(SEARCH("R95",G493)),0)+IFERROR(--ISNUMBER(SEARCH("R96",G493)),0)+IFERROR(--ISNUMBER(SEARCH("R98",G493)),0)+IFERROR(--ISNUMBER(SEARCH("R99",G493)),0)+IFERROR(--ISNUMBER(SEARCH("R100",G493)),0)+IFERROR(--ISNUMBER(SEARCH("R104",G493)),0)+IFERROR(--ISNUMBER(SEARCH("R105",G493)),0)+IFERROR(--ISNUMBER(SEARCH("R107",G493)),0)+IFERROR(--ISNUMBER(SEARCH("R108",G493)),0)+IFERROR(--ISNUMBER(SEARCH("R109",G493)),0)+IFERROR(--ISNUMBER(SEARCH("R110",G493)),0)+IFERROR(--ISNUMBER(SEARCH("R112",G493)),0)+IFERROR(--ISNUMBER(SEARCH("R113",G493)),0)+IFERROR(--ISNUMBER(SEARCH("R114",G493)),0)+IFERROR(--ISNUMBER(SEARCH("R118",G493)),0)+IFERROR(--ISNUMBER(SEARCH("R119",G493)),0)+IFERROR(--ISNUMBER(SEARCH("R120",G493)),0)+IFERROR(--ISNUMBER(SEARCH("R122",G493)),0)+IFERROR(--ISNUMBER(SEARCH("R123",G493)),0)+IFERROR(--ISNUMBER(SEARCH("R124",G493)),0)+IFERROR(--ISNUMBER(SEARCH("R128",G493)),0)+IFERROR(--ISNUMBER(SEARCH("R130",G493)),0)+IFERROR(--ISNUMBER(SEARCH("R131",G493)),0)+IFERROR(--ISNUMBER(SEARCH("R132",G493)),0)+IFERROR(--ISNUMBER(SEARCH("R135",G493)),0)+IFERROR(--ISNUMBER(SEARCH("R138",G493)),0)+IFERROR(--ISNUMBER(SEARCH("R141",G493)),0))</f>
        <v/>
      </c>
      <c r="U493" s="58">
        <f>IF(A493="","",IFERROR(--ISNUMBER(SEARCH("R28",G493))*28,0)+IFERROR(--ISNUMBER(SEARCH("R29",G493))*29,0)+IFERROR(--ISNUMBER(SEARCH("R30",G493))*30,0)+IFERROR(--ISNUMBER(SEARCH("R31",G493))*31,0)+IFERROR(--ISNUMBER(SEARCH("R32",G493))*32,0)+IFERROR(--ISNUMBER(SEARCH("R33",G493))*33,0)+IFERROR(--ISNUMBER(SEARCH("R34",G493))*34,0)+IFERROR(--ISNUMBER(SEARCH("R35",G493))*35,0)+IFERROR(--ISNUMBER(SEARCH("R36",G493))*36,0)+IFERROR(--ISNUMBER(SEARCH("R37",G493))*37,0)+IFERROR(--ISNUMBER(SEARCH("R38",G493))*38,0)+IFERROR(--ISNUMBER(SEARCH("R39",G493))*39,0)+IFERROR(--ISNUMBER(SEARCH("R40",G493))*40,0)+IFERROR(--ISNUMBER(SEARCH("R41",G493))*41,0)+IFERROR(--ISNUMBER(SEARCH("R42",G493))*42,0)+IFERROR(--ISNUMBER(SEARCH("R43",G493))*43,0)+IFERROR(--ISNUMBER(SEARCH("R44",G493))*44,0)+IFERROR(--ISNUMBER(SEARCH("R45",G493))*45,0)+IFERROR(--ISNUMBER(SEARCH("R46",G493))*46,0)+IFERROR(--ISNUMBER(SEARCH("R47",G493))*47,0)+IFERROR(--ISNUMBER(SEARCH("R48",G493))*48,0)+IFERROR(--ISNUMBER(SEARCH("R49",G493))*49,0)+IFERROR(--ISNUMBER(SEARCH("R50",G493))*50,0)+IFERROR(--ISNUMBER(SEARCH("R51",G493))*51,0)+IFERROR(--ISNUMBER(SEARCH("R52",G493))*52,0)+IFERROR(--ISNUMBER(SEARCH("R53",G493))*53,0)+IFERROR(--ISNUMBER(SEARCH("R54",G493))*54,0)+IFERROR(--ISNUMBER(SEARCH("R55",G493))*55,0)+IFERROR(--ISNUMBER(SEARCH("R56",G493))*56,0)+IFERROR(--ISNUMBER(SEARCH("R57",G493))*57,0)+IFERROR(--ISNUMBER(SEARCH("R58",G493))*58,0)+IFERROR(--ISNUMBER(SEARCH("R59",G493))*59,0)+IFERROR(--ISNUMBER(SEARCH("R60",G493))*60,0)+IFERROR(--ISNUMBER(SEARCH("R61",G493))*61,0)+IFERROR(--ISNUMBER(SEARCH("R62",G493))*62,0)+IFERROR(--ISNUMBER(SEARCH("R63",G493))*63,0)+IFERROR(--ISNUMBER(SEARCH("R64",G493))*64,0)+IFERROR(--ISNUMBER(SEARCH("R65",G493))*65,0)+IFERROR(--ISNUMBER(SEARCH("R66",G493))*66,0)+IFERROR(--ISNUMBER(SEARCH("R67",G493))*67,0)+IFERROR(--ISNUMBER(SEARCH("R68",G493))*68,0)+IFERROR(--ISNUMBER(SEARCH("R69",G493))*69,0)+IFERROR(--ISNUMBER(SEARCH("R70",G493))*70,0)+IFERROR(--ISNUMBER(SEARCH("R71",G493))*71,0)+IFERROR(--ISNUMBER(SEARCH("R72",G493))*72,0)+IFERROR(--ISNUMBER(SEARCH("R73",G493))*73,0)+IFERROR(--ISNUMBER(SEARCH("R74",G493))*74,0)+IFERROR(--ISNUMBER(SEARCH("R75",G493))*75,0)+IFERROR(--ISNUMBER(SEARCH("R76",G493))*76,0)+IFERROR(--ISNUMBER(SEARCH("R77",G493))*77,0)+IFERROR(--ISNUMBER(SEARCH("R78",G493))*78,0)+IFERROR(--ISNUMBER(SEARCH("R79",G493))*79,0)+IFERROR(--ISNUMBER(SEARCH("R80",G493))*80,0)+IFERROR(--ISNUMBER(SEARCH("R81",G493))*81,0)+IFERROR(--ISNUMBER(SEARCH("R82",G493))*82,0)+IFERROR(--ISNUMBER(SEARCH("R83",G493))*83,0)+IFERROR(--ISNUMBER(SEARCH("R84",G493))*84,0)+IFERROR(--ISNUMBER(SEARCH("R85",G493))*85,0)+IFERROR(--ISNUMBER(SEARCH("R86",G493))*86,0)+IFERROR(--ISNUMBER(SEARCH("R87",G493))*87,0)+IFERROR(--ISNUMBER(SEARCH("R88",G493))*88,0)+IFERROR(--ISNUMBER(SEARCH("R89",G493))*89,0)+IFERROR(--ISNUMBER(SEARCH("R90",G493))*90,0)+IFERROR(--ISNUMBER(SEARCH("R91",G493))*91,0)+IFERROR(--ISNUMBER(SEARCH("R92",G493))*92,0)+IFERROR(--ISNUMBER(SEARCH("R93",G493))*93,0)+IFERROR(--ISNUMBER(SEARCH("R94",G493))*94,0)+IFERROR(--ISNUMBER(SEARCH("R95",G493))*95,0)+IFERROR(--ISNUMBER(SEARCH("R96",G493))*96,0)+IFERROR(--ISNUMBER(SEARCH("R97",G493))*97,0)+IFERROR(--ISNUMBER(SEARCH("R98",G493))*98,0)+IFERROR(--ISNUMBER(SEARCH("R99",G493))*99,0)+IFERROR(--ISNUMBER(SEARCH("R100",G493))*100,0)+IFERROR(--ISNUMBER(SEARCH("R101",G493))*101,0)+IFERROR(--ISNUMBER(SEARCH("R102",G493))*102,0)+IFERROR(--ISNUMBER(SEARCH("R103",G493))*103,0)+IFERROR(--ISNUMBER(SEARCH("R104",G493))*104,0)+IFERROR(--ISNUMBER(SEARCH("R105",G493))*105,0)+IFERROR(--ISNUMBER(SEARCH("R106",G493))*106,0)+IFERROR(--ISNUMBER(SEARCH("R107",G493))*107,0)+IFERROR(--ISNUMBER(SEARCH("R108",G493))*108,0)+IFERROR(--ISNUMBER(SEARCH("R109",G493))*109,0)+IFERROR(--ISNUMBER(SEARCH("R110",G493))*110,0)+IFERROR(--ISNUMBER(SEARCH("R111",G493))*111,0)+IFERROR(--ISNUMBER(SEARCH("R112",G493))*112,0)+IFERROR(--ISNUMBER(SEARCH("R113",G493))*113,0)+IFERROR(--ISNUMBER(SEARCH("R114",G493))*114,0)+IFERROR(--ISNUMBER(SEARCH("R115",G493))*115,0)+IFERROR(--ISNUMBER(SEARCH("R116",G493))*116,0)+IFERROR(--ISNUMBER(SEARCH("R117",G493))*117,0)+IFERROR(--ISNUMBER(SEARCH("R118",G493))*118,0)+IFERROR(--ISNUMBER(SEARCH("R119",G493))*119,0)+IFERROR(--ISNUMBER(SEARCH("R120",G493))*120,0)+IFERROR(--ISNUMBER(SEARCH("R121",G493))*121,0)+IFERROR(--ISNUMBER(SEARCH("R122",G493))*122,0)+IFERROR(--ISNUMBER(SEARCH("R123",G493))*123,0)+IFERROR(--ISNUMBER(SEARCH("R124",G493))*124,0)+IFERROR(--ISNUMBER(SEARCH("R125",G493))*125,0)+IFERROR(--ISNUMBER(SEARCH("R126",G493))*126,0)+IFERROR(--ISNUMBER(SEARCH("R127",G493))*127,0)+IFERROR(--ISNUMBER(SEARCH("R128",G493))*128,0)+IFERROR(--ISNUMBER(SEARCH("R129",G493))*129,0)+IFERROR(--ISNUMBER(SEARCH("R130",G493))*130,0)+IFERROR(--ISNUMBER(SEARCH("R131",G493))*131,0)+IFERROR(--ISNUMBER(SEARCH("R132",G493))*132,0)+IFERROR(--ISNUMBER(SEARCH("R133",G493))*133,0)+IFERROR(--ISNUMBER(SEARCH("R134",G493))*134,0)+IFERROR(--ISNUMBER(SEARCH("R135",G493))*135,0)+IFERROR(--ISNUMBER(SEARCH("R136",G493))*136,0)+IFERROR(--ISNUMBER(SEARCH("R137",G493))*137,0)+IFERROR(--ISNUMBER(SEARCH("R138",G493))*138,0)+IFERROR(--ISNUMBER(SEARCH("R139",G493))*139,0)+IFERROR(--ISNUMBER(SEARCH("R140",G493))*140,0)+IFERROR(--ISNUMBER(SEARCH("R141",G493))*141,0))</f>
        <v/>
      </c>
      <c r="V493" s="59">
        <f>IF(A493="","",IF(K493&lt;&gt;"",K493,J493))</f>
        <v/>
      </c>
      <c r="W493" s="59">
        <f>IF(A493="","",IF(AND(V493=29,O493&lt;&gt;"",COUNTIFS($V$6:$V$505,29,$F$6:$F$505,F493,$C$6:$C$505,C493,$O$6:$O$505,"&lt;&gt;")&gt;1),IF(COUNTIFS($V$6:V493,29,$F$6:F493,F493,$C$6:C493,C493,$O$6:O493,"&lt;&gt;")=1,"Esta es la fila que se debe CONSERVAR (aparición 1 de "&amp;COUNTIFS($V$6:$V$505,29,$F$6:$F$505,F493,$C$6:$C$505,C493,$O$6:$O$505,"&lt;&gt;")&amp;" con el mismo tercero y valor, casilla 29). Si hay más filas iguales, bórreles el valor a ELLAS, no a esta.","DUPLICADO — ya existe otra fila con el mismo tercero y valor para casilla 29 (aparición "&amp;COUNTIFS($V$6:V493,29,$F$6:F493,F493,$C$6:C493,C493,$O$6:O493,"&lt;&gt;")&amp;" de "&amp;COUNTIFS($V$6:$V$505,29,$F$6:$F$505,F493,$C$6:$C$505,C493,$O$6:$O$505,"&lt;&gt;")&amp;"). Para resolverlo: seleccione la celda O"&amp;ROW()&amp;" (columna Valor a declarar de ESTA fila) y presione Supr."),""))</f>
        <v/>
      </c>
      <c r="X493" s="463">
        <f>IF(A493="","",F493)</f>
        <v/>
      </c>
      <c r="Y493" s="463">
        <f>IF(A493="","",SUMIF(Entrada_Manual!$I$88:$I$187,A493,Entrada_Manual!$F$88:$F$187))</f>
        <v/>
      </c>
      <c r="Z493" s="463">
        <f>IF(A493="","",X493-Y493)</f>
        <v/>
      </c>
      <c r="AA493">
        <f>IF(A493="","",SUMPRODUCT((Entrada_Manual!$I$88:$I$187=A493)*1))</f>
        <v/>
      </c>
      <c r="AB493">
        <f>IF(A493="","",IF(S493&lt;=1,"",IF(AA493=0,"PENDIENTE — SIN ASIGNAR",IF(Z493=0,"RESUELTO","PARCIAL — DIFERENCIA "&amp;TEXT(Z493,"#,##0")))))</f>
        <v/>
      </c>
    </row>
    <row r="494" ht="14.25" customHeight="1" s="235">
      <c r="A494" s="47">
        <f>IF(Exogena_RAW!E503&lt;&gt;"",ROW()-5,"")</f>
        <v/>
      </c>
      <c r="B494" s="48">
        <f>IF(A494="","",503)</f>
        <v/>
      </c>
      <c r="C494" s="48">
        <f>IF(A494="","",IFERROR(Exogena_RAW!A503,""))</f>
        <v/>
      </c>
      <c r="D494" s="48">
        <f>IF(A494="","",IFERROR(Exogena_RAW!B503,""))</f>
        <v/>
      </c>
      <c r="E494" s="48">
        <f>IF(A494="","",Exogena_RAW!E503)</f>
        <v/>
      </c>
      <c r="F494" s="461">
        <f>IF(A494="","",Exogena_RAW!F503)</f>
        <v/>
      </c>
      <c r="G494" s="48">
        <f>IF(A494="","",IFERROR(Exogena_RAW!G503,""))</f>
        <v/>
      </c>
      <c r="H494" s="48">
        <f>IF(A494="","",IFERROR(Exogena_RAW!H503,""))</f>
        <v/>
      </c>
      <c r="I494" s="48">
        <f>IF(A494="","",IFERROR(IF(S494&gt;1,"VARIAS CASILLAS",IF(S494=1,IF(T494=1,"PROPUESTA DE CASILLA","REVISIÓN: CASILLA NO DIRECTA"),IF(OR(ISNUMBER(SEARCH("TOPE",UPPER(E494))),ISNUMBER(SEARCH("TOPE",UPPER(G494)))),"SOLO CONTROL",IF(ISNUMBER(SEARCH("RETEN",UPPER(E494))),"RETENCIÓN","REVISAR")))),"REVISAR"))</f>
        <v/>
      </c>
      <c r="J494" s="48">
        <f>IF(A494="","",IF(ISNUMBER(SEARCH("ingreso laboral promedio de los últimos seis meses",E494)),"",IFERROR(IF(AND(S494=1,T494=1),U494,""),"")))</f>
        <v/>
      </c>
      <c r="K494" s="216" t="n"/>
      <c r="L494" s="48">
        <f>IF(A494="","",IFERROR(IF(K494&lt;&gt;"","Casilla elegida por usuario",IF(S494&gt;1,"Varias casillas — elegir en K",IF(J494&lt;&gt;"","Sugerencia directa",IF(S494=1,"No trasladar directo — revisar",IF(OR(ISNUMBER(SEARCH("TOPE",UPPER(E494))),ISNUMBER(SEARCH("TOPE",UPPER(G494)))),"Solo control","Revisar manualmente"))))),"Revisar manualmente"))</f>
        <v/>
      </c>
      <c r="M494" s="461">
        <f>IF(A494="","",IF(IF(K494&lt;&gt;"",K494,J494)="",0,IF(COUNTIFS(Reglas!$I$5:$I$118,IF(K494&lt;&gt;"",K494,J494),Reglas!$J$5:$J$118,"Sí")=1,F494,0)))</f>
        <v/>
      </c>
      <c r="N494" s="56" t="n"/>
      <c r="O494" s="462">
        <f>IF(A494="","",IF(M494=0,"",M494))</f>
        <v/>
      </c>
      <c r="P494" s="461">
        <f>IF(A494="","",IF(O494="",0,IF(ISNUMBER(O494),O494,0)))</f>
        <v/>
      </c>
      <c r="Q494" s="48">
        <f>IF(A494="","",IF(Exogena_RAW!$C$4="","BLOQUEADO: FALTA AÑO",IF(Exogena_RAW!$K$10&lt;&gt;Reglas!$B$5,"BLOQUEADO: AÑO",IF(IF(K494&lt;&gt;"",K494,J494)="",IF(S494&gt;1,"REQUIERE ASIGNACIÓN MANUAL (VARIAS CASILLAS)","INFORMATIVO (sin casilla — no se declara)"),IF(COUNTIFS(Reglas!$I$5:$I$118,IF(K494&lt;&gt;"",K494,J494),Reglas!$J$5:$J$118,"Sí")=0,"BLOQUEADO: CASILLA NO DIRECTA",IF(O494="","EXCLUIDO (valor borrado por el usuario)",IF(_xlfn.ISFORMULA(O494),IF(W494&lt;&gt;"","BORRADOR — VALOR SUGERIDO DIAN ⚠ VER ALERTA","BORRADOR — VALOR SUGERIDO DIAN"),IF(W494&lt;&gt;"","ACEPTADO ⚠ VER ALERTA","ACEPTADO"))))))))</f>
        <v/>
      </c>
      <c r="R494" s="218" t="n"/>
      <c r="S494" s="58">
        <f>IF(A494="","",IFERROR(--ISNUMBER(SEARCH("R28",G494)),0)+IFERROR(--ISNUMBER(SEARCH("R29",G494)),0)+IFERROR(--ISNUMBER(SEARCH("R30",G494)),0)+IFERROR(--ISNUMBER(SEARCH("R31",G494)),0)+IFERROR(--ISNUMBER(SEARCH("R32",G494)),0)+IFERROR(--ISNUMBER(SEARCH("R33",G494)),0)+IFERROR(--ISNUMBER(SEARCH("R34",G494)),0)+IFERROR(--ISNUMBER(SEARCH("R35",G494)),0)+IFERROR(--ISNUMBER(SEARCH("R36",G494)),0)+IFERROR(--ISNUMBER(SEARCH("R37",G494)),0)+IFERROR(--ISNUMBER(SEARCH("R38",G494)),0)+IFERROR(--ISNUMBER(SEARCH("R39",G494)),0)+IFERROR(--ISNUMBER(SEARCH("R40",G494)),0)+IFERROR(--ISNUMBER(SEARCH("R41",G494)),0)+IFERROR(--ISNUMBER(SEARCH("R42",G494)),0)+IFERROR(--ISNUMBER(SEARCH("R43",G494)),0)+IFERROR(--ISNUMBER(SEARCH("R44",G494)),0)+IFERROR(--ISNUMBER(SEARCH("R45",G494)),0)+IFERROR(--ISNUMBER(SEARCH("R46",G494)),0)+IFERROR(--ISNUMBER(SEARCH("R47",G494)),0)+IFERROR(--ISNUMBER(SEARCH("R48",G494)),0)+IFERROR(--ISNUMBER(SEARCH("R49",G494)),0)+IFERROR(--ISNUMBER(SEARCH("R50",G494)),0)+IFERROR(--ISNUMBER(SEARCH("R51",G494)),0)+IFERROR(--ISNUMBER(SEARCH("R52",G494)),0)+IFERROR(--ISNUMBER(SEARCH("R53",G494)),0)+IFERROR(--ISNUMBER(SEARCH("R54",G494)),0)+IFERROR(--ISNUMBER(SEARCH("R55",G494)),0)+IFERROR(--ISNUMBER(SEARCH("R56",G494)),0)+IFERROR(--ISNUMBER(SEARCH("R57",G494)),0)+IFERROR(--ISNUMBER(SEARCH("R58",G494)),0)+IFERROR(--ISNUMBER(SEARCH("R59",G494)),0)+IFERROR(--ISNUMBER(SEARCH("R60",G494)),0)+IFERROR(--ISNUMBER(SEARCH("R61",G494)),0)+IFERROR(--ISNUMBER(SEARCH("R62",G494)),0)+IFERROR(--ISNUMBER(SEARCH("R63",G494)),0)+IFERROR(--ISNUMBER(SEARCH("R64",G494)),0)+IFERROR(--ISNUMBER(SEARCH("R65",G494)),0)+IFERROR(--ISNUMBER(SEARCH("R66",G494)),0)+IFERROR(--ISNUMBER(SEARCH("R67",G494)),0)+IFERROR(--ISNUMBER(SEARCH("R68",G494)),0)+IFERROR(--ISNUMBER(SEARCH("R69",G494)),0)+IFERROR(--ISNUMBER(SEARCH("R70",G494)),0)+IFERROR(--ISNUMBER(SEARCH("R71",G494)),0)+IFERROR(--ISNUMBER(SEARCH("R72",G494)),0)+IFERROR(--ISNUMBER(SEARCH("R73",G494)),0)+IFERROR(--ISNUMBER(SEARCH("R74",G494)),0)+IFERROR(--ISNUMBER(SEARCH("R75",G494)),0)+IFERROR(--ISNUMBER(SEARCH("R76",G494)),0)+IFERROR(--ISNUMBER(SEARCH("R77",G494)),0)+IFERROR(--ISNUMBER(SEARCH("R78",G494)),0)+IFERROR(--ISNUMBER(SEARCH("R79",G494)),0)+IFERROR(--ISNUMBER(SEARCH("R80",G494)),0)+IFERROR(--ISNUMBER(SEARCH("R81",G494)),0)+IFERROR(--ISNUMBER(SEARCH("R82",G494)),0)+IFERROR(--ISNUMBER(SEARCH("R83",G494)),0)+IFERROR(--ISNUMBER(SEARCH("R84",G494)),0)+IFERROR(--ISNUMBER(SEARCH("R85",G494)),0)+IFERROR(--ISNUMBER(SEARCH("R86",G494)),0)+IFERROR(--ISNUMBER(SEARCH("R87",G494)),0)+IFERROR(--ISNUMBER(SEARCH("R88",G494)),0)+IFERROR(--ISNUMBER(SEARCH("R89",G494)),0)+IFERROR(--ISNUMBER(SEARCH("R90",G494)),0)+IFERROR(--ISNUMBER(SEARCH("R91",G494)),0)+IFERROR(--ISNUMBER(SEARCH("R92",G494)),0)+IFERROR(--ISNUMBER(SEARCH("R93",G494)),0)+IFERROR(--ISNUMBER(SEARCH("R94",G494)),0)+IFERROR(--ISNUMBER(SEARCH("R95",G494)),0)+IFERROR(--ISNUMBER(SEARCH("R96",G494)),0)+IFERROR(--ISNUMBER(SEARCH("R97",G494)),0)+IFERROR(--ISNUMBER(SEARCH("R98",G494)),0)+IFERROR(--ISNUMBER(SEARCH("R99",G494)),0)+IFERROR(--ISNUMBER(SEARCH("R100",G494)),0)+IFERROR(--ISNUMBER(SEARCH("R101",G494)),0)+IFERROR(--ISNUMBER(SEARCH("R102",G494)),0)+IFERROR(--ISNUMBER(SEARCH("R103",G494)),0)+IFERROR(--ISNUMBER(SEARCH("R104",G494)),0)+IFERROR(--ISNUMBER(SEARCH("R105",G494)),0)+IFERROR(--ISNUMBER(SEARCH("R106",G494)),0)+IFERROR(--ISNUMBER(SEARCH("R107",G494)),0)+IFERROR(--ISNUMBER(SEARCH("R108",G494)),0)+IFERROR(--ISNUMBER(SEARCH("R109",G494)),0)+IFERROR(--ISNUMBER(SEARCH("R110",G494)),0)+IFERROR(--ISNUMBER(SEARCH("R111",G494)),0)+IFERROR(--ISNUMBER(SEARCH("R112",G494)),0)+IFERROR(--ISNUMBER(SEARCH("R113",G494)),0)+IFERROR(--ISNUMBER(SEARCH("R114",G494)),0)+IFERROR(--ISNUMBER(SEARCH("R115",G494)),0)+IFERROR(--ISNUMBER(SEARCH("R116",G494)),0)+IFERROR(--ISNUMBER(SEARCH("R117",G494)),0)+IFERROR(--ISNUMBER(SEARCH("R118",G494)),0)+IFERROR(--ISNUMBER(SEARCH("R119",G494)),0)+IFERROR(--ISNUMBER(SEARCH("R120",G494)),0)+IFERROR(--ISNUMBER(SEARCH("R121",G494)),0)+IFERROR(--ISNUMBER(SEARCH("R122",G494)),0)+IFERROR(--ISNUMBER(SEARCH("R123",G494)),0)+IFERROR(--ISNUMBER(SEARCH("R124",G494)),0)+IFERROR(--ISNUMBER(SEARCH("R125",G494)),0)+IFERROR(--ISNUMBER(SEARCH("R126",G494)),0)+IFERROR(--ISNUMBER(SEARCH("R127",G494)),0)+IFERROR(--ISNUMBER(SEARCH("R128",G494)),0)+IFERROR(--ISNUMBER(SEARCH("R129",G494)),0)+IFERROR(--ISNUMBER(SEARCH("R130",G494)),0)+IFERROR(--ISNUMBER(SEARCH("R131",G494)),0)+IFERROR(--ISNUMBER(SEARCH("R132",G494)),0)+IFERROR(--ISNUMBER(SEARCH("R133",G494)),0)+IFERROR(--ISNUMBER(SEARCH("R134",G494)),0)+IFERROR(--ISNUMBER(SEARCH("R135",G494)),0)+IFERROR(--ISNUMBER(SEARCH("R136",G494)),0)+IFERROR(--ISNUMBER(SEARCH("R137",G494)),0)+IFERROR(--ISNUMBER(SEARCH("R138",G494)),0)+IFERROR(--ISNUMBER(SEARCH("R139",G494)),0)+IFERROR(--ISNUMBER(SEARCH("R140",G494)),0)+IFERROR(--ISNUMBER(SEARCH("R141",G494)),0))</f>
        <v/>
      </c>
      <c r="T494" s="58">
        <f>IF(A494="","",IFERROR(--ISNUMBER(SEARCH("R28",G494)),0)+IFERROR(--ISNUMBER(SEARCH("R29",G494)),0)+IFERROR(--ISNUMBER(SEARCH("R30",G494)),0)+IFERROR(--ISNUMBER(SEARCH("R32",G494)),0)+IFERROR(--ISNUMBER(SEARCH("R33",G494)),0)+IFERROR(--ISNUMBER(SEARCH("R35",G494)),0)+IFERROR(--ISNUMBER(SEARCH("R36",G494)),0)+IFERROR(--ISNUMBER(SEARCH("R38",G494)),0)+IFERROR(--ISNUMBER(SEARCH("R39",G494)),0)+IFERROR(--ISNUMBER(SEARCH("R43",G494)),0)+IFERROR(--ISNUMBER(SEARCH("R44",G494)),0)+IFERROR(--ISNUMBER(SEARCH("R45",G494)),0)+IFERROR(--ISNUMBER(SEARCH("R47",G494)),0)+IFERROR(--ISNUMBER(SEARCH("R48",G494)),0)+IFERROR(--ISNUMBER(SEARCH("R50",G494)),0)+IFERROR(--ISNUMBER(SEARCH("R51",G494)),0)+IFERROR(--ISNUMBER(SEARCH("R56",G494)),0)+IFERROR(--ISNUMBER(SEARCH("R58",G494)),0)+IFERROR(--ISNUMBER(SEARCH("R59",G494)),0)+IFERROR(--ISNUMBER(SEARCH("R60",G494)),0)+IFERROR(--ISNUMBER(SEARCH("R62",G494)),0)+IFERROR(--ISNUMBER(SEARCH("R63",G494)),0)+IFERROR(--ISNUMBER(SEARCH("R64",G494)),0)+IFERROR(--ISNUMBER(SEARCH("R66",G494)),0)+IFERROR(--ISNUMBER(SEARCH("R67",G494)),0)+IFERROR(--ISNUMBER(SEARCH("R72",G494)),0)+IFERROR(--ISNUMBER(SEARCH("R74",G494)),0)+IFERROR(--ISNUMBER(SEARCH("R75",G494)),0)+IFERROR(--ISNUMBER(SEARCH("R76",G494)),0)+IFERROR(--ISNUMBER(SEARCH("R77",G494)),0)+IFERROR(--ISNUMBER(SEARCH("R79",G494)),0)+IFERROR(--ISNUMBER(SEARCH("R80",G494)),0)+IFERROR(--ISNUMBER(SEARCH("R81",G494)),0)+IFERROR(--ISNUMBER(SEARCH("R83",G494)),0)+IFERROR(--ISNUMBER(SEARCH("R84",G494)),0)+IFERROR(--ISNUMBER(SEARCH("R89",G494)),0)+IFERROR(--ISNUMBER(SEARCH("R94",G494)),0)+IFERROR(--ISNUMBER(SEARCH("R95",G494)),0)+IFERROR(--ISNUMBER(SEARCH("R96",G494)),0)+IFERROR(--ISNUMBER(SEARCH("R98",G494)),0)+IFERROR(--ISNUMBER(SEARCH("R99",G494)),0)+IFERROR(--ISNUMBER(SEARCH("R100",G494)),0)+IFERROR(--ISNUMBER(SEARCH("R104",G494)),0)+IFERROR(--ISNUMBER(SEARCH("R105",G494)),0)+IFERROR(--ISNUMBER(SEARCH("R107",G494)),0)+IFERROR(--ISNUMBER(SEARCH("R108",G494)),0)+IFERROR(--ISNUMBER(SEARCH("R109",G494)),0)+IFERROR(--ISNUMBER(SEARCH("R110",G494)),0)+IFERROR(--ISNUMBER(SEARCH("R112",G494)),0)+IFERROR(--ISNUMBER(SEARCH("R113",G494)),0)+IFERROR(--ISNUMBER(SEARCH("R114",G494)),0)+IFERROR(--ISNUMBER(SEARCH("R118",G494)),0)+IFERROR(--ISNUMBER(SEARCH("R119",G494)),0)+IFERROR(--ISNUMBER(SEARCH("R120",G494)),0)+IFERROR(--ISNUMBER(SEARCH("R122",G494)),0)+IFERROR(--ISNUMBER(SEARCH("R123",G494)),0)+IFERROR(--ISNUMBER(SEARCH("R124",G494)),0)+IFERROR(--ISNUMBER(SEARCH("R128",G494)),0)+IFERROR(--ISNUMBER(SEARCH("R130",G494)),0)+IFERROR(--ISNUMBER(SEARCH("R131",G494)),0)+IFERROR(--ISNUMBER(SEARCH("R132",G494)),0)+IFERROR(--ISNUMBER(SEARCH("R135",G494)),0)+IFERROR(--ISNUMBER(SEARCH("R138",G494)),0)+IFERROR(--ISNUMBER(SEARCH("R141",G494)),0))</f>
        <v/>
      </c>
      <c r="U494" s="58">
        <f>IF(A494="","",IFERROR(--ISNUMBER(SEARCH("R28",G494))*28,0)+IFERROR(--ISNUMBER(SEARCH("R29",G494))*29,0)+IFERROR(--ISNUMBER(SEARCH("R30",G494))*30,0)+IFERROR(--ISNUMBER(SEARCH("R31",G494))*31,0)+IFERROR(--ISNUMBER(SEARCH("R32",G494))*32,0)+IFERROR(--ISNUMBER(SEARCH("R33",G494))*33,0)+IFERROR(--ISNUMBER(SEARCH("R34",G494))*34,0)+IFERROR(--ISNUMBER(SEARCH("R35",G494))*35,0)+IFERROR(--ISNUMBER(SEARCH("R36",G494))*36,0)+IFERROR(--ISNUMBER(SEARCH("R37",G494))*37,0)+IFERROR(--ISNUMBER(SEARCH("R38",G494))*38,0)+IFERROR(--ISNUMBER(SEARCH("R39",G494))*39,0)+IFERROR(--ISNUMBER(SEARCH("R40",G494))*40,0)+IFERROR(--ISNUMBER(SEARCH("R41",G494))*41,0)+IFERROR(--ISNUMBER(SEARCH("R42",G494))*42,0)+IFERROR(--ISNUMBER(SEARCH("R43",G494))*43,0)+IFERROR(--ISNUMBER(SEARCH("R44",G494))*44,0)+IFERROR(--ISNUMBER(SEARCH("R45",G494))*45,0)+IFERROR(--ISNUMBER(SEARCH("R46",G494))*46,0)+IFERROR(--ISNUMBER(SEARCH("R47",G494))*47,0)+IFERROR(--ISNUMBER(SEARCH("R48",G494))*48,0)+IFERROR(--ISNUMBER(SEARCH("R49",G494))*49,0)+IFERROR(--ISNUMBER(SEARCH("R50",G494))*50,0)+IFERROR(--ISNUMBER(SEARCH("R51",G494))*51,0)+IFERROR(--ISNUMBER(SEARCH("R52",G494))*52,0)+IFERROR(--ISNUMBER(SEARCH("R53",G494))*53,0)+IFERROR(--ISNUMBER(SEARCH("R54",G494))*54,0)+IFERROR(--ISNUMBER(SEARCH("R55",G494))*55,0)+IFERROR(--ISNUMBER(SEARCH("R56",G494))*56,0)+IFERROR(--ISNUMBER(SEARCH("R57",G494))*57,0)+IFERROR(--ISNUMBER(SEARCH("R58",G494))*58,0)+IFERROR(--ISNUMBER(SEARCH("R59",G494))*59,0)+IFERROR(--ISNUMBER(SEARCH("R60",G494))*60,0)+IFERROR(--ISNUMBER(SEARCH("R61",G494))*61,0)+IFERROR(--ISNUMBER(SEARCH("R62",G494))*62,0)+IFERROR(--ISNUMBER(SEARCH("R63",G494))*63,0)+IFERROR(--ISNUMBER(SEARCH("R64",G494))*64,0)+IFERROR(--ISNUMBER(SEARCH("R65",G494))*65,0)+IFERROR(--ISNUMBER(SEARCH("R66",G494))*66,0)+IFERROR(--ISNUMBER(SEARCH("R67",G494))*67,0)+IFERROR(--ISNUMBER(SEARCH("R68",G494))*68,0)+IFERROR(--ISNUMBER(SEARCH("R69",G494))*69,0)+IFERROR(--ISNUMBER(SEARCH("R70",G494))*70,0)+IFERROR(--ISNUMBER(SEARCH("R71",G494))*71,0)+IFERROR(--ISNUMBER(SEARCH("R72",G494))*72,0)+IFERROR(--ISNUMBER(SEARCH("R73",G494))*73,0)+IFERROR(--ISNUMBER(SEARCH("R74",G494))*74,0)+IFERROR(--ISNUMBER(SEARCH("R75",G494))*75,0)+IFERROR(--ISNUMBER(SEARCH("R76",G494))*76,0)+IFERROR(--ISNUMBER(SEARCH("R77",G494))*77,0)+IFERROR(--ISNUMBER(SEARCH("R78",G494))*78,0)+IFERROR(--ISNUMBER(SEARCH("R79",G494))*79,0)+IFERROR(--ISNUMBER(SEARCH("R80",G494))*80,0)+IFERROR(--ISNUMBER(SEARCH("R81",G494))*81,0)+IFERROR(--ISNUMBER(SEARCH("R82",G494))*82,0)+IFERROR(--ISNUMBER(SEARCH("R83",G494))*83,0)+IFERROR(--ISNUMBER(SEARCH("R84",G494))*84,0)+IFERROR(--ISNUMBER(SEARCH("R85",G494))*85,0)+IFERROR(--ISNUMBER(SEARCH("R86",G494))*86,0)+IFERROR(--ISNUMBER(SEARCH("R87",G494))*87,0)+IFERROR(--ISNUMBER(SEARCH("R88",G494))*88,0)+IFERROR(--ISNUMBER(SEARCH("R89",G494))*89,0)+IFERROR(--ISNUMBER(SEARCH("R90",G494))*90,0)+IFERROR(--ISNUMBER(SEARCH("R91",G494))*91,0)+IFERROR(--ISNUMBER(SEARCH("R92",G494))*92,0)+IFERROR(--ISNUMBER(SEARCH("R93",G494))*93,0)+IFERROR(--ISNUMBER(SEARCH("R94",G494))*94,0)+IFERROR(--ISNUMBER(SEARCH("R95",G494))*95,0)+IFERROR(--ISNUMBER(SEARCH("R96",G494))*96,0)+IFERROR(--ISNUMBER(SEARCH("R97",G494))*97,0)+IFERROR(--ISNUMBER(SEARCH("R98",G494))*98,0)+IFERROR(--ISNUMBER(SEARCH("R99",G494))*99,0)+IFERROR(--ISNUMBER(SEARCH("R100",G494))*100,0)+IFERROR(--ISNUMBER(SEARCH("R101",G494))*101,0)+IFERROR(--ISNUMBER(SEARCH("R102",G494))*102,0)+IFERROR(--ISNUMBER(SEARCH("R103",G494))*103,0)+IFERROR(--ISNUMBER(SEARCH("R104",G494))*104,0)+IFERROR(--ISNUMBER(SEARCH("R105",G494))*105,0)+IFERROR(--ISNUMBER(SEARCH("R106",G494))*106,0)+IFERROR(--ISNUMBER(SEARCH("R107",G494))*107,0)+IFERROR(--ISNUMBER(SEARCH("R108",G494))*108,0)+IFERROR(--ISNUMBER(SEARCH("R109",G494))*109,0)+IFERROR(--ISNUMBER(SEARCH("R110",G494))*110,0)+IFERROR(--ISNUMBER(SEARCH("R111",G494))*111,0)+IFERROR(--ISNUMBER(SEARCH("R112",G494))*112,0)+IFERROR(--ISNUMBER(SEARCH("R113",G494))*113,0)+IFERROR(--ISNUMBER(SEARCH("R114",G494))*114,0)+IFERROR(--ISNUMBER(SEARCH("R115",G494))*115,0)+IFERROR(--ISNUMBER(SEARCH("R116",G494))*116,0)+IFERROR(--ISNUMBER(SEARCH("R117",G494))*117,0)+IFERROR(--ISNUMBER(SEARCH("R118",G494))*118,0)+IFERROR(--ISNUMBER(SEARCH("R119",G494))*119,0)+IFERROR(--ISNUMBER(SEARCH("R120",G494))*120,0)+IFERROR(--ISNUMBER(SEARCH("R121",G494))*121,0)+IFERROR(--ISNUMBER(SEARCH("R122",G494))*122,0)+IFERROR(--ISNUMBER(SEARCH("R123",G494))*123,0)+IFERROR(--ISNUMBER(SEARCH("R124",G494))*124,0)+IFERROR(--ISNUMBER(SEARCH("R125",G494))*125,0)+IFERROR(--ISNUMBER(SEARCH("R126",G494))*126,0)+IFERROR(--ISNUMBER(SEARCH("R127",G494))*127,0)+IFERROR(--ISNUMBER(SEARCH("R128",G494))*128,0)+IFERROR(--ISNUMBER(SEARCH("R129",G494))*129,0)+IFERROR(--ISNUMBER(SEARCH("R130",G494))*130,0)+IFERROR(--ISNUMBER(SEARCH("R131",G494))*131,0)+IFERROR(--ISNUMBER(SEARCH("R132",G494))*132,0)+IFERROR(--ISNUMBER(SEARCH("R133",G494))*133,0)+IFERROR(--ISNUMBER(SEARCH("R134",G494))*134,0)+IFERROR(--ISNUMBER(SEARCH("R135",G494))*135,0)+IFERROR(--ISNUMBER(SEARCH("R136",G494))*136,0)+IFERROR(--ISNUMBER(SEARCH("R137",G494))*137,0)+IFERROR(--ISNUMBER(SEARCH("R138",G494))*138,0)+IFERROR(--ISNUMBER(SEARCH("R139",G494))*139,0)+IFERROR(--ISNUMBER(SEARCH("R140",G494))*140,0)+IFERROR(--ISNUMBER(SEARCH("R141",G494))*141,0))</f>
        <v/>
      </c>
      <c r="V494" s="59">
        <f>IF(A494="","",IF(K494&lt;&gt;"",K494,J494))</f>
        <v/>
      </c>
      <c r="W494" s="59">
        <f>IF(A494="","",IF(AND(V494=29,O494&lt;&gt;"",COUNTIFS($V$6:$V$505,29,$F$6:$F$505,F494,$C$6:$C$505,C494,$O$6:$O$505,"&lt;&gt;")&gt;1),IF(COUNTIFS($V$6:V494,29,$F$6:F494,F494,$C$6:C494,C494,$O$6:O494,"&lt;&gt;")=1,"Esta es la fila que se debe CONSERVAR (aparición 1 de "&amp;COUNTIFS($V$6:$V$505,29,$F$6:$F$505,F494,$C$6:$C$505,C494,$O$6:$O$505,"&lt;&gt;")&amp;" con el mismo tercero y valor, casilla 29). Si hay más filas iguales, bórreles el valor a ELLAS, no a esta.","DUPLICADO — ya existe otra fila con el mismo tercero y valor para casilla 29 (aparición "&amp;COUNTIFS($V$6:V494,29,$F$6:F494,F494,$C$6:C494,C494,$O$6:O494,"&lt;&gt;")&amp;" de "&amp;COUNTIFS($V$6:$V$505,29,$F$6:$F$505,F494,$C$6:$C$505,C494,$O$6:$O$505,"&lt;&gt;")&amp;"). Para resolverlo: seleccione la celda O"&amp;ROW()&amp;" (columna Valor a declarar de ESTA fila) y presione Supr."),""))</f>
        <v/>
      </c>
      <c r="X494" s="463">
        <f>IF(A494="","",F494)</f>
        <v/>
      </c>
      <c r="Y494" s="463">
        <f>IF(A494="","",SUMIF(Entrada_Manual!$I$88:$I$187,A494,Entrada_Manual!$F$88:$F$187))</f>
        <v/>
      </c>
      <c r="Z494" s="463">
        <f>IF(A494="","",X494-Y494)</f>
        <v/>
      </c>
      <c r="AA494">
        <f>IF(A494="","",SUMPRODUCT((Entrada_Manual!$I$88:$I$187=A494)*1))</f>
        <v/>
      </c>
      <c r="AB494">
        <f>IF(A494="","",IF(S494&lt;=1,"",IF(AA494=0,"PENDIENTE — SIN ASIGNAR",IF(Z494=0,"RESUELTO","PARCIAL — DIFERENCIA "&amp;TEXT(Z494,"#,##0")))))</f>
        <v/>
      </c>
    </row>
    <row r="495" ht="14.25" customHeight="1" s="235">
      <c r="A495" s="47">
        <f>IF(Exogena_RAW!E504&lt;&gt;"",ROW()-5,"")</f>
        <v/>
      </c>
      <c r="B495" s="48">
        <f>IF(A495="","",504)</f>
        <v/>
      </c>
      <c r="C495" s="48">
        <f>IF(A495="","",IFERROR(Exogena_RAW!A504,""))</f>
        <v/>
      </c>
      <c r="D495" s="48">
        <f>IF(A495="","",IFERROR(Exogena_RAW!B504,""))</f>
        <v/>
      </c>
      <c r="E495" s="48">
        <f>IF(A495="","",Exogena_RAW!E504)</f>
        <v/>
      </c>
      <c r="F495" s="461">
        <f>IF(A495="","",Exogena_RAW!F504)</f>
        <v/>
      </c>
      <c r="G495" s="48">
        <f>IF(A495="","",IFERROR(Exogena_RAW!G504,""))</f>
        <v/>
      </c>
      <c r="H495" s="48">
        <f>IF(A495="","",IFERROR(Exogena_RAW!H504,""))</f>
        <v/>
      </c>
      <c r="I495" s="48">
        <f>IF(A495="","",IFERROR(IF(S495&gt;1,"VARIAS CASILLAS",IF(S495=1,IF(T495=1,"PROPUESTA DE CASILLA","REVISIÓN: CASILLA NO DIRECTA"),IF(OR(ISNUMBER(SEARCH("TOPE",UPPER(E495))),ISNUMBER(SEARCH("TOPE",UPPER(G495)))),"SOLO CONTROL",IF(ISNUMBER(SEARCH("RETEN",UPPER(E495))),"RETENCIÓN","REVISAR")))),"REVISAR"))</f>
        <v/>
      </c>
      <c r="J495" s="48">
        <f>IF(A495="","",IF(ISNUMBER(SEARCH("ingreso laboral promedio de los últimos seis meses",E495)),"",IFERROR(IF(AND(S495=1,T495=1),U495,""),"")))</f>
        <v/>
      </c>
      <c r="K495" s="216" t="n"/>
      <c r="L495" s="48">
        <f>IF(A495="","",IFERROR(IF(K495&lt;&gt;"","Casilla elegida por usuario",IF(S495&gt;1,"Varias casillas — elegir en K",IF(J495&lt;&gt;"","Sugerencia directa",IF(S495=1,"No trasladar directo — revisar",IF(OR(ISNUMBER(SEARCH("TOPE",UPPER(E495))),ISNUMBER(SEARCH("TOPE",UPPER(G495)))),"Solo control","Revisar manualmente"))))),"Revisar manualmente"))</f>
        <v/>
      </c>
      <c r="M495" s="461">
        <f>IF(A495="","",IF(IF(K495&lt;&gt;"",K495,J495)="",0,IF(COUNTIFS(Reglas!$I$5:$I$118,IF(K495&lt;&gt;"",K495,J495),Reglas!$J$5:$J$118,"Sí")=1,F495,0)))</f>
        <v/>
      </c>
      <c r="N495" s="56" t="n"/>
      <c r="O495" s="462">
        <f>IF(A495="","",IF(M495=0,"",M495))</f>
        <v/>
      </c>
      <c r="P495" s="461">
        <f>IF(A495="","",IF(O495="",0,IF(ISNUMBER(O495),O495,0)))</f>
        <v/>
      </c>
      <c r="Q495" s="48">
        <f>IF(A495="","",IF(Exogena_RAW!$C$4="","BLOQUEADO: FALTA AÑO",IF(Exogena_RAW!$K$10&lt;&gt;Reglas!$B$5,"BLOQUEADO: AÑO",IF(IF(K495&lt;&gt;"",K495,J495)="",IF(S495&gt;1,"REQUIERE ASIGNACIÓN MANUAL (VARIAS CASILLAS)","INFORMATIVO (sin casilla — no se declara)"),IF(COUNTIFS(Reglas!$I$5:$I$118,IF(K495&lt;&gt;"",K495,J495),Reglas!$J$5:$J$118,"Sí")=0,"BLOQUEADO: CASILLA NO DIRECTA",IF(O495="","EXCLUIDO (valor borrado por el usuario)",IF(_xlfn.ISFORMULA(O495),IF(W495&lt;&gt;"","BORRADOR — VALOR SUGERIDO DIAN ⚠ VER ALERTA","BORRADOR — VALOR SUGERIDO DIAN"),IF(W495&lt;&gt;"","ACEPTADO ⚠ VER ALERTA","ACEPTADO"))))))))</f>
        <v/>
      </c>
      <c r="R495" s="218" t="n"/>
      <c r="S495" s="58">
        <f>IF(A495="","",IFERROR(--ISNUMBER(SEARCH("R28",G495)),0)+IFERROR(--ISNUMBER(SEARCH("R29",G495)),0)+IFERROR(--ISNUMBER(SEARCH("R30",G495)),0)+IFERROR(--ISNUMBER(SEARCH("R31",G495)),0)+IFERROR(--ISNUMBER(SEARCH("R32",G495)),0)+IFERROR(--ISNUMBER(SEARCH("R33",G495)),0)+IFERROR(--ISNUMBER(SEARCH("R34",G495)),0)+IFERROR(--ISNUMBER(SEARCH("R35",G495)),0)+IFERROR(--ISNUMBER(SEARCH("R36",G495)),0)+IFERROR(--ISNUMBER(SEARCH("R37",G495)),0)+IFERROR(--ISNUMBER(SEARCH("R38",G495)),0)+IFERROR(--ISNUMBER(SEARCH("R39",G495)),0)+IFERROR(--ISNUMBER(SEARCH("R40",G495)),0)+IFERROR(--ISNUMBER(SEARCH("R41",G495)),0)+IFERROR(--ISNUMBER(SEARCH("R42",G495)),0)+IFERROR(--ISNUMBER(SEARCH("R43",G495)),0)+IFERROR(--ISNUMBER(SEARCH("R44",G495)),0)+IFERROR(--ISNUMBER(SEARCH("R45",G495)),0)+IFERROR(--ISNUMBER(SEARCH("R46",G495)),0)+IFERROR(--ISNUMBER(SEARCH("R47",G495)),0)+IFERROR(--ISNUMBER(SEARCH("R48",G495)),0)+IFERROR(--ISNUMBER(SEARCH("R49",G495)),0)+IFERROR(--ISNUMBER(SEARCH("R50",G495)),0)+IFERROR(--ISNUMBER(SEARCH("R51",G495)),0)+IFERROR(--ISNUMBER(SEARCH("R52",G495)),0)+IFERROR(--ISNUMBER(SEARCH("R53",G495)),0)+IFERROR(--ISNUMBER(SEARCH("R54",G495)),0)+IFERROR(--ISNUMBER(SEARCH("R55",G495)),0)+IFERROR(--ISNUMBER(SEARCH("R56",G495)),0)+IFERROR(--ISNUMBER(SEARCH("R57",G495)),0)+IFERROR(--ISNUMBER(SEARCH("R58",G495)),0)+IFERROR(--ISNUMBER(SEARCH("R59",G495)),0)+IFERROR(--ISNUMBER(SEARCH("R60",G495)),0)+IFERROR(--ISNUMBER(SEARCH("R61",G495)),0)+IFERROR(--ISNUMBER(SEARCH("R62",G495)),0)+IFERROR(--ISNUMBER(SEARCH("R63",G495)),0)+IFERROR(--ISNUMBER(SEARCH("R64",G495)),0)+IFERROR(--ISNUMBER(SEARCH("R65",G495)),0)+IFERROR(--ISNUMBER(SEARCH("R66",G495)),0)+IFERROR(--ISNUMBER(SEARCH("R67",G495)),0)+IFERROR(--ISNUMBER(SEARCH("R68",G495)),0)+IFERROR(--ISNUMBER(SEARCH("R69",G495)),0)+IFERROR(--ISNUMBER(SEARCH("R70",G495)),0)+IFERROR(--ISNUMBER(SEARCH("R71",G495)),0)+IFERROR(--ISNUMBER(SEARCH("R72",G495)),0)+IFERROR(--ISNUMBER(SEARCH("R73",G495)),0)+IFERROR(--ISNUMBER(SEARCH("R74",G495)),0)+IFERROR(--ISNUMBER(SEARCH("R75",G495)),0)+IFERROR(--ISNUMBER(SEARCH("R76",G495)),0)+IFERROR(--ISNUMBER(SEARCH("R77",G495)),0)+IFERROR(--ISNUMBER(SEARCH("R78",G495)),0)+IFERROR(--ISNUMBER(SEARCH("R79",G495)),0)+IFERROR(--ISNUMBER(SEARCH("R80",G495)),0)+IFERROR(--ISNUMBER(SEARCH("R81",G495)),0)+IFERROR(--ISNUMBER(SEARCH("R82",G495)),0)+IFERROR(--ISNUMBER(SEARCH("R83",G495)),0)+IFERROR(--ISNUMBER(SEARCH("R84",G495)),0)+IFERROR(--ISNUMBER(SEARCH("R85",G495)),0)+IFERROR(--ISNUMBER(SEARCH("R86",G495)),0)+IFERROR(--ISNUMBER(SEARCH("R87",G495)),0)+IFERROR(--ISNUMBER(SEARCH("R88",G495)),0)+IFERROR(--ISNUMBER(SEARCH("R89",G495)),0)+IFERROR(--ISNUMBER(SEARCH("R90",G495)),0)+IFERROR(--ISNUMBER(SEARCH("R91",G495)),0)+IFERROR(--ISNUMBER(SEARCH("R92",G495)),0)+IFERROR(--ISNUMBER(SEARCH("R93",G495)),0)+IFERROR(--ISNUMBER(SEARCH("R94",G495)),0)+IFERROR(--ISNUMBER(SEARCH("R95",G495)),0)+IFERROR(--ISNUMBER(SEARCH("R96",G495)),0)+IFERROR(--ISNUMBER(SEARCH("R97",G495)),0)+IFERROR(--ISNUMBER(SEARCH("R98",G495)),0)+IFERROR(--ISNUMBER(SEARCH("R99",G495)),0)+IFERROR(--ISNUMBER(SEARCH("R100",G495)),0)+IFERROR(--ISNUMBER(SEARCH("R101",G495)),0)+IFERROR(--ISNUMBER(SEARCH("R102",G495)),0)+IFERROR(--ISNUMBER(SEARCH("R103",G495)),0)+IFERROR(--ISNUMBER(SEARCH("R104",G495)),0)+IFERROR(--ISNUMBER(SEARCH("R105",G495)),0)+IFERROR(--ISNUMBER(SEARCH("R106",G495)),0)+IFERROR(--ISNUMBER(SEARCH("R107",G495)),0)+IFERROR(--ISNUMBER(SEARCH("R108",G495)),0)+IFERROR(--ISNUMBER(SEARCH("R109",G495)),0)+IFERROR(--ISNUMBER(SEARCH("R110",G495)),0)+IFERROR(--ISNUMBER(SEARCH("R111",G495)),0)+IFERROR(--ISNUMBER(SEARCH("R112",G495)),0)+IFERROR(--ISNUMBER(SEARCH("R113",G495)),0)+IFERROR(--ISNUMBER(SEARCH("R114",G495)),0)+IFERROR(--ISNUMBER(SEARCH("R115",G495)),0)+IFERROR(--ISNUMBER(SEARCH("R116",G495)),0)+IFERROR(--ISNUMBER(SEARCH("R117",G495)),0)+IFERROR(--ISNUMBER(SEARCH("R118",G495)),0)+IFERROR(--ISNUMBER(SEARCH("R119",G495)),0)+IFERROR(--ISNUMBER(SEARCH("R120",G495)),0)+IFERROR(--ISNUMBER(SEARCH("R121",G495)),0)+IFERROR(--ISNUMBER(SEARCH("R122",G495)),0)+IFERROR(--ISNUMBER(SEARCH("R123",G495)),0)+IFERROR(--ISNUMBER(SEARCH("R124",G495)),0)+IFERROR(--ISNUMBER(SEARCH("R125",G495)),0)+IFERROR(--ISNUMBER(SEARCH("R126",G495)),0)+IFERROR(--ISNUMBER(SEARCH("R127",G495)),0)+IFERROR(--ISNUMBER(SEARCH("R128",G495)),0)+IFERROR(--ISNUMBER(SEARCH("R129",G495)),0)+IFERROR(--ISNUMBER(SEARCH("R130",G495)),0)+IFERROR(--ISNUMBER(SEARCH("R131",G495)),0)+IFERROR(--ISNUMBER(SEARCH("R132",G495)),0)+IFERROR(--ISNUMBER(SEARCH("R133",G495)),0)+IFERROR(--ISNUMBER(SEARCH("R134",G495)),0)+IFERROR(--ISNUMBER(SEARCH("R135",G495)),0)+IFERROR(--ISNUMBER(SEARCH("R136",G495)),0)+IFERROR(--ISNUMBER(SEARCH("R137",G495)),0)+IFERROR(--ISNUMBER(SEARCH("R138",G495)),0)+IFERROR(--ISNUMBER(SEARCH("R139",G495)),0)+IFERROR(--ISNUMBER(SEARCH("R140",G495)),0)+IFERROR(--ISNUMBER(SEARCH("R141",G495)),0))</f>
        <v/>
      </c>
      <c r="T495" s="58">
        <f>IF(A495="","",IFERROR(--ISNUMBER(SEARCH("R28",G495)),0)+IFERROR(--ISNUMBER(SEARCH("R29",G495)),0)+IFERROR(--ISNUMBER(SEARCH("R30",G495)),0)+IFERROR(--ISNUMBER(SEARCH("R32",G495)),0)+IFERROR(--ISNUMBER(SEARCH("R33",G495)),0)+IFERROR(--ISNUMBER(SEARCH("R35",G495)),0)+IFERROR(--ISNUMBER(SEARCH("R36",G495)),0)+IFERROR(--ISNUMBER(SEARCH("R38",G495)),0)+IFERROR(--ISNUMBER(SEARCH("R39",G495)),0)+IFERROR(--ISNUMBER(SEARCH("R43",G495)),0)+IFERROR(--ISNUMBER(SEARCH("R44",G495)),0)+IFERROR(--ISNUMBER(SEARCH("R45",G495)),0)+IFERROR(--ISNUMBER(SEARCH("R47",G495)),0)+IFERROR(--ISNUMBER(SEARCH("R48",G495)),0)+IFERROR(--ISNUMBER(SEARCH("R50",G495)),0)+IFERROR(--ISNUMBER(SEARCH("R51",G495)),0)+IFERROR(--ISNUMBER(SEARCH("R56",G495)),0)+IFERROR(--ISNUMBER(SEARCH("R58",G495)),0)+IFERROR(--ISNUMBER(SEARCH("R59",G495)),0)+IFERROR(--ISNUMBER(SEARCH("R60",G495)),0)+IFERROR(--ISNUMBER(SEARCH("R62",G495)),0)+IFERROR(--ISNUMBER(SEARCH("R63",G495)),0)+IFERROR(--ISNUMBER(SEARCH("R64",G495)),0)+IFERROR(--ISNUMBER(SEARCH("R66",G495)),0)+IFERROR(--ISNUMBER(SEARCH("R67",G495)),0)+IFERROR(--ISNUMBER(SEARCH("R72",G495)),0)+IFERROR(--ISNUMBER(SEARCH("R74",G495)),0)+IFERROR(--ISNUMBER(SEARCH("R75",G495)),0)+IFERROR(--ISNUMBER(SEARCH("R76",G495)),0)+IFERROR(--ISNUMBER(SEARCH("R77",G495)),0)+IFERROR(--ISNUMBER(SEARCH("R79",G495)),0)+IFERROR(--ISNUMBER(SEARCH("R80",G495)),0)+IFERROR(--ISNUMBER(SEARCH("R81",G495)),0)+IFERROR(--ISNUMBER(SEARCH("R83",G495)),0)+IFERROR(--ISNUMBER(SEARCH("R84",G495)),0)+IFERROR(--ISNUMBER(SEARCH("R89",G495)),0)+IFERROR(--ISNUMBER(SEARCH("R94",G495)),0)+IFERROR(--ISNUMBER(SEARCH("R95",G495)),0)+IFERROR(--ISNUMBER(SEARCH("R96",G495)),0)+IFERROR(--ISNUMBER(SEARCH("R98",G495)),0)+IFERROR(--ISNUMBER(SEARCH("R99",G495)),0)+IFERROR(--ISNUMBER(SEARCH("R100",G495)),0)+IFERROR(--ISNUMBER(SEARCH("R104",G495)),0)+IFERROR(--ISNUMBER(SEARCH("R105",G495)),0)+IFERROR(--ISNUMBER(SEARCH("R107",G495)),0)+IFERROR(--ISNUMBER(SEARCH("R108",G495)),0)+IFERROR(--ISNUMBER(SEARCH("R109",G495)),0)+IFERROR(--ISNUMBER(SEARCH("R110",G495)),0)+IFERROR(--ISNUMBER(SEARCH("R112",G495)),0)+IFERROR(--ISNUMBER(SEARCH("R113",G495)),0)+IFERROR(--ISNUMBER(SEARCH("R114",G495)),0)+IFERROR(--ISNUMBER(SEARCH("R118",G495)),0)+IFERROR(--ISNUMBER(SEARCH("R119",G495)),0)+IFERROR(--ISNUMBER(SEARCH("R120",G495)),0)+IFERROR(--ISNUMBER(SEARCH("R122",G495)),0)+IFERROR(--ISNUMBER(SEARCH("R123",G495)),0)+IFERROR(--ISNUMBER(SEARCH("R124",G495)),0)+IFERROR(--ISNUMBER(SEARCH("R128",G495)),0)+IFERROR(--ISNUMBER(SEARCH("R130",G495)),0)+IFERROR(--ISNUMBER(SEARCH("R131",G495)),0)+IFERROR(--ISNUMBER(SEARCH("R132",G495)),0)+IFERROR(--ISNUMBER(SEARCH("R135",G495)),0)+IFERROR(--ISNUMBER(SEARCH("R138",G495)),0)+IFERROR(--ISNUMBER(SEARCH("R141",G495)),0))</f>
        <v/>
      </c>
      <c r="U495" s="58">
        <f>IF(A495="","",IFERROR(--ISNUMBER(SEARCH("R28",G495))*28,0)+IFERROR(--ISNUMBER(SEARCH("R29",G495))*29,0)+IFERROR(--ISNUMBER(SEARCH("R30",G495))*30,0)+IFERROR(--ISNUMBER(SEARCH("R31",G495))*31,0)+IFERROR(--ISNUMBER(SEARCH("R32",G495))*32,0)+IFERROR(--ISNUMBER(SEARCH("R33",G495))*33,0)+IFERROR(--ISNUMBER(SEARCH("R34",G495))*34,0)+IFERROR(--ISNUMBER(SEARCH("R35",G495))*35,0)+IFERROR(--ISNUMBER(SEARCH("R36",G495))*36,0)+IFERROR(--ISNUMBER(SEARCH("R37",G495))*37,0)+IFERROR(--ISNUMBER(SEARCH("R38",G495))*38,0)+IFERROR(--ISNUMBER(SEARCH("R39",G495))*39,0)+IFERROR(--ISNUMBER(SEARCH("R40",G495))*40,0)+IFERROR(--ISNUMBER(SEARCH("R41",G495))*41,0)+IFERROR(--ISNUMBER(SEARCH("R42",G495))*42,0)+IFERROR(--ISNUMBER(SEARCH("R43",G495))*43,0)+IFERROR(--ISNUMBER(SEARCH("R44",G495))*44,0)+IFERROR(--ISNUMBER(SEARCH("R45",G495))*45,0)+IFERROR(--ISNUMBER(SEARCH("R46",G495))*46,0)+IFERROR(--ISNUMBER(SEARCH("R47",G495))*47,0)+IFERROR(--ISNUMBER(SEARCH("R48",G495))*48,0)+IFERROR(--ISNUMBER(SEARCH("R49",G495))*49,0)+IFERROR(--ISNUMBER(SEARCH("R50",G495))*50,0)+IFERROR(--ISNUMBER(SEARCH("R51",G495))*51,0)+IFERROR(--ISNUMBER(SEARCH("R52",G495))*52,0)+IFERROR(--ISNUMBER(SEARCH("R53",G495))*53,0)+IFERROR(--ISNUMBER(SEARCH("R54",G495))*54,0)+IFERROR(--ISNUMBER(SEARCH("R55",G495))*55,0)+IFERROR(--ISNUMBER(SEARCH("R56",G495))*56,0)+IFERROR(--ISNUMBER(SEARCH("R57",G495))*57,0)+IFERROR(--ISNUMBER(SEARCH("R58",G495))*58,0)+IFERROR(--ISNUMBER(SEARCH("R59",G495))*59,0)+IFERROR(--ISNUMBER(SEARCH("R60",G495))*60,0)+IFERROR(--ISNUMBER(SEARCH("R61",G495))*61,0)+IFERROR(--ISNUMBER(SEARCH("R62",G495))*62,0)+IFERROR(--ISNUMBER(SEARCH("R63",G495))*63,0)+IFERROR(--ISNUMBER(SEARCH("R64",G495))*64,0)+IFERROR(--ISNUMBER(SEARCH("R65",G495))*65,0)+IFERROR(--ISNUMBER(SEARCH("R66",G495))*66,0)+IFERROR(--ISNUMBER(SEARCH("R67",G495))*67,0)+IFERROR(--ISNUMBER(SEARCH("R68",G495))*68,0)+IFERROR(--ISNUMBER(SEARCH("R69",G495))*69,0)+IFERROR(--ISNUMBER(SEARCH("R70",G495))*70,0)+IFERROR(--ISNUMBER(SEARCH("R71",G495))*71,0)+IFERROR(--ISNUMBER(SEARCH("R72",G495))*72,0)+IFERROR(--ISNUMBER(SEARCH("R73",G495))*73,0)+IFERROR(--ISNUMBER(SEARCH("R74",G495))*74,0)+IFERROR(--ISNUMBER(SEARCH("R75",G495))*75,0)+IFERROR(--ISNUMBER(SEARCH("R76",G495))*76,0)+IFERROR(--ISNUMBER(SEARCH("R77",G495))*77,0)+IFERROR(--ISNUMBER(SEARCH("R78",G495))*78,0)+IFERROR(--ISNUMBER(SEARCH("R79",G495))*79,0)+IFERROR(--ISNUMBER(SEARCH("R80",G495))*80,0)+IFERROR(--ISNUMBER(SEARCH("R81",G495))*81,0)+IFERROR(--ISNUMBER(SEARCH("R82",G495))*82,0)+IFERROR(--ISNUMBER(SEARCH("R83",G495))*83,0)+IFERROR(--ISNUMBER(SEARCH("R84",G495))*84,0)+IFERROR(--ISNUMBER(SEARCH("R85",G495))*85,0)+IFERROR(--ISNUMBER(SEARCH("R86",G495))*86,0)+IFERROR(--ISNUMBER(SEARCH("R87",G495))*87,0)+IFERROR(--ISNUMBER(SEARCH("R88",G495))*88,0)+IFERROR(--ISNUMBER(SEARCH("R89",G495))*89,0)+IFERROR(--ISNUMBER(SEARCH("R90",G495))*90,0)+IFERROR(--ISNUMBER(SEARCH("R91",G495))*91,0)+IFERROR(--ISNUMBER(SEARCH("R92",G495))*92,0)+IFERROR(--ISNUMBER(SEARCH("R93",G495))*93,0)+IFERROR(--ISNUMBER(SEARCH("R94",G495))*94,0)+IFERROR(--ISNUMBER(SEARCH("R95",G495))*95,0)+IFERROR(--ISNUMBER(SEARCH("R96",G495))*96,0)+IFERROR(--ISNUMBER(SEARCH("R97",G495))*97,0)+IFERROR(--ISNUMBER(SEARCH("R98",G495))*98,0)+IFERROR(--ISNUMBER(SEARCH("R99",G495))*99,0)+IFERROR(--ISNUMBER(SEARCH("R100",G495))*100,0)+IFERROR(--ISNUMBER(SEARCH("R101",G495))*101,0)+IFERROR(--ISNUMBER(SEARCH("R102",G495))*102,0)+IFERROR(--ISNUMBER(SEARCH("R103",G495))*103,0)+IFERROR(--ISNUMBER(SEARCH("R104",G495))*104,0)+IFERROR(--ISNUMBER(SEARCH("R105",G495))*105,0)+IFERROR(--ISNUMBER(SEARCH("R106",G495))*106,0)+IFERROR(--ISNUMBER(SEARCH("R107",G495))*107,0)+IFERROR(--ISNUMBER(SEARCH("R108",G495))*108,0)+IFERROR(--ISNUMBER(SEARCH("R109",G495))*109,0)+IFERROR(--ISNUMBER(SEARCH("R110",G495))*110,0)+IFERROR(--ISNUMBER(SEARCH("R111",G495))*111,0)+IFERROR(--ISNUMBER(SEARCH("R112",G495))*112,0)+IFERROR(--ISNUMBER(SEARCH("R113",G495))*113,0)+IFERROR(--ISNUMBER(SEARCH("R114",G495))*114,0)+IFERROR(--ISNUMBER(SEARCH("R115",G495))*115,0)+IFERROR(--ISNUMBER(SEARCH("R116",G495))*116,0)+IFERROR(--ISNUMBER(SEARCH("R117",G495))*117,0)+IFERROR(--ISNUMBER(SEARCH("R118",G495))*118,0)+IFERROR(--ISNUMBER(SEARCH("R119",G495))*119,0)+IFERROR(--ISNUMBER(SEARCH("R120",G495))*120,0)+IFERROR(--ISNUMBER(SEARCH("R121",G495))*121,0)+IFERROR(--ISNUMBER(SEARCH("R122",G495))*122,0)+IFERROR(--ISNUMBER(SEARCH("R123",G495))*123,0)+IFERROR(--ISNUMBER(SEARCH("R124",G495))*124,0)+IFERROR(--ISNUMBER(SEARCH("R125",G495))*125,0)+IFERROR(--ISNUMBER(SEARCH("R126",G495))*126,0)+IFERROR(--ISNUMBER(SEARCH("R127",G495))*127,0)+IFERROR(--ISNUMBER(SEARCH("R128",G495))*128,0)+IFERROR(--ISNUMBER(SEARCH("R129",G495))*129,0)+IFERROR(--ISNUMBER(SEARCH("R130",G495))*130,0)+IFERROR(--ISNUMBER(SEARCH("R131",G495))*131,0)+IFERROR(--ISNUMBER(SEARCH("R132",G495))*132,0)+IFERROR(--ISNUMBER(SEARCH("R133",G495))*133,0)+IFERROR(--ISNUMBER(SEARCH("R134",G495))*134,0)+IFERROR(--ISNUMBER(SEARCH("R135",G495))*135,0)+IFERROR(--ISNUMBER(SEARCH("R136",G495))*136,0)+IFERROR(--ISNUMBER(SEARCH("R137",G495))*137,0)+IFERROR(--ISNUMBER(SEARCH("R138",G495))*138,0)+IFERROR(--ISNUMBER(SEARCH("R139",G495))*139,0)+IFERROR(--ISNUMBER(SEARCH("R140",G495))*140,0)+IFERROR(--ISNUMBER(SEARCH("R141",G495))*141,0))</f>
        <v/>
      </c>
      <c r="V495" s="59">
        <f>IF(A495="","",IF(K495&lt;&gt;"",K495,J495))</f>
        <v/>
      </c>
      <c r="W495" s="59">
        <f>IF(A495="","",IF(AND(V495=29,O495&lt;&gt;"",COUNTIFS($V$6:$V$505,29,$F$6:$F$505,F495,$C$6:$C$505,C495,$O$6:$O$505,"&lt;&gt;")&gt;1),IF(COUNTIFS($V$6:V495,29,$F$6:F495,F495,$C$6:C495,C495,$O$6:O495,"&lt;&gt;")=1,"Esta es la fila que se debe CONSERVAR (aparición 1 de "&amp;COUNTIFS($V$6:$V$505,29,$F$6:$F$505,F495,$C$6:$C$505,C495,$O$6:$O$505,"&lt;&gt;")&amp;" con el mismo tercero y valor, casilla 29). Si hay más filas iguales, bórreles el valor a ELLAS, no a esta.","DUPLICADO — ya existe otra fila con el mismo tercero y valor para casilla 29 (aparición "&amp;COUNTIFS($V$6:V495,29,$F$6:F495,F495,$C$6:C495,C495,$O$6:O495,"&lt;&gt;")&amp;" de "&amp;COUNTIFS($V$6:$V$505,29,$F$6:$F$505,F495,$C$6:$C$505,C495,$O$6:$O$505,"&lt;&gt;")&amp;"). Para resolverlo: seleccione la celda O"&amp;ROW()&amp;" (columna Valor a declarar de ESTA fila) y presione Supr."),""))</f>
        <v/>
      </c>
      <c r="X495" s="463">
        <f>IF(A495="","",F495)</f>
        <v/>
      </c>
      <c r="Y495" s="463">
        <f>IF(A495="","",SUMIF(Entrada_Manual!$I$88:$I$187,A495,Entrada_Manual!$F$88:$F$187))</f>
        <v/>
      </c>
      <c r="Z495" s="463">
        <f>IF(A495="","",X495-Y495)</f>
        <v/>
      </c>
      <c r="AA495">
        <f>IF(A495="","",SUMPRODUCT((Entrada_Manual!$I$88:$I$187=A495)*1))</f>
        <v/>
      </c>
      <c r="AB495">
        <f>IF(A495="","",IF(S495&lt;=1,"",IF(AA495=0,"PENDIENTE — SIN ASIGNAR",IF(Z495=0,"RESUELTO","PARCIAL — DIFERENCIA "&amp;TEXT(Z495,"#,##0")))))</f>
        <v/>
      </c>
    </row>
    <row r="496" ht="14.25" customHeight="1" s="235">
      <c r="A496" s="47">
        <f>IF(Exogena_RAW!E505&lt;&gt;"",ROW()-5,"")</f>
        <v/>
      </c>
      <c r="B496" s="48">
        <f>IF(A496="","",505)</f>
        <v/>
      </c>
      <c r="C496" s="48">
        <f>IF(A496="","",IFERROR(Exogena_RAW!A505,""))</f>
        <v/>
      </c>
      <c r="D496" s="48">
        <f>IF(A496="","",IFERROR(Exogena_RAW!B505,""))</f>
        <v/>
      </c>
      <c r="E496" s="48">
        <f>IF(A496="","",Exogena_RAW!E505)</f>
        <v/>
      </c>
      <c r="F496" s="461">
        <f>IF(A496="","",Exogena_RAW!F505)</f>
        <v/>
      </c>
      <c r="G496" s="48">
        <f>IF(A496="","",IFERROR(Exogena_RAW!G505,""))</f>
        <v/>
      </c>
      <c r="H496" s="48">
        <f>IF(A496="","",IFERROR(Exogena_RAW!H505,""))</f>
        <v/>
      </c>
      <c r="I496" s="48">
        <f>IF(A496="","",IFERROR(IF(S496&gt;1,"VARIAS CASILLAS",IF(S496=1,IF(T496=1,"PROPUESTA DE CASILLA","REVISIÓN: CASILLA NO DIRECTA"),IF(OR(ISNUMBER(SEARCH("TOPE",UPPER(E496))),ISNUMBER(SEARCH("TOPE",UPPER(G496)))),"SOLO CONTROL",IF(ISNUMBER(SEARCH("RETEN",UPPER(E496))),"RETENCIÓN","REVISAR")))),"REVISAR"))</f>
        <v/>
      </c>
      <c r="J496" s="48">
        <f>IF(A496="","",IF(ISNUMBER(SEARCH("ingreso laboral promedio de los últimos seis meses",E496)),"",IFERROR(IF(AND(S496=1,T496=1),U496,""),"")))</f>
        <v/>
      </c>
      <c r="K496" s="216" t="n"/>
      <c r="L496" s="48">
        <f>IF(A496="","",IFERROR(IF(K496&lt;&gt;"","Casilla elegida por usuario",IF(S496&gt;1,"Varias casillas — elegir en K",IF(J496&lt;&gt;"","Sugerencia directa",IF(S496=1,"No trasladar directo — revisar",IF(OR(ISNUMBER(SEARCH("TOPE",UPPER(E496))),ISNUMBER(SEARCH("TOPE",UPPER(G496)))),"Solo control","Revisar manualmente"))))),"Revisar manualmente"))</f>
        <v/>
      </c>
      <c r="M496" s="461">
        <f>IF(A496="","",IF(IF(K496&lt;&gt;"",K496,J496)="",0,IF(COUNTIFS(Reglas!$I$5:$I$118,IF(K496&lt;&gt;"",K496,J496),Reglas!$J$5:$J$118,"Sí")=1,F496,0)))</f>
        <v/>
      </c>
      <c r="N496" s="56" t="n"/>
      <c r="O496" s="462">
        <f>IF(A496="","",IF(M496=0,"",M496))</f>
        <v/>
      </c>
      <c r="P496" s="461">
        <f>IF(A496="","",IF(O496="",0,IF(ISNUMBER(O496),O496,0)))</f>
        <v/>
      </c>
      <c r="Q496" s="48">
        <f>IF(A496="","",IF(Exogena_RAW!$C$4="","BLOQUEADO: FALTA AÑO",IF(Exogena_RAW!$K$10&lt;&gt;Reglas!$B$5,"BLOQUEADO: AÑO",IF(IF(K496&lt;&gt;"",K496,J496)="",IF(S496&gt;1,"REQUIERE ASIGNACIÓN MANUAL (VARIAS CASILLAS)","INFORMATIVO (sin casilla — no se declara)"),IF(COUNTIFS(Reglas!$I$5:$I$118,IF(K496&lt;&gt;"",K496,J496),Reglas!$J$5:$J$118,"Sí")=0,"BLOQUEADO: CASILLA NO DIRECTA",IF(O496="","EXCLUIDO (valor borrado por el usuario)",IF(_xlfn.ISFORMULA(O496),IF(W496&lt;&gt;"","BORRADOR — VALOR SUGERIDO DIAN ⚠ VER ALERTA","BORRADOR — VALOR SUGERIDO DIAN"),IF(W496&lt;&gt;"","ACEPTADO ⚠ VER ALERTA","ACEPTADO"))))))))</f>
        <v/>
      </c>
      <c r="R496" s="218" t="n"/>
      <c r="S496" s="58">
        <f>IF(A496="","",IFERROR(--ISNUMBER(SEARCH("R28",G496)),0)+IFERROR(--ISNUMBER(SEARCH("R29",G496)),0)+IFERROR(--ISNUMBER(SEARCH("R30",G496)),0)+IFERROR(--ISNUMBER(SEARCH("R31",G496)),0)+IFERROR(--ISNUMBER(SEARCH("R32",G496)),0)+IFERROR(--ISNUMBER(SEARCH("R33",G496)),0)+IFERROR(--ISNUMBER(SEARCH("R34",G496)),0)+IFERROR(--ISNUMBER(SEARCH("R35",G496)),0)+IFERROR(--ISNUMBER(SEARCH("R36",G496)),0)+IFERROR(--ISNUMBER(SEARCH("R37",G496)),0)+IFERROR(--ISNUMBER(SEARCH("R38",G496)),0)+IFERROR(--ISNUMBER(SEARCH("R39",G496)),0)+IFERROR(--ISNUMBER(SEARCH("R40",G496)),0)+IFERROR(--ISNUMBER(SEARCH("R41",G496)),0)+IFERROR(--ISNUMBER(SEARCH("R42",G496)),0)+IFERROR(--ISNUMBER(SEARCH("R43",G496)),0)+IFERROR(--ISNUMBER(SEARCH("R44",G496)),0)+IFERROR(--ISNUMBER(SEARCH("R45",G496)),0)+IFERROR(--ISNUMBER(SEARCH("R46",G496)),0)+IFERROR(--ISNUMBER(SEARCH("R47",G496)),0)+IFERROR(--ISNUMBER(SEARCH("R48",G496)),0)+IFERROR(--ISNUMBER(SEARCH("R49",G496)),0)+IFERROR(--ISNUMBER(SEARCH("R50",G496)),0)+IFERROR(--ISNUMBER(SEARCH("R51",G496)),0)+IFERROR(--ISNUMBER(SEARCH("R52",G496)),0)+IFERROR(--ISNUMBER(SEARCH("R53",G496)),0)+IFERROR(--ISNUMBER(SEARCH("R54",G496)),0)+IFERROR(--ISNUMBER(SEARCH("R55",G496)),0)+IFERROR(--ISNUMBER(SEARCH("R56",G496)),0)+IFERROR(--ISNUMBER(SEARCH("R57",G496)),0)+IFERROR(--ISNUMBER(SEARCH("R58",G496)),0)+IFERROR(--ISNUMBER(SEARCH("R59",G496)),0)+IFERROR(--ISNUMBER(SEARCH("R60",G496)),0)+IFERROR(--ISNUMBER(SEARCH("R61",G496)),0)+IFERROR(--ISNUMBER(SEARCH("R62",G496)),0)+IFERROR(--ISNUMBER(SEARCH("R63",G496)),0)+IFERROR(--ISNUMBER(SEARCH("R64",G496)),0)+IFERROR(--ISNUMBER(SEARCH("R65",G496)),0)+IFERROR(--ISNUMBER(SEARCH("R66",G496)),0)+IFERROR(--ISNUMBER(SEARCH("R67",G496)),0)+IFERROR(--ISNUMBER(SEARCH("R68",G496)),0)+IFERROR(--ISNUMBER(SEARCH("R69",G496)),0)+IFERROR(--ISNUMBER(SEARCH("R70",G496)),0)+IFERROR(--ISNUMBER(SEARCH("R71",G496)),0)+IFERROR(--ISNUMBER(SEARCH("R72",G496)),0)+IFERROR(--ISNUMBER(SEARCH("R73",G496)),0)+IFERROR(--ISNUMBER(SEARCH("R74",G496)),0)+IFERROR(--ISNUMBER(SEARCH("R75",G496)),0)+IFERROR(--ISNUMBER(SEARCH("R76",G496)),0)+IFERROR(--ISNUMBER(SEARCH("R77",G496)),0)+IFERROR(--ISNUMBER(SEARCH("R78",G496)),0)+IFERROR(--ISNUMBER(SEARCH("R79",G496)),0)+IFERROR(--ISNUMBER(SEARCH("R80",G496)),0)+IFERROR(--ISNUMBER(SEARCH("R81",G496)),0)+IFERROR(--ISNUMBER(SEARCH("R82",G496)),0)+IFERROR(--ISNUMBER(SEARCH("R83",G496)),0)+IFERROR(--ISNUMBER(SEARCH("R84",G496)),0)+IFERROR(--ISNUMBER(SEARCH("R85",G496)),0)+IFERROR(--ISNUMBER(SEARCH("R86",G496)),0)+IFERROR(--ISNUMBER(SEARCH("R87",G496)),0)+IFERROR(--ISNUMBER(SEARCH("R88",G496)),0)+IFERROR(--ISNUMBER(SEARCH("R89",G496)),0)+IFERROR(--ISNUMBER(SEARCH("R90",G496)),0)+IFERROR(--ISNUMBER(SEARCH("R91",G496)),0)+IFERROR(--ISNUMBER(SEARCH("R92",G496)),0)+IFERROR(--ISNUMBER(SEARCH("R93",G496)),0)+IFERROR(--ISNUMBER(SEARCH("R94",G496)),0)+IFERROR(--ISNUMBER(SEARCH("R95",G496)),0)+IFERROR(--ISNUMBER(SEARCH("R96",G496)),0)+IFERROR(--ISNUMBER(SEARCH("R97",G496)),0)+IFERROR(--ISNUMBER(SEARCH("R98",G496)),0)+IFERROR(--ISNUMBER(SEARCH("R99",G496)),0)+IFERROR(--ISNUMBER(SEARCH("R100",G496)),0)+IFERROR(--ISNUMBER(SEARCH("R101",G496)),0)+IFERROR(--ISNUMBER(SEARCH("R102",G496)),0)+IFERROR(--ISNUMBER(SEARCH("R103",G496)),0)+IFERROR(--ISNUMBER(SEARCH("R104",G496)),0)+IFERROR(--ISNUMBER(SEARCH("R105",G496)),0)+IFERROR(--ISNUMBER(SEARCH("R106",G496)),0)+IFERROR(--ISNUMBER(SEARCH("R107",G496)),0)+IFERROR(--ISNUMBER(SEARCH("R108",G496)),0)+IFERROR(--ISNUMBER(SEARCH("R109",G496)),0)+IFERROR(--ISNUMBER(SEARCH("R110",G496)),0)+IFERROR(--ISNUMBER(SEARCH("R111",G496)),0)+IFERROR(--ISNUMBER(SEARCH("R112",G496)),0)+IFERROR(--ISNUMBER(SEARCH("R113",G496)),0)+IFERROR(--ISNUMBER(SEARCH("R114",G496)),0)+IFERROR(--ISNUMBER(SEARCH("R115",G496)),0)+IFERROR(--ISNUMBER(SEARCH("R116",G496)),0)+IFERROR(--ISNUMBER(SEARCH("R117",G496)),0)+IFERROR(--ISNUMBER(SEARCH("R118",G496)),0)+IFERROR(--ISNUMBER(SEARCH("R119",G496)),0)+IFERROR(--ISNUMBER(SEARCH("R120",G496)),0)+IFERROR(--ISNUMBER(SEARCH("R121",G496)),0)+IFERROR(--ISNUMBER(SEARCH("R122",G496)),0)+IFERROR(--ISNUMBER(SEARCH("R123",G496)),0)+IFERROR(--ISNUMBER(SEARCH("R124",G496)),0)+IFERROR(--ISNUMBER(SEARCH("R125",G496)),0)+IFERROR(--ISNUMBER(SEARCH("R126",G496)),0)+IFERROR(--ISNUMBER(SEARCH("R127",G496)),0)+IFERROR(--ISNUMBER(SEARCH("R128",G496)),0)+IFERROR(--ISNUMBER(SEARCH("R129",G496)),0)+IFERROR(--ISNUMBER(SEARCH("R130",G496)),0)+IFERROR(--ISNUMBER(SEARCH("R131",G496)),0)+IFERROR(--ISNUMBER(SEARCH("R132",G496)),0)+IFERROR(--ISNUMBER(SEARCH("R133",G496)),0)+IFERROR(--ISNUMBER(SEARCH("R134",G496)),0)+IFERROR(--ISNUMBER(SEARCH("R135",G496)),0)+IFERROR(--ISNUMBER(SEARCH("R136",G496)),0)+IFERROR(--ISNUMBER(SEARCH("R137",G496)),0)+IFERROR(--ISNUMBER(SEARCH("R138",G496)),0)+IFERROR(--ISNUMBER(SEARCH("R139",G496)),0)+IFERROR(--ISNUMBER(SEARCH("R140",G496)),0)+IFERROR(--ISNUMBER(SEARCH("R141",G496)),0))</f>
        <v/>
      </c>
      <c r="T496" s="58">
        <f>IF(A496="","",IFERROR(--ISNUMBER(SEARCH("R28",G496)),0)+IFERROR(--ISNUMBER(SEARCH("R29",G496)),0)+IFERROR(--ISNUMBER(SEARCH("R30",G496)),0)+IFERROR(--ISNUMBER(SEARCH("R32",G496)),0)+IFERROR(--ISNUMBER(SEARCH("R33",G496)),0)+IFERROR(--ISNUMBER(SEARCH("R35",G496)),0)+IFERROR(--ISNUMBER(SEARCH("R36",G496)),0)+IFERROR(--ISNUMBER(SEARCH("R38",G496)),0)+IFERROR(--ISNUMBER(SEARCH("R39",G496)),0)+IFERROR(--ISNUMBER(SEARCH("R43",G496)),0)+IFERROR(--ISNUMBER(SEARCH("R44",G496)),0)+IFERROR(--ISNUMBER(SEARCH("R45",G496)),0)+IFERROR(--ISNUMBER(SEARCH("R47",G496)),0)+IFERROR(--ISNUMBER(SEARCH("R48",G496)),0)+IFERROR(--ISNUMBER(SEARCH("R50",G496)),0)+IFERROR(--ISNUMBER(SEARCH("R51",G496)),0)+IFERROR(--ISNUMBER(SEARCH("R56",G496)),0)+IFERROR(--ISNUMBER(SEARCH("R58",G496)),0)+IFERROR(--ISNUMBER(SEARCH("R59",G496)),0)+IFERROR(--ISNUMBER(SEARCH("R60",G496)),0)+IFERROR(--ISNUMBER(SEARCH("R62",G496)),0)+IFERROR(--ISNUMBER(SEARCH("R63",G496)),0)+IFERROR(--ISNUMBER(SEARCH("R64",G496)),0)+IFERROR(--ISNUMBER(SEARCH("R66",G496)),0)+IFERROR(--ISNUMBER(SEARCH("R67",G496)),0)+IFERROR(--ISNUMBER(SEARCH("R72",G496)),0)+IFERROR(--ISNUMBER(SEARCH("R74",G496)),0)+IFERROR(--ISNUMBER(SEARCH("R75",G496)),0)+IFERROR(--ISNUMBER(SEARCH("R76",G496)),0)+IFERROR(--ISNUMBER(SEARCH("R77",G496)),0)+IFERROR(--ISNUMBER(SEARCH("R79",G496)),0)+IFERROR(--ISNUMBER(SEARCH("R80",G496)),0)+IFERROR(--ISNUMBER(SEARCH("R81",G496)),0)+IFERROR(--ISNUMBER(SEARCH("R83",G496)),0)+IFERROR(--ISNUMBER(SEARCH("R84",G496)),0)+IFERROR(--ISNUMBER(SEARCH("R89",G496)),0)+IFERROR(--ISNUMBER(SEARCH("R94",G496)),0)+IFERROR(--ISNUMBER(SEARCH("R95",G496)),0)+IFERROR(--ISNUMBER(SEARCH("R96",G496)),0)+IFERROR(--ISNUMBER(SEARCH("R98",G496)),0)+IFERROR(--ISNUMBER(SEARCH("R99",G496)),0)+IFERROR(--ISNUMBER(SEARCH("R100",G496)),0)+IFERROR(--ISNUMBER(SEARCH("R104",G496)),0)+IFERROR(--ISNUMBER(SEARCH("R105",G496)),0)+IFERROR(--ISNUMBER(SEARCH("R107",G496)),0)+IFERROR(--ISNUMBER(SEARCH("R108",G496)),0)+IFERROR(--ISNUMBER(SEARCH("R109",G496)),0)+IFERROR(--ISNUMBER(SEARCH("R110",G496)),0)+IFERROR(--ISNUMBER(SEARCH("R112",G496)),0)+IFERROR(--ISNUMBER(SEARCH("R113",G496)),0)+IFERROR(--ISNUMBER(SEARCH("R114",G496)),0)+IFERROR(--ISNUMBER(SEARCH("R118",G496)),0)+IFERROR(--ISNUMBER(SEARCH("R119",G496)),0)+IFERROR(--ISNUMBER(SEARCH("R120",G496)),0)+IFERROR(--ISNUMBER(SEARCH("R122",G496)),0)+IFERROR(--ISNUMBER(SEARCH("R123",G496)),0)+IFERROR(--ISNUMBER(SEARCH("R124",G496)),0)+IFERROR(--ISNUMBER(SEARCH("R128",G496)),0)+IFERROR(--ISNUMBER(SEARCH("R130",G496)),0)+IFERROR(--ISNUMBER(SEARCH("R131",G496)),0)+IFERROR(--ISNUMBER(SEARCH("R132",G496)),0)+IFERROR(--ISNUMBER(SEARCH("R135",G496)),0)+IFERROR(--ISNUMBER(SEARCH("R138",G496)),0)+IFERROR(--ISNUMBER(SEARCH("R141",G496)),0))</f>
        <v/>
      </c>
      <c r="U496" s="58">
        <f>IF(A496="","",IFERROR(--ISNUMBER(SEARCH("R28",G496))*28,0)+IFERROR(--ISNUMBER(SEARCH("R29",G496))*29,0)+IFERROR(--ISNUMBER(SEARCH("R30",G496))*30,0)+IFERROR(--ISNUMBER(SEARCH("R31",G496))*31,0)+IFERROR(--ISNUMBER(SEARCH("R32",G496))*32,0)+IFERROR(--ISNUMBER(SEARCH("R33",G496))*33,0)+IFERROR(--ISNUMBER(SEARCH("R34",G496))*34,0)+IFERROR(--ISNUMBER(SEARCH("R35",G496))*35,0)+IFERROR(--ISNUMBER(SEARCH("R36",G496))*36,0)+IFERROR(--ISNUMBER(SEARCH("R37",G496))*37,0)+IFERROR(--ISNUMBER(SEARCH("R38",G496))*38,0)+IFERROR(--ISNUMBER(SEARCH("R39",G496))*39,0)+IFERROR(--ISNUMBER(SEARCH("R40",G496))*40,0)+IFERROR(--ISNUMBER(SEARCH("R41",G496))*41,0)+IFERROR(--ISNUMBER(SEARCH("R42",G496))*42,0)+IFERROR(--ISNUMBER(SEARCH("R43",G496))*43,0)+IFERROR(--ISNUMBER(SEARCH("R44",G496))*44,0)+IFERROR(--ISNUMBER(SEARCH("R45",G496))*45,0)+IFERROR(--ISNUMBER(SEARCH("R46",G496))*46,0)+IFERROR(--ISNUMBER(SEARCH("R47",G496))*47,0)+IFERROR(--ISNUMBER(SEARCH("R48",G496))*48,0)+IFERROR(--ISNUMBER(SEARCH("R49",G496))*49,0)+IFERROR(--ISNUMBER(SEARCH("R50",G496))*50,0)+IFERROR(--ISNUMBER(SEARCH("R51",G496))*51,0)+IFERROR(--ISNUMBER(SEARCH("R52",G496))*52,0)+IFERROR(--ISNUMBER(SEARCH("R53",G496))*53,0)+IFERROR(--ISNUMBER(SEARCH("R54",G496))*54,0)+IFERROR(--ISNUMBER(SEARCH("R55",G496))*55,0)+IFERROR(--ISNUMBER(SEARCH("R56",G496))*56,0)+IFERROR(--ISNUMBER(SEARCH("R57",G496))*57,0)+IFERROR(--ISNUMBER(SEARCH("R58",G496))*58,0)+IFERROR(--ISNUMBER(SEARCH("R59",G496))*59,0)+IFERROR(--ISNUMBER(SEARCH("R60",G496))*60,0)+IFERROR(--ISNUMBER(SEARCH("R61",G496))*61,0)+IFERROR(--ISNUMBER(SEARCH("R62",G496))*62,0)+IFERROR(--ISNUMBER(SEARCH("R63",G496))*63,0)+IFERROR(--ISNUMBER(SEARCH("R64",G496))*64,0)+IFERROR(--ISNUMBER(SEARCH("R65",G496))*65,0)+IFERROR(--ISNUMBER(SEARCH("R66",G496))*66,0)+IFERROR(--ISNUMBER(SEARCH("R67",G496))*67,0)+IFERROR(--ISNUMBER(SEARCH("R68",G496))*68,0)+IFERROR(--ISNUMBER(SEARCH("R69",G496))*69,0)+IFERROR(--ISNUMBER(SEARCH("R70",G496))*70,0)+IFERROR(--ISNUMBER(SEARCH("R71",G496))*71,0)+IFERROR(--ISNUMBER(SEARCH("R72",G496))*72,0)+IFERROR(--ISNUMBER(SEARCH("R73",G496))*73,0)+IFERROR(--ISNUMBER(SEARCH("R74",G496))*74,0)+IFERROR(--ISNUMBER(SEARCH("R75",G496))*75,0)+IFERROR(--ISNUMBER(SEARCH("R76",G496))*76,0)+IFERROR(--ISNUMBER(SEARCH("R77",G496))*77,0)+IFERROR(--ISNUMBER(SEARCH("R78",G496))*78,0)+IFERROR(--ISNUMBER(SEARCH("R79",G496))*79,0)+IFERROR(--ISNUMBER(SEARCH("R80",G496))*80,0)+IFERROR(--ISNUMBER(SEARCH("R81",G496))*81,0)+IFERROR(--ISNUMBER(SEARCH("R82",G496))*82,0)+IFERROR(--ISNUMBER(SEARCH("R83",G496))*83,0)+IFERROR(--ISNUMBER(SEARCH("R84",G496))*84,0)+IFERROR(--ISNUMBER(SEARCH("R85",G496))*85,0)+IFERROR(--ISNUMBER(SEARCH("R86",G496))*86,0)+IFERROR(--ISNUMBER(SEARCH("R87",G496))*87,0)+IFERROR(--ISNUMBER(SEARCH("R88",G496))*88,0)+IFERROR(--ISNUMBER(SEARCH("R89",G496))*89,0)+IFERROR(--ISNUMBER(SEARCH("R90",G496))*90,0)+IFERROR(--ISNUMBER(SEARCH("R91",G496))*91,0)+IFERROR(--ISNUMBER(SEARCH("R92",G496))*92,0)+IFERROR(--ISNUMBER(SEARCH("R93",G496))*93,0)+IFERROR(--ISNUMBER(SEARCH("R94",G496))*94,0)+IFERROR(--ISNUMBER(SEARCH("R95",G496))*95,0)+IFERROR(--ISNUMBER(SEARCH("R96",G496))*96,0)+IFERROR(--ISNUMBER(SEARCH("R97",G496))*97,0)+IFERROR(--ISNUMBER(SEARCH("R98",G496))*98,0)+IFERROR(--ISNUMBER(SEARCH("R99",G496))*99,0)+IFERROR(--ISNUMBER(SEARCH("R100",G496))*100,0)+IFERROR(--ISNUMBER(SEARCH("R101",G496))*101,0)+IFERROR(--ISNUMBER(SEARCH("R102",G496))*102,0)+IFERROR(--ISNUMBER(SEARCH("R103",G496))*103,0)+IFERROR(--ISNUMBER(SEARCH("R104",G496))*104,0)+IFERROR(--ISNUMBER(SEARCH("R105",G496))*105,0)+IFERROR(--ISNUMBER(SEARCH("R106",G496))*106,0)+IFERROR(--ISNUMBER(SEARCH("R107",G496))*107,0)+IFERROR(--ISNUMBER(SEARCH("R108",G496))*108,0)+IFERROR(--ISNUMBER(SEARCH("R109",G496))*109,0)+IFERROR(--ISNUMBER(SEARCH("R110",G496))*110,0)+IFERROR(--ISNUMBER(SEARCH("R111",G496))*111,0)+IFERROR(--ISNUMBER(SEARCH("R112",G496))*112,0)+IFERROR(--ISNUMBER(SEARCH("R113",G496))*113,0)+IFERROR(--ISNUMBER(SEARCH("R114",G496))*114,0)+IFERROR(--ISNUMBER(SEARCH("R115",G496))*115,0)+IFERROR(--ISNUMBER(SEARCH("R116",G496))*116,0)+IFERROR(--ISNUMBER(SEARCH("R117",G496))*117,0)+IFERROR(--ISNUMBER(SEARCH("R118",G496))*118,0)+IFERROR(--ISNUMBER(SEARCH("R119",G496))*119,0)+IFERROR(--ISNUMBER(SEARCH("R120",G496))*120,0)+IFERROR(--ISNUMBER(SEARCH("R121",G496))*121,0)+IFERROR(--ISNUMBER(SEARCH("R122",G496))*122,0)+IFERROR(--ISNUMBER(SEARCH("R123",G496))*123,0)+IFERROR(--ISNUMBER(SEARCH("R124",G496))*124,0)+IFERROR(--ISNUMBER(SEARCH("R125",G496))*125,0)+IFERROR(--ISNUMBER(SEARCH("R126",G496))*126,0)+IFERROR(--ISNUMBER(SEARCH("R127",G496))*127,0)+IFERROR(--ISNUMBER(SEARCH("R128",G496))*128,0)+IFERROR(--ISNUMBER(SEARCH("R129",G496))*129,0)+IFERROR(--ISNUMBER(SEARCH("R130",G496))*130,0)+IFERROR(--ISNUMBER(SEARCH("R131",G496))*131,0)+IFERROR(--ISNUMBER(SEARCH("R132",G496))*132,0)+IFERROR(--ISNUMBER(SEARCH("R133",G496))*133,0)+IFERROR(--ISNUMBER(SEARCH("R134",G496))*134,0)+IFERROR(--ISNUMBER(SEARCH("R135",G496))*135,0)+IFERROR(--ISNUMBER(SEARCH("R136",G496))*136,0)+IFERROR(--ISNUMBER(SEARCH("R137",G496))*137,0)+IFERROR(--ISNUMBER(SEARCH("R138",G496))*138,0)+IFERROR(--ISNUMBER(SEARCH("R139",G496))*139,0)+IFERROR(--ISNUMBER(SEARCH("R140",G496))*140,0)+IFERROR(--ISNUMBER(SEARCH("R141",G496))*141,0))</f>
        <v/>
      </c>
      <c r="V496" s="59">
        <f>IF(A496="","",IF(K496&lt;&gt;"",K496,J496))</f>
        <v/>
      </c>
      <c r="W496" s="59">
        <f>IF(A496="","",IF(AND(V496=29,O496&lt;&gt;"",COUNTIFS($V$6:$V$505,29,$F$6:$F$505,F496,$C$6:$C$505,C496,$O$6:$O$505,"&lt;&gt;")&gt;1),IF(COUNTIFS($V$6:V496,29,$F$6:F496,F496,$C$6:C496,C496,$O$6:O496,"&lt;&gt;")=1,"Esta es la fila que se debe CONSERVAR (aparición 1 de "&amp;COUNTIFS($V$6:$V$505,29,$F$6:$F$505,F496,$C$6:$C$505,C496,$O$6:$O$505,"&lt;&gt;")&amp;" con el mismo tercero y valor, casilla 29). Si hay más filas iguales, bórreles el valor a ELLAS, no a esta.","DUPLICADO — ya existe otra fila con el mismo tercero y valor para casilla 29 (aparición "&amp;COUNTIFS($V$6:V496,29,$F$6:F496,F496,$C$6:C496,C496,$O$6:O496,"&lt;&gt;")&amp;" de "&amp;COUNTIFS($V$6:$V$505,29,$F$6:$F$505,F496,$C$6:$C$505,C496,$O$6:$O$505,"&lt;&gt;")&amp;"). Para resolverlo: seleccione la celda O"&amp;ROW()&amp;" (columna Valor a declarar de ESTA fila) y presione Supr."),""))</f>
        <v/>
      </c>
      <c r="X496" s="463">
        <f>IF(A496="","",F496)</f>
        <v/>
      </c>
      <c r="Y496" s="463">
        <f>IF(A496="","",SUMIF(Entrada_Manual!$I$88:$I$187,A496,Entrada_Manual!$F$88:$F$187))</f>
        <v/>
      </c>
      <c r="Z496" s="463">
        <f>IF(A496="","",X496-Y496)</f>
        <v/>
      </c>
      <c r="AA496">
        <f>IF(A496="","",SUMPRODUCT((Entrada_Manual!$I$88:$I$187=A496)*1))</f>
        <v/>
      </c>
      <c r="AB496">
        <f>IF(A496="","",IF(S496&lt;=1,"",IF(AA496=0,"PENDIENTE — SIN ASIGNAR",IF(Z496=0,"RESUELTO","PARCIAL — DIFERENCIA "&amp;TEXT(Z496,"#,##0")))))</f>
        <v/>
      </c>
    </row>
    <row r="497" ht="14.25" customHeight="1" s="235">
      <c r="A497" s="47">
        <f>IF(Exogena_RAW!E506&lt;&gt;"",ROW()-5,"")</f>
        <v/>
      </c>
      <c r="B497" s="48">
        <f>IF(A497="","",506)</f>
        <v/>
      </c>
      <c r="C497" s="48">
        <f>IF(A497="","",IFERROR(Exogena_RAW!A506,""))</f>
        <v/>
      </c>
      <c r="D497" s="48">
        <f>IF(A497="","",IFERROR(Exogena_RAW!B506,""))</f>
        <v/>
      </c>
      <c r="E497" s="48">
        <f>IF(A497="","",Exogena_RAW!E506)</f>
        <v/>
      </c>
      <c r="F497" s="461">
        <f>IF(A497="","",Exogena_RAW!F506)</f>
        <v/>
      </c>
      <c r="G497" s="48">
        <f>IF(A497="","",IFERROR(Exogena_RAW!G506,""))</f>
        <v/>
      </c>
      <c r="H497" s="48">
        <f>IF(A497="","",IFERROR(Exogena_RAW!H506,""))</f>
        <v/>
      </c>
      <c r="I497" s="48">
        <f>IF(A497="","",IFERROR(IF(S497&gt;1,"VARIAS CASILLAS",IF(S497=1,IF(T497=1,"PROPUESTA DE CASILLA","REVISIÓN: CASILLA NO DIRECTA"),IF(OR(ISNUMBER(SEARCH("TOPE",UPPER(E497))),ISNUMBER(SEARCH("TOPE",UPPER(G497)))),"SOLO CONTROL",IF(ISNUMBER(SEARCH("RETEN",UPPER(E497))),"RETENCIÓN","REVISAR")))),"REVISAR"))</f>
        <v/>
      </c>
      <c r="J497" s="48">
        <f>IF(A497="","",IF(ISNUMBER(SEARCH("ingreso laboral promedio de los últimos seis meses",E497)),"",IFERROR(IF(AND(S497=1,T497=1),U497,""),"")))</f>
        <v/>
      </c>
      <c r="K497" s="216" t="n"/>
      <c r="L497" s="48">
        <f>IF(A497="","",IFERROR(IF(K497&lt;&gt;"","Casilla elegida por usuario",IF(S497&gt;1,"Varias casillas — elegir en K",IF(J497&lt;&gt;"","Sugerencia directa",IF(S497=1,"No trasladar directo — revisar",IF(OR(ISNUMBER(SEARCH("TOPE",UPPER(E497))),ISNUMBER(SEARCH("TOPE",UPPER(G497)))),"Solo control","Revisar manualmente"))))),"Revisar manualmente"))</f>
        <v/>
      </c>
      <c r="M497" s="461">
        <f>IF(A497="","",IF(IF(K497&lt;&gt;"",K497,J497)="",0,IF(COUNTIFS(Reglas!$I$5:$I$118,IF(K497&lt;&gt;"",K497,J497),Reglas!$J$5:$J$118,"Sí")=1,F497,0)))</f>
        <v/>
      </c>
      <c r="N497" s="56" t="n"/>
      <c r="O497" s="462">
        <f>IF(A497="","",IF(M497=0,"",M497))</f>
        <v/>
      </c>
      <c r="P497" s="461">
        <f>IF(A497="","",IF(O497="",0,IF(ISNUMBER(O497),O497,0)))</f>
        <v/>
      </c>
      <c r="Q497" s="48">
        <f>IF(A497="","",IF(Exogena_RAW!$C$4="","BLOQUEADO: FALTA AÑO",IF(Exogena_RAW!$K$10&lt;&gt;Reglas!$B$5,"BLOQUEADO: AÑO",IF(IF(K497&lt;&gt;"",K497,J497)="",IF(S497&gt;1,"REQUIERE ASIGNACIÓN MANUAL (VARIAS CASILLAS)","INFORMATIVO (sin casilla — no se declara)"),IF(COUNTIFS(Reglas!$I$5:$I$118,IF(K497&lt;&gt;"",K497,J497),Reglas!$J$5:$J$118,"Sí")=0,"BLOQUEADO: CASILLA NO DIRECTA",IF(O497="","EXCLUIDO (valor borrado por el usuario)",IF(_xlfn.ISFORMULA(O497),IF(W497&lt;&gt;"","BORRADOR — VALOR SUGERIDO DIAN ⚠ VER ALERTA","BORRADOR — VALOR SUGERIDO DIAN"),IF(W497&lt;&gt;"","ACEPTADO ⚠ VER ALERTA","ACEPTADO"))))))))</f>
        <v/>
      </c>
      <c r="R497" s="218" t="n"/>
      <c r="S497" s="58">
        <f>IF(A497="","",IFERROR(--ISNUMBER(SEARCH("R28",G497)),0)+IFERROR(--ISNUMBER(SEARCH("R29",G497)),0)+IFERROR(--ISNUMBER(SEARCH("R30",G497)),0)+IFERROR(--ISNUMBER(SEARCH("R31",G497)),0)+IFERROR(--ISNUMBER(SEARCH("R32",G497)),0)+IFERROR(--ISNUMBER(SEARCH("R33",G497)),0)+IFERROR(--ISNUMBER(SEARCH("R34",G497)),0)+IFERROR(--ISNUMBER(SEARCH("R35",G497)),0)+IFERROR(--ISNUMBER(SEARCH("R36",G497)),0)+IFERROR(--ISNUMBER(SEARCH("R37",G497)),0)+IFERROR(--ISNUMBER(SEARCH("R38",G497)),0)+IFERROR(--ISNUMBER(SEARCH("R39",G497)),0)+IFERROR(--ISNUMBER(SEARCH("R40",G497)),0)+IFERROR(--ISNUMBER(SEARCH("R41",G497)),0)+IFERROR(--ISNUMBER(SEARCH("R42",G497)),0)+IFERROR(--ISNUMBER(SEARCH("R43",G497)),0)+IFERROR(--ISNUMBER(SEARCH("R44",G497)),0)+IFERROR(--ISNUMBER(SEARCH("R45",G497)),0)+IFERROR(--ISNUMBER(SEARCH("R46",G497)),0)+IFERROR(--ISNUMBER(SEARCH("R47",G497)),0)+IFERROR(--ISNUMBER(SEARCH("R48",G497)),0)+IFERROR(--ISNUMBER(SEARCH("R49",G497)),0)+IFERROR(--ISNUMBER(SEARCH("R50",G497)),0)+IFERROR(--ISNUMBER(SEARCH("R51",G497)),0)+IFERROR(--ISNUMBER(SEARCH("R52",G497)),0)+IFERROR(--ISNUMBER(SEARCH("R53",G497)),0)+IFERROR(--ISNUMBER(SEARCH("R54",G497)),0)+IFERROR(--ISNUMBER(SEARCH("R55",G497)),0)+IFERROR(--ISNUMBER(SEARCH("R56",G497)),0)+IFERROR(--ISNUMBER(SEARCH("R57",G497)),0)+IFERROR(--ISNUMBER(SEARCH("R58",G497)),0)+IFERROR(--ISNUMBER(SEARCH("R59",G497)),0)+IFERROR(--ISNUMBER(SEARCH("R60",G497)),0)+IFERROR(--ISNUMBER(SEARCH("R61",G497)),0)+IFERROR(--ISNUMBER(SEARCH("R62",G497)),0)+IFERROR(--ISNUMBER(SEARCH("R63",G497)),0)+IFERROR(--ISNUMBER(SEARCH("R64",G497)),0)+IFERROR(--ISNUMBER(SEARCH("R65",G497)),0)+IFERROR(--ISNUMBER(SEARCH("R66",G497)),0)+IFERROR(--ISNUMBER(SEARCH("R67",G497)),0)+IFERROR(--ISNUMBER(SEARCH("R68",G497)),0)+IFERROR(--ISNUMBER(SEARCH("R69",G497)),0)+IFERROR(--ISNUMBER(SEARCH("R70",G497)),0)+IFERROR(--ISNUMBER(SEARCH("R71",G497)),0)+IFERROR(--ISNUMBER(SEARCH("R72",G497)),0)+IFERROR(--ISNUMBER(SEARCH("R73",G497)),0)+IFERROR(--ISNUMBER(SEARCH("R74",G497)),0)+IFERROR(--ISNUMBER(SEARCH("R75",G497)),0)+IFERROR(--ISNUMBER(SEARCH("R76",G497)),0)+IFERROR(--ISNUMBER(SEARCH("R77",G497)),0)+IFERROR(--ISNUMBER(SEARCH("R78",G497)),0)+IFERROR(--ISNUMBER(SEARCH("R79",G497)),0)+IFERROR(--ISNUMBER(SEARCH("R80",G497)),0)+IFERROR(--ISNUMBER(SEARCH("R81",G497)),0)+IFERROR(--ISNUMBER(SEARCH("R82",G497)),0)+IFERROR(--ISNUMBER(SEARCH("R83",G497)),0)+IFERROR(--ISNUMBER(SEARCH("R84",G497)),0)+IFERROR(--ISNUMBER(SEARCH("R85",G497)),0)+IFERROR(--ISNUMBER(SEARCH("R86",G497)),0)+IFERROR(--ISNUMBER(SEARCH("R87",G497)),0)+IFERROR(--ISNUMBER(SEARCH("R88",G497)),0)+IFERROR(--ISNUMBER(SEARCH("R89",G497)),0)+IFERROR(--ISNUMBER(SEARCH("R90",G497)),0)+IFERROR(--ISNUMBER(SEARCH("R91",G497)),0)+IFERROR(--ISNUMBER(SEARCH("R92",G497)),0)+IFERROR(--ISNUMBER(SEARCH("R93",G497)),0)+IFERROR(--ISNUMBER(SEARCH("R94",G497)),0)+IFERROR(--ISNUMBER(SEARCH("R95",G497)),0)+IFERROR(--ISNUMBER(SEARCH("R96",G497)),0)+IFERROR(--ISNUMBER(SEARCH("R97",G497)),0)+IFERROR(--ISNUMBER(SEARCH("R98",G497)),0)+IFERROR(--ISNUMBER(SEARCH("R99",G497)),0)+IFERROR(--ISNUMBER(SEARCH("R100",G497)),0)+IFERROR(--ISNUMBER(SEARCH("R101",G497)),0)+IFERROR(--ISNUMBER(SEARCH("R102",G497)),0)+IFERROR(--ISNUMBER(SEARCH("R103",G497)),0)+IFERROR(--ISNUMBER(SEARCH("R104",G497)),0)+IFERROR(--ISNUMBER(SEARCH("R105",G497)),0)+IFERROR(--ISNUMBER(SEARCH("R106",G497)),0)+IFERROR(--ISNUMBER(SEARCH("R107",G497)),0)+IFERROR(--ISNUMBER(SEARCH("R108",G497)),0)+IFERROR(--ISNUMBER(SEARCH("R109",G497)),0)+IFERROR(--ISNUMBER(SEARCH("R110",G497)),0)+IFERROR(--ISNUMBER(SEARCH("R111",G497)),0)+IFERROR(--ISNUMBER(SEARCH("R112",G497)),0)+IFERROR(--ISNUMBER(SEARCH("R113",G497)),0)+IFERROR(--ISNUMBER(SEARCH("R114",G497)),0)+IFERROR(--ISNUMBER(SEARCH("R115",G497)),0)+IFERROR(--ISNUMBER(SEARCH("R116",G497)),0)+IFERROR(--ISNUMBER(SEARCH("R117",G497)),0)+IFERROR(--ISNUMBER(SEARCH("R118",G497)),0)+IFERROR(--ISNUMBER(SEARCH("R119",G497)),0)+IFERROR(--ISNUMBER(SEARCH("R120",G497)),0)+IFERROR(--ISNUMBER(SEARCH("R121",G497)),0)+IFERROR(--ISNUMBER(SEARCH("R122",G497)),0)+IFERROR(--ISNUMBER(SEARCH("R123",G497)),0)+IFERROR(--ISNUMBER(SEARCH("R124",G497)),0)+IFERROR(--ISNUMBER(SEARCH("R125",G497)),0)+IFERROR(--ISNUMBER(SEARCH("R126",G497)),0)+IFERROR(--ISNUMBER(SEARCH("R127",G497)),0)+IFERROR(--ISNUMBER(SEARCH("R128",G497)),0)+IFERROR(--ISNUMBER(SEARCH("R129",G497)),0)+IFERROR(--ISNUMBER(SEARCH("R130",G497)),0)+IFERROR(--ISNUMBER(SEARCH("R131",G497)),0)+IFERROR(--ISNUMBER(SEARCH("R132",G497)),0)+IFERROR(--ISNUMBER(SEARCH("R133",G497)),0)+IFERROR(--ISNUMBER(SEARCH("R134",G497)),0)+IFERROR(--ISNUMBER(SEARCH("R135",G497)),0)+IFERROR(--ISNUMBER(SEARCH("R136",G497)),0)+IFERROR(--ISNUMBER(SEARCH("R137",G497)),0)+IFERROR(--ISNUMBER(SEARCH("R138",G497)),0)+IFERROR(--ISNUMBER(SEARCH("R139",G497)),0)+IFERROR(--ISNUMBER(SEARCH("R140",G497)),0)+IFERROR(--ISNUMBER(SEARCH("R141",G497)),0))</f>
        <v/>
      </c>
      <c r="T497" s="58">
        <f>IF(A497="","",IFERROR(--ISNUMBER(SEARCH("R28",G497)),0)+IFERROR(--ISNUMBER(SEARCH("R29",G497)),0)+IFERROR(--ISNUMBER(SEARCH("R30",G497)),0)+IFERROR(--ISNUMBER(SEARCH("R32",G497)),0)+IFERROR(--ISNUMBER(SEARCH("R33",G497)),0)+IFERROR(--ISNUMBER(SEARCH("R35",G497)),0)+IFERROR(--ISNUMBER(SEARCH("R36",G497)),0)+IFERROR(--ISNUMBER(SEARCH("R38",G497)),0)+IFERROR(--ISNUMBER(SEARCH("R39",G497)),0)+IFERROR(--ISNUMBER(SEARCH("R43",G497)),0)+IFERROR(--ISNUMBER(SEARCH("R44",G497)),0)+IFERROR(--ISNUMBER(SEARCH("R45",G497)),0)+IFERROR(--ISNUMBER(SEARCH("R47",G497)),0)+IFERROR(--ISNUMBER(SEARCH("R48",G497)),0)+IFERROR(--ISNUMBER(SEARCH("R50",G497)),0)+IFERROR(--ISNUMBER(SEARCH("R51",G497)),0)+IFERROR(--ISNUMBER(SEARCH("R56",G497)),0)+IFERROR(--ISNUMBER(SEARCH("R58",G497)),0)+IFERROR(--ISNUMBER(SEARCH("R59",G497)),0)+IFERROR(--ISNUMBER(SEARCH("R60",G497)),0)+IFERROR(--ISNUMBER(SEARCH("R62",G497)),0)+IFERROR(--ISNUMBER(SEARCH("R63",G497)),0)+IFERROR(--ISNUMBER(SEARCH("R64",G497)),0)+IFERROR(--ISNUMBER(SEARCH("R66",G497)),0)+IFERROR(--ISNUMBER(SEARCH("R67",G497)),0)+IFERROR(--ISNUMBER(SEARCH("R72",G497)),0)+IFERROR(--ISNUMBER(SEARCH("R74",G497)),0)+IFERROR(--ISNUMBER(SEARCH("R75",G497)),0)+IFERROR(--ISNUMBER(SEARCH("R76",G497)),0)+IFERROR(--ISNUMBER(SEARCH("R77",G497)),0)+IFERROR(--ISNUMBER(SEARCH("R79",G497)),0)+IFERROR(--ISNUMBER(SEARCH("R80",G497)),0)+IFERROR(--ISNUMBER(SEARCH("R81",G497)),0)+IFERROR(--ISNUMBER(SEARCH("R83",G497)),0)+IFERROR(--ISNUMBER(SEARCH("R84",G497)),0)+IFERROR(--ISNUMBER(SEARCH("R89",G497)),0)+IFERROR(--ISNUMBER(SEARCH("R94",G497)),0)+IFERROR(--ISNUMBER(SEARCH("R95",G497)),0)+IFERROR(--ISNUMBER(SEARCH("R96",G497)),0)+IFERROR(--ISNUMBER(SEARCH("R98",G497)),0)+IFERROR(--ISNUMBER(SEARCH("R99",G497)),0)+IFERROR(--ISNUMBER(SEARCH("R100",G497)),0)+IFERROR(--ISNUMBER(SEARCH("R104",G497)),0)+IFERROR(--ISNUMBER(SEARCH("R105",G497)),0)+IFERROR(--ISNUMBER(SEARCH("R107",G497)),0)+IFERROR(--ISNUMBER(SEARCH("R108",G497)),0)+IFERROR(--ISNUMBER(SEARCH("R109",G497)),0)+IFERROR(--ISNUMBER(SEARCH("R110",G497)),0)+IFERROR(--ISNUMBER(SEARCH("R112",G497)),0)+IFERROR(--ISNUMBER(SEARCH("R113",G497)),0)+IFERROR(--ISNUMBER(SEARCH("R114",G497)),0)+IFERROR(--ISNUMBER(SEARCH("R118",G497)),0)+IFERROR(--ISNUMBER(SEARCH("R119",G497)),0)+IFERROR(--ISNUMBER(SEARCH("R120",G497)),0)+IFERROR(--ISNUMBER(SEARCH("R122",G497)),0)+IFERROR(--ISNUMBER(SEARCH("R123",G497)),0)+IFERROR(--ISNUMBER(SEARCH("R124",G497)),0)+IFERROR(--ISNUMBER(SEARCH("R128",G497)),0)+IFERROR(--ISNUMBER(SEARCH("R130",G497)),0)+IFERROR(--ISNUMBER(SEARCH("R131",G497)),0)+IFERROR(--ISNUMBER(SEARCH("R132",G497)),0)+IFERROR(--ISNUMBER(SEARCH("R135",G497)),0)+IFERROR(--ISNUMBER(SEARCH("R138",G497)),0)+IFERROR(--ISNUMBER(SEARCH("R141",G497)),0))</f>
        <v/>
      </c>
      <c r="U497" s="58">
        <f>IF(A497="","",IFERROR(--ISNUMBER(SEARCH("R28",G497))*28,0)+IFERROR(--ISNUMBER(SEARCH("R29",G497))*29,0)+IFERROR(--ISNUMBER(SEARCH("R30",G497))*30,0)+IFERROR(--ISNUMBER(SEARCH("R31",G497))*31,0)+IFERROR(--ISNUMBER(SEARCH("R32",G497))*32,0)+IFERROR(--ISNUMBER(SEARCH("R33",G497))*33,0)+IFERROR(--ISNUMBER(SEARCH("R34",G497))*34,0)+IFERROR(--ISNUMBER(SEARCH("R35",G497))*35,0)+IFERROR(--ISNUMBER(SEARCH("R36",G497))*36,0)+IFERROR(--ISNUMBER(SEARCH("R37",G497))*37,0)+IFERROR(--ISNUMBER(SEARCH("R38",G497))*38,0)+IFERROR(--ISNUMBER(SEARCH("R39",G497))*39,0)+IFERROR(--ISNUMBER(SEARCH("R40",G497))*40,0)+IFERROR(--ISNUMBER(SEARCH("R41",G497))*41,0)+IFERROR(--ISNUMBER(SEARCH("R42",G497))*42,0)+IFERROR(--ISNUMBER(SEARCH("R43",G497))*43,0)+IFERROR(--ISNUMBER(SEARCH("R44",G497))*44,0)+IFERROR(--ISNUMBER(SEARCH("R45",G497))*45,0)+IFERROR(--ISNUMBER(SEARCH("R46",G497))*46,0)+IFERROR(--ISNUMBER(SEARCH("R47",G497))*47,0)+IFERROR(--ISNUMBER(SEARCH("R48",G497))*48,0)+IFERROR(--ISNUMBER(SEARCH("R49",G497))*49,0)+IFERROR(--ISNUMBER(SEARCH("R50",G497))*50,0)+IFERROR(--ISNUMBER(SEARCH("R51",G497))*51,0)+IFERROR(--ISNUMBER(SEARCH("R52",G497))*52,0)+IFERROR(--ISNUMBER(SEARCH("R53",G497))*53,0)+IFERROR(--ISNUMBER(SEARCH("R54",G497))*54,0)+IFERROR(--ISNUMBER(SEARCH("R55",G497))*55,0)+IFERROR(--ISNUMBER(SEARCH("R56",G497))*56,0)+IFERROR(--ISNUMBER(SEARCH("R57",G497))*57,0)+IFERROR(--ISNUMBER(SEARCH("R58",G497))*58,0)+IFERROR(--ISNUMBER(SEARCH("R59",G497))*59,0)+IFERROR(--ISNUMBER(SEARCH("R60",G497))*60,0)+IFERROR(--ISNUMBER(SEARCH("R61",G497))*61,0)+IFERROR(--ISNUMBER(SEARCH("R62",G497))*62,0)+IFERROR(--ISNUMBER(SEARCH("R63",G497))*63,0)+IFERROR(--ISNUMBER(SEARCH("R64",G497))*64,0)+IFERROR(--ISNUMBER(SEARCH("R65",G497))*65,0)+IFERROR(--ISNUMBER(SEARCH("R66",G497))*66,0)+IFERROR(--ISNUMBER(SEARCH("R67",G497))*67,0)+IFERROR(--ISNUMBER(SEARCH("R68",G497))*68,0)+IFERROR(--ISNUMBER(SEARCH("R69",G497))*69,0)+IFERROR(--ISNUMBER(SEARCH("R70",G497))*70,0)+IFERROR(--ISNUMBER(SEARCH("R71",G497))*71,0)+IFERROR(--ISNUMBER(SEARCH("R72",G497))*72,0)+IFERROR(--ISNUMBER(SEARCH("R73",G497))*73,0)+IFERROR(--ISNUMBER(SEARCH("R74",G497))*74,0)+IFERROR(--ISNUMBER(SEARCH("R75",G497))*75,0)+IFERROR(--ISNUMBER(SEARCH("R76",G497))*76,0)+IFERROR(--ISNUMBER(SEARCH("R77",G497))*77,0)+IFERROR(--ISNUMBER(SEARCH("R78",G497))*78,0)+IFERROR(--ISNUMBER(SEARCH("R79",G497))*79,0)+IFERROR(--ISNUMBER(SEARCH("R80",G497))*80,0)+IFERROR(--ISNUMBER(SEARCH("R81",G497))*81,0)+IFERROR(--ISNUMBER(SEARCH("R82",G497))*82,0)+IFERROR(--ISNUMBER(SEARCH("R83",G497))*83,0)+IFERROR(--ISNUMBER(SEARCH("R84",G497))*84,0)+IFERROR(--ISNUMBER(SEARCH("R85",G497))*85,0)+IFERROR(--ISNUMBER(SEARCH("R86",G497))*86,0)+IFERROR(--ISNUMBER(SEARCH("R87",G497))*87,0)+IFERROR(--ISNUMBER(SEARCH("R88",G497))*88,0)+IFERROR(--ISNUMBER(SEARCH("R89",G497))*89,0)+IFERROR(--ISNUMBER(SEARCH("R90",G497))*90,0)+IFERROR(--ISNUMBER(SEARCH("R91",G497))*91,0)+IFERROR(--ISNUMBER(SEARCH("R92",G497))*92,0)+IFERROR(--ISNUMBER(SEARCH("R93",G497))*93,0)+IFERROR(--ISNUMBER(SEARCH("R94",G497))*94,0)+IFERROR(--ISNUMBER(SEARCH("R95",G497))*95,0)+IFERROR(--ISNUMBER(SEARCH("R96",G497))*96,0)+IFERROR(--ISNUMBER(SEARCH("R97",G497))*97,0)+IFERROR(--ISNUMBER(SEARCH("R98",G497))*98,0)+IFERROR(--ISNUMBER(SEARCH("R99",G497))*99,0)+IFERROR(--ISNUMBER(SEARCH("R100",G497))*100,0)+IFERROR(--ISNUMBER(SEARCH("R101",G497))*101,0)+IFERROR(--ISNUMBER(SEARCH("R102",G497))*102,0)+IFERROR(--ISNUMBER(SEARCH("R103",G497))*103,0)+IFERROR(--ISNUMBER(SEARCH("R104",G497))*104,0)+IFERROR(--ISNUMBER(SEARCH("R105",G497))*105,0)+IFERROR(--ISNUMBER(SEARCH("R106",G497))*106,0)+IFERROR(--ISNUMBER(SEARCH("R107",G497))*107,0)+IFERROR(--ISNUMBER(SEARCH("R108",G497))*108,0)+IFERROR(--ISNUMBER(SEARCH("R109",G497))*109,0)+IFERROR(--ISNUMBER(SEARCH("R110",G497))*110,0)+IFERROR(--ISNUMBER(SEARCH("R111",G497))*111,0)+IFERROR(--ISNUMBER(SEARCH("R112",G497))*112,0)+IFERROR(--ISNUMBER(SEARCH("R113",G497))*113,0)+IFERROR(--ISNUMBER(SEARCH("R114",G497))*114,0)+IFERROR(--ISNUMBER(SEARCH("R115",G497))*115,0)+IFERROR(--ISNUMBER(SEARCH("R116",G497))*116,0)+IFERROR(--ISNUMBER(SEARCH("R117",G497))*117,0)+IFERROR(--ISNUMBER(SEARCH("R118",G497))*118,0)+IFERROR(--ISNUMBER(SEARCH("R119",G497))*119,0)+IFERROR(--ISNUMBER(SEARCH("R120",G497))*120,0)+IFERROR(--ISNUMBER(SEARCH("R121",G497))*121,0)+IFERROR(--ISNUMBER(SEARCH("R122",G497))*122,0)+IFERROR(--ISNUMBER(SEARCH("R123",G497))*123,0)+IFERROR(--ISNUMBER(SEARCH("R124",G497))*124,0)+IFERROR(--ISNUMBER(SEARCH("R125",G497))*125,0)+IFERROR(--ISNUMBER(SEARCH("R126",G497))*126,0)+IFERROR(--ISNUMBER(SEARCH("R127",G497))*127,0)+IFERROR(--ISNUMBER(SEARCH("R128",G497))*128,0)+IFERROR(--ISNUMBER(SEARCH("R129",G497))*129,0)+IFERROR(--ISNUMBER(SEARCH("R130",G497))*130,0)+IFERROR(--ISNUMBER(SEARCH("R131",G497))*131,0)+IFERROR(--ISNUMBER(SEARCH("R132",G497))*132,0)+IFERROR(--ISNUMBER(SEARCH("R133",G497))*133,0)+IFERROR(--ISNUMBER(SEARCH("R134",G497))*134,0)+IFERROR(--ISNUMBER(SEARCH("R135",G497))*135,0)+IFERROR(--ISNUMBER(SEARCH("R136",G497))*136,0)+IFERROR(--ISNUMBER(SEARCH("R137",G497))*137,0)+IFERROR(--ISNUMBER(SEARCH("R138",G497))*138,0)+IFERROR(--ISNUMBER(SEARCH("R139",G497))*139,0)+IFERROR(--ISNUMBER(SEARCH("R140",G497))*140,0)+IFERROR(--ISNUMBER(SEARCH("R141",G497))*141,0))</f>
        <v/>
      </c>
      <c r="V497" s="59">
        <f>IF(A497="","",IF(K497&lt;&gt;"",K497,J497))</f>
        <v/>
      </c>
      <c r="W497" s="59">
        <f>IF(A497="","",IF(AND(V497=29,O497&lt;&gt;"",COUNTIFS($V$6:$V$505,29,$F$6:$F$505,F497,$C$6:$C$505,C497,$O$6:$O$505,"&lt;&gt;")&gt;1),IF(COUNTIFS($V$6:V497,29,$F$6:F497,F497,$C$6:C497,C497,$O$6:O497,"&lt;&gt;")=1,"Esta es la fila que se debe CONSERVAR (aparición 1 de "&amp;COUNTIFS($V$6:$V$505,29,$F$6:$F$505,F497,$C$6:$C$505,C497,$O$6:$O$505,"&lt;&gt;")&amp;" con el mismo tercero y valor, casilla 29). Si hay más filas iguales, bórreles el valor a ELLAS, no a esta.","DUPLICADO — ya existe otra fila con el mismo tercero y valor para casilla 29 (aparición "&amp;COUNTIFS($V$6:V497,29,$F$6:F497,F497,$C$6:C497,C497,$O$6:O497,"&lt;&gt;")&amp;" de "&amp;COUNTIFS($V$6:$V$505,29,$F$6:$F$505,F497,$C$6:$C$505,C497,$O$6:$O$505,"&lt;&gt;")&amp;"). Para resolverlo: seleccione la celda O"&amp;ROW()&amp;" (columna Valor a declarar de ESTA fila) y presione Supr."),""))</f>
        <v/>
      </c>
      <c r="X497" s="463">
        <f>IF(A497="","",F497)</f>
        <v/>
      </c>
      <c r="Y497" s="463">
        <f>IF(A497="","",SUMIF(Entrada_Manual!$I$88:$I$187,A497,Entrada_Manual!$F$88:$F$187))</f>
        <v/>
      </c>
      <c r="Z497" s="463">
        <f>IF(A497="","",X497-Y497)</f>
        <v/>
      </c>
      <c r="AA497">
        <f>IF(A497="","",SUMPRODUCT((Entrada_Manual!$I$88:$I$187=A497)*1))</f>
        <v/>
      </c>
      <c r="AB497">
        <f>IF(A497="","",IF(S497&lt;=1,"",IF(AA497=0,"PENDIENTE — SIN ASIGNAR",IF(Z497=0,"RESUELTO","PARCIAL — DIFERENCIA "&amp;TEXT(Z497,"#,##0")))))</f>
        <v/>
      </c>
    </row>
    <row r="498" ht="14.25" customHeight="1" s="235">
      <c r="A498" s="47">
        <f>IF(Exogena_RAW!E507&lt;&gt;"",ROW()-5,"")</f>
        <v/>
      </c>
      <c r="B498" s="48">
        <f>IF(A498="","",507)</f>
        <v/>
      </c>
      <c r="C498" s="48">
        <f>IF(A498="","",IFERROR(Exogena_RAW!A507,""))</f>
        <v/>
      </c>
      <c r="D498" s="48">
        <f>IF(A498="","",IFERROR(Exogena_RAW!B507,""))</f>
        <v/>
      </c>
      <c r="E498" s="48">
        <f>IF(A498="","",Exogena_RAW!E507)</f>
        <v/>
      </c>
      <c r="F498" s="461">
        <f>IF(A498="","",Exogena_RAW!F507)</f>
        <v/>
      </c>
      <c r="G498" s="48">
        <f>IF(A498="","",IFERROR(Exogena_RAW!G507,""))</f>
        <v/>
      </c>
      <c r="H498" s="48">
        <f>IF(A498="","",IFERROR(Exogena_RAW!H507,""))</f>
        <v/>
      </c>
      <c r="I498" s="48">
        <f>IF(A498="","",IFERROR(IF(S498&gt;1,"VARIAS CASILLAS",IF(S498=1,IF(T498=1,"PROPUESTA DE CASILLA","REVISIÓN: CASILLA NO DIRECTA"),IF(OR(ISNUMBER(SEARCH("TOPE",UPPER(E498))),ISNUMBER(SEARCH("TOPE",UPPER(G498)))),"SOLO CONTROL",IF(ISNUMBER(SEARCH("RETEN",UPPER(E498))),"RETENCIÓN","REVISAR")))),"REVISAR"))</f>
        <v/>
      </c>
      <c r="J498" s="48">
        <f>IF(A498="","",IF(ISNUMBER(SEARCH("ingreso laboral promedio de los últimos seis meses",E498)),"",IFERROR(IF(AND(S498=1,T498=1),U498,""),"")))</f>
        <v/>
      </c>
      <c r="K498" s="216" t="n"/>
      <c r="L498" s="48">
        <f>IF(A498="","",IFERROR(IF(K498&lt;&gt;"","Casilla elegida por usuario",IF(S498&gt;1,"Varias casillas — elegir en K",IF(J498&lt;&gt;"","Sugerencia directa",IF(S498=1,"No trasladar directo — revisar",IF(OR(ISNUMBER(SEARCH("TOPE",UPPER(E498))),ISNUMBER(SEARCH("TOPE",UPPER(G498)))),"Solo control","Revisar manualmente"))))),"Revisar manualmente"))</f>
        <v/>
      </c>
      <c r="M498" s="461">
        <f>IF(A498="","",IF(IF(K498&lt;&gt;"",K498,J498)="",0,IF(COUNTIFS(Reglas!$I$5:$I$118,IF(K498&lt;&gt;"",K498,J498),Reglas!$J$5:$J$118,"Sí")=1,F498,0)))</f>
        <v/>
      </c>
      <c r="N498" s="56" t="n"/>
      <c r="O498" s="462">
        <f>IF(A498="","",IF(M498=0,"",M498))</f>
        <v/>
      </c>
      <c r="P498" s="461">
        <f>IF(A498="","",IF(O498="",0,IF(ISNUMBER(O498),O498,0)))</f>
        <v/>
      </c>
      <c r="Q498" s="48">
        <f>IF(A498="","",IF(Exogena_RAW!$C$4="","BLOQUEADO: FALTA AÑO",IF(Exogena_RAW!$K$10&lt;&gt;Reglas!$B$5,"BLOQUEADO: AÑO",IF(IF(K498&lt;&gt;"",K498,J498)="",IF(S498&gt;1,"REQUIERE ASIGNACIÓN MANUAL (VARIAS CASILLAS)","INFORMATIVO (sin casilla — no se declara)"),IF(COUNTIFS(Reglas!$I$5:$I$118,IF(K498&lt;&gt;"",K498,J498),Reglas!$J$5:$J$118,"Sí")=0,"BLOQUEADO: CASILLA NO DIRECTA",IF(O498="","EXCLUIDO (valor borrado por el usuario)",IF(_xlfn.ISFORMULA(O498),IF(W498&lt;&gt;"","BORRADOR — VALOR SUGERIDO DIAN ⚠ VER ALERTA","BORRADOR — VALOR SUGERIDO DIAN"),IF(W498&lt;&gt;"","ACEPTADO ⚠ VER ALERTA","ACEPTADO"))))))))</f>
        <v/>
      </c>
      <c r="R498" s="218" t="n"/>
      <c r="S498" s="58">
        <f>IF(A498="","",IFERROR(--ISNUMBER(SEARCH("R28",G498)),0)+IFERROR(--ISNUMBER(SEARCH("R29",G498)),0)+IFERROR(--ISNUMBER(SEARCH("R30",G498)),0)+IFERROR(--ISNUMBER(SEARCH("R31",G498)),0)+IFERROR(--ISNUMBER(SEARCH("R32",G498)),0)+IFERROR(--ISNUMBER(SEARCH("R33",G498)),0)+IFERROR(--ISNUMBER(SEARCH("R34",G498)),0)+IFERROR(--ISNUMBER(SEARCH("R35",G498)),0)+IFERROR(--ISNUMBER(SEARCH("R36",G498)),0)+IFERROR(--ISNUMBER(SEARCH("R37",G498)),0)+IFERROR(--ISNUMBER(SEARCH("R38",G498)),0)+IFERROR(--ISNUMBER(SEARCH("R39",G498)),0)+IFERROR(--ISNUMBER(SEARCH("R40",G498)),0)+IFERROR(--ISNUMBER(SEARCH("R41",G498)),0)+IFERROR(--ISNUMBER(SEARCH("R42",G498)),0)+IFERROR(--ISNUMBER(SEARCH("R43",G498)),0)+IFERROR(--ISNUMBER(SEARCH("R44",G498)),0)+IFERROR(--ISNUMBER(SEARCH("R45",G498)),0)+IFERROR(--ISNUMBER(SEARCH("R46",G498)),0)+IFERROR(--ISNUMBER(SEARCH("R47",G498)),0)+IFERROR(--ISNUMBER(SEARCH("R48",G498)),0)+IFERROR(--ISNUMBER(SEARCH("R49",G498)),0)+IFERROR(--ISNUMBER(SEARCH("R50",G498)),0)+IFERROR(--ISNUMBER(SEARCH("R51",G498)),0)+IFERROR(--ISNUMBER(SEARCH("R52",G498)),0)+IFERROR(--ISNUMBER(SEARCH("R53",G498)),0)+IFERROR(--ISNUMBER(SEARCH("R54",G498)),0)+IFERROR(--ISNUMBER(SEARCH("R55",G498)),0)+IFERROR(--ISNUMBER(SEARCH("R56",G498)),0)+IFERROR(--ISNUMBER(SEARCH("R57",G498)),0)+IFERROR(--ISNUMBER(SEARCH("R58",G498)),0)+IFERROR(--ISNUMBER(SEARCH("R59",G498)),0)+IFERROR(--ISNUMBER(SEARCH("R60",G498)),0)+IFERROR(--ISNUMBER(SEARCH("R61",G498)),0)+IFERROR(--ISNUMBER(SEARCH("R62",G498)),0)+IFERROR(--ISNUMBER(SEARCH("R63",G498)),0)+IFERROR(--ISNUMBER(SEARCH("R64",G498)),0)+IFERROR(--ISNUMBER(SEARCH("R65",G498)),0)+IFERROR(--ISNUMBER(SEARCH("R66",G498)),0)+IFERROR(--ISNUMBER(SEARCH("R67",G498)),0)+IFERROR(--ISNUMBER(SEARCH("R68",G498)),0)+IFERROR(--ISNUMBER(SEARCH("R69",G498)),0)+IFERROR(--ISNUMBER(SEARCH("R70",G498)),0)+IFERROR(--ISNUMBER(SEARCH("R71",G498)),0)+IFERROR(--ISNUMBER(SEARCH("R72",G498)),0)+IFERROR(--ISNUMBER(SEARCH("R73",G498)),0)+IFERROR(--ISNUMBER(SEARCH("R74",G498)),0)+IFERROR(--ISNUMBER(SEARCH("R75",G498)),0)+IFERROR(--ISNUMBER(SEARCH("R76",G498)),0)+IFERROR(--ISNUMBER(SEARCH("R77",G498)),0)+IFERROR(--ISNUMBER(SEARCH("R78",G498)),0)+IFERROR(--ISNUMBER(SEARCH("R79",G498)),0)+IFERROR(--ISNUMBER(SEARCH("R80",G498)),0)+IFERROR(--ISNUMBER(SEARCH("R81",G498)),0)+IFERROR(--ISNUMBER(SEARCH("R82",G498)),0)+IFERROR(--ISNUMBER(SEARCH("R83",G498)),0)+IFERROR(--ISNUMBER(SEARCH("R84",G498)),0)+IFERROR(--ISNUMBER(SEARCH("R85",G498)),0)+IFERROR(--ISNUMBER(SEARCH("R86",G498)),0)+IFERROR(--ISNUMBER(SEARCH("R87",G498)),0)+IFERROR(--ISNUMBER(SEARCH("R88",G498)),0)+IFERROR(--ISNUMBER(SEARCH("R89",G498)),0)+IFERROR(--ISNUMBER(SEARCH("R90",G498)),0)+IFERROR(--ISNUMBER(SEARCH("R91",G498)),0)+IFERROR(--ISNUMBER(SEARCH("R92",G498)),0)+IFERROR(--ISNUMBER(SEARCH("R93",G498)),0)+IFERROR(--ISNUMBER(SEARCH("R94",G498)),0)+IFERROR(--ISNUMBER(SEARCH("R95",G498)),0)+IFERROR(--ISNUMBER(SEARCH("R96",G498)),0)+IFERROR(--ISNUMBER(SEARCH("R97",G498)),0)+IFERROR(--ISNUMBER(SEARCH("R98",G498)),0)+IFERROR(--ISNUMBER(SEARCH("R99",G498)),0)+IFERROR(--ISNUMBER(SEARCH("R100",G498)),0)+IFERROR(--ISNUMBER(SEARCH("R101",G498)),0)+IFERROR(--ISNUMBER(SEARCH("R102",G498)),0)+IFERROR(--ISNUMBER(SEARCH("R103",G498)),0)+IFERROR(--ISNUMBER(SEARCH("R104",G498)),0)+IFERROR(--ISNUMBER(SEARCH("R105",G498)),0)+IFERROR(--ISNUMBER(SEARCH("R106",G498)),0)+IFERROR(--ISNUMBER(SEARCH("R107",G498)),0)+IFERROR(--ISNUMBER(SEARCH("R108",G498)),0)+IFERROR(--ISNUMBER(SEARCH("R109",G498)),0)+IFERROR(--ISNUMBER(SEARCH("R110",G498)),0)+IFERROR(--ISNUMBER(SEARCH("R111",G498)),0)+IFERROR(--ISNUMBER(SEARCH("R112",G498)),0)+IFERROR(--ISNUMBER(SEARCH("R113",G498)),0)+IFERROR(--ISNUMBER(SEARCH("R114",G498)),0)+IFERROR(--ISNUMBER(SEARCH("R115",G498)),0)+IFERROR(--ISNUMBER(SEARCH("R116",G498)),0)+IFERROR(--ISNUMBER(SEARCH("R117",G498)),0)+IFERROR(--ISNUMBER(SEARCH("R118",G498)),0)+IFERROR(--ISNUMBER(SEARCH("R119",G498)),0)+IFERROR(--ISNUMBER(SEARCH("R120",G498)),0)+IFERROR(--ISNUMBER(SEARCH("R121",G498)),0)+IFERROR(--ISNUMBER(SEARCH("R122",G498)),0)+IFERROR(--ISNUMBER(SEARCH("R123",G498)),0)+IFERROR(--ISNUMBER(SEARCH("R124",G498)),0)+IFERROR(--ISNUMBER(SEARCH("R125",G498)),0)+IFERROR(--ISNUMBER(SEARCH("R126",G498)),0)+IFERROR(--ISNUMBER(SEARCH("R127",G498)),0)+IFERROR(--ISNUMBER(SEARCH("R128",G498)),0)+IFERROR(--ISNUMBER(SEARCH("R129",G498)),0)+IFERROR(--ISNUMBER(SEARCH("R130",G498)),0)+IFERROR(--ISNUMBER(SEARCH("R131",G498)),0)+IFERROR(--ISNUMBER(SEARCH("R132",G498)),0)+IFERROR(--ISNUMBER(SEARCH("R133",G498)),0)+IFERROR(--ISNUMBER(SEARCH("R134",G498)),0)+IFERROR(--ISNUMBER(SEARCH("R135",G498)),0)+IFERROR(--ISNUMBER(SEARCH("R136",G498)),0)+IFERROR(--ISNUMBER(SEARCH("R137",G498)),0)+IFERROR(--ISNUMBER(SEARCH("R138",G498)),0)+IFERROR(--ISNUMBER(SEARCH("R139",G498)),0)+IFERROR(--ISNUMBER(SEARCH("R140",G498)),0)+IFERROR(--ISNUMBER(SEARCH("R141",G498)),0))</f>
        <v/>
      </c>
      <c r="T498" s="58">
        <f>IF(A498="","",IFERROR(--ISNUMBER(SEARCH("R28",G498)),0)+IFERROR(--ISNUMBER(SEARCH("R29",G498)),0)+IFERROR(--ISNUMBER(SEARCH("R30",G498)),0)+IFERROR(--ISNUMBER(SEARCH("R32",G498)),0)+IFERROR(--ISNUMBER(SEARCH("R33",G498)),0)+IFERROR(--ISNUMBER(SEARCH("R35",G498)),0)+IFERROR(--ISNUMBER(SEARCH("R36",G498)),0)+IFERROR(--ISNUMBER(SEARCH("R38",G498)),0)+IFERROR(--ISNUMBER(SEARCH("R39",G498)),0)+IFERROR(--ISNUMBER(SEARCH("R43",G498)),0)+IFERROR(--ISNUMBER(SEARCH("R44",G498)),0)+IFERROR(--ISNUMBER(SEARCH("R45",G498)),0)+IFERROR(--ISNUMBER(SEARCH("R47",G498)),0)+IFERROR(--ISNUMBER(SEARCH("R48",G498)),0)+IFERROR(--ISNUMBER(SEARCH("R50",G498)),0)+IFERROR(--ISNUMBER(SEARCH("R51",G498)),0)+IFERROR(--ISNUMBER(SEARCH("R56",G498)),0)+IFERROR(--ISNUMBER(SEARCH("R58",G498)),0)+IFERROR(--ISNUMBER(SEARCH("R59",G498)),0)+IFERROR(--ISNUMBER(SEARCH("R60",G498)),0)+IFERROR(--ISNUMBER(SEARCH("R62",G498)),0)+IFERROR(--ISNUMBER(SEARCH("R63",G498)),0)+IFERROR(--ISNUMBER(SEARCH("R64",G498)),0)+IFERROR(--ISNUMBER(SEARCH("R66",G498)),0)+IFERROR(--ISNUMBER(SEARCH("R67",G498)),0)+IFERROR(--ISNUMBER(SEARCH("R72",G498)),0)+IFERROR(--ISNUMBER(SEARCH("R74",G498)),0)+IFERROR(--ISNUMBER(SEARCH("R75",G498)),0)+IFERROR(--ISNUMBER(SEARCH("R76",G498)),0)+IFERROR(--ISNUMBER(SEARCH("R77",G498)),0)+IFERROR(--ISNUMBER(SEARCH("R79",G498)),0)+IFERROR(--ISNUMBER(SEARCH("R80",G498)),0)+IFERROR(--ISNUMBER(SEARCH("R81",G498)),0)+IFERROR(--ISNUMBER(SEARCH("R83",G498)),0)+IFERROR(--ISNUMBER(SEARCH("R84",G498)),0)+IFERROR(--ISNUMBER(SEARCH("R89",G498)),0)+IFERROR(--ISNUMBER(SEARCH("R94",G498)),0)+IFERROR(--ISNUMBER(SEARCH("R95",G498)),0)+IFERROR(--ISNUMBER(SEARCH("R96",G498)),0)+IFERROR(--ISNUMBER(SEARCH("R98",G498)),0)+IFERROR(--ISNUMBER(SEARCH("R99",G498)),0)+IFERROR(--ISNUMBER(SEARCH("R100",G498)),0)+IFERROR(--ISNUMBER(SEARCH("R104",G498)),0)+IFERROR(--ISNUMBER(SEARCH("R105",G498)),0)+IFERROR(--ISNUMBER(SEARCH("R107",G498)),0)+IFERROR(--ISNUMBER(SEARCH("R108",G498)),0)+IFERROR(--ISNUMBER(SEARCH("R109",G498)),0)+IFERROR(--ISNUMBER(SEARCH("R110",G498)),0)+IFERROR(--ISNUMBER(SEARCH("R112",G498)),0)+IFERROR(--ISNUMBER(SEARCH("R113",G498)),0)+IFERROR(--ISNUMBER(SEARCH("R114",G498)),0)+IFERROR(--ISNUMBER(SEARCH("R118",G498)),0)+IFERROR(--ISNUMBER(SEARCH("R119",G498)),0)+IFERROR(--ISNUMBER(SEARCH("R120",G498)),0)+IFERROR(--ISNUMBER(SEARCH("R122",G498)),0)+IFERROR(--ISNUMBER(SEARCH("R123",G498)),0)+IFERROR(--ISNUMBER(SEARCH("R124",G498)),0)+IFERROR(--ISNUMBER(SEARCH("R128",G498)),0)+IFERROR(--ISNUMBER(SEARCH("R130",G498)),0)+IFERROR(--ISNUMBER(SEARCH("R131",G498)),0)+IFERROR(--ISNUMBER(SEARCH("R132",G498)),0)+IFERROR(--ISNUMBER(SEARCH("R135",G498)),0)+IFERROR(--ISNUMBER(SEARCH("R138",G498)),0)+IFERROR(--ISNUMBER(SEARCH("R141",G498)),0))</f>
        <v/>
      </c>
      <c r="U498" s="58">
        <f>IF(A498="","",IFERROR(--ISNUMBER(SEARCH("R28",G498))*28,0)+IFERROR(--ISNUMBER(SEARCH("R29",G498))*29,0)+IFERROR(--ISNUMBER(SEARCH("R30",G498))*30,0)+IFERROR(--ISNUMBER(SEARCH("R31",G498))*31,0)+IFERROR(--ISNUMBER(SEARCH("R32",G498))*32,0)+IFERROR(--ISNUMBER(SEARCH("R33",G498))*33,0)+IFERROR(--ISNUMBER(SEARCH("R34",G498))*34,0)+IFERROR(--ISNUMBER(SEARCH("R35",G498))*35,0)+IFERROR(--ISNUMBER(SEARCH("R36",G498))*36,0)+IFERROR(--ISNUMBER(SEARCH("R37",G498))*37,0)+IFERROR(--ISNUMBER(SEARCH("R38",G498))*38,0)+IFERROR(--ISNUMBER(SEARCH("R39",G498))*39,0)+IFERROR(--ISNUMBER(SEARCH("R40",G498))*40,0)+IFERROR(--ISNUMBER(SEARCH("R41",G498))*41,0)+IFERROR(--ISNUMBER(SEARCH("R42",G498))*42,0)+IFERROR(--ISNUMBER(SEARCH("R43",G498))*43,0)+IFERROR(--ISNUMBER(SEARCH("R44",G498))*44,0)+IFERROR(--ISNUMBER(SEARCH("R45",G498))*45,0)+IFERROR(--ISNUMBER(SEARCH("R46",G498))*46,0)+IFERROR(--ISNUMBER(SEARCH("R47",G498))*47,0)+IFERROR(--ISNUMBER(SEARCH("R48",G498))*48,0)+IFERROR(--ISNUMBER(SEARCH("R49",G498))*49,0)+IFERROR(--ISNUMBER(SEARCH("R50",G498))*50,0)+IFERROR(--ISNUMBER(SEARCH("R51",G498))*51,0)+IFERROR(--ISNUMBER(SEARCH("R52",G498))*52,0)+IFERROR(--ISNUMBER(SEARCH("R53",G498))*53,0)+IFERROR(--ISNUMBER(SEARCH("R54",G498))*54,0)+IFERROR(--ISNUMBER(SEARCH("R55",G498))*55,0)+IFERROR(--ISNUMBER(SEARCH("R56",G498))*56,0)+IFERROR(--ISNUMBER(SEARCH("R57",G498))*57,0)+IFERROR(--ISNUMBER(SEARCH("R58",G498))*58,0)+IFERROR(--ISNUMBER(SEARCH("R59",G498))*59,0)+IFERROR(--ISNUMBER(SEARCH("R60",G498))*60,0)+IFERROR(--ISNUMBER(SEARCH("R61",G498))*61,0)+IFERROR(--ISNUMBER(SEARCH("R62",G498))*62,0)+IFERROR(--ISNUMBER(SEARCH("R63",G498))*63,0)+IFERROR(--ISNUMBER(SEARCH("R64",G498))*64,0)+IFERROR(--ISNUMBER(SEARCH("R65",G498))*65,0)+IFERROR(--ISNUMBER(SEARCH("R66",G498))*66,0)+IFERROR(--ISNUMBER(SEARCH("R67",G498))*67,0)+IFERROR(--ISNUMBER(SEARCH("R68",G498))*68,0)+IFERROR(--ISNUMBER(SEARCH("R69",G498))*69,0)+IFERROR(--ISNUMBER(SEARCH("R70",G498))*70,0)+IFERROR(--ISNUMBER(SEARCH("R71",G498))*71,0)+IFERROR(--ISNUMBER(SEARCH("R72",G498))*72,0)+IFERROR(--ISNUMBER(SEARCH("R73",G498))*73,0)+IFERROR(--ISNUMBER(SEARCH("R74",G498))*74,0)+IFERROR(--ISNUMBER(SEARCH("R75",G498))*75,0)+IFERROR(--ISNUMBER(SEARCH("R76",G498))*76,0)+IFERROR(--ISNUMBER(SEARCH("R77",G498))*77,0)+IFERROR(--ISNUMBER(SEARCH("R78",G498))*78,0)+IFERROR(--ISNUMBER(SEARCH("R79",G498))*79,0)+IFERROR(--ISNUMBER(SEARCH("R80",G498))*80,0)+IFERROR(--ISNUMBER(SEARCH("R81",G498))*81,0)+IFERROR(--ISNUMBER(SEARCH("R82",G498))*82,0)+IFERROR(--ISNUMBER(SEARCH("R83",G498))*83,0)+IFERROR(--ISNUMBER(SEARCH("R84",G498))*84,0)+IFERROR(--ISNUMBER(SEARCH("R85",G498))*85,0)+IFERROR(--ISNUMBER(SEARCH("R86",G498))*86,0)+IFERROR(--ISNUMBER(SEARCH("R87",G498))*87,0)+IFERROR(--ISNUMBER(SEARCH("R88",G498))*88,0)+IFERROR(--ISNUMBER(SEARCH("R89",G498))*89,0)+IFERROR(--ISNUMBER(SEARCH("R90",G498))*90,0)+IFERROR(--ISNUMBER(SEARCH("R91",G498))*91,0)+IFERROR(--ISNUMBER(SEARCH("R92",G498))*92,0)+IFERROR(--ISNUMBER(SEARCH("R93",G498))*93,0)+IFERROR(--ISNUMBER(SEARCH("R94",G498))*94,0)+IFERROR(--ISNUMBER(SEARCH("R95",G498))*95,0)+IFERROR(--ISNUMBER(SEARCH("R96",G498))*96,0)+IFERROR(--ISNUMBER(SEARCH("R97",G498))*97,0)+IFERROR(--ISNUMBER(SEARCH("R98",G498))*98,0)+IFERROR(--ISNUMBER(SEARCH("R99",G498))*99,0)+IFERROR(--ISNUMBER(SEARCH("R100",G498))*100,0)+IFERROR(--ISNUMBER(SEARCH("R101",G498))*101,0)+IFERROR(--ISNUMBER(SEARCH("R102",G498))*102,0)+IFERROR(--ISNUMBER(SEARCH("R103",G498))*103,0)+IFERROR(--ISNUMBER(SEARCH("R104",G498))*104,0)+IFERROR(--ISNUMBER(SEARCH("R105",G498))*105,0)+IFERROR(--ISNUMBER(SEARCH("R106",G498))*106,0)+IFERROR(--ISNUMBER(SEARCH("R107",G498))*107,0)+IFERROR(--ISNUMBER(SEARCH("R108",G498))*108,0)+IFERROR(--ISNUMBER(SEARCH("R109",G498))*109,0)+IFERROR(--ISNUMBER(SEARCH("R110",G498))*110,0)+IFERROR(--ISNUMBER(SEARCH("R111",G498))*111,0)+IFERROR(--ISNUMBER(SEARCH("R112",G498))*112,0)+IFERROR(--ISNUMBER(SEARCH("R113",G498))*113,0)+IFERROR(--ISNUMBER(SEARCH("R114",G498))*114,0)+IFERROR(--ISNUMBER(SEARCH("R115",G498))*115,0)+IFERROR(--ISNUMBER(SEARCH("R116",G498))*116,0)+IFERROR(--ISNUMBER(SEARCH("R117",G498))*117,0)+IFERROR(--ISNUMBER(SEARCH("R118",G498))*118,0)+IFERROR(--ISNUMBER(SEARCH("R119",G498))*119,0)+IFERROR(--ISNUMBER(SEARCH("R120",G498))*120,0)+IFERROR(--ISNUMBER(SEARCH("R121",G498))*121,0)+IFERROR(--ISNUMBER(SEARCH("R122",G498))*122,0)+IFERROR(--ISNUMBER(SEARCH("R123",G498))*123,0)+IFERROR(--ISNUMBER(SEARCH("R124",G498))*124,0)+IFERROR(--ISNUMBER(SEARCH("R125",G498))*125,0)+IFERROR(--ISNUMBER(SEARCH("R126",G498))*126,0)+IFERROR(--ISNUMBER(SEARCH("R127",G498))*127,0)+IFERROR(--ISNUMBER(SEARCH("R128",G498))*128,0)+IFERROR(--ISNUMBER(SEARCH("R129",G498))*129,0)+IFERROR(--ISNUMBER(SEARCH("R130",G498))*130,0)+IFERROR(--ISNUMBER(SEARCH("R131",G498))*131,0)+IFERROR(--ISNUMBER(SEARCH("R132",G498))*132,0)+IFERROR(--ISNUMBER(SEARCH("R133",G498))*133,0)+IFERROR(--ISNUMBER(SEARCH("R134",G498))*134,0)+IFERROR(--ISNUMBER(SEARCH("R135",G498))*135,0)+IFERROR(--ISNUMBER(SEARCH("R136",G498))*136,0)+IFERROR(--ISNUMBER(SEARCH("R137",G498))*137,0)+IFERROR(--ISNUMBER(SEARCH("R138",G498))*138,0)+IFERROR(--ISNUMBER(SEARCH("R139",G498))*139,0)+IFERROR(--ISNUMBER(SEARCH("R140",G498))*140,0)+IFERROR(--ISNUMBER(SEARCH("R141",G498))*141,0))</f>
        <v/>
      </c>
      <c r="V498" s="59">
        <f>IF(A498="","",IF(K498&lt;&gt;"",K498,J498))</f>
        <v/>
      </c>
      <c r="W498" s="59">
        <f>IF(A498="","",IF(AND(V498=29,O498&lt;&gt;"",COUNTIFS($V$6:$V$505,29,$F$6:$F$505,F498,$C$6:$C$505,C498,$O$6:$O$505,"&lt;&gt;")&gt;1),IF(COUNTIFS($V$6:V498,29,$F$6:F498,F498,$C$6:C498,C498,$O$6:O498,"&lt;&gt;")=1,"Esta es la fila que se debe CONSERVAR (aparición 1 de "&amp;COUNTIFS($V$6:$V$505,29,$F$6:$F$505,F498,$C$6:$C$505,C498,$O$6:$O$505,"&lt;&gt;")&amp;" con el mismo tercero y valor, casilla 29). Si hay más filas iguales, bórreles el valor a ELLAS, no a esta.","DUPLICADO — ya existe otra fila con el mismo tercero y valor para casilla 29 (aparición "&amp;COUNTIFS($V$6:V498,29,$F$6:F498,F498,$C$6:C498,C498,$O$6:O498,"&lt;&gt;")&amp;" de "&amp;COUNTIFS($V$6:$V$505,29,$F$6:$F$505,F498,$C$6:$C$505,C498,$O$6:$O$505,"&lt;&gt;")&amp;"). Para resolverlo: seleccione la celda O"&amp;ROW()&amp;" (columna Valor a declarar de ESTA fila) y presione Supr."),""))</f>
        <v/>
      </c>
      <c r="X498" s="463">
        <f>IF(A498="","",F498)</f>
        <v/>
      </c>
      <c r="Y498" s="463">
        <f>IF(A498="","",SUMIF(Entrada_Manual!$I$88:$I$187,A498,Entrada_Manual!$F$88:$F$187))</f>
        <v/>
      </c>
      <c r="Z498" s="463">
        <f>IF(A498="","",X498-Y498)</f>
        <v/>
      </c>
      <c r="AA498">
        <f>IF(A498="","",SUMPRODUCT((Entrada_Manual!$I$88:$I$187=A498)*1))</f>
        <v/>
      </c>
      <c r="AB498">
        <f>IF(A498="","",IF(S498&lt;=1,"",IF(AA498=0,"PENDIENTE — SIN ASIGNAR",IF(Z498=0,"RESUELTO","PARCIAL — DIFERENCIA "&amp;TEXT(Z498,"#,##0")))))</f>
        <v/>
      </c>
    </row>
    <row r="499" ht="14.25" customHeight="1" s="235">
      <c r="A499" s="47">
        <f>IF(Exogena_RAW!E508&lt;&gt;"",ROW()-5,"")</f>
        <v/>
      </c>
      <c r="B499" s="48">
        <f>IF(A499="","",508)</f>
        <v/>
      </c>
      <c r="C499" s="48">
        <f>IF(A499="","",IFERROR(Exogena_RAW!A508,""))</f>
        <v/>
      </c>
      <c r="D499" s="48">
        <f>IF(A499="","",IFERROR(Exogena_RAW!B508,""))</f>
        <v/>
      </c>
      <c r="E499" s="48">
        <f>IF(A499="","",Exogena_RAW!E508)</f>
        <v/>
      </c>
      <c r="F499" s="461">
        <f>IF(A499="","",Exogena_RAW!F508)</f>
        <v/>
      </c>
      <c r="G499" s="48">
        <f>IF(A499="","",IFERROR(Exogena_RAW!G508,""))</f>
        <v/>
      </c>
      <c r="H499" s="48">
        <f>IF(A499="","",IFERROR(Exogena_RAW!H508,""))</f>
        <v/>
      </c>
      <c r="I499" s="48">
        <f>IF(A499="","",IFERROR(IF(S499&gt;1,"VARIAS CASILLAS",IF(S499=1,IF(T499=1,"PROPUESTA DE CASILLA","REVISIÓN: CASILLA NO DIRECTA"),IF(OR(ISNUMBER(SEARCH("TOPE",UPPER(E499))),ISNUMBER(SEARCH("TOPE",UPPER(G499)))),"SOLO CONTROL",IF(ISNUMBER(SEARCH("RETEN",UPPER(E499))),"RETENCIÓN","REVISAR")))),"REVISAR"))</f>
        <v/>
      </c>
      <c r="J499" s="48">
        <f>IF(A499="","",IF(ISNUMBER(SEARCH("ingreso laboral promedio de los últimos seis meses",E499)),"",IFERROR(IF(AND(S499=1,T499=1),U499,""),"")))</f>
        <v/>
      </c>
      <c r="K499" s="216" t="n"/>
      <c r="L499" s="48">
        <f>IF(A499="","",IFERROR(IF(K499&lt;&gt;"","Casilla elegida por usuario",IF(S499&gt;1,"Varias casillas — elegir en K",IF(J499&lt;&gt;"","Sugerencia directa",IF(S499=1,"No trasladar directo — revisar",IF(OR(ISNUMBER(SEARCH("TOPE",UPPER(E499))),ISNUMBER(SEARCH("TOPE",UPPER(G499)))),"Solo control","Revisar manualmente"))))),"Revisar manualmente"))</f>
        <v/>
      </c>
      <c r="M499" s="461">
        <f>IF(A499="","",IF(IF(K499&lt;&gt;"",K499,J499)="",0,IF(COUNTIFS(Reglas!$I$5:$I$118,IF(K499&lt;&gt;"",K499,J499),Reglas!$J$5:$J$118,"Sí")=1,F499,0)))</f>
        <v/>
      </c>
      <c r="N499" s="56" t="n"/>
      <c r="O499" s="462">
        <f>IF(A499="","",IF(M499=0,"",M499))</f>
        <v/>
      </c>
      <c r="P499" s="461">
        <f>IF(A499="","",IF(O499="",0,IF(ISNUMBER(O499),O499,0)))</f>
        <v/>
      </c>
      <c r="Q499" s="48">
        <f>IF(A499="","",IF(Exogena_RAW!$C$4="","BLOQUEADO: FALTA AÑO",IF(Exogena_RAW!$K$10&lt;&gt;Reglas!$B$5,"BLOQUEADO: AÑO",IF(IF(K499&lt;&gt;"",K499,J499)="",IF(S499&gt;1,"REQUIERE ASIGNACIÓN MANUAL (VARIAS CASILLAS)","INFORMATIVO (sin casilla — no se declara)"),IF(COUNTIFS(Reglas!$I$5:$I$118,IF(K499&lt;&gt;"",K499,J499),Reglas!$J$5:$J$118,"Sí")=0,"BLOQUEADO: CASILLA NO DIRECTA",IF(O499="","EXCLUIDO (valor borrado por el usuario)",IF(_xlfn.ISFORMULA(O499),IF(W499&lt;&gt;"","BORRADOR — VALOR SUGERIDO DIAN ⚠ VER ALERTA","BORRADOR — VALOR SUGERIDO DIAN"),IF(W499&lt;&gt;"","ACEPTADO ⚠ VER ALERTA","ACEPTADO"))))))))</f>
        <v/>
      </c>
      <c r="R499" s="218" t="n"/>
      <c r="S499" s="58">
        <f>IF(A499="","",IFERROR(--ISNUMBER(SEARCH("R28",G499)),0)+IFERROR(--ISNUMBER(SEARCH("R29",G499)),0)+IFERROR(--ISNUMBER(SEARCH("R30",G499)),0)+IFERROR(--ISNUMBER(SEARCH("R31",G499)),0)+IFERROR(--ISNUMBER(SEARCH("R32",G499)),0)+IFERROR(--ISNUMBER(SEARCH("R33",G499)),0)+IFERROR(--ISNUMBER(SEARCH("R34",G499)),0)+IFERROR(--ISNUMBER(SEARCH("R35",G499)),0)+IFERROR(--ISNUMBER(SEARCH("R36",G499)),0)+IFERROR(--ISNUMBER(SEARCH("R37",G499)),0)+IFERROR(--ISNUMBER(SEARCH("R38",G499)),0)+IFERROR(--ISNUMBER(SEARCH("R39",G499)),0)+IFERROR(--ISNUMBER(SEARCH("R40",G499)),0)+IFERROR(--ISNUMBER(SEARCH("R41",G499)),0)+IFERROR(--ISNUMBER(SEARCH("R42",G499)),0)+IFERROR(--ISNUMBER(SEARCH("R43",G499)),0)+IFERROR(--ISNUMBER(SEARCH("R44",G499)),0)+IFERROR(--ISNUMBER(SEARCH("R45",G499)),0)+IFERROR(--ISNUMBER(SEARCH("R46",G499)),0)+IFERROR(--ISNUMBER(SEARCH("R47",G499)),0)+IFERROR(--ISNUMBER(SEARCH("R48",G499)),0)+IFERROR(--ISNUMBER(SEARCH("R49",G499)),0)+IFERROR(--ISNUMBER(SEARCH("R50",G499)),0)+IFERROR(--ISNUMBER(SEARCH("R51",G499)),0)+IFERROR(--ISNUMBER(SEARCH("R52",G499)),0)+IFERROR(--ISNUMBER(SEARCH("R53",G499)),0)+IFERROR(--ISNUMBER(SEARCH("R54",G499)),0)+IFERROR(--ISNUMBER(SEARCH("R55",G499)),0)+IFERROR(--ISNUMBER(SEARCH("R56",G499)),0)+IFERROR(--ISNUMBER(SEARCH("R57",G499)),0)+IFERROR(--ISNUMBER(SEARCH("R58",G499)),0)+IFERROR(--ISNUMBER(SEARCH("R59",G499)),0)+IFERROR(--ISNUMBER(SEARCH("R60",G499)),0)+IFERROR(--ISNUMBER(SEARCH("R61",G499)),0)+IFERROR(--ISNUMBER(SEARCH("R62",G499)),0)+IFERROR(--ISNUMBER(SEARCH("R63",G499)),0)+IFERROR(--ISNUMBER(SEARCH("R64",G499)),0)+IFERROR(--ISNUMBER(SEARCH("R65",G499)),0)+IFERROR(--ISNUMBER(SEARCH("R66",G499)),0)+IFERROR(--ISNUMBER(SEARCH("R67",G499)),0)+IFERROR(--ISNUMBER(SEARCH("R68",G499)),0)+IFERROR(--ISNUMBER(SEARCH("R69",G499)),0)+IFERROR(--ISNUMBER(SEARCH("R70",G499)),0)+IFERROR(--ISNUMBER(SEARCH("R71",G499)),0)+IFERROR(--ISNUMBER(SEARCH("R72",G499)),0)+IFERROR(--ISNUMBER(SEARCH("R73",G499)),0)+IFERROR(--ISNUMBER(SEARCH("R74",G499)),0)+IFERROR(--ISNUMBER(SEARCH("R75",G499)),0)+IFERROR(--ISNUMBER(SEARCH("R76",G499)),0)+IFERROR(--ISNUMBER(SEARCH("R77",G499)),0)+IFERROR(--ISNUMBER(SEARCH("R78",G499)),0)+IFERROR(--ISNUMBER(SEARCH("R79",G499)),0)+IFERROR(--ISNUMBER(SEARCH("R80",G499)),0)+IFERROR(--ISNUMBER(SEARCH("R81",G499)),0)+IFERROR(--ISNUMBER(SEARCH("R82",G499)),0)+IFERROR(--ISNUMBER(SEARCH("R83",G499)),0)+IFERROR(--ISNUMBER(SEARCH("R84",G499)),0)+IFERROR(--ISNUMBER(SEARCH("R85",G499)),0)+IFERROR(--ISNUMBER(SEARCH("R86",G499)),0)+IFERROR(--ISNUMBER(SEARCH("R87",G499)),0)+IFERROR(--ISNUMBER(SEARCH("R88",G499)),0)+IFERROR(--ISNUMBER(SEARCH("R89",G499)),0)+IFERROR(--ISNUMBER(SEARCH("R90",G499)),0)+IFERROR(--ISNUMBER(SEARCH("R91",G499)),0)+IFERROR(--ISNUMBER(SEARCH("R92",G499)),0)+IFERROR(--ISNUMBER(SEARCH("R93",G499)),0)+IFERROR(--ISNUMBER(SEARCH("R94",G499)),0)+IFERROR(--ISNUMBER(SEARCH("R95",G499)),0)+IFERROR(--ISNUMBER(SEARCH("R96",G499)),0)+IFERROR(--ISNUMBER(SEARCH("R97",G499)),0)+IFERROR(--ISNUMBER(SEARCH("R98",G499)),0)+IFERROR(--ISNUMBER(SEARCH("R99",G499)),0)+IFERROR(--ISNUMBER(SEARCH("R100",G499)),0)+IFERROR(--ISNUMBER(SEARCH("R101",G499)),0)+IFERROR(--ISNUMBER(SEARCH("R102",G499)),0)+IFERROR(--ISNUMBER(SEARCH("R103",G499)),0)+IFERROR(--ISNUMBER(SEARCH("R104",G499)),0)+IFERROR(--ISNUMBER(SEARCH("R105",G499)),0)+IFERROR(--ISNUMBER(SEARCH("R106",G499)),0)+IFERROR(--ISNUMBER(SEARCH("R107",G499)),0)+IFERROR(--ISNUMBER(SEARCH("R108",G499)),0)+IFERROR(--ISNUMBER(SEARCH("R109",G499)),0)+IFERROR(--ISNUMBER(SEARCH("R110",G499)),0)+IFERROR(--ISNUMBER(SEARCH("R111",G499)),0)+IFERROR(--ISNUMBER(SEARCH("R112",G499)),0)+IFERROR(--ISNUMBER(SEARCH("R113",G499)),0)+IFERROR(--ISNUMBER(SEARCH("R114",G499)),0)+IFERROR(--ISNUMBER(SEARCH("R115",G499)),0)+IFERROR(--ISNUMBER(SEARCH("R116",G499)),0)+IFERROR(--ISNUMBER(SEARCH("R117",G499)),0)+IFERROR(--ISNUMBER(SEARCH("R118",G499)),0)+IFERROR(--ISNUMBER(SEARCH("R119",G499)),0)+IFERROR(--ISNUMBER(SEARCH("R120",G499)),0)+IFERROR(--ISNUMBER(SEARCH("R121",G499)),0)+IFERROR(--ISNUMBER(SEARCH("R122",G499)),0)+IFERROR(--ISNUMBER(SEARCH("R123",G499)),0)+IFERROR(--ISNUMBER(SEARCH("R124",G499)),0)+IFERROR(--ISNUMBER(SEARCH("R125",G499)),0)+IFERROR(--ISNUMBER(SEARCH("R126",G499)),0)+IFERROR(--ISNUMBER(SEARCH("R127",G499)),0)+IFERROR(--ISNUMBER(SEARCH("R128",G499)),0)+IFERROR(--ISNUMBER(SEARCH("R129",G499)),0)+IFERROR(--ISNUMBER(SEARCH("R130",G499)),0)+IFERROR(--ISNUMBER(SEARCH("R131",G499)),0)+IFERROR(--ISNUMBER(SEARCH("R132",G499)),0)+IFERROR(--ISNUMBER(SEARCH("R133",G499)),0)+IFERROR(--ISNUMBER(SEARCH("R134",G499)),0)+IFERROR(--ISNUMBER(SEARCH("R135",G499)),0)+IFERROR(--ISNUMBER(SEARCH("R136",G499)),0)+IFERROR(--ISNUMBER(SEARCH("R137",G499)),0)+IFERROR(--ISNUMBER(SEARCH("R138",G499)),0)+IFERROR(--ISNUMBER(SEARCH("R139",G499)),0)+IFERROR(--ISNUMBER(SEARCH("R140",G499)),0)+IFERROR(--ISNUMBER(SEARCH("R141",G499)),0))</f>
        <v/>
      </c>
      <c r="T499" s="58">
        <f>IF(A499="","",IFERROR(--ISNUMBER(SEARCH("R28",G499)),0)+IFERROR(--ISNUMBER(SEARCH("R29",G499)),0)+IFERROR(--ISNUMBER(SEARCH("R30",G499)),0)+IFERROR(--ISNUMBER(SEARCH("R32",G499)),0)+IFERROR(--ISNUMBER(SEARCH("R33",G499)),0)+IFERROR(--ISNUMBER(SEARCH("R35",G499)),0)+IFERROR(--ISNUMBER(SEARCH("R36",G499)),0)+IFERROR(--ISNUMBER(SEARCH("R38",G499)),0)+IFERROR(--ISNUMBER(SEARCH("R39",G499)),0)+IFERROR(--ISNUMBER(SEARCH("R43",G499)),0)+IFERROR(--ISNUMBER(SEARCH("R44",G499)),0)+IFERROR(--ISNUMBER(SEARCH("R45",G499)),0)+IFERROR(--ISNUMBER(SEARCH("R47",G499)),0)+IFERROR(--ISNUMBER(SEARCH("R48",G499)),0)+IFERROR(--ISNUMBER(SEARCH("R50",G499)),0)+IFERROR(--ISNUMBER(SEARCH("R51",G499)),0)+IFERROR(--ISNUMBER(SEARCH("R56",G499)),0)+IFERROR(--ISNUMBER(SEARCH("R58",G499)),0)+IFERROR(--ISNUMBER(SEARCH("R59",G499)),0)+IFERROR(--ISNUMBER(SEARCH("R60",G499)),0)+IFERROR(--ISNUMBER(SEARCH("R62",G499)),0)+IFERROR(--ISNUMBER(SEARCH("R63",G499)),0)+IFERROR(--ISNUMBER(SEARCH("R64",G499)),0)+IFERROR(--ISNUMBER(SEARCH("R66",G499)),0)+IFERROR(--ISNUMBER(SEARCH("R67",G499)),0)+IFERROR(--ISNUMBER(SEARCH("R72",G499)),0)+IFERROR(--ISNUMBER(SEARCH("R74",G499)),0)+IFERROR(--ISNUMBER(SEARCH("R75",G499)),0)+IFERROR(--ISNUMBER(SEARCH("R76",G499)),0)+IFERROR(--ISNUMBER(SEARCH("R77",G499)),0)+IFERROR(--ISNUMBER(SEARCH("R79",G499)),0)+IFERROR(--ISNUMBER(SEARCH("R80",G499)),0)+IFERROR(--ISNUMBER(SEARCH("R81",G499)),0)+IFERROR(--ISNUMBER(SEARCH("R83",G499)),0)+IFERROR(--ISNUMBER(SEARCH("R84",G499)),0)+IFERROR(--ISNUMBER(SEARCH("R89",G499)),0)+IFERROR(--ISNUMBER(SEARCH("R94",G499)),0)+IFERROR(--ISNUMBER(SEARCH("R95",G499)),0)+IFERROR(--ISNUMBER(SEARCH("R96",G499)),0)+IFERROR(--ISNUMBER(SEARCH("R98",G499)),0)+IFERROR(--ISNUMBER(SEARCH("R99",G499)),0)+IFERROR(--ISNUMBER(SEARCH("R100",G499)),0)+IFERROR(--ISNUMBER(SEARCH("R104",G499)),0)+IFERROR(--ISNUMBER(SEARCH("R105",G499)),0)+IFERROR(--ISNUMBER(SEARCH("R107",G499)),0)+IFERROR(--ISNUMBER(SEARCH("R108",G499)),0)+IFERROR(--ISNUMBER(SEARCH("R109",G499)),0)+IFERROR(--ISNUMBER(SEARCH("R110",G499)),0)+IFERROR(--ISNUMBER(SEARCH("R112",G499)),0)+IFERROR(--ISNUMBER(SEARCH("R113",G499)),0)+IFERROR(--ISNUMBER(SEARCH("R114",G499)),0)+IFERROR(--ISNUMBER(SEARCH("R118",G499)),0)+IFERROR(--ISNUMBER(SEARCH("R119",G499)),0)+IFERROR(--ISNUMBER(SEARCH("R120",G499)),0)+IFERROR(--ISNUMBER(SEARCH("R122",G499)),0)+IFERROR(--ISNUMBER(SEARCH("R123",G499)),0)+IFERROR(--ISNUMBER(SEARCH("R124",G499)),0)+IFERROR(--ISNUMBER(SEARCH("R128",G499)),0)+IFERROR(--ISNUMBER(SEARCH("R130",G499)),0)+IFERROR(--ISNUMBER(SEARCH("R131",G499)),0)+IFERROR(--ISNUMBER(SEARCH("R132",G499)),0)+IFERROR(--ISNUMBER(SEARCH("R135",G499)),0)+IFERROR(--ISNUMBER(SEARCH("R138",G499)),0)+IFERROR(--ISNUMBER(SEARCH("R141",G499)),0))</f>
        <v/>
      </c>
      <c r="U499" s="58">
        <f>IF(A499="","",IFERROR(--ISNUMBER(SEARCH("R28",G499))*28,0)+IFERROR(--ISNUMBER(SEARCH("R29",G499))*29,0)+IFERROR(--ISNUMBER(SEARCH("R30",G499))*30,0)+IFERROR(--ISNUMBER(SEARCH("R31",G499))*31,0)+IFERROR(--ISNUMBER(SEARCH("R32",G499))*32,0)+IFERROR(--ISNUMBER(SEARCH("R33",G499))*33,0)+IFERROR(--ISNUMBER(SEARCH("R34",G499))*34,0)+IFERROR(--ISNUMBER(SEARCH("R35",G499))*35,0)+IFERROR(--ISNUMBER(SEARCH("R36",G499))*36,0)+IFERROR(--ISNUMBER(SEARCH("R37",G499))*37,0)+IFERROR(--ISNUMBER(SEARCH("R38",G499))*38,0)+IFERROR(--ISNUMBER(SEARCH("R39",G499))*39,0)+IFERROR(--ISNUMBER(SEARCH("R40",G499))*40,0)+IFERROR(--ISNUMBER(SEARCH("R41",G499))*41,0)+IFERROR(--ISNUMBER(SEARCH("R42",G499))*42,0)+IFERROR(--ISNUMBER(SEARCH("R43",G499))*43,0)+IFERROR(--ISNUMBER(SEARCH("R44",G499))*44,0)+IFERROR(--ISNUMBER(SEARCH("R45",G499))*45,0)+IFERROR(--ISNUMBER(SEARCH("R46",G499))*46,0)+IFERROR(--ISNUMBER(SEARCH("R47",G499))*47,0)+IFERROR(--ISNUMBER(SEARCH("R48",G499))*48,0)+IFERROR(--ISNUMBER(SEARCH("R49",G499))*49,0)+IFERROR(--ISNUMBER(SEARCH("R50",G499))*50,0)+IFERROR(--ISNUMBER(SEARCH("R51",G499))*51,0)+IFERROR(--ISNUMBER(SEARCH("R52",G499))*52,0)+IFERROR(--ISNUMBER(SEARCH("R53",G499))*53,0)+IFERROR(--ISNUMBER(SEARCH("R54",G499))*54,0)+IFERROR(--ISNUMBER(SEARCH("R55",G499))*55,0)+IFERROR(--ISNUMBER(SEARCH("R56",G499))*56,0)+IFERROR(--ISNUMBER(SEARCH("R57",G499))*57,0)+IFERROR(--ISNUMBER(SEARCH("R58",G499))*58,0)+IFERROR(--ISNUMBER(SEARCH("R59",G499))*59,0)+IFERROR(--ISNUMBER(SEARCH("R60",G499))*60,0)+IFERROR(--ISNUMBER(SEARCH("R61",G499))*61,0)+IFERROR(--ISNUMBER(SEARCH("R62",G499))*62,0)+IFERROR(--ISNUMBER(SEARCH("R63",G499))*63,0)+IFERROR(--ISNUMBER(SEARCH("R64",G499))*64,0)+IFERROR(--ISNUMBER(SEARCH("R65",G499))*65,0)+IFERROR(--ISNUMBER(SEARCH("R66",G499))*66,0)+IFERROR(--ISNUMBER(SEARCH("R67",G499))*67,0)+IFERROR(--ISNUMBER(SEARCH("R68",G499))*68,0)+IFERROR(--ISNUMBER(SEARCH("R69",G499))*69,0)+IFERROR(--ISNUMBER(SEARCH("R70",G499))*70,0)+IFERROR(--ISNUMBER(SEARCH("R71",G499))*71,0)+IFERROR(--ISNUMBER(SEARCH("R72",G499))*72,0)+IFERROR(--ISNUMBER(SEARCH("R73",G499))*73,0)+IFERROR(--ISNUMBER(SEARCH("R74",G499))*74,0)+IFERROR(--ISNUMBER(SEARCH("R75",G499))*75,0)+IFERROR(--ISNUMBER(SEARCH("R76",G499))*76,0)+IFERROR(--ISNUMBER(SEARCH("R77",G499))*77,0)+IFERROR(--ISNUMBER(SEARCH("R78",G499))*78,0)+IFERROR(--ISNUMBER(SEARCH("R79",G499))*79,0)+IFERROR(--ISNUMBER(SEARCH("R80",G499))*80,0)+IFERROR(--ISNUMBER(SEARCH("R81",G499))*81,0)+IFERROR(--ISNUMBER(SEARCH("R82",G499))*82,0)+IFERROR(--ISNUMBER(SEARCH("R83",G499))*83,0)+IFERROR(--ISNUMBER(SEARCH("R84",G499))*84,0)+IFERROR(--ISNUMBER(SEARCH("R85",G499))*85,0)+IFERROR(--ISNUMBER(SEARCH("R86",G499))*86,0)+IFERROR(--ISNUMBER(SEARCH("R87",G499))*87,0)+IFERROR(--ISNUMBER(SEARCH("R88",G499))*88,0)+IFERROR(--ISNUMBER(SEARCH("R89",G499))*89,0)+IFERROR(--ISNUMBER(SEARCH("R90",G499))*90,0)+IFERROR(--ISNUMBER(SEARCH("R91",G499))*91,0)+IFERROR(--ISNUMBER(SEARCH("R92",G499))*92,0)+IFERROR(--ISNUMBER(SEARCH("R93",G499))*93,0)+IFERROR(--ISNUMBER(SEARCH("R94",G499))*94,0)+IFERROR(--ISNUMBER(SEARCH("R95",G499))*95,0)+IFERROR(--ISNUMBER(SEARCH("R96",G499))*96,0)+IFERROR(--ISNUMBER(SEARCH("R97",G499))*97,0)+IFERROR(--ISNUMBER(SEARCH("R98",G499))*98,0)+IFERROR(--ISNUMBER(SEARCH("R99",G499))*99,0)+IFERROR(--ISNUMBER(SEARCH("R100",G499))*100,0)+IFERROR(--ISNUMBER(SEARCH("R101",G499))*101,0)+IFERROR(--ISNUMBER(SEARCH("R102",G499))*102,0)+IFERROR(--ISNUMBER(SEARCH("R103",G499))*103,0)+IFERROR(--ISNUMBER(SEARCH("R104",G499))*104,0)+IFERROR(--ISNUMBER(SEARCH("R105",G499))*105,0)+IFERROR(--ISNUMBER(SEARCH("R106",G499))*106,0)+IFERROR(--ISNUMBER(SEARCH("R107",G499))*107,0)+IFERROR(--ISNUMBER(SEARCH("R108",G499))*108,0)+IFERROR(--ISNUMBER(SEARCH("R109",G499))*109,0)+IFERROR(--ISNUMBER(SEARCH("R110",G499))*110,0)+IFERROR(--ISNUMBER(SEARCH("R111",G499))*111,0)+IFERROR(--ISNUMBER(SEARCH("R112",G499))*112,0)+IFERROR(--ISNUMBER(SEARCH("R113",G499))*113,0)+IFERROR(--ISNUMBER(SEARCH("R114",G499))*114,0)+IFERROR(--ISNUMBER(SEARCH("R115",G499))*115,0)+IFERROR(--ISNUMBER(SEARCH("R116",G499))*116,0)+IFERROR(--ISNUMBER(SEARCH("R117",G499))*117,0)+IFERROR(--ISNUMBER(SEARCH("R118",G499))*118,0)+IFERROR(--ISNUMBER(SEARCH("R119",G499))*119,0)+IFERROR(--ISNUMBER(SEARCH("R120",G499))*120,0)+IFERROR(--ISNUMBER(SEARCH("R121",G499))*121,0)+IFERROR(--ISNUMBER(SEARCH("R122",G499))*122,0)+IFERROR(--ISNUMBER(SEARCH("R123",G499))*123,0)+IFERROR(--ISNUMBER(SEARCH("R124",G499))*124,0)+IFERROR(--ISNUMBER(SEARCH("R125",G499))*125,0)+IFERROR(--ISNUMBER(SEARCH("R126",G499))*126,0)+IFERROR(--ISNUMBER(SEARCH("R127",G499))*127,0)+IFERROR(--ISNUMBER(SEARCH("R128",G499))*128,0)+IFERROR(--ISNUMBER(SEARCH("R129",G499))*129,0)+IFERROR(--ISNUMBER(SEARCH("R130",G499))*130,0)+IFERROR(--ISNUMBER(SEARCH("R131",G499))*131,0)+IFERROR(--ISNUMBER(SEARCH("R132",G499))*132,0)+IFERROR(--ISNUMBER(SEARCH("R133",G499))*133,0)+IFERROR(--ISNUMBER(SEARCH("R134",G499))*134,0)+IFERROR(--ISNUMBER(SEARCH("R135",G499))*135,0)+IFERROR(--ISNUMBER(SEARCH("R136",G499))*136,0)+IFERROR(--ISNUMBER(SEARCH("R137",G499))*137,0)+IFERROR(--ISNUMBER(SEARCH("R138",G499))*138,0)+IFERROR(--ISNUMBER(SEARCH("R139",G499))*139,0)+IFERROR(--ISNUMBER(SEARCH("R140",G499))*140,0)+IFERROR(--ISNUMBER(SEARCH("R141",G499))*141,0))</f>
        <v/>
      </c>
      <c r="V499" s="59">
        <f>IF(A499="","",IF(K499&lt;&gt;"",K499,J499))</f>
        <v/>
      </c>
      <c r="W499" s="59">
        <f>IF(A499="","",IF(AND(V499=29,O499&lt;&gt;"",COUNTIFS($V$6:$V$505,29,$F$6:$F$505,F499,$C$6:$C$505,C499,$O$6:$O$505,"&lt;&gt;")&gt;1),IF(COUNTIFS($V$6:V499,29,$F$6:F499,F499,$C$6:C499,C499,$O$6:O499,"&lt;&gt;")=1,"Esta es la fila que se debe CONSERVAR (aparición 1 de "&amp;COUNTIFS($V$6:$V$505,29,$F$6:$F$505,F499,$C$6:$C$505,C499,$O$6:$O$505,"&lt;&gt;")&amp;" con el mismo tercero y valor, casilla 29). Si hay más filas iguales, bórreles el valor a ELLAS, no a esta.","DUPLICADO — ya existe otra fila con el mismo tercero y valor para casilla 29 (aparición "&amp;COUNTIFS($V$6:V499,29,$F$6:F499,F499,$C$6:C499,C499,$O$6:O499,"&lt;&gt;")&amp;" de "&amp;COUNTIFS($V$6:$V$505,29,$F$6:$F$505,F499,$C$6:$C$505,C499,$O$6:$O$505,"&lt;&gt;")&amp;"). Para resolverlo: seleccione la celda O"&amp;ROW()&amp;" (columna Valor a declarar de ESTA fila) y presione Supr."),""))</f>
        <v/>
      </c>
      <c r="X499" s="463">
        <f>IF(A499="","",F499)</f>
        <v/>
      </c>
      <c r="Y499" s="463">
        <f>IF(A499="","",SUMIF(Entrada_Manual!$I$88:$I$187,A499,Entrada_Manual!$F$88:$F$187))</f>
        <v/>
      </c>
      <c r="Z499" s="463">
        <f>IF(A499="","",X499-Y499)</f>
        <v/>
      </c>
      <c r="AA499">
        <f>IF(A499="","",SUMPRODUCT((Entrada_Manual!$I$88:$I$187=A499)*1))</f>
        <v/>
      </c>
      <c r="AB499">
        <f>IF(A499="","",IF(S499&lt;=1,"",IF(AA499=0,"PENDIENTE — SIN ASIGNAR",IF(Z499=0,"RESUELTO","PARCIAL — DIFERENCIA "&amp;TEXT(Z499,"#,##0")))))</f>
        <v/>
      </c>
    </row>
    <row r="500" ht="14.25" customHeight="1" s="235">
      <c r="A500" s="47">
        <f>IF(Exogena_RAW!E509&lt;&gt;"",ROW()-5,"")</f>
        <v/>
      </c>
      <c r="B500" s="48">
        <f>IF(A500="","",509)</f>
        <v/>
      </c>
      <c r="C500" s="48">
        <f>IF(A500="","",IFERROR(Exogena_RAW!A509,""))</f>
        <v/>
      </c>
      <c r="D500" s="48">
        <f>IF(A500="","",IFERROR(Exogena_RAW!B509,""))</f>
        <v/>
      </c>
      <c r="E500" s="48">
        <f>IF(A500="","",Exogena_RAW!E509)</f>
        <v/>
      </c>
      <c r="F500" s="461">
        <f>IF(A500="","",Exogena_RAW!F509)</f>
        <v/>
      </c>
      <c r="G500" s="48">
        <f>IF(A500="","",IFERROR(Exogena_RAW!G509,""))</f>
        <v/>
      </c>
      <c r="H500" s="48">
        <f>IF(A500="","",IFERROR(Exogena_RAW!H509,""))</f>
        <v/>
      </c>
      <c r="I500" s="48">
        <f>IF(A500="","",IFERROR(IF(S500&gt;1,"VARIAS CASILLAS",IF(S500=1,IF(T500=1,"PROPUESTA DE CASILLA","REVISIÓN: CASILLA NO DIRECTA"),IF(OR(ISNUMBER(SEARCH("TOPE",UPPER(E500))),ISNUMBER(SEARCH("TOPE",UPPER(G500)))),"SOLO CONTROL",IF(ISNUMBER(SEARCH("RETEN",UPPER(E500))),"RETENCIÓN","REVISAR")))),"REVISAR"))</f>
        <v/>
      </c>
      <c r="J500" s="48">
        <f>IF(A500="","",IF(ISNUMBER(SEARCH("ingreso laboral promedio de los últimos seis meses",E500)),"",IFERROR(IF(AND(S500=1,T500=1),U500,""),"")))</f>
        <v/>
      </c>
      <c r="K500" s="216" t="n"/>
      <c r="L500" s="48">
        <f>IF(A500="","",IFERROR(IF(K500&lt;&gt;"","Casilla elegida por usuario",IF(S500&gt;1,"Varias casillas — elegir en K",IF(J500&lt;&gt;"","Sugerencia directa",IF(S500=1,"No trasladar directo — revisar",IF(OR(ISNUMBER(SEARCH("TOPE",UPPER(E500))),ISNUMBER(SEARCH("TOPE",UPPER(G500)))),"Solo control","Revisar manualmente"))))),"Revisar manualmente"))</f>
        <v/>
      </c>
      <c r="M500" s="461">
        <f>IF(A500="","",IF(IF(K500&lt;&gt;"",K500,J500)="",0,IF(COUNTIFS(Reglas!$I$5:$I$118,IF(K500&lt;&gt;"",K500,J500),Reglas!$J$5:$J$118,"Sí")=1,F500,0)))</f>
        <v/>
      </c>
      <c r="N500" s="56" t="n"/>
      <c r="O500" s="462">
        <f>IF(A500="","",IF(M500=0,"",M500))</f>
        <v/>
      </c>
      <c r="P500" s="461">
        <f>IF(A500="","",IF(O500="",0,IF(ISNUMBER(O500),O500,0)))</f>
        <v/>
      </c>
      <c r="Q500" s="48">
        <f>IF(A500="","",IF(Exogena_RAW!$C$4="","BLOQUEADO: FALTA AÑO",IF(Exogena_RAW!$K$10&lt;&gt;Reglas!$B$5,"BLOQUEADO: AÑO",IF(IF(K500&lt;&gt;"",K500,J500)="",IF(S500&gt;1,"REQUIERE ASIGNACIÓN MANUAL (VARIAS CASILLAS)","INFORMATIVO (sin casilla — no se declara)"),IF(COUNTIFS(Reglas!$I$5:$I$118,IF(K500&lt;&gt;"",K500,J500),Reglas!$J$5:$J$118,"Sí")=0,"BLOQUEADO: CASILLA NO DIRECTA",IF(O500="","EXCLUIDO (valor borrado por el usuario)",IF(_xlfn.ISFORMULA(O500),IF(W500&lt;&gt;"","BORRADOR — VALOR SUGERIDO DIAN ⚠ VER ALERTA","BORRADOR — VALOR SUGERIDO DIAN"),IF(W500&lt;&gt;"","ACEPTADO ⚠ VER ALERTA","ACEPTADO"))))))))</f>
        <v/>
      </c>
      <c r="R500" s="218" t="n"/>
      <c r="S500" s="58">
        <f>IF(A500="","",IFERROR(--ISNUMBER(SEARCH("R28",G500)),0)+IFERROR(--ISNUMBER(SEARCH("R29",G500)),0)+IFERROR(--ISNUMBER(SEARCH("R30",G500)),0)+IFERROR(--ISNUMBER(SEARCH("R31",G500)),0)+IFERROR(--ISNUMBER(SEARCH("R32",G500)),0)+IFERROR(--ISNUMBER(SEARCH("R33",G500)),0)+IFERROR(--ISNUMBER(SEARCH("R34",G500)),0)+IFERROR(--ISNUMBER(SEARCH("R35",G500)),0)+IFERROR(--ISNUMBER(SEARCH("R36",G500)),0)+IFERROR(--ISNUMBER(SEARCH("R37",G500)),0)+IFERROR(--ISNUMBER(SEARCH("R38",G500)),0)+IFERROR(--ISNUMBER(SEARCH("R39",G500)),0)+IFERROR(--ISNUMBER(SEARCH("R40",G500)),0)+IFERROR(--ISNUMBER(SEARCH("R41",G500)),0)+IFERROR(--ISNUMBER(SEARCH("R42",G500)),0)+IFERROR(--ISNUMBER(SEARCH("R43",G500)),0)+IFERROR(--ISNUMBER(SEARCH("R44",G500)),0)+IFERROR(--ISNUMBER(SEARCH("R45",G500)),0)+IFERROR(--ISNUMBER(SEARCH("R46",G500)),0)+IFERROR(--ISNUMBER(SEARCH("R47",G500)),0)+IFERROR(--ISNUMBER(SEARCH("R48",G500)),0)+IFERROR(--ISNUMBER(SEARCH("R49",G500)),0)+IFERROR(--ISNUMBER(SEARCH("R50",G500)),0)+IFERROR(--ISNUMBER(SEARCH("R51",G500)),0)+IFERROR(--ISNUMBER(SEARCH("R52",G500)),0)+IFERROR(--ISNUMBER(SEARCH("R53",G500)),0)+IFERROR(--ISNUMBER(SEARCH("R54",G500)),0)+IFERROR(--ISNUMBER(SEARCH("R55",G500)),0)+IFERROR(--ISNUMBER(SEARCH("R56",G500)),0)+IFERROR(--ISNUMBER(SEARCH("R57",G500)),0)+IFERROR(--ISNUMBER(SEARCH("R58",G500)),0)+IFERROR(--ISNUMBER(SEARCH("R59",G500)),0)+IFERROR(--ISNUMBER(SEARCH("R60",G500)),0)+IFERROR(--ISNUMBER(SEARCH("R61",G500)),0)+IFERROR(--ISNUMBER(SEARCH("R62",G500)),0)+IFERROR(--ISNUMBER(SEARCH("R63",G500)),0)+IFERROR(--ISNUMBER(SEARCH("R64",G500)),0)+IFERROR(--ISNUMBER(SEARCH("R65",G500)),0)+IFERROR(--ISNUMBER(SEARCH("R66",G500)),0)+IFERROR(--ISNUMBER(SEARCH("R67",G500)),0)+IFERROR(--ISNUMBER(SEARCH("R68",G500)),0)+IFERROR(--ISNUMBER(SEARCH("R69",G500)),0)+IFERROR(--ISNUMBER(SEARCH("R70",G500)),0)+IFERROR(--ISNUMBER(SEARCH("R71",G500)),0)+IFERROR(--ISNUMBER(SEARCH("R72",G500)),0)+IFERROR(--ISNUMBER(SEARCH("R73",G500)),0)+IFERROR(--ISNUMBER(SEARCH("R74",G500)),0)+IFERROR(--ISNUMBER(SEARCH("R75",G500)),0)+IFERROR(--ISNUMBER(SEARCH("R76",G500)),0)+IFERROR(--ISNUMBER(SEARCH("R77",G500)),0)+IFERROR(--ISNUMBER(SEARCH("R78",G500)),0)+IFERROR(--ISNUMBER(SEARCH("R79",G500)),0)+IFERROR(--ISNUMBER(SEARCH("R80",G500)),0)+IFERROR(--ISNUMBER(SEARCH("R81",G500)),0)+IFERROR(--ISNUMBER(SEARCH("R82",G500)),0)+IFERROR(--ISNUMBER(SEARCH("R83",G500)),0)+IFERROR(--ISNUMBER(SEARCH("R84",G500)),0)+IFERROR(--ISNUMBER(SEARCH("R85",G500)),0)+IFERROR(--ISNUMBER(SEARCH("R86",G500)),0)+IFERROR(--ISNUMBER(SEARCH("R87",G500)),0)+IFERROR(--ISNUMBER(SEARCH("R88",G500)),0)+IFERROR(--ISNUMBER(SEARCH("R89",G500)),0)+IFERROR(--ISNUMBER(SEARCH("R90",G500)),0)+IFERROR(--ISNUMBER(SEARCH("R91",G500)),0)+IFERROR(--ISNUMBER(SEARCH("R92",G500)),0)+IFERROR(--ISNUMBER(SEARCH("R93",G500)),0)+IFERROR(--ISNUMBER(SEARCH("R94",G500)),0)+IFERROR(--ISNUMBER(SEARCH("R95",G500)),0)+IFERROR(--ISNUMBER(SEARCH("R96",G500)),0)+IFERROR(--ISNUMBER(SEARCH("R97",G500)),0)+IFERROR(--ISNUMBER(SEARCH("R98",G500)),0)+IFERROR(--ISNUMBER(SEARCH("R99",G500)),0)+IFERROR(--ISNUMBER(SEARCH("R100",G500)),0)+IFERROR(--ISNUMBER(SEARCH("R101",G500)),0)+IFERROR(--ISNUMBER(SEARCH("R102",G500)),0)+IFERROR(--ISNUMBER(SEARCH("R103",G500)),0)+IFERROR(--ISNUMBER(SEARCH("R104",G500)),0)+IFERROR(--ISNUMBER(SEARCH("R105",G500)),0)+IFERROR(--ISNUMBER(SEARCH("R106",G500)),0)+IFERROR(--ISNUMBER(SEARCH("R107",G500)),0)+IFERROR(--ISNUMBER(SEARCH("R108",G500)),0)+IFERROR(--ISNUMBER(SEARCH("R109",G500)),0)+IFERROR(--ISNUMBER(SEARCH("R110",G500)),0)+IFERROR(--ISNUMBER(SEARCH("R111",G500)),0)+IFERROR(--ISNUMBER(SEARCH("R112",G500)),0)+IFERROR(--ISNUMBER(SEARCH("R113",G500)),0)+IFERROR(--ISNUMBER(SEARCH("R114",G500)),0)+IFERROR(--ISNUMBER(SEARCH("R115",G500)),0)+IFERROR(--ISNUMBER(SEARCH("R116",G500)),0)+IFERROR(--ISNUMBER(SEARCH("R117",G500)),0)+IFERROR(--ISNUMBER(SEARCH("R118",G500)),0)+IFERROR(--ISNUMBER(SEARCH("R119",G500)),0)+IFERROR(--ISNUMBER(SEARCH("R120",G500)),0)+IFERROR(--ISNUMBER(SEARCH("R121",G500)),0)+IFERROR(--ISNUMBER(SEARCH("R122",G500)),0)+IFERROR(--ISNUMBER(SEARCH("R123",G500)),0)+IFERROR(--ISNUMBER(SEARCH("R124",G500)),0)+IFERROR(--ISNUMBER(SEARCH("R125",G500)),0)+IFERROR(--ISNUMBER(SEARCH("R126",G500)),0)+IFERROR(--ISNUMBER(SEARCH("R127",G500)),0)+IFERROR(--ISNUMBER(SEARCH("R128",G500)),0)+IFERROR(--ISNUMBER(SEARCH("R129",G500)),0)+IFERROR(--ISNUMBER(SEARCH("R130",G500)),0)+IFERROR(--ISNUMBER(SEARCH("R131",G500)),0)+IFERROR(--ISNUMBER(SEARCH("R132",G500)),0)+IFERROR(--ISNUMBER(SEARCH("R133",G500)),0)+IFERROR(--ISNUMBER(SEARCH("R134",G500)),0)+IFERROR(--ISNUMBER(SEARCH("R135",G500)),0)+IFERROR(--ISNUMBER(SEARCH("R136",G500)),0)+IFERROR(--ISNUMBER(SEARCH("R137",G500)),0)+IFERROR(--ISNUMBER(SEARCH("R138",G500)),0)+IFERROR(--ISNUMBER(SEARCH("R139",G500)),0)+IFERROR(--ISNUMBER(SEARCH("R140",G500)),0)+IFERROR(--ISNUMBER(SEARCH("R141",G500)),0))</f>
        <v/>
      </c>
      <c r="T500" s="58">
        <f>IF(A500="","",IFERROR(--ISNUMBER(SEARCH("R28",G500)),0)+IFERROR(--ISNUMBER(SEARCH("R29",G500)),0)+IFERROR(--ISNUMBER(SEARCH("R30",G500)),0)+IFERROR(--ISNUMBER(SEARCH("R32",G500)),0)+IFERROR(--ISNUMBER(SEARCH("R33",G500)),0)+IFERROR(--ISNUMBER(SEARCH("R35",G500)),0)+IFERROR(--ISNUMBER(SEARCH("R36",G500)),0)+IFERROR(--ISNUMBER(SEARCH("R38",G500)),0)+IFERROR(--ISNUMBER(SEARCH("R39",G500)),0)+IFERROR(--ISNUMBER(SEARCH("R43",G500)),0)+IFERROR(--ISNUMBER(SEARCH("R44",G500)),0)+IFERROR(--ISNUMBER(SEARCH("R45",G500)),0)+IFERROR(--ISNUMBER(SEARCH("R47",G500)),0)+IFERROR(--ISNUMBER(SEARCH("R48",G500)),0)+IFERROR(--ISNUMBER(SEARCH("R50",G500)),0)+IFERROR(--ISNUMBER(SEARCH("R51",G500)),0)+IFERROR(--ISNUMBER(SEARCH("R56",G500)),0)+IFERROR(--ISNUMBER(SEARCH("R58",G500)),0)+IFERROR(--ISNUMBER(SEARCH("R59",G500)),0)+IFERROR(--ISNUMBER(SEARCH("R60",G500)),0)+IFERROR(--ISNUMBER(SEARCH("R62",G500)),0)+IFERROR(--ISNUMBER(SEARCH("R63",G500)),0)+IFERROR(--ISNUMBER(SEARCH("R64",G500)),0)+IFERROR(--ISNUMBER(SEARCH("R66",G500)),0)+IFERROR(--ISNUMBER(SEARCH("R67",G500)),0)+IFERROR(--ISNUMBER(SEARCH("R72",G500)),0)+IFERROR(--ISNUMBER(SEARCH("R74",G500)),0)+IFERROR(--ISNUMBER(SEARCH("R75",G500)),0)+IFERROR(--ISNUMBER(SEARCH("R76",G500)),0)+IFERROR(--ISNUMBER(SEARCH("R77",G500)),0)+IFERROR(--ISNUMBER(SEARCH("R79",G500)),0)+IFERROR(--ISNUMBER(SEARCH("R80",G500)),0)+IFERROR(--ISNUMBER(SEARCH("R81",G500)),0)+IFERROR(--ISNUMBER(SEARCH("R83",G500)),0)+IFERROR(--ISNUMBER(SEARCH("R84",G500)),0)+IFERROR(--ISNUMBER(SEARCH("R89",G500)),0)+IFERROR(--ISNUMBER(SEARCH("R94",G500)),0)+IFERROR(--ISNUMBER(SEARCH("R95",G500)),0)+IFERROR(--ISNUMBER(SEARCH("R96",G500)),0)+IFERROR(--ISNUMBER(SEARCH("R98",G500)),0)+IFERROR(--ISNUMBER(SEARCH("R99",G500)),0)+IFERROR(--ISNUMBER(SEARCH("R100",G500)),0)+IFERROR(--ISNUMBER(SEARCH("R104",G500)),0)+IFERROR(--ISNUMBER(SEARCH("R105",G500)),0)+IFERROR(--ISNUMBER(SEARCH("R107",G500)),0)+IFERROR(--ISNUMBER(SEARCH("R108",G500)),0)+IFERROR(--ISNUMBER(SEARCH("R109",G500)),0)+IFERROR(--ISNUMBER(SEARCH("R110",G500)),0)+IFERROR(--ISNUMBER(SEARCH("R112",G500)),0)+IFERROR(--ISNUMBER(SEARCH("R113",G500)),0)+IFERROR(--ISNUMBER(SEARCH("R114",G500)),0)+IFERROR(--ISNUMBER(SEARCH("R118",G500)),0)+IFERROR(--ISNUMBER(SEARCH("R119",G500)),0)+IFERROR(--ISNUMBER(SEARCH("R120",G500)),0)+IFERROR(--ISNUMBER(SEARCH("R122",G500)),0)+IFERROR(--ISNUMBER(SEARCH("R123",G500)),0)+IFERROR(--ISNUMBER(SEARCH("R124",G500)),0)+IFERROR(--ISNUMBER(SEARCH("R128",G500)),0)+IFERROR(--ISNUMBER(SEARCH("R130",G500)),0)+IFERROR(--ISNUMBER(SEARCH("R131",G500)),0)+IFERROR(--ISNUMBER(SEARCH("R132",G500)),0)+IFERROR(--ISNUMBER(SEARCH("R135",G500)),0)+IFERROR(--ISNUMBER(SEARCH("R138",G500)),0)+IFERROR(--ISNUMBER(SEARCH("R141",G500)),0))</f>
        <v/>
      </c>
      <c r="U500" s="58">
        <f>IF(A500="","",IFERROR(--ISNUMBER(SEARCH("R28",G500))*28,0)+IFERROR(--ISNUMBER(SEARCH("R29",G500))*29,0)+IFERROR(--ISNUMBER(SEARCH("R30",G500))*30,0)+IFERROR(--ISNUMBER(SEARCH("R31",G500))*31,0)+IFERROR(--ISNUMBER(SEARCH("R32",G500))*32,0)+IFERROR(--ISNUMBER(SEARCH("R33",G500))*33,0)+IFERROR(--ISNUMBER(SEARCH("R34",G500))*34,0)+IFERROR(--ISNUMBER(SEARCH("R35",G500))*35,0)+IFERROR(--ISNUMBER(SEARCH("R36",G500))*36,0)+IFERROR(--ISNUMBER(SEARCH("R37",G500))*37,0)+IFERROR(--ISNUMBER(SEARCH("R38",G500))*38,0)+IFERROR(--ISNUMBER(SEARCH("R39",G500))*39,0)+IFERROR(--ISNUMBER(SEARCH("R40",G500))*40,0)+IFERROR(--ISNUMBER(SEARCH("R41",G500))*41,0)+IFERROR(--ISNUMBER(SEARCH("R42",G500))*42,0)+IFERROR(--ISNUMBER(SEARCH("R43",G500))*43,0)+IFERROR(--ISNUMBER(SEARCH("R44",G500))*44,0)+IFERROR(--ISNUMBER(SEARCH("R45",G500))*45,0)+IFERROR(--ISNUMBER(SEARCH("R46",G500))*46,0)+IFERROR(--ISNUMBER(SEARCH("R47",G500))*47,0)+IFERROR(--ISNUMBER(SEARCH("R48",G500))*48,0)+IFERROR(--ISNUMBER(SEARCH("R49",G500))*49,0)+IFERROR(--ISNUMBER(SEARCH("R50",G500))*50,0)+IFERROR(--ISNUMBER(SEARCH("R51",G500))*51,0)+IFERROR(--ISNUMBER(SEARCH("R52",G500))*52,0)+IFERROR(--ISNUMBER(SEARCH("R53",G500))*53,0)+IFERROR(--ISNUMBER(SEARCH("R54",G500))*54,0)+IFERROR(--ISNUMBER(SEARCH("R55",G500))*55,0)+IFERROR(--ISNUMBER(SEARCH("R56",G500))*56,0)+IFERROR(--ISNUMBER(SEARCH("R57",G500))*57,0)+IFERROR(--ISNUMBER(SEARCH("R58",G500))*58,0)+IFERROR(--ISNUMBER(SEARCH("R59",G500))*59,0)+IFERROR(--ISNUMBER(SEARCH("R60",G500))*60,0)+IFERROR(--ISNUMBER(SEARCH("R61",G500))*61,0)+IFERROR(--ISNUMBER(SEARCH("R62",G500))*62,0)+IFERROR(--ISNUMBER(SEARCH("R63",G500))*63,0)+IFERROR(--ISNUMBER(SEARCH("R64",G500))*64,0)+IFERROR(--ISNUMBER(SEARCH("R65",G500))*65,0)+IFERROR(--ISNUMBER(SEARCH("R66",G500))*66,0)+IFERROR(--ISNUMBER(SEARCH("R67",G500))*67,0)+IFERROR(--ISNUMBER(SEARCH("R68",G500))*68,0)+IFERROR(--ISNUMBER(SEARCH("R69",G500))*69,0)+IFERROR(--ISNUMBER(SEARCH("R70",G500))*70,0)+IFERROR(--ISNUMBER(SEARCH("R71",G500))*71,0)+IFERROR(--ISNUMBER(SEARCH("R72",G500))*72,0)+IFERROR(--ISNUMBER(SEARCH("R73",G500))*73,0)+IFERROR(--ISNUMBER(SEARCH("R74",G500))*74,0)+IFERROR(--ISNUMBER(SEARCH("R75",G500))*75,0)+IFERROR(--ISNUMBER(SEARCH("R76",G500))*76,0)+IFERROR(--ISNUMBER(SEARCH("R77",G500))*77,0)+IFERROR(--ISNUMBER(SEARCH("R78",G500))*78,0)+IFERROR(--ISNUMBER(SEARCH("R79",G500))*79,0)+IFERROR(--ISNUMBER(SEARCH("R80",G500))*80,0)+IFERROR(--ISNUMBER(SEARCH("R81",G500))*81,0)+IFERROR(--ISNUMBER(SEARCH("R82",G500))*82,0)+IFERROR(--ISNUMBER(SEARCH("R83",G500))*83,0)+IFERROR(--ISNUMBER(SEARCH("R84",G500))*84,0)+IFERROR(--ISNUMBER(SEARCH("R85",G500))*85,0)+IFERROR(--ISNUMBER(SEARCH("R86",G500))*86,0)+IFERROR(--ISNUMBER(SEARCH("R87",G500))*87,0)+IFERROR(--ISNUMBER(SEARCH("R88",G500))*88,0)+IFERROR(--ISNUMBER(SEARCH("R89",G500))*89,0)+IFERROR(--ISNUMBER(SEARCH("R90",G500))*90,0)+IFERROR(--ISNUMBER(SEARCH("R91",G500))*91,0)+IFERROR(--ISNUMBER(SEARCH("R92",G500))*92,0)+IFERROR(--ISNUMBER(SEARCH("R93",G500))*93,0)+IFERROR(--ISNUMBER(SEARCH("R94",G500))*94,0)+IFERROR(--ISNUMBER(SEARCH("R95",G500))*95,0)+IFERROR(--ISNUMBER(SEARCH("R96",G500))*96,0)+IFERROR(--ISNUMBER(SEARCH("R97",G500))*97,0)+IFERROR(--ISNUMBER(SEARCH("R98",G500))*98,0)+IFERROR(--ISNUMBER(SEARCH("R99",G500))*99,0)+IFERROR(--ISNUMBER(SEARCH("R100",G500))*100,0)+IFERROR(--ISNUMBER(SEARCH("R101",G500))*101,0)+IFERROR(--ISNUMBER(SEARCH("R102",G500))*102,0)+IFERROR(--ISNUMBER(SEARCH("R103",G500))*103,0)+IFERROR(--ISNUMBER(SEARCH("R104",G500))*104,0)+IFERROR(--ISNUMBER(SEARCH("R105",G500))*105,0)+IFERROR(--ISNUMBER(SEARCH("R106",G500))*106,0)+IFERROR(--ISNUMBER(SEARCH("R107",G500))*107,0)+IFERROR(--ISNUMBER(SEARCH("R108",G500))*108,0)+IFERROR(--ISNUMBER(SEARCH("R109",G500))*109,0)+IFERROR(--ISNUMBER(SEARCH("R110",G500))*110,0)+IFERROR(--ISNUMBER(SEARCH("R111",G500))*111,0)+IFERROR(--ISNUMBER(SEARCH("R112",G500))*112,0)+IFERROR(--ISNUMBER(SEARCH("R113",G500))*113,0)+IFERROR(--ISNUMBER(SEARCH("R114",G500))*114,0)+IFERROR(--ISNUMBER(SEARCH("R115",G500))*115,0)+IFERROR(--ISNUMBER(SEARCH("R116",G500))*116,0)+IFERROR(--ISNUMBER(SEARCH("R117",G500))*117,0)+IFERROR(--ISNUMBER(SEARCH("R118",G500))*118,0)+IFERROR(--ISNUMBER(SEARCH("R119",G500))*119,0)+IFERROR(--ISNUMBER(SEARCH("R120",G500))*120,0)+IFERROR(--ISNUMBER(SEARCH("R121",G500))*121,0)+IFERROR(--ISNUMBER(SEARCH("R122",G500))*122,0)+IFERROR(--ISNUMBER(SEARCH("R123",G500))*123,0)+IFERROR(--ISNUMBER(SEARCH("R124",G500))*124,0)+IFERROR(--ISNUMBER(SEARCH("R125",G500))*125,0)+IFERROR(--ISNUMBER(SEARCH("R126",G500))*126,0)+IFERROR(--ISNUMBER(SEARCH("R127",G500))*127,0)+IFERROR(--ISNUMBER(SEARCH("R128",G500))*128,0)+IFERROR(--ISNUMBER(SEARCH("R129",G500))*129,0)+IFERROR(--ISNUMBER(SEARCH("R130",G500))*130,0)+IFERROR(--ISNUMBER(SEARCH("R131",G500))*131,0)+IFERROR(--ISNUMBER(SEARCH("R132",G500))*132,0)+IFERROR(--ISNUMBER(SEARCH("R133",G500))*133,0)+IFERROR(--ISNUMBER(SEARCH("R134",G500))*134,0)+IFERROR(--ISNUMBER(SEARCH("R135",G500))*135,0)+IFERROR(--ISNUMBER(SEARCH("R136",G500))*136,0)+IFERROR(--ISNUMBER(SEARCH("R137",G500))*137,0)+IFERROR(--ISNUMBER(SEARCH("R138",G500))*138,0)+IFERROR(--ISNUMBER(SEARCH("R139",G500))*139,0)+IFERROR(--ISNUMBER(SEARCH("R140",G500))*140,0)+IFERROR(--ISNUMBER(SEARCH("R141",G500))*141,0))</f>
        <v/>
      </c>
      <c r="V500" s="59">
        <f>IF(A500="","",IF(K500&lt;&gt;"",K500,J500))</f>
        <v/>
      </c>
      <c r="W500" s="59">
        <f>IF(A500="","",IF(AND(V500=29,O500&lt;&gt;"",COUNTIFS($V$6:$V$505,29,$F$6:$F$505,F500,$C$6:$C$505,C500,$O$6:$O$505,"&lt;&gt;")&gt;1),IF(COUNTIFS($V$6:V500,29,$F$6:F500,F500,$C$6:C500,C500,$O$6:O500,"&lt;&gt;")=1,"Esta es la fila que se debe CONSERVAR (aparición 1 de "&amp;COUNTIFS($V$6:$V$505,29,$F$6:$F$505,F500,$C$6:$C$505,C500,$O$6:$O$505,"&lt;&gt;")&amp;" con el mismo tercero y valor, casilla 29). Si hay más filas iguales, bórreles el valor a ELLAS, no a esta.","DUPLICADO — ya existe otra fila con el mismo tercero y valor para casilla 29 (aparición "&amp;COUNTIFS($V$6:V500,29,$F$6:F500,F500,$C$6:C500,C500,$O$6:O500,"&lt;&gt;")&amp;" de "&amp;COUNTIFS($V$6:$V$505,29,$F$6:$F$505,F500,$C$6:$C$505,C500,$O$6:$O$505,"&lt;&gt;")&amp;"). Para resolverlo: seleccione la celda O"&amp;ROW()&amp;" (columna Valor a declarar de ESTA fila) y presione Supr."),""))</f>
        <v/>
      </c>
      <c r="X500" s="463">
        <f>IF(A500="","",F500)</f>
        <v/>
      </c>
      <c r="Y500" s="463">
        <f>IF(A500="","",SUMIF(Entrada_Manual!$I$88:$I$187,A500,Entrada_Manual!$F$88:$F$187))</f>
        <v/>
      </c>
      <c r="Z500" s="463">
        <f>IF(A500="","",X500-Y500)</f>
        <v/>
      </c>
      <c r="AA500">
        <f>IF(A500="","",SUMPRODUCT((Entrada_Manual!$I$88:$I$187=A500)*1))</f>
        <v/>
      </c>
      <c r="AB500">
        <f>IF(A500="","",IF(S500&lt;=1,"",IF(AA500=0,"PENDIENTE — SIN ASIGNAR",IF(Z500=0,"RESUELTO","PARCIAL — DIFERENCIA "&amp;TEXT(Z500,"#,##0")))))</f>
        <v/>
      </c>
    </row>
    <row r="501" ht="14.25" customHeight="1" s="235">
      <c r="A501" s="47">
        <f>IF(Exogena_RAW!E510&lt;&gt;"",ROW()-5,"")</f>
        <v/>
      </c>
      <c r="B501" s="48">
        <f>IF(A501="","",510)</f>
        <v/>
      </c>
      <c r="C501" s="48">
        <f>IF(A501="","",IFERROR(Exogena_RAW!A510,""))</f>
        <v/>
      </c>
      <c r="D501" s="48">
        <f>IF(A501="","",IFERROR(Exogena_RAW!B510,""))</f>
        <v/>
      </c>
      <c r="E501" s="48">
        <f>IF(A501="","",Exogena_RAW!E510)</f>
        <v/>
      </c>
      <c r="F501" s="461">
        <f>IF(A501="","",Exogena_RAW!F510)</f>
        <v/>
      </c>
      <c r="G501" s="48">
        <f>IF(A501="","",IFERROR(Exogena_RAW!G510,""))</f>
        <v/>
      </c>
      <c r="H501" s="48">
        <f>IF(A501="","",IFERROR(Exogena_RAW!H510,""))</f>
        <v/>
      </c>
      <c r="I501" s="48">
        <f>IF(A501="","",IFERROR(IF(S501&gt;1,"VARIAS CASILLAS",IF(S501=1,IF(T501=1,"PROPUESTA DE CASILLA","REVISIÓN: CASILLA NO DIRECTA"),IF(OR(ISNUMBER(SEARCH("TOPE",UPPER(E501))),ISNUMBER(SEARCH("TOPE",UPPER(G501)))),"SOLO CONTROL",IF(ISNUMBER(SEARCH("RETEN",UPPER(E501))),"RETENCIÓN","REVISAR")))),"REVISAR"))</f>
        <v/>
      </c>
      <c r="J501" s="48">
        <f>IF(A501="","",IF(ISNUMBER(SEARCH("ingreso laboral promedio de los últimos seis meses",E501)),"",IFERROR(IF(AND(S501=1,T501=1),U501,""),"")))</f>
        <v/>
      </c>
      <c r="K501" s="216" t="n"/>
      <c r="L501" s="48">
        <f>IF(A501="","",IFERROR(IF(K501&lt;&gt;"","Casilla elegida por usuario",IF(S501&gt;1,"Varias casillas — elegir en K",IF(J501&lt;&gt;"","Sugerencia directa",IF(S501=1,"No trasladar directo — revisar",IF(OR(ISNUMBER(SEARCH("TOPE",UPPER(E501))),ISNUMBER(SEARCH("TOPE",UPPER(G501)))),"Solo control","Revisar manualmente"))))),"Revisar manualmente"))</f>
        <v/>
      </c>
      <c r="M501" s="461">
        <f>IF(A501="","",IF(IF(K501&lt;&gt;"",K501,J501)="",0,IF(COUNTIFS(Reglas!$I$5:$I$118,IF(K501&lt;&gt;"",K501,J501),Reglas!$J$5:$J$118,"Sí")=1,F501,0)))</f>
        <v/>
      </c>
      <c r="N501" s="56" t="n"/>
      <c r="O501" s="462">
        <f>IF(A501="","",IF(M501=0,"",M501))</f>
        <v/>
      </c>
      <c r="P501" s="461">
        <f>IF(A501="","",IF(O501="",0,IF(ISNUMBER(O501),O501,0)))</f>
        <v/>
      </c>
      <c r="Q501" s="48">
        <f>IF(A501="","",IF(Exogena_RAW!$C$4="","BLOQUEADO: FALTA AÑO",IF(Exogena_RAW!$K$10&lt;&gt;Reglas!$B$5,"BLOQUEADO: AÑO",IF(IF(K501&lt;&gt;"",K501,J501)="",IF(S501&gt;1,"REQUIERE ASIGNACIÓN MANUAL (VARIAS CASILLAS)","INFORMATIVO (sin casilla — no se declara)"),IF(COUNTIFS(Reglas!$I$5:$I$118,IF(K501&lt;&gt;"",K501,J501),Reglas!$J$5:$J$118,"Sí")=0,"BLOQUEADO: CASILLA NO DIRECTA",IF(O501="","EXCLUIDO (valor borrado por el usuario)",IF(_xlfn.ISFORMULA(O501),IF(W501&lt;&gt;"","BORRADOR — VALOR SUGERIDO DIAN ⚠ VER ALERTA","BORRADOR — VALOR SUGERIDO DIAN"),IF(W501&lt;&gt;"","ACEPTADO ⚠ VER ALERTA","ACEPTADO"))))))))</f>
        <v/>
      </c>
      <c r="R501" s="218" t="n"/>
      <c r="S501" s="58">
        <f>IF(A501="","",IFERROR(--ISNUMBER(SEARCH("R28",G501)),0)+IFERROR(--ISNUMBER(SEARCH("R29",G501)),0)+IFERROR(--ISNUMBER(SEARCH("R30",G501)),0)+IFERROR(--ISNUMBER(SEARCH("R31",G501)),0)+IFERROR(--ISNUMBER(SEARCH("R32",G501)),0)+IFERROR(--ISNUMBER(SEARCH("R33",G501)),0)+IFERROR(--ISNUMBER(SEARCH("R34",G501)),0)+IFERROR(--ISNUMBER(SEARCH("R35",G501)),0)+IFERROR(--ISNUMBER(SEARCH("R36",G501)),0)+IFERROR(--ISNUMBER(SEARCH("R37",G501)),0)+IFERROR(--ISNUMBER(SEARCH("R38",G501)),0)+IFERROR(--ISNUMBER(SEARCH("R39",G501)),0)+IFERROR(--ISNUMBER(SEARCH("R40",G501)),0)+IFERROR(--ISNUMBER(SEARCH("R41",G501)),0)+IFERROR(--ISNUMBER(SEARCH("R42",G501)),0)+IFERROR(--ISNUMBER(SEARCH("R43",G501)),0)+IFERROR(--ISNUMBER(SEARCH("R44",G501)),0)+IFERROR(--ISNUMBER(SEARCH("R45",G501)),0)+IFERROR(--ISNUMBER(SEARCH("R46",G501)),0)+IFERROR(--ISNUMBER(SEARCH("R47",G501)),0)+IFERROR(--ISNUMBER(SEARCH("R48",G501)),0)+IFERROR(--ISNUMBER(SEARCH("R49",G501)),0)+IFERROR(--ISNUMBER(SEARCH("R50",G501)),0)+IFERROR(--ISNUMBER(SEARCH("R51",G501)),0)+IFERROR(--ISNUMBER(SEARCH("R52",G501)),0)+IFERROR(--ISNUMBER(SEARCH("R53",G501)),0)+IFERROR(--ISNUMBER(SEARCH("R54",G501)),0)+IFERROR(--ISNUMBER(SEARCH("R55",G501)),0)+IFERROR(--ISNUMBER(SEARCH("R56",G501)),0)+IFERROR(--ISNUMBER(SEARCH("R57",G501)),0)+IFERROR(--ISNUMBER(SEARCH("R58",G501)),0)+IFERROR(--ISNUMBER(SEARCH("R59",G501)),0)+IFERROR(--ISNUMBER(SEARCH("R60",G501)),0)+IFERROR(--ISNUMBER(SEARCH("R61",G501)),0)+IFERROR(--ISNUMBER(SEARCH("R62",G501)),0)+IFERROR(--ISNUMBER(SEARCH("R63",G501)),0)+IFERROR(--ISNUMBER(SEARCH("R64",G501)),0)+IFERROR(--ISNUMBER(SEARCH("R65",G501)),0)+IFERROR(--ISNUMBER(SEARCH("R66",G501)),0)+IFERROR(--ISNUMBER(SEARCH("R67",G501)),0)+IFERROR(--ISNUMBER(SEARCH("R68",G501)),0)+IFERROR(--ISNUMBER(SEARCH("R69",G501)),0)+IFERROR(--ISNUMBER(SEARCH("R70",G501)),0)+IFERROR(--ISNUMBER(SEARCH("R71",G501)),0)+IFERROR(--ISNUMBER(SEARCH("R72",G501)),0)+IFERROR(--ISNUMBER(SEARCH("R73",G501)),0)+IFERROR(--ISNUMBER(SEARCH("R74",G501)),0)+IFERROR(--ISNUMBER(SEARCH("R75",G501)),0)+IFERROR(--ISNUMBER(SEARCH("R76",G501)),0)+IFERROR(--ISNUMBER(SEARCH("R77",G501)),0)+IFERROR(--ISNUMBER(SEARCH("R78",G501)),0)+IFERROR(--ISNUMBER(SEARCH("R79",G501)),0)+IFERROR(--ISNUMBER(SEARCH("R80",G501)),0)+IFERROR(--ISNUMBER(SEARCH("R81",G501)),0)+IFERROR(--ISNUMBER(SEARCH("R82",G501)),0)+IFERROR(--ISNUMBER(SEARCH("R83",G501)),0)+IFERROR(--ISNUMBER(SEARCH("R84",G501)),0)+IFERROR(--ISNUMBER(SEARCH("R85",G501)),0)+IFERROR(--ISNUMBER(SEARCH("R86",G501)),0)+IFERROR(--ISNUMBER(SEARCH("R87",G501)),0)+IFERROR(--ISNUMBER(SEARCH("R88",G501)),0)+IFERROR(--ISNUMBER(SEARCH("R89",G501)),0)+IFERROR(--ISNUMBER(SEARCH("R90",G501)),0)+IFERROR(--ISNUMBER(SEARCH("R91",G501)),0)+IFERROR(--ISNUMBER(SEARCH("R92",G501)),0)+IFERROR(--ISNUMBER(SEARCH("R93",G501)),0)+IFERROR(--ISNUMBER(SEARCH("R94",G501)),0)+IFERROR(--ISNUMBER(SEARCH("R95",G501)),0)+IFERROR(--ISNUMBER(SEARCH("R96",G501)),0)+IFERROR(--ISNUMBER(SEARCH("R97",G501)),0)+IFERROR(--ISNUMBER(SEARCH("R98",G501)),0)+IFERROR(--ISNUMBER(SEARCH("R99",G501)),0)+IFERROR(--ISNUMBER(SEARCH("R100",G501)),0)+IFERROR(--ISNUMBER(SEARCH("R101",G501)),0)+IFERROR(--ISNUMBER(SEARCH("R102",G501)),0)+IFERROR(--ISNUMBER(SEARCH("R103",G501)),0)+IFERROR(--ISNUMBER(SEARCH("R104",G501)),0)+IFERROR(--ISNUMBER(SEARCH("R105",G501)),0)+IFERROR(--ISNUMBER(SEARCH("R106",G501)),0)+IFERROR(--ISNUMBER(SEARCH("R107",G501)),0)+IFERROR(--ISNUMBER(SEARCH("R108",G501)),0)+IFERROR(--ISNUMBER(SEARCH("R109",G501)),0)+IFERROR(--ISNUMBER(SEARCH("R110",G501)),0)+IFERROR(--ISNUMBER(SEARCH("R111",G501)),0)+IFERROR(--ISNUMBER(SEARCH("R112",G501)),0)+IFERROR(--ISNUMBER(SEARCH("R113",G501)),0)+IFERROR(--ISNUMBER(SEARCH("R114",G501)),0)+IFERROR(--ISNUMBER(SEARCH("R115",G501)),0)+IFERROR(--ISNUMBER(SEARCH("R116",G501)),0)+IFERROR(--ISNUMBER(SEARCH("R117",G501)),0)+IFERROR(--ISNUMBER(SEARCH("R118",G501)),0)+IFERROR(--ISNUMBER(SEARCH("R119",G501)),0)+IFERROR(--ISNUMBER(SEARCH("R120",G501)),0)+IFERROR(--ISNUMBER(SEARCH("R121",G501)),0)+IFERROR(--ISNUMBER(SEARCH("R122",G501)),0)+IFERROR(--ISNUMBER(SEARCH("R123",G501)),0)+IFERROR(--ISNUMBER(SEARCH("R124",G501)),0)+IFERROR(--ISNUMBER(SEARCH("R125",G501)),0)+IFERROR(--ISNUMBER(SEARCH("R126",G501)),0)+IFERROR(--ISNUMBER(SEARCH("R127",G501)),0)+IFERROR(--ISNUMBER(SEARCH("R128",G501)),0)+IFERROR(--ISNUMBER(SEARCH("R129",G501)),0)+IFERROR(--ISNUMBER(SEARCH("R130",G501)),0)+IFERROR(--ISNUMBER(SEARCH("R131",G501)),0)+IFERROR(--ISNUMBER(SEARCH("R132",G501)),0)+IFERROR(--ISNUMBER(SEARCH("R133",G501)),0)+IFERROR(--ISNUMBER(SEARCH("R134",G501)),0)+IFERROR(--ISNUMBER(SEARCH("R135",G501)),0)+IFERROR(--ISNUMBER(SEARCH("R136",G501)),0)+IFERROR(--ISNUMBER(SEARCH("R137",G501)),0)+IFERROR(--ISNUMBER(SEARCH("R138",G501)),0)+IFERROR(--ISNUMBER(SEARCH("R139",G501)),0)+IFERROR(--ISNUMBER(SEARCH("R140",G501)),0)+IFERROR(--ISNUMBER(SEARCH("R141",G501)),0))</f>
        <v/>
      </c>
      <c r="T501" s="58">
        <f>IF(A501="","",IFERROR(--ISNUMBER(SEARCH("R28",G501)),0)+IFERROR(--ISNUMBER(SEARCH("R29",G501)),0)+IFERROR(--ISNUMBER(SEARCH("R30",G501)),0)+IFERROR(--ISNUMBER(SEARCH("R32",G501)),0)+IFERROR(--ISNUMBER(SEARCH("R33",G501)),0)+IFERROR(--ISNUMBER(SEARCH("R35",G501)),0)+IFERROR(--ISNUMBER(SEARCH("R36",G501)),0)+IFERROR(--ISNUMBER(SEARCH("R38",G501)),0)+IFERROR(--ISNUMBER(SEARCH("R39",G501)),0)+IFERROR(--ISNUMBER(SEARCH("R43",G501)),0)+IFERROR(--ISNUMBER(SEARCH("R44",G501)),0)+IFERROR(--ISNUMBER(SEARCH("R45",G501)),0)+IFERROR(--ISNUMBER(SEARCH("R47",G501)),0)+IFERROR(--ISNUMBER(SEARCH("R48",G501)),0)+IFERROR(--ISNUMBER(SEARCH("R50",G501)),0)+IFERROR(--ISNUMBER(SEARCH("R51",G501)),0)+IFERROR(--ISNUMBER(SEARCH("R56",G501)),0)+IFERROR(--ISNUMBER(SEARCH("R58",G501)),0)+IFERROR(--ISNUMBER(SEARCH("R59",G501)),0)+IFERROR(--ISNUMBER(SEARCH("R60",G501)),0)+IFERROR(--ISNUMBER(SEARCH("R62",G501)),0)+IFERROR(--ISNUMBER(SEARCH("R63",G501)),0)+IFERROR(--ISNUMBER(SEARCH("R64",G501)),0)+IFERROR(--ISNUMBER(SEARCH("R66",G501)),0)+IFERROR(--ISNUMBER(SEARCH("R67",G501)),0)+IFERROR(--ISNUMBER(SEARCH("R72",G501)),0)+IFERROR(--ISNUMBER(SEARCH("R74",G501)),0)+IFERROR(--ISNUMBER(SEARCH("R75",G501)),0)+IFERROR(--ISNUMBER(SEARCH("R76",G501)),0)+IFERROR(--ISNUMBER(SEARCH("R77",G501)),0)+IFERROR(--ISNUMBER(SEARCH("R79",G501)),0)+IFERROR(--ISNUMBER(SEARCH("R80",G501)),0)+IFERROR(--ISNUMBER(SEARCH("R81",G501)),0)+IFERROR(--ISNUMBER(SEARCH("R83",G501)),0)+IFERROR(--ISNUMBER(SEARCH("R84",G501)),0)+IFERROR(--ISNUMBER(SEARCH("R89",G501)),0)+IFERROR(--ISNUMBER(SEARCH("R94",G501)),0)+IFERROR(--ISNUMBER(SEARCH("R95",G501)),0)+IFERROR(--ISNUMBER(SEARCH("R96",G501)),0)+IFERROR(--ISNUMBER(SEARCH("R98",G501)),0)+IFERROR(--ISNUMBER(SEARCH("R99",G501)),0)+IFERROR(--ISNUMBER(SEARCH("R100",G501)),0)+IFERROR(--ISNUMBER(SEARCH("R104",G501)),0)+IFERROR(--ISNUMBER(SEARCH("R105",G501)),0)+IFERROR(--ISNUMBER(SEARCH("R107",G501)),0)+IFERROR(--ISNUMBER(SEARCH("R108",G501)),0)+IFERROR(--ISNUMBER(SEARCH("R109",G501)),0)+IFERROR(--ISNUMBER(SEARCH("R110",G501)),0)+IFERROR(--ISNUMBER(SEARCH("R112",G501)),0)+IFERROR(--ISNUMBER(SEARCH("R113",G501)),0)+IFERROR(--ISNUMBER(SEARCH("R114",G501)),0)+IFERROR(--ISNUMBER(SEARCH("R118",G501)),0)+IFERROR(--ISNUMBER(SEARCH("R119",G501)),0)+IFERROR(--ISNUMBER(SEARCH("R120",G501)),0)+IFERROR(--ISNUMBER(SEARCH("R122",G501)),0)+IFERROR(--ISNUMBER(SEARCH("R123",G501)),0)+IFERROR(--ISNUMBER(SEARCH("R124",G501)),0)+IFERROR(--ISNUMBER(SEARCH("R128",G501)),0)+IFERROR(--ISNUMBER(SEARCH("R130",G501)),0)+IFERROR(--ISNUMBER(SEARCH("R131",G501)),0)+IFERROR(--ISNUMBER(SEARCH("R132",G501)),0)+IFERROR(--ISNUMBER(SEARCH("R135",G501)),0)+IFERROR(--ISNUMBER(SEARCH("R138",G501)),0)+IFERROR(--ISNUMBER(SEARCH("R141",G501)),0))</f>
        <v/>
      </c>
      <c r="U501" s="58">
        <f>IF(A501="","",IFERROR(--ISNUMBER(SEARCH("R28",G501))*28,0)+IFERROR(--ISNUMBER(SEARCH("R29",G501))*29,0)+IFERROR(--ISNUMBER(SEARCH("R30",G501))*30,0)+IFERROR(--ISNUMBER(SEARCH("R31",G501))*31,0)+IFERROR(--ISNUMBER(SEARCH("R32",G501))*32,0)+IFERROR(--ISNUMBER(SEARCH("R33",G501))*33,0)+IFERROR(--ISNUMBER(SEARCH("R34",G501))*34,0)+IFERROR(--ISNUMBER(SEARCH("R35",G501))*35,0)+IFERROR(--ISNUMBER(SEARCH("R36",G501))*36,0)+IFERROR(--ISNUMBER(SEARCH("R37",G501))*37,0)+IFERROR(--ISNUMBER(SEARCH("R38",G501))*38,0)+IFERROR(--ISNUMBER(SEARCH("R39",G501))*39,0)+IFERROR(--ISNUMBER(SEARCH("R40",G501))*40,0)+IFERROR(--ISNUMBER(SEARCH("R41",G501))*41,0)+IFERROR(--ISNUMBER(SEARCH("R42",G501))*42,0)+IFERROR(--ISNUMBER(SEARCH("R43",G501))*43,0)+IFERROR(--ISNUMBER(SEARCH("R44",G501))*44,0)+IFERROR(--ISNUMBER(SEARCH("R45",G501))*45,0)+IFERROR(--ISNUMBER(SEARCH("R46",G501))*46,0)+IFERROR(--ISNUMBER(SEARCH("R47",G501))*47,0)+IFERROR(--ISNUMBER(SEARCH("R48",G501))*48,0)+IFERROR(--ISNUMBER(SEARCH("R49",G501))*49,0)+IFERROR(--ISNUMBER(SEARCH("R50",G501))*50,0)+IFERROR(--ISNUMBER(SEARCH("R51",G501))*51,0)+IFERROR(--ISNUMBER(SEARCH("R52",G501))*52,0)+IFERROR(--ISNUMBER(SEARCH("R53",G501))*53,0)+IFERROR(--ISNUMBER(SEARCH("R54",G501))*54,0)+IFERROR(--ISNUMBER(SEARCH("R55",G501))*55,0)+IFERROR(--ISNUMBER(SEARCH("R56",G501))*56,0)+IFERROR(--ISNUMBER(SEARCH("R57",G501))*57,0)+IFERROR(--ISNUMBER(SEARCH("R58",G501))*58,0)+IFERROR(--ISNUMBER(SEARCH("R59",G501))*59,0)+IFERROR(--ISNUMBER(SEARCH("R60",G501))*60,0)+IFERROR(--ISNUMBER(SEARCH("R61",G501))*61,0)+IFERROR(--ISNUMBER(SEARCH("R62",G501))*62,0)+IFERROR(--ISNUMBER(SEARCH("R63",G501))*63,0)+IFERROR(--ISNUMBER(SEARCH("R64",G501))*64,0)+IFERROR(--ISNUMBER(SEARCH("R65",G501))*65,0)+IFERROR(--ISNUMBER(SEARCH("R66",G501))*66,0)+IFERROR(--ISNUMBER(SEARCH("R67",G501))*67,0)+IFERROR(--ISNUMBER(SEARCH("R68",G501))*68,0)+IFERROR(--ISNUMBER(SEARCH("R69",G501))*69,0)+IFERROR(--ISNUMBER(SEARCH("R70",G501))*70,0)+IFERROR(--ISNUMBER(SEARCH("R71",G501))*71,0)+IFERROR(--ISNUMBER(SEARCH("R72",G501))*72,0)+IFERROR(--ISNUMBER(SEARCH("R73",G501))*73,0)+IFERROR(--ISNUMBER(SEARCH("R74",G501))*74,0)+IFERROR(--ISNUMBER(SEARCH("R75",G501))*75,0)+IFERROR(--ISNUMBER(SEARCH("R76",G501))*76,0)+IFERROR(--ISNUMBER(SEARCH("R77",G501))*77,0)+IFERROR(--ISNUMBER(SEARCH("R78",G501))*78,0)+IFERROR(--ISNUMBER(SEARCH("R79",G501))*79,0)+IFERROR(--ISNUMBER(SEARCH("R80",G501))*80,0)+IFERROR(--ISNUMBER(SEARCH("R81",G501))*81,0)+IFERROR(--ISNUMBER(SEARCH("R82",G501))*82,0)+IFERROR(--ISNUMBER(SEARCH("R83",G501))*83,0)+IFERROR(--ISNUMBER(SEARCH("R84",G501))*84,0)+IFERROR(--ISNUMBER(SEARCH("R85",G501))*85,0)+IFERROR(--ISNUMBER(SEARCH("R86",G501))*86,0)+IFERROR(--ISNUMBER(SEARCH("R87",G501))*87,0)+IFERROR(--ISNUMBER(SEARCH("R88",G501))*88,0)+IFERROR(--ISNUMBER(SEARCH("R89",G501))*89,0)+IFERROR(--ISNUMBER(SEARCH("R90",G501))*90,0)+IFERROR(--ISNUMBER(SEARCH("R91",G501))*91,0)+IFERROR(--ISNUMBER(SEARCH("R92",G501))*92,0)+IFERROR(--ISNUMBER(SEARCH("R93",G501))*93,0)+IFERROR(--ISNUMBER(SEARCH("R94",G501))*94,0)+IFERROR(--ISNUMBER(SEARCH("R95",G501))*95,0)+IFERROR(--ISNUMBER(SEARCH("R96",G501))*96,0)+IFERROR(--ISNUMBER(SEARCH("R97",G501))*97,0)+IFERROR(--ISNUMBER(SEARCH("R98",G501))*98,0)+IFERROR(--ISNUMBER(SEARCH("R99",G501))*99,0)+IFERROR(--ISNUMBER(SEARCH("R100",G501))*100,0)+IFERROR(--ISNUMBER(SEARCH("R101",G501))*101,0)+IFERROR(--ISNUMBER(SEARCH("R102",G501))*102,0)+IFERROR(--ISNUMBER(SEARCH("R103",G501))*103,0)+IFERROR(--ISNUMBER(SEARCH("R104",G501))*104,0)+IFERROR(--ISNUMBER(SEARCH("R105",G501))*105,0)+IFERROR(--ISNUMBER(SEARCH("R106",G501))*106,0)+IFERROR(--ISNUMBER(SEARCH("R107",G501))*107,0)+IFERROR(--ISNUMBER(SEARCH("R108",G501))*108,0)+IFERROR(--ISNUMBER(SEARCH("R109",G501))*109,0)+IFERROR(--ISNUMBER(SEARCH("R110",G501))*110,0)+IFERROR(--ISNUMBER(SEARCH("R111",G501))*111,0)+IFERROR(--ISNUMBER(SEARCH("R112",G501))*112,0)+IFERROR(--ISNUMBER(SEARCH("R113",G501))*113,0)+IFERROR(--ISNUMBER(SEARCH("R114",G501))*114,0)+IFERROR(--ISNUMBER(SEARCH("R115",G501))*115,0)+IFERROR(--ISNUMBER(SEARCH("R116",G501))*116,0)+IFERROR(--ISNUMBER(SEARCH("R117",G501))*117,0)+IFERROR(--ISNUMBER(SEARCH("R118",G501))*118,0)+IFERROR(--ISNUMBER(SEARCH("R119",G501))*119,0)+IFERROR(--ISNUMBER(SEARCH("R120",G501))*120,0)+IFERROR(--ISNUMBER(SEARCH("R121",G501))*121,0)+IFERROR(--ISNUMBER(SEARCH("R122",G501))*122,0)+IFERROR(--ISNUMBER(SEARCH("R123",G501))*123,0)+IFERROR(--ISNUMBER(SEARCH("R124",G501))*124,0)+IFERROR(--ISNUMBER(SEARCH("R125",G501))*125,0)+IFERROR(--ISNUMBER(SEARCH("R126",G501))*126,0)+IFERROR(--ISNUMBER(SEARCH("R127",G501))*127,0)+IFERROR(--ISNUMBER(SEARCH("R128",G501))*128,0)+IFERROR(--ISNUMBER(SEARCH("R129",G501))*129,0)+IFERROR(--ISNUMBER(SEARCH("R130",G501))*130,0)+IFERROR(--ISNUMBER(SEARCH("R131",G501))*131,0)+IFERROR(--ISNUMBER(SEARCH("R132",G501))*132,0)+IFERROR(--ISNUMBER(SEARCH("R133",G501))*133,0)+IFERROR(--ISNUMBER(SEARCH("R134",G501))*134,0)+IFERROR(--ISNUMBER(SEARCH("R135",G501))*135,0)+IFERROR(--ISNUMBER(SEARCH("R136",G501))*136,0)+IFERROR(--ISNUMBER(SEARCH("R137",G501))*137,0)+IFERROR(--ISNUMBER(SEARCH("R138",G501))*138,0)+IFERROR(--ISNUMBER(SEARCH("R139",G501))*139,0)+IFERROR(--ISNUMBER(SEARCH("R140",G501))*140,0)+IFERROR(--ISNUMBER(SEARCH("R141",G501))*141,0))</f>
        <v/>
      </c>
      <c r="V501" s="59">
        <f>IF(A501="","",IF(K501&lt;&gt;"",K501,J501))</f>
        <v/>
      </c>
      <c r="W501" s="59">
        <f>IF(A501="","",IF(AND(V501=29,O501&lt;&gt;"",COUNTIFS($V$6:$V$505,29,$F$6:$F$505,F501,$C$6:$C$505,C501,$O$6:$O$505,"&lt;&gt;")&gt;1),IF(COUNTIFS($V$6:V501,29,$F$6:F501,F501,$C$6:C501,C501,$O$6:O501,"&lt;&gt;")=1,"Esta es la fila que se debe CONSERVAR (aparición 1 de "&amp;COUNTIFS($V$6:$V$505,29,$F$6:$F$505,F501,$C$6:$C$505,C501,$O$6:$O$505,"&lt;&gt;")&amp;" con el mismo tercero y valor, casilla 29). Si hay más filas iguales, bórreles el valor a ELLAS, no a esta.","DUPLICADO — ya existe otra fila con el mismo tercero y valor para casilla 29 (aparición "&amp;COUNTIFS($V$6:V501,29,$F$6:F501,F501,$C$6:C501,C501,$O$6:O501,"&lt;&gt;")&amp;" de "&amp;COUNTIFS($V$6:$V$505,29,$F$6:$F$505,F501,$C$6:$C$505,C501,$O$6:$O$505,"&lt;&gt;")&amp;"). Para resolverlo: seleccione la celda O"&amp;ROW()&amp;" (columna Valor a declarar de ESTA fila) y presione Supr."),""))</f>
        <v/>
      </c>
      <c r="X501" s="463">
        <f>IF(A501="","",F501)</f>
        <v/>
      </c>
      <c r="Y501" s="463">
        <f>IF(A501="","",SUMIF(Entrada_Manual!$I$88:$I$187,A501,Entrada_Manual!$F$88:$F$187))</f>
        <v/>
      </c>
      <c r="Z501" s="463">
        <f>IF(A501="","",X501-Y501)</f>
        <v/>
      </c>
      <c r="AA501">
        <f>IF(A501="","",SUMPRODUCT((Entrada_Manual!$I$88:$I$187=A501)*1))</f>
        <v/>
      </c>
      <c r="AB501">
        <f>IF(A501="","",IF(S501&lt;=1,"",IF(AA501=0,"PENDIENTE — SIN ASIGNAR",IF(Z501=0,"RESUELTO","PARCIAL — DIFERENCIA "&amp;TEXT(Z501,"#,##0")))))</f>
        <v/>
      </c>
    </row>
    <row r="502" ht="14.25" customHeight="1" s="235">
      <c r="A502" s="47">
        <f>IF(Exogena_RAW!E511&lt;&gt;"",ROW()-5,"")</f>
        <v/>
      </c>
      <c r="B502" s="48">
        <f>IF(A502="","",511)</f>
        <v/>
      </c>
      <c r="C502" s="48">
        <f>IF(A502="","",IFERROR(Exogena_RAW!A511,""))</f>
        <v/>
      </c>
      <c r="D502" s="48">
        <f>IF(A502="","",IFERROR(Exogena_RAW!B511,""))</f>
        <v/>
      </c>
      <c r="E502" s="48">
        <f>IF(A502="","",Exogena_RAW!E511)</f>
        <v/>
      </c>
      <c r="F502" s="461">
        <f>IF(A502="","",Exogena_RAW!F511)</f>
        <v/>
      </c>
      <c r="G502" s="48">
        <f>IF(A502="","",IFERROR(Exogena_RAW!G511,""))</f>
        <v/>
      </c>
      <c r="H502" s="48">
        <f>IF(A502="","",IFERROR(Exogena_RAW!H511,""))</f>
        <v/>
      </c>
      <c r="I502" s="48">
        <f>IF(A502="","",IFERROR(IF(S502&gt;1,"VARIAS CASILLAS",IF(S502=1,IF(T502=1,"PROPUESTA DE CASILLA","REVISIÓN: CASILLA NO DIRECTA"),IF(OR(ISNUMBER(SEARCH("TOPE",UPPER(E502))),ISNUMBER(SEARCH("TOPE",UPPER(G502)))),"SOLO CONTROL",IF(ISNUMBER(SEARCH("RETEN",UPPER(E502))),"RETENCIÓN","REVISAR")))),"REVISAR"))</f>
        <v/>
      </c>
      <c r="J502" s="48">
        <f>IF(A502="","",IF(ISNUMBER(SEARCH("ingreso laboral promedio de los últimos seis meses",E502)),"",IFERROR(IF(AND(S502=1,T502=1),U502,""),"")))</f>
        <v/>
      </c>
      <c r="K502" s="216" t="n"/>
      <c r="L502" s="48">
        <f>IF(A502="","",IFERROR(IF(K502&lt;&gt;"","Casilla elegida por usuario",IF(S502&gt;1,"Varias casillas — elegir en K",IF(J502&lt;&gt;"","Sugerencia directa",IF(S502=1,"No trasladar directo — revisar",IF(OR(ISNUMBER(SEARCH("TOPE",UPPER(E502))),ISNUMBER(SEARCH("TOPE",UPPER(G502)))),"Solo control","Revisar manualmente"))))),"Revisar manualmente"))</f>
        <v/>
      </c>
      <c r="M502" s="461">
        <f>IF(A502="","",IF(IF(K502&lt;&gt;"",K502,J502)="",0,IF(COUNTIFS(Reglas!$I$5:$I$118,IF(K502&lt;&gt;"",K502,J502),Reglas!$J$5:$J$118,"Sí")=1,F502,0)))</f>
        <v/>
      </c>
      <c r="N502" s="56" t="n"/>
      <c r="O502" s="462">
        <f>IF(A502="","",IF(M502=0,"",M502))</f>
        <v/>
      </c>
      <c r="P502" s="461">
        <f>IF(A502="","",IF(O502="",0,IF(ISNUMBER(O502),O502,0)))</f>
        <v/>
      </c>
      <c r="Q502" s="48">
        <f>IF(A502="","",IF(Exogena_RAW!$C$4="","BLOQUEADO: FALTA AÑO",IF(Exogena_RAW!$K$10&lt;&gt;Reglas!$B$5,"BLOQUEADO: AÑO",IF(IF(K502&lt;&gt;"",K502,J502)="",IF(S502&gt;1,"REQUIERE ASIGNACIÓN MANUAL (VARIAS CASILLAS)","INFORMATIVO (sin casilla — no se declara)"),IF(COUNTIFS(Reglas!$I$5:$I$118,IF(K502&lt;&gt;"",K502,J502),Reglas!$J$5:$J$118,"Sí")=0,"BLOQUEADO: CASILLA NO DIRECTA",IF(O502="","EXCLUIDO (valor borrado por el usuario)",IF(_xlfn.ISFORMULA(O502),IF(W502&lt;&gt;"","BORRADOR — VALOR SUGERIDO DIAN ⚠ VER ALERTA","BORRADOR — VALOR SUGERIDO DIAN"),IF(W502&lt;&gt;"","ACEPTADO ⚠ VER ALERTA","ACEPTADO"))))))))</f>
        <v/>
      </c>
      <c r="R502" s="218" t="n"/>
      <c r="S502" s="58">
        <f>IF(A502="","",IFERROR(--ISNUMBER(SEARCH("R28",G502)),0)+IFERROR(--ISNUMBER(SEARCH("R29",G502)),0)+IFERROR(--ISNUMBER(SEARCH("R30",G502)),0)+IFERROR(--ISNUMBER(SEARCH("R31",G502)),0)+IFERROR(--ISNUMBER(SEARCH("R32",G502)),0)+IFERROR(--ISNUMBER(SEARCH("R33",G502)),0)+IFERROR(--ISNUMBER(SEARCH("R34",G502)),0)+IFERROR(--ISNUMBER(SEARCH("R35",G502)),0)+IFERROR(--ISNUMBER(SEARCH("R36",G502)),0)+IFERROR(--ISNUMBER(SEARCH("R37",G502)),0)+IFERROR(--ISNUMBER(SEARCH("R38",G502)),0)+IFERROR(--ISNUMBER(SEARCH("R39",G502)),0)+IFERROR(--ISNUMBER(SEARCH("R40",G502)),0)+IFERROR(--ISNUMBER(SEARCH("R41",G502)),0)+IFERROR(--ISNUMBER(SEARCH("R42",G502)),0)+IFERROR(--ISNUMBER(SEARCH("R43",G502)),0)+IFERROR(--ISNUMBER(SEARCH("R44",G502)),0)+IFERROR(--ISNUMBER(SEARCH("R45",G502)),0)+IFERROR(--ISNUMBER(SEARCH("R46",G502)),0)+IFERROR(--ISNUMBER(SEARCH("R47",G502)),0)+IFERROR(--ISNUMBER(SEARCH("R48",G502)),0)+IFERROR(--ISNUMBER(SEARCH("R49",G502)),0)+IFERROR(--ISNUMBER(SEARCH("R50",G502)),0)+IFERROR(--ISNUMBER(SEARCH("R51",G502)),0)+IFERROR(--ISNUMBER(SEARCH("R52",G502)),0)+IFERROR(--ISNUMBER(SEARCH("R53",G502)),0)+IFERROR(--ISNUMBER(SEARCH("R54",G502)),0)+IFERROR(--ISNUMBER(SEARCH("R55",G502)),0)+IFERROR(--ISNUMBER(SEARCH("R56",G502)),0)+IFERROR(--ISNUMBER(SEARCH("R57",G502)),0)+IFERROR(--ISNUMBER(SEARCH("R58",G502)),0)+IFERROR(--ISNUMBER(SEARCH("R59",G502)),0)+IFERROR(--ISNUMBER(SEARCH("R60",G502)),0)+IFERROR(--ISNUMBER(SEARCH("R61",G502)),0)+IFERROR(--ISNUMBER(SEARCH("R62",G502)),0)+IFERROR(--ISNUMBER(SEARCH("R63",G502)),0)+IFERROR(--ISNUMBER(SEARCH("R64",G502)),0)+IFERROR(--ISNUMBER(SEARCH("R65",G502)),0)+IFERROR(--ISNUMBER(SEARCH("R66",G502)),0)+IFERROR(--ISNUMBER(SEARCH("R67",G502)),0)+IFERROR(--ISNUMBER(SEARCH("R68",G502)),0)+IFERROR(--ISNUMBER(SEARCH("R69",G502)),0)+IFERROR(--ISNUMBER(SEARCH("R70",G502)),0)+IFERROR(--ISNUMBER(SEARCH("R71",G502)),0)+IFERROR(--ISNUMBER(SEARCH("R72",G502)),0)+IFERROR(--ISNUMBER(SEARCH("R73",G502)),0)+IFERROR(--ISNUMBER(SEARCH("R74",G502)),0)+IFERROR(--ISNUMBER(SEARCH("R75",G502)),0)+IFERROR(--ISNUMBER(SEARCH("R76",G502)),0)+IFERROR(--ISNUMBER(SEARCH("R77",G502)),0)+IFERROR(--ISNUMBER(SEARCH("R78",G502)),0)+IFERROR(--ISNUMBER(SEARCH("R79",G502)),0)+IFERROR(--ISNUMBER(SEARCH("R80",G502)),0)+IFERROR(--ISNUMBER(SEARCH("R81",G502)),0)+IFERROR(--ISNUMBER(SEARCH("R82",G502)),0)+IFERROR(--ISNUMBER(SEARCH("R83",G502)),0)+IFERROR(--ISNUMBER(SEARCH("R84",G502)),0)+IFERROR(--ISNUMBER(SEARCH("R85",G502)),0)+IFERROR(--ISNUMBER(SEARCH("R86",G502)),0)+IFERROR(--ISNUMBER(SEARCH("R87",G502)),0)+IFERROR(--ISNUMBER(SEARCH("R88",G502)),0)+IFERROR(--ISNUMBER(SEARCH("R89",G502)),0)+IFERROR(--ISNUMBER(SEARCH("R90",G502)),0)+IFERROR(--ISNUMBER(SEARCH("R91",G502)),0)+IFERROR(--ISNUMBER(SEARCH("R92",G502)),0)+IFERROR(--ISNUMBER(SEARCH("R93",G502)),0)+IFERROR(--ISNUMBER(SEARCH("R94",G502)),0)+IFERROR(--ISNUMBER(SEARCH("R95",G502)),0)+IFERROR(--ISNUMBER(SEARCH("R96",G502)),0)+IFERROR(--ISNUMBER(SEARCH("R97",G502)),0)+IFERROR(--ISNUMBER(SEARCH("R98",G502)),0)+IFERROR(--ISNUMBER(SEARCH("R99",G502)),0)+IFERROR(--ISNUMBER(SEARCH("R100",G502)),0)+IFERROR(--ISNUMBER(SEARCH("R101",G502)),0)+IFERROR(--ISNUMBER(SEARCH("R102",G502)),0)+IFERROR(--ISNUMBER(SEARCH("R103",G502)),0)+IFERROR(--ISNUMBER(SEARCH("R104",G502)),0)+IFERROR(--ISNUMBER(SEARCH("R105",G502)),0)+IFERROR(--ISNUMBER(SEARCH("R106",G502)),0)+IFERROR(--ISNUMBER(SEARCH("R107",G502)),0)+IFERROR(--ISNUMBER(SEARCH("R108",G502)),0)+IFERROR(--ISNUMBER(SEARCH("R109",G502)),0)+IFERROR(--ISNUMBER(SEARCH("R110",G502)),0)+IFERROR(--ISNUMBER(SEARCH("R111",G502)),0)+IFERROR(--ISNUMBER(SEARCH("R112",G502)),0)+IFERROR(--ISNUMBER(SEARCH("R113",G502)),0)+IFERROR(--ISNUMBER(SEARCH("R114",G502)),0)+IFERROR(--ISNUMBER(SEARCH("R115",G502)),0)+IFERROR(--ISNUMBER(SEARCH("R116",G502)),0)+IFERROR(--ISNUMBER(SEARCH("R117",G502)),0)+IFERROR(--ISNUMBER(SEARCH("R118",G502)),0)+IFERROR(--ISNUMBER(SEARCH("R119",G502)),0)+IFERROR(--ISNUMBER(SEARCH("R120",G502)),0)+IFERROR(--ISNUMBER(SEARCH("R121",G502)),0)+IFERROR(--ISNUMBER(SEARCH("R122",G502)),0)+IFERROR(--ISNUMBER(SEARCH("R123",G502)),0)+IFERROR(--ISNUMBER(SEARCH("R124",G502)),0)+IFERROR(--ISNUMBER(SEARCH("R125",G502)),0)+IFERROR(--ISNUMBER(SEARCH("R126",G502)),0)+IFERROR(--ISNUMBER(SEARCH("R127",G502)),0)+IFERROR(--ISNUMBER(SEARCH("R128",G502)),0)+IFERROR(--ISNUMBER(SEARCH("R129",G502)),0)+IFERROR(--ISNUMBER(SEARCH("R130",G502)),0)+IFERROR(--ISNUMBER(SEARCH("R131",G502)),0)+IFERROR(--ISNUMBER(SEARCH("R132",G502)),0)+IFERROR(--ISNUMBER(SEARCH("R133",G502)),0)+IFERROR(--ISNUMBER(SEARCH("R134",G502)),0)+IFERROR(--ISNUMBER(SEARCH("R135",G502)),0)+IFERROR(--ISNUMBER(SEARCH("R136",G502)),0)+IFERROR(--ISNUMBER(SEARCH("R137",G502)),0)+IFERROR(--ISNUMBER(SEARCH("R138",G502)),0)+IFERROR(--ISNUMBER(SEARCH("R139",G502)),0)+IFERROR(--ISNUMBER(SEARCH("R140",G502)),0)+IFERROR(--ISNUMBER(SEARCH("R141",G502)),0))</f>
        <v/>
      </c>
      <c r="T502" s="58">
        <f>IF(A502="","",IFERROR(--ISNUMBER(SEARCH("R28",G502)),0)+IFERROR(--ISNUMBER(SEARCH("R29",G502)),0)+IFERROR(--ISNUMBER(SEARCH("R30",G502)),0)+IFERROR(--ISNUMBER(SEARCH("R32",G502)),0)+IFERROR(--ISNUMBER(SEARCH("R33",G502)),0)+IFERROR(--ISNUMBER(SEARCH("R35",G502)),0)+IFERROR(--ISNUMBER(SEARCH("R36",G502)),0)+IFERROR(--ISNUMBER(SEARCH("R38",G502)),0)+IFERROR(--ISNUMBER(SEARCH("R39",G502)),0)+IFERROR(--ISNUMBER(SEARCH("R43",G502)),0)+IFERROR(--ISNUMBER(SEARCH("R44",G502)),0)+IFERROR(--ISNUMBER(SEARCH("R45",G502)),0)+IFERROR(--ISNUMBER(SEARCH("R47",G502)),0)+IFERROR(--ISNUMBER(SEARCH("R48",G502)),0)+IFERROR(--ISNUMBER(SEARCH("R50",G502)),0)+IFERROR(--ISNUMBER(SEARCH("R51",G502)),0)+IFERROR(--ISNUMBER(SEARCH("R56",G502)),0)+IFERROR(--ISNUMBER(SEARCH("R58",G502)),0)+IFERROR(--ISNUMBER(SEARCH("R59",G502)),0)+IFERROR(--ISNUMBER(SEARCH("R60",G502)),0)+IFERROR(--ISNUMBER(SEARCH("R62",G502)),0)+IFERROR(--ISNUMBER(SEARCH("R63",G502)),0)+IFERROR(--ISNUMBER(SEARCH("R64",G502)),0)+IFERROR(--ISNUMBER(SEARCH("R66",G502)),0)+IFERROR(--ISNUMBER(SEARCH("R67",G502)),0)+IFERROR(--ISNUMBER(SEARCH("R72",G502)),0)+IFERROR(--ISNUMBER(SEARCH("R74",G502)),0)+IFERROR(--ISNUMBER(SEARCH("R75",G502)),0)+IFERROR(--ISNUMBER(SEARCH("R76",G502)),0)+IFERROR(--ISNUMBER(SEARCH("R77",G502)),0)+IFERROR(--ISNUMBER(SEARCH("R79",G502)),0)+IFERROR(--ISNUMBER(SEARCH("R80",G502)),0)+IFERROR(--ISNUMBER(SEARCH("R81",G502)),0)+IFERROR(--ISNUMBER(SEARCH("R83",G502)),0)+IFERROR(--ISNUMBER(SEARCH("R84",G502)),0)+IFERROR(--ISNUMBER(SEARCH("R89",G502)),0)+IFERROR(--ISNUMBER(SEARCH("R94",G502)),0)+IFERROR(--ISNUMBER(SEARCH("R95",G502)),0)+IFERROR(--ISNUMBER(SEARCH("R96",G502)),0)+IFERROR(--ISNUMBER(SEARCH("R98",G502)),0)+IFERROR(--ISNUMBER(SEARCH("R99",G502)),0)+IFERROR(--ISNUMBER(SEARCH("R100",G502)),0)+IFERROR(--ISNUMBER(SEARCH("R104",G502)),0)+IFERROR(--ISNUMBER(SEARCH("R105",G502)),0)+IFERROR(--ISNUMBER(SEARCH("R107",G502)),0)+IFERROR(--ISNUMBER(SEARCH("R108",G502)),0)+IFERROR(--ISNUMBER(SEARCH("R109",G502)),0)+IFERROR(--ISNUMBER(SEARCH("R110",G502)),0)+IFERROR(--ISNUMBER(SEARCH("R112",G502)),0)+IFERROR(--ISNUMBER(SEARCH("R113",G502)),0)+IFERROR(--ISNUMBER(SEARCH("R114",G502)),0)+IFERROR(--ISNUMBER(SEARCH("R118",G502)),0)+IFERROR(--ISNUMBER(SEARCH("R119",G502)),0)+IFERROR(--ISNUMBER(SEARCH("R120",G502)),0)+IFERROR(--ISNUMBER(SEARCH("R122",G502)),0)+IFERROR(--ISNUMBER(SEARCH("R123",G502)),0)+IFERROR(--ISNUMBER(SEARCH("R124",G502)),0)+IFERROR(--ISNUMBER(SEARCH("R128",G502)),0)+IFERROR(--ISNUMBER(SEARCH("R130",G502)),0)+IFERROR(--ISNUMBER(SEARCH("R131",G502)),0)+IFERROR(--ISNUMBER(SEARCH("R132",G502)),0)+IFERROR(--ISNUMBER(SEARCH("R135",G502)),0)+IFERROR(--ISNUMBER(SEARCH("R138",G502)),0)+IFERROR(--ISNUMBER(SEARCH("R141",G502)),0))</f>
        <v/>
      </c>
      <c r="U502" s="58">
        <f>IF(A502="","",IFERROR(--ISNUMBER(SEARCH("R28",G502))*28,0)+IFERROR(--ISNUMBER(SEARCH("R29",G502))*29,0)+IFERROR(--ISNUMBER(SEARCH("R30",G502))*30,0)+IFERROR(--ISNUMBER(SEARCH("R31",G502))*31,0)+IFERROR(--ISNUMBER(SEARCH("R32",G502))*32,0)+IFERROR(--ISNUMBER(SEARCH("R33",G502))*33,0)+IFERROR(--ISNUMBER(SEARCH("R34",G502))*34,0)+IFERROR(--ISNUMBER(SEARCH("R35",G502))*35,0)+IFERROR(--ISNUMBER(SEARCH("R36",G502))*36,0)+IFERROR(--ISNUMBER(SEARCH("R37",G502))*37,0)+IFERROR(--ISNUMBER(SEARCH("R38",G502))*38,0)+IFERROR(--ISNUMBER(SEARCH("R39",G502))*39,0)+IFERROR(--ISNUMBER(SEARCH("R40",G502))*40,0)+IFERROR(--ISNUMBER(SEARCH("R41",G502))*41,0)+IFERROR(--ISNUMBER(SEARCH("R42",G502))*42,0)+IFERROR(--ISNUMBER(SEARCH("R43",G502))*43,0)+IFERROR(--ISNUMBER(SEARCH("R44",G502))*44,0)+IFERROR(--ISNUMBER(SEARCH("R45",G502))*45,0)+IFERROR(--ISNUMBER(SEARCH("R46",G502))*46,0)+IFERROR(--ISNUMBER(SEARCH("R47",G502))*47,0)+IFERROR(--ISNUMBER(SEARCH("R48",G502))*48,0)+IFERROR(--ISNUMBER(SEARCH("R49",G502))*49,0)+IFERROR(--ISNUMBER(SEARCH("R50",G502))*50,0)+IFERROR(--ISNUMBER(SEARCH("R51",G502))*51,0)+IFERROR(--ISNUMBER(SEARCH("R52",G502))*52,0)+IFERROR(--ISNUMBER(SEARCH("R53",G502))*53,0)+IFERROR(--ISNUMBER(SEARCH("R54",G502))*54,0)+IFERROR(--ISNUMBER(SEARCH("R55",G502))*55,0)+IFERROR(--ISNUMBER(SEARCH("R56",G502))*56,0)+IFERROR(--ISNUMBER(SEARCH("R57",G502))*57,0)+IFERROR(--ISNUMBER(SEARCH("R58",G502))*58,0)+IFERROR(--ISNUMBER(SEARCH("R59",G502))*59,0)+IFERROR(--ISNUMBER(SEARCH("R60",G502))*60,0)+IFERROR(--ISNUMBER(SEARCH("R61",G502))*61,0)+IFERROR(--ISNUMBER(SEARCH("R62",G502))*62,0)+IFERROR(--ISNUMBER(SEARCH("R63",G502))*63,0)+IFERROR(--ISNUMBER(SEARCH("R64",G502))*64,0)+IFERROR(--ISNUMBER(SEARCH("R65",G502))*65,0)+IFERROR(--ISNUMBER(SEARCH("R66",G502))*66,0)+IFERROR(--ISNUMBER(SEARCH("R67",G502))*67,0)+IFERROR(--ISNUMBER(SEARCH("R68",G502))*68,0)+IFERROR(--ISNUMBER(SEARCH("R69",G502))*69,0)+IFERROR(--ISNUMBER(SEARCH("R70",G502))*70,0)+IFERROR(--ISNUMBER(SEARCH("R71",G502))*71,0)+IFERROR(--ISNUMBER(SEARCH("R72",G502))*72,0)+IFERROR(--ISNUMBER(SEARCH("R73",G502))*73,0)+IFERROR(--ISNUMBER(SEARCH("R74",G502))*74,0)+IFERROR(--ISNUMBER(SEARCH("R75",G502))*75,0)+IFERROR(--ISNUMBER(SEARCH("R76",G502))*76,0)+IFERROR(--ISNUMBER(SEARCH("R77",G502))*77,0)+IFERROR(--ISNUMBER(SEARCH("R78",G502))*78,0)+IFERROR(--ISNUMBER(SEARCH("R79",G502))*79,0)+IFERROR(--ISNUMBER(SEARCH("R80",G502))*80,0)+IFERROR(--ISNUMBER(SEARCH("R81",G502))*81,0)+IFERROR(--ISNUMBER(SEARCH("R82",G502))*82,0)+IFERROR(--ISNUMBER(SEARCH("R83",G502))*83,0)+IFERROR(--ISNUMBER(SEARCH("R84",G502))*84,0)+IFERROR(--ISNUMBER(SEARCH("R85",G502))*85,0)+IFERROR(--ISNUMBER(SEARCH("R86",G502))*86,0)+IFERROR(--ISNUMBER(SEARCH("R87",G502))*87,0)+IFERROR(--ISNUMBER(SEARCH("R88",G502))*88,0)+IFERROR(--ISNUMBER(SEARCH("R89",G502))*89,0)+IFERROR(--ISNUMBER(SEARCH("R90",G502))*90,0)+IFERROR(--ISNUMBER(SEARCH("R91",G502))*91,0)+IFERROR(--ISNUMBER(SEARCH("R92",G502))*92,0)+IFERROR(--ISNUMBER(SEARCH("R93",G502))*93,0)+IFERROR(--ISNUMBER(SEARCH("R94",G502))*94,0)+IFERROR(--ISNUMBER(SEARCH("R95",G502))*95,0)+IFERROR(--ISNUMBER(SEARCH("R96",G502))*96,0)+IFERROR(--ISNUMBER(SEARCH("R97",G502))*97,0)+IFERROR(--ISNUMBER(SEARCH("R98",G502))*98,0)+IFERROR(--ISNUMBER(SEARCH("R99",G502))*99,0)+IFERROR(--ISNUMBER(SEARCH("R100",G502))*100,0)+IFERROR(--ISNUMBER(SEARCH("R101",G502))*101,0)+IFERROR(--ISNUMBER(SEARCH("R102",G502))*102,0)+IFERROR(--ISNUMBER(SEARCH("R103",G502))*103,0)+IFERROR(--ISNUMBER(SEARCH("R104",G502))*104,0)+IFERROR(--ISNUMBER(SEARCH("R105",G502))*105,0)+IFERROR(--ISNUMBER(SEARCH("R106",G502))*106,0)+IFERROR(--ISNUMBER(SEARCH("R107",G502))*107,0)+IFERROR(--ISNUMBER(SEARCH("R108",G502))*108,0)+IFERROR(--ISNUMBER(SEARCH("R109",G502))*109,0)+IFERROR(--ISNUMBER(SEARCH("R110",G502))*110,0)+IFERROR(--ISNUMBER(SEARCH("R111",G502))*111,0)+IFERROR(--ISNUMBER(SEARCH("R112",G502))*112,0)+IFERROR(--ISNUMBER(SEARCH("R113",G502))*113,0)+IFERROR(--ISNUMBER(SEARCH("R114",G502))*114,0)+IFERROR(--ISNUMBER(SEARCH("R115",G502))*115,0)+IFERROR(--ISNUMBER(SEARCH("R116",G502))*116,0)+IFERROR(--ISNUMBER(SEARCH("R117",G502))*117,0)+IFERROR(--ISNUMBER(SEARCH("R118",G502))*118,0)+IFERROR(--ISNUMBER(SEARCH("R119",G502))*119,0)+IFERROR(--ISNUMBER(SEARCH("R120",G502))*120,0)+IFERROR(--ISNUMBER(SEARCH("R121",G502))*121,0)+IFERROR(--ISNUMBER(SEARCH("R122",G502))*122,0)+IFERROR(--ISNUMBER(SEARCH("R123",G502))*123,0)+IFERROR(--ISNUMBER(SEARCH("R124",G502))*124,0)+IFERROR(--ISNUMBER(SEARCH("R125",G502))*125,0)+IFERROR(--ISNUMBER(SEARCH("R126",G502))*126,0)+IFERROR(--ISNUMBER(SEARCH("R127",G502))*127,0)+IFERROR(--ISNUMBER(SEARCH("R128",G502))*128,0)+IFERROR(--ISNUMBER(SEARCH("R129",G502))*129,0)+IFERROR(--ISNUMBER(SEARCH("R130",G502))*130,0)+IFERROR(--ISNUMBER(SEARCH("R131",G502))*131,0)+IFERROR(--ISNUMBER(SEARCH("R132",G502))*132,0)+IFERROR(--ISNUMBER(SEARCH("R133",G502))*133,0)+IFERROR(--ISNUMBER(SEARCH("R134",G502))*134,0)+IFERROR(--ISNUMBER(SEARCH("R135",G502))*135,0)+IFERROR(--ISNUMBER(SEARCH("R136",G502))*136,0)+IFERROR(--ISNUMBER(SEARCH("R137",G502))*137,0)+IFERROR(--ISNUMBER(SEARCH("R138",G502))*138,0)+IFERROR(--ISNUMBER(SEARCH("R139",G502))*139,0)+IFERROR(--ISNUMBER(SEARCH("R140",G502))*140,0)+IFERROR(--ISNUMBER(SEARCH("R141",G502))*141,0))</f>
        <v/>
      </c>
      <c r="V502" s="59">
        <f>IF(A502="","",IF(K502&lt;&gt;"",K502,J502))</f>
        <v/>
      </c>
      <c r="W502" s="59">
        <f>IF(A502="","",IF(AND(V502=29,O502&lt;&gt;"",COUNTIFS($V$6:$V$505,29,$F$6:$F$505,F502,$C$6:$C$505,C502,$O$6:$O$505,"&lt;&gt;")&gt;1),IF(COUNTIFS($V$6:V502,29,$F$6:F502,F502,$C$6:C502,C502,$O$6:O502,"&lt;&gt;")=1,"Esta es la fila que se debe CONSERVAR (aparición 1 de "&amp;COUNTIFS($V$6:$V$505,29,$F$6:$F$505,F502,$C$6:$C$505,C502,$O$6:$O$505,"&lt;&gt;")&amp;" con el mismo tercero y valor, casilla 29). Si hay más filas iguales, bórreles el valor a ELLAS, no a esta.","DUPLICADO — ya existe otra fila con el mismo tercero y valor para casilla 29 (aparición "&amp;COUNTIFS($V$6:V502,29,$F$6:F502,F502,$C$6:C502,C502,$O$6:O502,"&lt;&gt;")&amp;" de "&amp;COUNTIFS($V$6:$V$505,29,$F$6:$F$505,F502,$C$6:$C$505,C502,$O$6:$O$505,"&lt;&gt;")&amp;"). Para resolverlo: seleccione la celda O"&amp;ROW()&amp;" (columna Valor a declarar de ESTA fila) y presione Supr."),""))</f>
        <v/>
      </c>
      <c r="X502" s="463">
        <f>IF(A502="","",F502)</f>
        <v/>
      </c>
      <c r="Y502" s="463">
        <f>IF(A502="","",SUMIF(Entrada_Manual!$I$88:$I$187,A502,Entrada_Manual!$F$88:$F$187))</f>
        <v/>
      </c>
      <c r="Z502" s="463">
        <f>IF(A502="","",X502-Y502)</f>
        <v/>
      </c>
      <c r="AA502">
        <f>IF(A502="","",SUMPRODUCT((Entrada_Manual!$I$88:$I$187=A502)*1))</f>
        <v/>
      </c>
      <c r="AB502">
        <f>IF(A502="","",IF(S502&lt;=1,"",IF(AA502=0,"PENDIENTE — SIN ASIGNAR",IF(Z502=0,"RESUELTO","PARCIAL — DIFERENCIA "&amp;TEXT(Z502,"#,##0")))))</f>
        <v/>
      </c>
    </row>
    <row r="503" ht="14.25" customHeight="1" s="235">
      <c r="A503" s="47">
        <f>IF(Exogena_RAW!E512&lt;&gt;"",ROW()-5,"")</f>
        <v/>
      </c>
      <c r="B503" s="48">
        <f>IF(A503="","",512)</f>
        <v/>
      </c>
      <c r="C503" s="48">
        <f>IF(A503="","",IFERROR(Exogena_RAW!A512,""))</f>
        <v/>
      </c>
      <c r="D503" s="48">
        <f>IF(A503="","",IFERROR(Exogena_RAW!B512,""))</f>
        <v/>
      </c>
      <c r="E503" s="48">
        <f>IF(A503="","",Exogena_RAW!E512)</f>
        <v/>
      </c>
      <c r="F503" s="461">
        <f>IF(A503="","",Exogena_RAW!F512)</f>
        <v/>
      </c>
      <c r="G503" s="48">
        <f>IF(A503="","",IFERROR(Exogena_RAW!G512,""))</f>
        <v/>
      </c>
      <c r="H503" s="48">
        <f>IF(A503="","",IFERROR(Exogena_RAW!H512,""))</f>
        <v/>
      </c>
      <c r="I503" s="48">
        <f>IF(A503="","",IFERROR(IF(S503&gt;1,"VARIAS CASILLAS",IF(S503=1,IF(T503=1,"PROPUESTA DE CASILLA","REVISIÓN: CASILLA NO DIRECTA"),IF(OR(ISNUMBER(SEARCH("TOPE",UPPER(E503))),ISNUMBER(SEARCH("TOPE",UPPER(G503)))),"SOLO CONTROL",IF(ISNUMBER(SEARCH("RETEN",UPPER(E503))),"RETENCIÓN","REVISAR")))),"REVISAR"))</f>
        <v/>
      </c>
      <c r="J503" s="48">
        <f>IF(A503="","",IF(ISNUMBER(SEARCH("ingreso laboral promedio de los últimos seis meses",E503)),"",IFERROR(IF(AND(S503=1,T503=1),U503,""),"")))</f>
        <v/>
      </c>
      <c r="K503" s="216" t="n"/>
      <c r="L503" s="48">
        <f>IF(A503="","",IFERROR(IF(K503&lt;&gt;"","Casilla elegida por usuario",IF(S503&gt;1,"Varias casillas — elegir en K",IF(J503&lt;&gt;"","Sugerencia directa",IF(S503=1,"No trasladar directo — revisar",IF(OR(ISNUMBER(SEARCH("TOPE",UPPER(E503))),ISNUMBER(SEARCH("TOPE",UPPER(G503)))),"Solo control","Revisar manualmente"))))),"Revisar manualmente"))</f>
        <v/>
      </c>
      <c r="M503" s="461">
        <f>IF(A503="","",IF(IF(K503&lt;&gt;"",K503,J503)="",0,IF(COUNTIFS(Reglas!$I$5:$I$118,IF(K503&lt;&gt;"",K503,J503),Reglas!$J$5:$J$118,"Sí")=1,F503,0)))</f>
        <v/>
      </c>
      <c r="N503" s="56" t="n"/>
      <c r="O503" s="462">
        <f>IF(A503="","",IF(M503=0,"",M503))</f>
        <v/>
      </c>
      <c r="P503" s="461">
        <f>IF(A503="","",IF(O503="",0,IF(ISNUMBER(O503),O503,0)))</f>
        <v/>
      </c>
      <c r="Q503" s="48">
        <f>IF(A503="","",IF(Exogena_RAW!$C$4="","BLOQUEADO: FALTA AÑO",IF(Exogena_RAW!$K$10&lt;&gt;Reglas!$B$5,"BLOQUEADO: AÑO",IF(IF(K503&lt;&gt;"",K503,J503)="",IF(S503&gt;1,"REQUIERE ASIGNACIÓN MANUAL (VARIAS CASILLAS)","INFORMATIVO (sin casilla — no se declara)"),IF(COUNTIFS(Reglas!$I$5:$I$118,IF(K503&lt;&gt;"",K503,J503),Reglas!$J$5:$J$118,"Sí")=0,"BLOQUEADO: CASILLA NO DIRECTA",IF(O503="","EXCLUIDO (valor borrado por el usuario)",IF(_xlfn.ISFORMULA(O503),IF(W503&lt;&gt;"","BORRADOR — VALOR SUGERIDO DIAN ⚠ VER ALERTA","BORRADOR — VALOR SUGERIDO DIAN"),IF(W503&lt;&gt;"","ACEPTADO ⚠ VER ALERTA","ACEPTADO"))))))))</f>
        <v/>
      </c>
      <c r="R503" s="218" t="n"/>
      <c r="S503" s="58">
        <f>IF(A503="","",IFERROR(--ISNUMBER(SEARCH("R28",G503)),0)+IFERROR(--ISNUMBER(SEARCH("R29",G503)),0)+IFERROR(--ISNUMBER(SEARCH("R30",G503)),0)+IFERROR(--ISNUMBER(SEARCH("R31",G503)),0)+IFERROR(--ISNUMBER(SEARCH("R32",G503)),0)+IFERROR(--ISNUMBER(SEARCH("R33",G503)),0)+IFERROR(--ISNUMBER(SEARCH("R34",G503)),0)+IFERROR(--ISNUMBER(SEARCH("R35",G503)),0)+IFERROR(--ISNUMBER(SEARCH("R36",G503)),0)+IFERROR(--ISNUMBER(SEARCH("R37",G503)),0)+IFERROR(--ISNUMBER(SEARCH("R38",G503)),0)+IFERROR(--ISNUMBER(SEARCH("R39",G503)),0)+IFERROR(--ISNUMBER(SEARCH("R40",G503)),0)+IFERROR(--ISNUMBER(SEARCH("R41",G503)),0)+IFERROR(--ISNUMBER(SEARCH("R42",G503)),0)+IFERROR(--ISNUMBER(SEARCH("R43",G503)),0)+IFERROR(--ISNUMBER(SEARCH("R44",G503)),0)+IFERROR(--ISNUMBER(SEARCH("R45",G503)),0)+IFERROR(--ISNUMBER(SEARCH("R46",G503)),0)+IFERROR(--ISNUMBER(SEARCH("R47",G503)),0)+IFERROR(--ISNUMBER(SEARCH("R48",G503)),0)+IFERROR(--ISNUMBER(SEARCH("R49",G503)),0)+IFERROR(--ISNUMBER(SEARCH("R50",G503)),0)+IFERROR(--ISNUMBER(SEARCH("R51",G503)),0)+IFERROR(--ISNUMBER(SEARCH("R52",G503)),0)+IFERROR(--ISNUMBER(SEARCH("R53",G503)),0)+IFERROR(--ISNUMBER(SEARCH("R54",G503)),0)+IFERROR(--ISNUMBER(SEARCH("R55",G503)),0)+IFERROR(--ISNUMBER(SEARCH("R56",G503)),0)+IFERROR(--ISNUMBER(SEARCH("R57",G503)),0)+IFERROR(--ISNUMBER(SEARCH("R58",G503)),0)+IFERROR(--ISNUMBER(SEARCH("R59",G503)),0)+IFERROR(--ISNUMBER(SEARCH("R60",G503)),0)+IFERROR(--ISNUMBER(SEARCH("R61",G503)),0)+IFERROR(--ISNUMBER(SEARCH("R62",G503)),0)+IFERROR(--ISNUMBER(SEARCH("R63",G503)),0)+IFERROR(--ISNUMBER(SEARCH("R64",G503)),0)+IFERROR(--ISNUMBER(SEARCH("R65",G503)),0)+IFERROR(--ISNUMBER(SEARCH("R66",G503)),0)+IFERROR(--ISNUMBER(SEARCH("R67",G503)),0)+IFERROR(--ISNUMBER(SEARCH("R68",G503)),0)+IFERROR(--ISNUMBER(SEARCH("R69",G503)),0)+IFERROR(--ISNUMBER(SEARCH("R70",G503)),0)+IFERROR(--ISNUMBER(SEARCH("R71",G503)),0)+IFERROR(--ISNUMBER(SEARCH("R72",G503)),0)+IFERROR(--ISNUMBER(SEARCH("R73",G503)),0)+IFERROR(--ISNUMBER(SEARCH("R74",G503)),0)+IFERROR(--ISNUMBER(SEARCH("R75",G503)),0)+IFERROR(--ISNUMBER(SEARCH("R76",G503)),0)+IFERROR(--ISNUMBER(SEARCH("R77",G503)),0)+IFERROR(--ISNUMBER(SEARCH("R78",G503)),0)+IFERROR(--ISNUMBER(SEARCH("R79",G503)),0)+IFERROR(--ISNUMBER(SEARCH("R80",G503)),0)+IFERROR(--ISNUMBER(SEARCH("R81",G503)),0)+IFERROR(--ISNUMBER(SEARCH("R82",G503)),0)+IFERROR(--ISNUMBER(SEARCH("R83",G503)),0)+IFERROR(--ISNUMBER(SEARCH("R84",G503)),0)+IFERROR(--ISNUMBER(SEARCH("R85",G503)),0)+IFERROR(--ISNUMBER(SEARCH("R86",G503)),0)+IFERROR(--ISNUMBER(SEARCH("R87",G503)),0)+IFERROR(--ISNUMBER(SEARCH("R88",G503)),0)+IFERROR(--ISNUMBER(SEARCH("R89",G503)),0)+IFERROR(--ISNUMBER(SEARCH("R90",G503)),0)+IFERROR(--ISNUMBER(SEARCH("R91",G503)),0)+IFERROR(--ISNUMBER(SEARCH("R92",G503)),0)+IFERROR(--ISNUMBER(SEARCH("R93",G503)),0)+IFERROR(--ISNUMBER(SEARCH("R94",G503)),0)+IFERROR(--ISNUMBER(SEARCH("R95",G503)),0)+IFERROR(--ISNUMBER(SEARCH("R96",G503)),0)+IFERROR(--ISNUMBER(SEARCH("R97",G503)),0)+IFERROR(--ISNUMBER(SEARCH("R98",G503)),0)+IFERROR(--ISNUMBER(SEARCH("R99",G503)),0)+IFERROR(--ISNUMBER(SEARCH("R100",G503)),0)+IFERROR(--ISNUMBER(SEARCH("R101",G503)),0)+IFERROR(--ISNUMBER(SEARCH("R102",G503)),0)+IFERROR(--ISNUMBER(SEARCH("R103",G503)),0)+IFERROR(--ISNUMBER(SEARCH("R104",G503)),0)+IFERROR(--ISNUMBER(SEARCH("R105",G503)),0)+IFERROR(--ISNUMBER(SEARCH("R106",G503)),0)+IFERROR(--ISNUMBER(SEARCH("R107",G503)),0)+IFERROR(--ISNUMBER(SEARCH("R108",G503)),0)+IFERROR(--ISNUMBER(SEARCH("R109",G503)),0)+IFERROR(--ISNUMBER(SEARCH("R110",G503)),0)+IFERROR(--ISNUMBER(SEARCH("R111",G503)),0)+IFERROR(--ISNUMBER(SEARCH("R112",G503)),0)+IFERROR(--ISNUMBER(SEARCH("R113",G503)),0)+IFERROR(--ISNUMBER(SEARCH("R114",G503)),0)+IFERROR(--ISNUMBER(SEARCH("R115",G503)),0)+IFERROR(--ISNUMBER(SEARCH("R116",G503)),0)+IFERROR(--ISNUMBER(SEARCH("R117",G503)),0)+IFERROR(--ISNUMBER(SEARCH("R118",G503)),0)+IFERROR(--ISNUMBER(SEARCH("R119",G503)),0)+IFERROR(--ISNUMBER(SEARCH("R120",G503)),0)+IFERROR(--ISNUMBER(SEARCH("R121",G503)),0)+IFERROR(--ISNUMBER(SEARCH("R122",G503)),0)+IFERROR(--ISNUMBER(SEARCH("R123",G503)),0)+IFERROR(--ISNUMBER(SEARCH("R124",G503)),0)+IFERROR(--ISNUMBER(SEARCH("R125",G503)),0)+IFERROR(--ISNUMBER(SEARCH("R126",G503)),0)+IFERROR(--ISNUMBER(SEARCH("R127",G503)),0)+IFERROR(--ISNUMBER(SEARCH("R128",G503)),0)+IFERROR(--ISNUMBER(SEARCH("R129",G503)),0)+IFERROR(--ISNUMBER(SEARCH("R130",G503)),0)+IFERROR(--ISNUMBER(SEARCH("R131",G503)),0)+IFERROR(--ISNUMBER(SEARCH("R132",G503)),0)+IFERROR(--ISNUMBER(SEARCH("R133",G503)),0)+IFERROR(--ISNUMBER(SEARCH("R134",G503)),0)+IFERROR(--ISNUMBER(SEARCH("R135",G503)),0)+IFERROR(--ISNUMBER(SEARCH("R136",G503)),0)+IFERROR(--ISNUMBER(SEARCH("R137",G503)),0)+IFERROR(--ISNUMBER(SEARCH("R138",G503)),0)+IFERROR(--ISNUMBER(SEARCH("R139",G503)),0)+IFERROR(--ISNUMBER(SEARCH("R140",G503)),0)+IFERROR(--ISNUMBER(SEARCH("R141",G503)),0))</f>
        <v/>
      </c>
      <c r="T503" s="58">
        <f>IF(A503="","",IFERROR(--ISNUMBER(SEARCH("R28",G503)),0)+IFERROR(--ISNUMBER(SEARCH("R29",G503)),0)+IFERROR(--ISNUMBER(SEARCH("R30",G503)),0)+IFERROR(--ISNUMBER(SEARCH("R32",G503)),0)+IFERROR(--ISNUMBER(SEARCH("R33",G503)),0)+IFERROR(--ISNUMBER(SEARCH("R35",G503)),0)+IFERROR(--ISNUMBER(SEARCH("R36",G503)),0)+IFERROR(--ISNUMBER(SEARCH("R38",G503)),0)+IFERROR(--ISNUMBER(SEARCH("R39",G503)),0)+IFERROR(--ISNUMBER(SEARCH("R43",G503)),0)+IFERROR(--ISNUMBER(SEARCH("R44",G503)),0)+IFERROR(--ISNUMBER(SEARCH("R45",G503)),0)+IFERROR(--ISNUMBER(SEARCH("R47",G503)),0)+IFERROR(--ISNUMBER(SEARCH("R48",G503)),0)+IFERROR(--ISNUMBER(SEARCH("R50",G503)),0)+IFERROR(--ISNUMBER(SEARCH("R51",G503)),0)+IFERROR(--ISNUMBER(SEARCH("R56",G503)),0)+IFERROR(--ISNUMBER(SEARCH("R58",G503)),0)+IFERROR(--ISNUMBER(SEARCH("R59",G503)),0)+IFERROR(--ISNUMBER(SEARCH("R60",G503)),0)+IFERROR(--ISNUMBER(SEARCH("R62",G503)),0)+IFERROR(--ISNUMBER(SEARCH("R63",G503)),0)+IFERROR(--ISNUMBER(SEARCH("R64",G503)),0)+IFERROR(--ISNUMBER(SEARCH("R66",G503)),0)+IFERROR(--ISNUMBER(SEARCH("R67",G503)),0)+IFERROR(--ISNUMBER(SEARCH("R72",G503)),0)+IFERROR(--ISNUMBER(SEARCH("R74",G503)),0)+IFERROR(--ISNUMBER(SEARCH("R75",G503)),0)+IFERROR(--ISNUMBER(SEARCH("R76",G503)),0)+IFERROR(--ISNUMBER(SEARCH("R77",G503)),0)+IFERROR(--ISNUMBER(SEARCH("R79",G503)),0)+IFERROR(--ISNUMBER(SEARCH("R80",G503)),0)+IFERROR(--ISNUMBER(SEARCH("R81",G503)),0)+IFERROR(--ISNUMBER(SEARCH("R83",G503)),0)+IFERROR(--ISNUMBER(SEARCH("R84",G503)),0)+IFERROR(--ISNUMBER(SEARCH("R89",G503)),0)+IFERROR(--ISNUMBER(SEARCH("R94",G503)),0)+IFERROR(--ISNUMBER(SEARCH("R95",G503)),0)+IFERROR(--ISNUMBER(SEARCH("R96",G503)),0)+IFERROR(--ISNUMBER(SEARCH("R98",G503)),0)+IFERROR(--ISNUMBER(SEARCH("R99",G503)),0)+IFERROR(--ISNUMBER(SEARCH("R100",G503)),0)+IFERROR(--ISNUMBER(SEARCH("R104",G503)),0)+IFERROR(--ISNUMBER(SEARCH("R105",G503)),0)+IFERROR(--ISNUMBER(SEARCH("R107",G503)),0)+IFERROR(--ISNUMBER(SEARCH("R108",G503)),0)+IFERROR(--ISNUMBER(SEARCH("R109",G503)),0)+IFERROR(--ISNUMBER(SEARCH("R110",G503)),0)+IFERROR(--ISNUMBER(SEARCH("R112",G503)),0)+IFERROR(--ISNUMBER(SEARCH("R113",G503)),0)+IFERROR(--ISNUMBER(SEARCH("R114",G503)),0)+IFERROR(--ISNUMBER(SEARCH("R118",G503)),0)+IFERROR(--ISNUMBER(SEARCH("R119",G503)),0)+IFERROR(--ISNUMBER(SEARCH("R120",G503)),0)+IFERROR(--ISNUMBER(SEARCH("R122",G503)),0)+IFERROR(--ISNUMBER(SEARCH("R123",G503)),0)+IFERROR(--ISNUMBER(SEARCH("R124",G503)),0)+IFERROR(--ISNUMBER(SEARCH("R128",G503)),0)+IFERROR(--ISNUMBER(SEARCH("R130",G503)),0)+IFERROR(--ISNUMBER(SEARCH("R131",G503)),0)+IFERROR(--ISNUMBER(SEARCH("R132",G503)),0)+IFERROR(--ISNUMBER(SEARCH("R135",G503)),0)+IFERROR(--ISNUMBER(SEARCH("R138",G503)),0)+IFERROR(--ISNUMBER(SEARCH("R141",G503)),0))</f>
        <v/>
      </c>
      <c r="U503" s="58">
        <f>IF(A503="","",IFERROR(--ISNUMBER(SEARCH("R28",G503))*28,0)+IFERROR(--ISNUMBER(SEARCH("R29",G503))*29,0)+IFERROR(--ISNUMBER(SEARCH("R30",G503))*30,0)+IFERROR(--ISNUMBER(SEARCH("R31",G503))*31,0)+IFERROR(--ISNUMBER(SEARCH("R32",G503))*32,0)+IFERROR(--ISNUMBER(SEARCH("R33",G503))*33,0)+IFERROR(--ISNUMBER(SEARCH("R34",G503))*34,0)+IFERROR(--ISNUMBER(SEARCH("R35",G503))*35,0)+IFERROR(--ISNUMBER(SEARCH("R36",G503))*36,0)+IFERROR(--ISNUMBER(SEARCH("R37",G503))*37,0)+IFERROR(--ISNUMBER(SEARCH("R38",G503))*38,0)+IFERROR(--ISNUMBER(SEARCH("R39",G503))*39,0)+IFERROR(--ISNUMBER(SEARCH("R40",G503))*40,0)+IFERROR(--ISNUMBER(SEARCH("R41",G503))*41,0)+IFERROR(--ISNUMBER(SEARCH("R42",G503))*42,0)+IFERROR(--ISNUMBER(SEARCH("R43",G503))*43,0)+IFERROR(--ISNUMBER(SEARCH("R44",G503))*44,0)+IFERROR(--ISNUMBER(SEARCH("R45",G503))*45,0)+IFERROR(--ISNUMBER(SEARCH("R46",G503))*46,0)+IFERROR(--ISNUMBER(SEARCH("R47",G503))*47,0)+IFERROR(--ISNUMBER(SEARCH("R48",G503))*48,0)+IFERROR(--ISNUMBER(SEARCH("R49",G503))*49,0)+IFERROR(--ISNUMBER(SEARCH("R50",G503))*50,0)+IFERROR(--ISNUMBER(SEARCH("R51",G503))*51,0)+IFERROR(--ISNUMBER(SEARCH("R52",G503))*52,0)+IFERROR(--ISNUMBER(SEARCH("R53",G503))*53,0)+IFERROR(--ISNUMBER(SEARCH("R54",G503))*54,0)+IFERROR(--ISNUMBER(SEARCH("R55",G503))*55,0)+IFERROR(--ISNUMBER(SEARCH("R56",G503))*56,0)+IFERROR(--ISNUMBER(SEARCH("R57",G503))*57,0)+IFERROR(--ISNUMBER(SEARCH("R58",G503))*58,0)+IFERROR(--ISNUMBER(SEARCH("R59",G503))*59,0)+IFERROR(--ISNUMBER(SEARCH("R60",G503))*60,0)+IFERROR(--ISNUMBER(SEARCH("R61",G503))*61,0)+IFERROR(--ISNUMBER(SEARCH("R62",G503))*62,0)+IFERROR(--ISNUMBER(SEARCH("R63",G503))*63,0)+IFERROR(--ISNUMBER(SEARCH("R64",G503))*64,0)+IFERROR(--ISNUMBER(SEARCH("R65",G503))*65,0)+IFERROR(--ISNUMBER(SEARCH("R66",G503))*66,0)+IFERROR(--ISNUMBER(SEARCH("R67",G503))*67,0)+IFERROR(--ISNUMBER(SEARCH("R68",G503))*68,0)+IFERROR(--ISNUMBER(SEARCH("R69",G503))*69,0)+IFERROR(--ISNUMBER(SEARCH("R70",G503))*70,0)+IFERROR(--ISNUMBER(SEARCH("R71",G503))*71,0)+IFERROR(--ISNUMBER(SEARCH("R72",G503))*72,0)+IFERROR(--ISNUMBER(SEARCH("R73",G503))*73,0)+IFERROR(--ISNUMBER(SEARCH("R74",G503))*74,0)+IFERROR(--ISNUMBER(SEARCH("R75",G503))*75,0)+IFERROR(--ISNUMBER(SEARCH("R76",G503))*76,0)+IFERROR(--ISNUMBER(SEARCH("R77",G503))*77,0)+IFERROR(--ISNUMBER(SEARCH("R78",G503))*78,0)+IFERROR(--ISNUMBER(SEARCH("R79",G503))*79,0)+IFERROR(--ISNUMBER(SEARCH("R80",G503))*80,0)+IFERROR(--ISNUMBER(SEARCH("R81",G503))*81,0)+IFERROR(--ISNUMBER(SEARCH("R82",G503))*82,0)+IFERROR(--ISNUMBER(SEARCH("R83",G503))*83,0)+IFERROR(--ISNUMBER(SEARCH("R84",G503))*84,0)+IFERROR(--ISNUMBER(SEARCH("R85",G503))*85,0)+IFERROR(--ISNUMBER(SEARCH("R86",G503))*86,0)+IFERROR(--ISNUMBER(SEARCH("R87",G503))*87,0)+IFERROR(--ISNUMBER(SEARCH("R88",G503))*88,0)+IFERROR(--ISNUMBER(SEARCH("R89",G503))*89,0)+IFERROR(--ISNUMBER(SEARCH("R90",G503))*90,0)+IFERROR(--ISNUMBER(SEARCH("R91",G503))*91,0)+IFERROR(--ISNUMBER(SEARCH("R92",G503))*92,0)+IFERROR(--ISNUMBER(SEARCH("R93",G503))*93,0)+IFERROR(--ISNUMBER(SEARCH("R94",G503))*94,0)+IFERROR(--ISNUMBER(SEARCH("R95",G503))*95,0)+IFERROR(--ISNUMBER(SEARCH("R96",G503))*96,0)+IFERROR(--ISNUMBER(SEARCH("R97",G503))*97,0)+IFERROR(--ISNUMBER(SEARCH("R98",G503))*98,0)+IFERROR(--ISNUMBER(SEARCH("R99",G503))*99,0)+IFERROR(--ISNUMBER(SEARCH("R100",G503))*100,0)+IFERROR(--ISNUMBER(SEARCH("R101",G503))*101,0)+IFERROR(--ISNUMBER(SEARCH("R102",G503))*102,0)+IFERROR(--ISNUMBER(SEARCH("R103",G503))*103,0)+IFERROR(--ISNUMBER(SEARCH("R104",G503))*104,0)+IFERROR(--ISNUMBER(SEARCH("R105",G503))*105,0)+IFERROR(--ISNUMBER(SEARCH("R106",G503))*106,0)+IFERROR(--ISNUMBER(SEARCH("R107",G503))*107,0)+IFERROR(--ISNUMBER(SEARCH("R108",G503))*108,0)+IFERROR(--ISNUMBER(SEARCH("R109",G503))*109,0)+IFERROR(--ISNUMBER(SEARCH("R110",G503))*110,0)+IFERROR(--ISNUMBER(SEARCH("R111",G503))*111,0)+IFERROR(--ISNUMBER(SEARCH("R112",G503))*112,0)+IFERROR(--ISNUMBER(SEARCH("R113",G503))*113,0)+IFERROR(--ISNUMBER(SEARCH("R114",G503))*114,0)+IFERROR(--ISNUMBER(SEARCH("R115",G503))*115,0)+IFERROR(--ISNUMBER(SEARCH("R116",G503))*116,0)+IFERROR(--ISNUMBER(SEARCH("R117",G503))*117,0)+IFERROR(--ISNUMBER(SEARCH("R118",G503))*118,0)+IFERROR(--ISNUMBER(SEARCH("R119",G503))*119,0)+IFERROR(--ISNUMBER(SEARCH("R120",G503))*120,0)+IFERROR(--ISNUMBER(SEARCH("R121",G503))*121,0)+IFERROR(--ISNUMBER(SEARCH("R122",G503))*122,0)+IFERROR(--ISNUMBER(SEARCH("R123",G503))*123,0)+IFERROR(--ISNUMBER(SEARCH("R124",G503))*124,0)+IFERROR(--ISNUMBER(SEARCH("R125",G503))*125,0)+IFERROR(--ISNUMBER(SEARCH("R126",G503))*126,0)+IFERROR(--ISNUMBER(SEARCH("R127",G503))*127,0)+IFERROR(--ISNUMBER(SEARCH("R128",G503))*128,0)+IFERROR(--ISNUMBER(SEARCH("R129",G503))*129,0)+IFERROR(--ISNUMBER(SEARCH("R130",G503))*130,0)+IFERROR(--ISNUMBER(SEARCH("R131",G503))*131,0)+IFERROR(--ISNUMBER(SEARCH("R132",G503))*132,0)+IFERROR(--ISNUMBER(SEARCH("R133",G503))*133,0)+IFERROR(--ISNUMBER(SEARCH("R134",G503))*134,0)+IFERROR(--ISNUMBER(SEARCH("R135",G503))*135,0)+IFERROR(--ISNUMBER(SEARCH("R136",G503))*136,0)+IFERROR(--ISNUMBER(SEARCH("R137",G503))*137,0)+IFERROR(--ISNUMBER(SEARCH("R138",G503))*138,0)+IFERROR(--ISNUMBER(SEARCH("R139",G503))*139,0)+IFERROR(--ISNUMBER(SEARCH("R140",G503))*140,0)+IFERROR(--ISNUMBER(SEARCH("R141",G503))*141,0))</f>
        <v/>
      </c>
      <c r="V503" s="59">
        <f>IF(A503="","",IF(K503&lt;&gt;"",K503,J503))</f>
        <v/>
      </c>
      <c r="W503" s="59">
        <f>IF(A503="","",IF(AND(V503=29,O503&lt;&gt;"",COUNTIFS($V$6:$V$505,29,$F$6:$F$505,F503,$C$6:$C$505,C503,$O$6:$O$505,"&lt;&gt;")&gt;1),IF(COUNTIFS($V$6:V503,29,$F$6:F503,F503,$C$6:C503,C503,$O$6:O503,"&lt;&gt;")=1,"Esta es la fila que se debe CONSERVAR (aparición 1 de "&amp;COUNTIFS($V$6:$V$505,29,$F$6:$F$505,F503,$C$6:$C$505,C503,$O$6:$O$505,"&lt;&gt;")&amp;" con el mismo tercero y valor, casilla 29). Si hay más filas iguales, bórreles el valor a ELLAS, no a esta.","DUPLICADO — ya existe otra fila con el mismo tercero y valor para casilla 29 (aparición "&amp;COUNTIFS($V$6:V503,29,$F$6:F503,F503,$C$6:C503,C503,$O$6:O503,"&lt;&gt;")&amp;" de "&amp;COUNTIFS($V$6:$V$505,29,$F$6:$F$505,F503,$C$6:$C$505,C503,$O$6:$O$505,"&lt;&gt;")&amp;"). Para resolverlo: seleccione la celda O"&amp;ROW()&amp;" (columna Valor a declarar de ESTA fila) y presione Supr."),""))</f>
        <v/>
      </c>
      <c r="X503" s="463">
        <f>IF(A503="","",F503)</f>
        <v/>
      </c>
      <c r="Y503" s="463">
        <f>IF(A503="","",SUMIF(Entrada_Manual!$I$88:$I$187,A503,Entrada_Manual!$F$88:$F$187))</f>
        <v/>
      </c>
      <c r="Z503" s="463">
        <f>IF(A503="","",X503-Y503)</f>
        <v/>
      </c>
      <c r="AA503">
        <f>IF(A503="","",SUMPRODUCT((Entrada_Manual!$I$88:$I$187=A503)*1))</f>
        <v/>
      </c>
      <c r="AB503">
        <f>IF(A503="","",IF(S503&lt;=1,"",IF(AA503=0,"PENDIENTE — SIN ASIGNAR",IF(Z503=0,"RESUELTO","PARCIAL — DIFERENCIA "&amp;TEXT(Z503,"#,##0")))))</f>
        <v/>
      </c>
    </row>
    <row r="504" ht="14.25" customHeight="1" s="235">
      <c r="A504" s="47">
        <f>IF(Exogena_RAW!E513&lt;&gt;"",ROW()-5,"")</f>
        <v/>
      </c>
      <c r="B504" s="48">
        <f>IF(A504="","",513)</f>
        <v/>
      </c>
      <c r="C504" s="48">
        <f>IF(A504="","",IFERROR(Exogena_RAW!A513,""))</f>
        <v/>
      </c>
      <c r="D504" s="48">
        <f>IF(A504="","",IFERROR(Exogena_RAW!B513,""))</f>
        <v/>
      </c>
      <c r="E504" s="48">
        <f>IF(A504="","",Exogena_RAW!E513)</f>
        <v/>
      </c>
      <c r="F504" s="461">
        <f>IF(A504="","",Exogena_RAW!F513)</f>
        <v/>
      </c>
      <c r="G504" s="48">
        <f>IF(A504="","",IFERROR(Exogena_RAW!G513,""))</f>
        <v/>
      </c>
      <c r="H504" s="48">
        <f>IF(A504="","",IFERROR(Exogena_RAW!H513,""))</f>
        <v/>
      </c>
      <c r="I504" s="48">
        <f>IF(A504="","",IFERROR(IF(S504&gt;1,"VARIAS CASILLAS",IF(S504=1,IF(T504=1,"PROPUESTA DE CASILLA","REVISIÓN: CASILLA NO DIRECTA"),IF(OR(ISNUMBER(SEARCH("TOPE",UPPER(E504))),ISNUMBER(SEARCH("TOPE",UPPER(G504)))),"SOLO CONTROL",IF(ISNUMBER(SEARCH("RETEN",UPPER(E504))),"RETENCIÓN","REVISAR")))),"REVISAR"))</f>
        <v/>
      </c>
      <c r="J504" s="48">
        <f>IF(A504="","",IF(ISNUMBER(SEARCH("ingreso laboral promedio de los últimos seis meses",E504)),"",IFERROR(IF(AND(S504=1,T504=1),U504,""),"")))</f>
        <v/>
      </c>
      <c r="K504" s="216" t="n"/>
      <c r="L504" s="48">
        <f>IF(A504="","",IFERROR(IF(K504&lt;&gt;"","Casilla elegida por usuario",IF(S504&gt;1,"Varias casillas — elegir en K",IF(J504&lt;&gt;"","Sugerencia directa",IF(S504=1,"No trasladar directo — revisar",IF(OR(ISNUMBER(SEARCH("TOPE",UPPER(E504))),ISNUMBER(SEARCH("TOPE",UPPER(G504)))),"Solo control","Revisar manualmente"))))),"Revisar manualmente"))</f>
        <v/>
      </c>
      <c r="M504" s="461">
        <f>IF(A504="","",IF(IF(K504&lt;&gt;"",K504,J504)="",0,IF(COUNTIFS(Reglas!$I$5:$I$118,IF(K504&lt;&gt;"",K504,J504),Reglas!$J$5:$J$118,"Sí")=1,F504,0)))</f>
        <v/>
      </c>
      <c r="N504" s="56" t="n"/>
      <c r="O504" s="462">
        <f>IF(A504="","",IF(M504=0,"",M504))</f>
        <v/>
      </c>
      <c r="P504" s="461">
        <f>IF(A504="","",IF(O504="",0,IF(ISNUMBER(O504),O504,0)))</f>
        <v/>
      </c>
      <c r="Q504" s="48">
        <f>IF(A504="","",IF(Exogena_RAW!$C$4="","BLOQUEADO: FALTA AÑO",IF(Exogena_RAW!$K$10&lt;&gt;Reglas!$B$5,"BLOQUEADO: AÑO",IF(IF(K504&lt;&gt;"",K504,J504)="",IF(S504&gt;1,"REQUIERE ASIGNACIÓN MANUAL (VARIAS CASILLAS)","INFORMATIVO (sin casilla — no se declara)"),IF(COUNTIFS(Reglas!$I$5:$I$118,IF(K504&lt;&gt;"",K504,J504),Reglas!$J$5:$J$118,"Sí")=0,"BLOQUEADO: CASILLA NO DIRECTA",IF(O504="","EXCLUIDO (valor borrado por el usuario)",IF(_xlfn.ISFORMULA(O504),IF(W504&lt;&gt;"","BORRADOR — VALOR SUGERIDO DIAN ⚠ VER ALERTA","BORRADOR — VALOR SUGERIDO DIAN"),IF(W504&lt;&gt;"","ACEPTADO ⚠ VER ALERTA","ACEPTADO"))))))))</f>
        <v/>
      </c>
      <c r="R504" s="218" t="n"/>
      <c r="S504" s="58">
        <f>IF(A504="","",IFERROR(--ISNUMBER(SEARCH("R28",G504)),0)+IFERROR(--ISNUMBER(SEARCH("R29",G504)),0)+IFERROR(--ISNUMBER(SEARCH("R30",G504)),0)+IFERROR(--ISNUMBER(SEARCH("R31",G504)),0)+IFERROR(--ISNUMBER(SEARCH("R32",G504)),0)+IFERROR(--ISNUMBER(SEARCH("R33",G504)),0)+IFERROR(--ISNUMBER(SEARCH("R34",G504)),0)+IFERROR(--ISNUMBER(SEARCH("R35",G504)),0)+IFERROR(--ISNUMBER(SEARCH("R36",G504)),0)+IFERROR(--ISNUMBER(SEARCH("R37",G504)),0)+IFERROR(--ISNUMBER(SEARCH("R38",G504)),0)+IFERROR(--ISNUMBER(SEARCH("R39",G504)),0)+IFERROR(--ISNUMBER(SEARCH("R40",G504)),0)+IFERROR(--ISNUMBER(SEARCH("R41",G504)),0)+IFERROR(--ISNUMBER(SEARCH("R42",G504)),0)+IFERROR(--ISNUMBER(SEARCH("R43",G504)),0)+IFERROR(--ISNUMBER(SEARCH("R44",G504)),0)+IFERROR(--ISNUMBER(SEARCH("R45",G504)),0)+IFERROR(--ISNUMBER(SEARCH("R46",G504)),0)+IFERROR(--ISNUMBER(SEARCH("R47",G504)),0)+IFERROR(--ISNUMBER(SEARCH("R48",G504)),0)+IFERROR(--ISNUMBER(SEARCH("R49",G504)),0)+IFERROR(--ISNUMBER(SEARCH("R50",G504)),0)+IFERROR(--ISNUMBER(SEARCH("R51",G504)),0)+IFERROR(--ISNUMBER(SEARCH("R52",G504)),0)+IFERROR(--ISNUMBER(SEARCH("R53",G504)),0)+IFERROR(--ISNUMBER(SEARCH("R54",G504)),0)+IFERROR(--ISNUMBER(SEARCH("R55",G504)),0)+IFERROR(--ISNUMBER(SEARCH("R56",G504)),0)+IFERROR(--ISNUMBER(SEARCH("R57",G504)),0)+IFERROR(--ISNUMBER(SEARCH("R58",G504)),0)+IFERROR(--ISNUMBER(SEARCH("R59",G504)),0)+IFERROR(--ISNUMBER(SEARCH("R60",G504)),0)+IFERROR(--ISNUMBER(SEARCH("R61",G504)),0)+IFERROR(--ISNUMBER(SEARCH("R62",G504)),0)+IFERROR(--ISNUMBER(SEARCH("R63",G504)),0)+IFERROR(--ISNUMBER(SEARCH("R64",G504)),0)+IFERROR(--ISNUMBER(SEARCH("R65",G504)),0)+IFERROR(--ISNUMBER(SEARCH("R66",G504)),0)+IFERROR(--ISNUMBER(SEARCH("R67",G504)),0)+IFERROR(--ISNUMBER(SEARCH("R68",G504)),0)+IFERROR(--ISNUMBER(SEARCH("R69",G504)),0)+IFERROR(--ISNUMBER(SEARCH("R70",G504)),0)+IFERROR(--ISNUMBER(SEARCH("R71",G504)),0)+IFERROR(--ISNUMBER(SEARCH("R72",G504)),0)+IFERROR(--ISNUMBER(SEARCH("R73",G504)),0)+IFERROR(--ISNUMBER(SEARCH("R74",G504)),0)+IFERROR(--ISNUMBER(SEARCH("R75",G504)),0)+IFERROR(--ISNUMBER(SEARCH("R76",G504)),0)+IFERROR(--ISNUMBER(SEARCH("R77",G504)),0)+IFERROR(--ISNUMBER(SEARCH("R78",G504)),0)+IFERROR(--ISNUMBER(SEARCH("R79",G504)),0)+IFERROR(--ISNUMBER(SEARCH("R80",G504)),0)+IFERROR(--ISNUMBER(SEARCH("R81",G504)),0)+IFERROR(--ISNUMBER(SEARCH("R82",G504)),0)+IFERROR(--ISNUMBER(SEARCH("R83",G504)),0)+IFERROR(--ISNUMBER(SEARCH("R84",G504)),0)+IFERROR(--ISNUMBER(SEARCH("R85",G504)),0)+IFERROR(--ISNUMBER(SEARCH("R86",G504)),0)+IFERROR(--ISNUMBER(SEARCH("R87",G504)),0)+IFERROR(--ISNUMBER(SEARCH("R88",G504)),0)+IFERROR(--ISNUMBER(SEARCH("R89",G504)),0)+IFERROR(--ISNUMBER(SEARCH("R90",G504)),0)+IFERROR(--ISNUMBER(SEARCH("R91",G504)),0)+IFERROR(--ISNUMBER(SEARCH("R92",G504)),0)+IFERROR(--ISNUMBER(SEARCH("R93",G504)),0)+IFERROR(--ISNUMBER(SEARCH("R94",G504)),0)+IFERROR(--ISNUMBER(SEARCH("R95",G504)),0)+IFERROR(--ISNUMBER(SEARCH("R96",G504)),0)+IFERROR(--ISNUMBER(SEARCH("R97",G504)),0)+IFERROR(--ISNUMBER(SEARCH("R98",G504)),0)+IFERROR(--ISNUMBER(SEARCH("R99",G504)),0)+IFERROR(--ISNUMBER(SEARCH("R100",G504)),0)+IFERROR(--ISNUMBER(SEARCH("R101",G504)),0)+IFERROR(--ISNUMBER(SEARCH("R102",G504)),0)+IFERROR(--ISNUMBER(SEARCH("R103",G504)),0)+IFERROR(--ISNUMBER(SEARCH("R104",G504)),0)+IFERROR(--ISNUMBER(SEARCH("R105",G504)),0)+IFERROR(--ISNUMBER(SEARCH("R106",G504)),0)+IFERROR(--ISNUMBER(SEARCH("R107",G504)),0)+IFERROR(--ISNUMBER(SEARCH("R108",G504)),0)+IFERROR(--ISNUMBER(SEARCH("R109",G504)),0)+IFERROR(--ISNUMBER(SEARCH("R110",G504)),0)+IFERROR(--ISNUMBER(SEARCH("R111",G504)),0)+IFERROR(--ISNUMBER(SEARCH("R112",G504)),0)+IFERROR(--ISNUMBER(SEARCH("R113",G504)),0)+IFERROR(--ISNUMBER(SEARCH("R114",G504)),0)+IFERROR(--ISNUMBER(SEARCH("R115",G504)),0)+IFERROR(--ISNUMBER(SEARCH("R116",G504)),0)+IFERROR(--ISNUMBER(SEARCH("R117",G504)),0)+IFERROR(--ISNUMBER(SEARCH("R118",G504)),0)+IFERROR(--ISNUMBER(SEARCH("R119",G504)),0)+IFERROR(--ISNUMBER(SEARCH("R120",G504)),0)+IFERROR(--ISNUMBER(SEARCH("R121",G504)),0)+IFERROR(--ISNUMBER(SEARCH("R122",G504)),0)+IFERROR(--ISNUMBER(SEARCH("R123",G504)),0)+IFERROR(--ISNUMBER(SEARCH("R124",G504)),0)+IFERROR(--ISNUMBER(SEARCH("R125",G504)),0)+IFERROR(--ISNUMBER(SEARCH("R126",G504)),0)+IFERROR(--ISNUMBER(SEARCH("R127",G504)),0)+IFERROR(--ISNUMBER(SEARCH("R128",G504)),0)+IFERROR(--ISNUMBER(SEARCH("R129",G504)),0)+IFERROR(--ISNUMBER(SEARCH("R130",G504)),0)+IFERROR(--ISNUMBER(SEARCH("R131",G504)),0)+IFERROR(--ISNUMBER(SEARCH("R132",G504)),0)+IFERROR(--ISNUMBER(SEARCH("R133",G504)),0)+IFERROR(--ISNUMBER(SEARCH("R134",G504)),0)+IFERROR(--ISNUMBER(SEARCH("R135",G504)),0)+IFERROR(--ISNUMBER(SEARCH("R136",G504)),0)+IFERROR(--ISNUMBER(SEARCH("R137",G504)),0)+IFERROR(--ISNUMBER(SEARCH("R138",G504)),0)+IFERROR(--ISNUMBER(SEARCH("R139",G504)),0)+IFERROR(--ISNUMBER(SEARCH("R140",G504)),0)+IFERROR(--ISNUMBER(SEARCH("R141",G504)),0))</f>
        <v/>
      </c>
      <c r="T504" s="58">
        <f>IF(A504="","",IFERROR(--ISNUMBER(SEARCH("R28",G504)),0)+IFERROR(--ISNUMBER(SEARCH("R29",G504)),0)+IFERROR(--ISNUMBER(SEARCH("R30",G504)),0)+IFERROR(--ISNUMBER(SEARCH("R32",G504)),0)+IFERROR(--ISNUMBER(SEARCH("R33",G504)),0)+IFERROR(--ISNUMBER(SEARCH("R35",G504)),0)+IFERROR(--ISNUMBER(SEARCH("R36",G504)),0)+IFERROR(--ISNUMBER(SEARCH("R38",G504)),0)+IFERROR(--ISNUMBER(SEARCH("R39",G504)),0)+IFERROR(--ISNUMBER(SEARCH("R43",G504)),0)+IFERROR(--ISNUMBER(SEARCH("R44",G504)),0)+IFERROR(--ISNUMBER(SEARCH("R45",G504)),0)+IFERROR(--ISNUMBER(SEARCH("R47",G504)),0)+IFERROR(--ISNUMBER(SEARCH("R48",G504)),0)+IFERROR(--ISNUMBER(SEARCH("R50",G504)),0)+IFERROR(--ISNUMBER(SEARCH("R51",G504)),0)+IFERROR(--ISNUMBER(SEARCH("R56",G504)),0)+IFERROR(--ISNUMBER(SEARCH("R58",G504)),0)+IFERROR(--ISNUMBER(SEARCH("R59",G504)),0)+IFERROR(--ISNUMBER(SEARCH("R60",G504)),0)+IFERROR(--ISNUMBER(SEARCH("R62",G504)),0)+IFERROR(--ISNUMBER(SEARCH("R63",G504)),0)+IFERROR(--ISNUMBER(SEARCH("R64",G504)),0)+IFERROR(--ISNUMBER(SEARCH("R66",G504)),0)+IFERROR(--ISNUMBER(SEARCH("R67",G504)),0)+IFERROR(--ISNUMBER(SEARCH("R72",G504)),0)+IFERROR(--ISNUMBER(SEARCH("R74",G504)),0)+IFERROR(--ISNUMBER(SEARCH("R75",G504)),0)+IFERROR(--ISNUMBER(SEARCH("R76",G504)),0)+IFERROR(--ISNUMBER(SEARCH("R77",G504)),0)+IFERROR(--ISNUMBER(SEARCH("R79",G504)),0)+IFERROR(--ISNUMBER(SEARCH("R80",G504)),0)+IFERROR(--ISNUMBER(SEARCH("R81",G504)),0)+IFERROR(--ISNUMBER(SEARCH("R83",G504)),0)+IFERROR(--ISNUMBER(SEARCH("R84",G504)),0)+IFERROR(--ISNUMBER(SEARCH("R89",G504)),0)+IFERROR(--ISNUMBER(SEARCH("R94",G504)),0)+IFERROR(--ISNUMBER(SEARCH("R95",G504)),0)+IFERROR(--ISNUMBER(SEARCH("R96",G504)),0)+IFERROR(--ISNUMBER(SEARCH("R98",G504)),0)+IFERROR(--ISNUMBER(SEARCH("R99",G504)),0)+IFERROR(--ISNUMBER(SEARCH("R100",G504)),0)+IFERROR(--ISNUMBER(SEARCH("R104",G504)),0)+IFERROR(--ISNUMBER(SEARCH("R105",G504)),0)+IFERROR(--ISNUMBER(SEARCH("R107",G504)),0)+IFERROR(--ISNUMBER(SEARCH("R108",G504)),0)+IFERROR(--ISNUMBER(SEARCH("R109",G504)),0)+IFERROR(--ISNUMBER(SEARCH("R110",G504)),0)+IFERROR(--ISNUMBER(SEARCH("R112",G504)),0)+IFERROR(--ISNUMBER(SEARCH("R113",G504)),0)+IFERROR(--ISNUMBER(SEARCH("R114",G504)),0)+IFERROR(--ISNUMBER(SEARCH("R118",G504)),0)+IFERROR(--ISNUMBER(SEARCH("R119",G504)),0)+IFERROR(--ISNUMBER(SEARCH("R120",G504)),0)+IFERROR(--ISNUMBER(SEARCH("R122",G504)),0)+IFERROR(--ISNUMBER(SEARCH("R123",G504)),0)+IFERROR(--ISNUMBER(SEARCH("R124",G504)),0)+IFERROR(--ISNUMBER(SEARCH("R128",G504)),0)+IFERROR(--ISNUMBER(SEARCH("R130",G504)),0)+IFERROR(--ISNUMBER(SEARCH("R131",G504)),0)+IFERROR(--ISNUMBER(SEARCH("R132",G504)),0)+IFERROR(--ISNUMBER(SEARCH("R135",G504)),0)+IFERROR(--ISNUMBER(SEARCH("R138",G504)),0)+IFERROR(--ISNUMBER(SEARCH("R141",G504)),0))</f>
        <v/>
      </c>
      <c r="U504" s="58">
        <f>IF(A504="","",IFERROR(--ISNUMBER(SEARCH("R28",G504))*28,0)+IFERROR(--ISNUMBER(SEARCH("R29",G504))*29,0)+IFERROR(--ISNUMBER(SEARCH("R30",G504))*30,0)+IFERROR(--ISNUMBER(SEARCH("R31",G504))*31,0)+IFERROR(--ISNUMBER(SEARCH("R32",G504))*32,0)+IFERROR(--ISNUMBER(SEARCH("R33",G504))*33,0)+IFERROR(--ISNUMBER(SEARCH("R34",G504))*34,0)+IFERROR(--ISNUMBER(SEARCH("R35",G504))*35,0)+IFERROR(--ISNUMBER(SEARCH("R36",G504))*36,0)+IFERROR(--ISNUMBER(SEARCH("R37",G504))*37,0)+IFERROR(--ISNUMBER(SEARCH("R38",G504))*38,0)+IFERROR(--ISNUMBER(SEARCH("R39",G504))*39,0)+IFERROR(--ISNUMBER(SEARCH("R40",G504))*40,0)+IFERROR(--ISNUMBER(SEARCH("R41",G504))*41,0)+IFERROR(--ISNUMBER(SEARCH("R42",G504))*42,0)+IFERROR(--ISNUMBER(SEARCH("R43",G504))*43,0)+IFERROR(--ISNUMBER(SEARCH("R44",G504))*44,0)+IFERROR(--ISNUMBER(SEARCH("R45",G504))*45,0)+IFERROR(--ISNUMBER(SEARCH("R46",G504))*46,0)+IFERROR(--ISNUMBER(SEARCH("R47",G504))*47,0)+IFERROR(--ISNUMBER(SEARCH("R48",G504))*48,0)+IFERROR(--ISNUMBER(SEARCH("R49",G504))*49,0)+IFERROR(--ISNUMBER(SEARCH("R50",G504))*50,0)+IFERROR(--ISNUMBER(SEARCH("R51",G504))*51,0)+IFERROR(--ISNUMBER(SEARCH("R52",G504))*52,0)+IFERROR(--ISNUMBER(SEARCH("R53",G504))*53,0)+IFERROR(--ISNUMBER(SEARCH("R54",G504))*54,0)+IFERROR(--ISNUMBER(SEARCH("R55",G504))*55,0)+IFERROR(--ISNUMBER(SEARCH("R56",G504))*56,0)+IFERROR(--ISNUMBER(SEARCH("R57",G504))*57,0)+IFERROR(--ISNUMBER(SEARCH("R58",G504))*58,0)+IFERROR(--ISNUMBER(SEARCH("R59",G504))*59,0)+IFERROR(--ISNUMBER(SEARCH("R60",G504))*60,0)+IFERROR(--ISNUMBER(SEARCH("R61",G504))*61,0)+IFERROR(--ISNUMBER(SEARCH("R62",G504))*62,0)+IFERROR(--ISNUMBER(SEARCH("R63",G504))*63,0)+IFERROR(--ISNUMBER(SEARCH("R64",G504))*64,0)+IFERROR(--ISNUMBER(SEARCH("R65",G504))*65,0)+IFERROR(--ISNUMBER(SEARCH("R66",G504))*66,0)+IFERROR(--ISNUMBER(SEARCH("R67",G504))*67,0)+IFERROR(--ISNUMBER(SEARCH("R68",G504))*68,0)+IFERROR(--ISNUMBER(SEARCH("R69",G504))*69,0)+IFERROR(--ISNUMBER(SEARCH("R70",G504))*70,0)+IFERROR(--ISNUMBER(SEARCH("R71",G504))*71,0)+IFERROR(--ISNUMBER(SEARCH("R72",G504))*72,0)+IFERROR(--ISNUMBER(SEARCH("R73",G504))*73,0)+IFERROR(--ISNUMBER(SEARCH("R74",G504))*74,0)+IFERROR(--ISNUMBER(SEARCH("R75",G504))*75,0)+IFERROR(--ISNUMBER(SEARCH("R76",G504))*76,0)+IFERROR(--ISNUMBER(SEARCH("R77",G504))*77,0)+IFERROR(--ISNUMBER(SEARCH("R78",G504))*78,0)+IFERROR(--ISNUMBER(SEARCH("R79",G504))*79,0)+IFERROR(--ISNUMBER(SEARCH("R80",G504))*80,0)+IFERROR(--ISNUMBER(SEARCH("R81",G504))*81,0)+IFERROR(--ISNUMBER(SEARCH("R82",G504))*82,0)+IFERROR(--ISNUMBER(SEARCH("R83",G504))*83,0)+IFERROR(--ISNUMBER(SEARCH("R84",G504))*84,0)+IFERROR(--ISNUMBER(SEARCH("R85",G504))*85,0)+IFERROR(--ISNUMBER(SEARCH("R86",G504))*86,0)+IFERROR(--ISNUMBER(SEARCH("R87",G504))*87,0)+IFERROR(--ISNUMBER(SEARCH("R88",G504))*88,0)+IFERROR(--ISNUMBER(SEARCH("R89",G504))*89,0)+IFERROR(--ISNUMBER(SEARCH("R90",G504))*90,0)+IFERROR(--ISNUMBER(SEARCH("R91",G504))*91,0)+IFERROR(--ISNUMBER(SEARCH("R92",G504))*92,0)+IFERROR(--ISNUMBER(SEARCH("R93",G504))*93,0)+IFERROR(--ISNUMBER(SEARCH("R94",G504))*94,0)+IFERROR(--ISNUMBER(SEARCH("R95",G504))*95,0)+IFERROR(--ISNUMBER(SEARCH("R96",G504))*96,0)+IFERROR(--ISNUMBER(SEARCH("R97",G504))*97,0)+IFERROR(--ISNUMBER(SEARCH("R98",G504))*98,0)+IFERROR(--ISNUMBER(SEARCH("R99",G504))*99,0)+IFERROR(--ISNUMBER(SEARCH("R100",G504))*100,0)+IFERROR(--ISNUMBER(SEARCH("R101",G504))*101,0)+IFERROR(--ISNUMBER(SEARCH("R102",G504))*102,0)+IFERROR(--ISNUMBER(SEARCH("R103",G504))*103,0)+IFERROR(--ISNUMBER(SEARCH("R104",G504))*104,0)+IFERROR(--ISNUMBER(SEARCH("R105",G504))*105,0)+IFERROR(--ISNUMBER(SEARCH("R106",G504))*106,0)+IFERROR(--ISNUMBER(SEARCH("R107",G504))*107,0)+IFERROR(--ISNUMBER(SEARCH("R108",G504))*108,0)+IFERROR(--ISNUMBER(SEARCH("R109",G504))*109,0)+IFERROR(--ISNUMBER(SEARCH("R110",G504))*110,0)+IFERROR(--ISNUMBER(SEARCH("R111",G504))*111,0)+IFERROR(--ISNUMBER(SEARCH("R112",G504))*112,0)+IFERROR(--ISNUMBER(SEARCH("R113",G504))*113,0)+IFERROR(--ISNUMBER(SEARCH("R114",G504))*114,0)+IFERROR(--ISNUMBER(SEARCH("R115",G504))*115,0)+IFERROR(--ISNUMBER(SEARCH("R116",G504))*116,0)+IFERROR(--ISNUMBER(SEARCH("R117",G504))*117,0)+IFERROR(--ISNUMBER(SEARCH("R118",G504))*118,0)+IFERROR(--ISNUMBER(SEARCH("R119",G504))*119,0)+IFERROR(--ISNUMBER(SEARCH("R120",G504))*120,0)+IFERROR(--ISNUMBER(SEARCH("R121",G504))*121,0)+IFERROR(--ISNUMBER(SEARCH("R122",G504))*122,0)+IFERROR(--ISNUMBER(SEARCH("R123",G504))*123,0)+IFERROR(--ISNUMBER(SEARCH("R124",G504))*124,0)+IFERROR(--ISNUMBER(SEARCH("R125",G504))*125,0)+IFERROR(--ISNUMBER(SEARCH("R126",G504))*126,0)+IFERROR(--ISNUMBER(SEARCH("R127",G504))*127,0)+IFERROR(--ISNUMBER(SEARCH("R128",G504))*128,0)+IFERROR(--ISNUMBER(SEARCH("R129",G504))*129,0)+IFERROR(--ISNUMBER(SEARCH("R130",G504))*130,0)+IFERROR(--ISNUMBER(SEARCH("R131",G504))*131,0)+IFERROR(--ISNUMBER(SEARCH("R132",G504))*132,0)+IFERROR(--ISNUMBER(SEARCH("R133",G504))*133,0)+IFERROR(--ISNUMBER(SEARCH("R134",G504))*134,0)+IFERROR(--ISNUMBER(SEARCH("R135",G504))*135,0)+IFERROR(--ISNUMBER(SEARCH("R136",G504))*136,0)+IFERROR(--ISNUMBER(SEARCH("R137",G504))*137,0)+IFERROR(--ISNUMBER(SEARCH("R138",G504))*138,0)+IFERROR(--ISNUMBER(SEARCH("R139",G504))*139,0)+IFERROR(--ISNUMBER(SEARCH("R140",G504))*140,0)+IFERROR(--ISNUMBER(SEARCH("R141",G504))*141,0))</f>
        <v/>
      </c>
      <c r="V504" s="59">
        <f>IF(A504="","",IF(K504&lt;&gt;"",K504,J504))</f>
        <v/>
      </c>
      <c r="W504" s="59">
        <f>IF(A504="","",IF(AND(V504=29,O504&lt;&gt;"",COUNTIFS($V$6:$V$505,29,$F$6:$F$505,F504,$C$6:$C$505,C504,$O$6:$O$505,"&lt;&gt;")&gt;1),IF(COUNTIFS($V$6:V504,29,$F$6:F504,F504,$C$6:C504,C504,$O$6:O504,"&lt;&gt;")=1,"Esta es la fila que se debe CONSERVAR (aparición 1 de "&amp;COUNTIFS($V$6:$V$505,29,$F$6:$F$505,F504,$C$6:$C$505,C504,$O$6:$O$505,"&lt;&gt;")&amp;" con el mismo tercero y valor, casilla 29). Si hay más filas iguales, bórreles el valor a ELLAS, no a esta.","DUPLICADO — ya existe otra fila con el mismo tercero y valor para casilla 29 (aparición "&amp;COUNTIFS($V$6:V504,29,$F$6:F504,F504,$C$6:C504,C504,$O$6:O504,"&lt;&gt;")&amp;" de "&amp;COUNTIFS($V$6:$V$505,29,$F$6:$F$505,F504,$C$6:$C$505,C504,$O$6:$O$505,"&lt;&gt;")&amp;"). Para resolverlo: seleccione la celda O"&amp;ROW()&amp;" (columna Valor a declarar de ESTA fila) y presione Supr."),""))</f>
        <v/>
      </c>
      <c r="X504" s="463">
        <f>IF(A504="","",F504)</f>
        <v/>
      </c>
      <c r="Y504" s="463">
        <f>IF(A504="","",SUMIF(Entrada_Manual!$I$88:$I$187,A504,Entrada_Manual!$F$88:$F$187))</f>
        <v/>
      </c>
      <c r="Z504" s="463">
        <f>IF(A504="","",X504-Y504)</f>
        <v/>
      </c>
      <c r="AA504">
        <f>IF(A504="","",SUMPRODUCT((Entrada_Manual!$I$88:$I$187=A504)*1))</f>
        <v/>
      </c>
      <c r="AB504">
        <f>IF(A504="","",IF(S504&lt;=1,"",IF(AA504=0,"PENDIENTE — SIN ASIGNAR",IF(Z504=0,"RESUELTO","PARCIAL — DIFERENCIA "&amp;TEXT(Z504,"#,##0")))))</f>
        <v/>
      </c>
    </row>
    <row r="505" ht="14.25" customHeight="1" s="235">
      <c r="A505" s="51">
        <f>IF(Exogena_RAW!E514&lt;&gt;"",ROW()-5,"")</f>
        <v/>
      </c>
      <c r="B505" s="52">
        <f>IF(A505="","",514)</f>
        <v/>
      </c>
      <c r="C505" s="52">
        <f>IF(A505="","",IFERROR(Exogena_RAW!A514,""))</f>
        <v/>
      </c>
      <c r="D505" s="52">
        <f>IF(A505="","",IFERROR(Exogena_RAW!B514,""))</f>
        <v/>
      </c>
      <c r="E505" s="52">
        <f>IF(A505="","",Exogena_RAW!E514)</f>
        <v/>
      </c>
      <c r="F505" s="464">
        <f>IF(A505="","",Exogena_RAW!F514)</f>
        <v/>
      </c>
      <c r="G505" s="52">
        <f>IF(A505="","",IFERROR(Exogena_RAW!G514,""))</f>
        <v/>
      </c>
      <c r="H505" s="52">
        <f>IF(A505="","",IFERROR(Exogena_RAW!H514,""))</f>
        <v/>
      </c>
      <c r="I505" s="52">
        <f>IF(A505="","",IFERROR(IF(S505&gt;1,"VARIAS CASILLAS",IF(S505=1,IF(T505=1,"PROPUESTA DE CASILLA","REVISIÓN: CASILLA NO DIRECTA"),IF(OR(ISNUMBER(SEARCH("TOPE",UPPER(E505))),ISNUMBER(SEARCH("TOPE",UPPER(G505)))),"SOLO CONTROL",IF(ISNUMBER(SEARCH("RETEN",UPPER(E505))),"RETENCIÓN","REVISAR")))),"REVISAR"))</f>
        <v/>
      </c>
      <c r="J505" s="52">
        <f>IF(A505="","",IF(ISNUMBER(SEARCH("ingreso laboral promedio de los últimos seis meses",E505)),"",IFERROR(IF(AND(S505=1,T505=1),U505,""),"")))</f>
        <v/>
      </c>
      <c r="K505" s="219" t="n"/>
      <c r="L505" s="52">
        <f>IF(A505="","",IFERROR(IF(K505&lt;&gt;"","Casilla elegida por usuario",IF(S505&gt;1,"Varias casillas — elegir en K",IF(J505&lt;&gt;"","Sugerencia directa",IF(S505=1,"No trasladar directo — revisar",IF(OR(ISNUMBER(SEARCH("TOPE",UPPER(E505))),ISNUMBER(SEARCH("TOPE",UPPER(G505)))),"Solo control","Revisar manualmente"))))),"Revisar manualmente"))</f>
        <v/>
      </c>
      <c r="M505" s="464">
        <f>IF(A505="","",IF(IF(K505&lt;&gt;"",K505,J505)="",0,IF(COUNTIFS(Reglas!$I$5:$I$118,IF(K505&lt;&gt;"",K505,J505),Reglas!$J$5:$J$118,"Sí")=1,F505,0)))</f>
        <v/>
      </c>
      <c r="N505" s="62" t="n"/>
      <c r="O505" s="465">
        <f>IF(A505="","",IF(M505=0,"",M505))</f>
        <v/>
      </c>
      <c r="P505" s="464">
        <f>IF(A505="","",IF(O505="",0,IF(ISNUMBER(O505),O505,0)))</f>
        <v/>
      </c>
      <c r="Q505" s="52">
        <f>IF(A505="","",IF(Exogena_RAW!$C$4="","BLOQUEADO: FALTA AÑO",IF(Exogena_RAW!$K$10&lt;&gt;Reglas!$B$5,"BLOQUEADO: AÑO",IF(IF(K505&lt;&gt;"",K505,J505)="",IF(S505&gt;1,"REQUIERE ASIGNACIÓN MANUAL (VARIAS CASILLAS)","INFORMATIVO (sin casilla — no se declara)"),IF(COUNTIFS(Reglas!$I$5:$I$118,IF(K505&lt;&gt;"",K505,J505),Reglas!$J$5:$J$118,"Sí")=0,"BLOQUEADO: CASILLA NO DIRECTA",IF(O505="","EXCLUIDO (valor borrado por el usuario)",IF(_xlfn.ISFORMULA(O505),IF(W505&lt;&gt;"","BORRADOR — VALOR SUGERIDO DIAN ⚠ VER ALERTA","BORRADOR — VALOR SUGERIDO DIAN"),IF(W505&lt;&gt;"","ACEPTADO ⚠ VER ALERTA","ACEPTADO"))))))))</f>
        <v/>
      </c>
      <c r="R505" s="221" t="n"/>
      <c r="S505" s="63">
        <f>IF(A505="","",IFERROR(--ISNUMBER(SEARCH("R28",G505)),0)+IFERROR(--ISNUMBER(SEARCH("R29",G505)),0)+IFERROR(--ISNUMBER(SEARCH("R30",G505)),0)+IFERROR(--ISNUMBER(SEARCH("R31",G505)),0)+IFERROR(--ISNUMBER(SEARCH("R32",G505)),0)+IFERROR(--ISNUMBER(SEARCH("R33",G505)),0)+IFERROR(--ISNUMBER(SEARCH("R34",G505)),0)+IFERROR(--ISNUMBER(SEARCH("R35",G505)),0)+IFERROR(--ISNUMBER(SEARCH("R36",G505)),0)+IFERROR(--ISNUMBER(SEARCH("R37",G505)),0)+IFERROR(--ISNUMBER(SEARCH("R38",G505)),0)+IFERROR(--ISNUMBER(SEARCH("R39",G505)),0)+IFERROR(--ISNUMBER(SEARCH("R40",G505)),0)+IFERROR(--ISNUMBER(SEARCH("R41",G505)),0)+IFERROR(--ISNUMBER(SEARCH("R42",G505)),0)+IFERROR(--ISNUMBER(SEARCH("R43",G505)),0)+IFERROR(--ISNUMBER(SEARCH("R44",G505)),0)+IFERROR(--ISNUMBER(SEARCH("R45",G505)),0)+IFERROR(--ISNUMBER(SEARCH("R46",G505)),0)+IFERROR(--ISNUMBER(SEARCH("R47",G505)),0)+IFERROR(--ISNUMBER(SEARCH("R48",G505)),0)+IFERROR(--ISNUMBER(SEARCH("R49",G505)),0)+IFERROR(--ISNUMBER(SEARCH("R50",G505)),0)+IFERROR(--ISNUMBER(SEARCH("R51",G505)),0)+IFERROR(--ISNUMBER(SEARCH("R52",G505)),0)+IFERROR(--ISNUMBER(SEARCH("R53",G505)),0)+IFERROR(--ISNUMBER(SEARCH("R54",G505)),0)+IFERROR(--ISNUMBER(SEARCH("R55",G505)),0)+IFERROR(--ISNUMBER(SEARCH("R56",G505)),0)+IFERROR(--ISNUMBER(SEARCH("R57",G505)),0)+IFERROR(--ISNUMBER(SEARCH("R58",G505)),0)+IFERROR(--ISNUMBER(SEARCH("R59",G505)),0)+IFERROR(--ISNUMBER(SEARCH("R60",G505)),0)+IFERROR(--ISNUMBER(SEARCH("R61",G505)),0)+IFERROR(--ISNUMBER(SEARCH("R62",G505)),0)+IFERROR(--ISNUMBER(SEARCH("R63",G505)),0)+IFERROR(--ISNUMBER(SEARCH("R64",G505)),0)+IFERROR(--ISNUMBER(SEARCH("R65",G505)),0)+IFERROR(--ISNUMBER(SEARCH("R66",G505)),0)+IFERROR(--ISNUMBER(SEARCH("R67",G505)),0)+IFERROR(--ISNUMBER(SEARCH("R68",G505)),0)+IFERROR(--ISNUMBER(SEARCH("R69",G505)),0)+IFERROR(--ISNUMBER(SEARCH("R70",G505)),0)+IFERROR(--ISNUMBER(SEARCH("R71",G505)),0)+IFERROR(--ISNUMBER(SEARCH("R72",G505)),0)+IFERROR(--ISNUMBER(SEARCH("R73",G505)),0)+IFERROR(--ISNUMBER(SEARCH("R74",G505)),0)+IFERROR(--ISNUMBER(SEARCH("R75",G505)),0)+IFERROR(--ISNUMBER(SEARCH("R76",G505)),0)+IFERROR(--ISNUMBER(SEARCH("R77",G505)),0)+IFERROR(--ISNUMBER(SEARCH("R78",G505)),0)+IFERROR(--ISNUMBER(SEARCH("R79",G505)),0)+IFERROR(--ISNUMBER(SEARCH("R80",G505)),0)+IFERROR(--ISNUMBER(SEARCH("R81",G505)),0)+IFERROR(--ISNUMBER(SEARCH("R82",G505)),0)+IFERROR(--ISNUMBER(SEARCH("R83",G505)),0)+IFERROR(--ISNUMBER(SEARCH("R84",G505)),0)+IFERROR(--ISNUMBER(SEARCH("R85",G505)),0)+IFERROR(--ISNUMBER(SEARCH("R86",G505)),0)+IFERROR(--ISNUMBER(SEARCH("R87",G505)),0)+IFERROR(--ISNUMBER(SEARCH("R88",G505)),0)+IFERROR(--ISNUMBER(SEARCH("R89",G505)),0)+IFERROR(--ISNUMBER(SEARCH("R90",G505)),0)+IFERROR(--ISNUMBER(SEARCH("R91",G505)),0)+IFERROR(--ISNUMBER(SEARCH("R92",G505)),0)+IFERROR(--ISNUMBER(SEARCH("R93",G505)),0)+IFERROR(--ISNUMBER(SEARCH("R94",G505)),0)+IFERROR(--ISNUMBER(SEARCH("R95",G505)),0)+IFERROR(--ISNUMBER(SEARCH("R96",G505)),0)+IFERROR(--ISNUMBER(SEARCH("R97",G505)),0)+IFERROR(--ISNUMBER(SEARCH("R98",G505)),0)+IFERROR(--ISNUMBER(SEARCH("R99",G505)),0)+IFERROR(--ISNUMBER(SEARCH("R100",G505)),0)+IFERROR(--ISNUMBER(SEARCH("R101",G505)),0)+IFERROR(--ISNUMBER(SEARCH("R102",G505)),0)+IFERROR(--ISNUMBER(SEARCH("R103",G505)),0)+IFERROR(--ISNUMBER(SEARCH("R104",G505)),0)+IFERROR(--ISNUMBER(SEARCH("R105",G505)),0)+IFERROR(--ISNUMBER(SEARCH("R106",G505)),0)+IFERROR(--ISNUMBER(SEARCH("R107",G505)),0)+IFERROR(--ISNUMBER(SEARCH("R108",G505)),0)+IFERROR(--ISNUMBER(SEARCH("R109",G505)),0)+IFERROR(--ISNUMBER(SEARCH("R110",G505)),0)+IFERROR(--ISNUMBER(SEARCH("R111",G505)),0)+IFERROR(--ISNUMBER(SEARCH("R112",G505)),0)+IFERROR(--ISNUMBER(SEARCH("R113",G505)),0)+IFERROR(--ISNUMBER(SEARCH("R114",G505)),0)+IFERROR(--ISNUMBER(SEARCH("R115",G505)),0)+IFERROR(--ISNUMBER(SEARCH("R116",G505)),0)+IFERROR(--ISNUMBER(SEARCH("R117",G505)),0)+IFERROR(--ISNUMBER(SEARCH("R118",G505)),0)+IFERROR(--ISNUMBER(SEARCH("R119",G505)),0)+IFERROR(--ISNUMBER(SEARCH("R120",G505)),0)+IFERROR(--ISNUMBER(SEARCH("R121",G505)),0)+IFERROR(--ISNUMBER(SEARCH("R122",G505)),0)+IFERROR(--ISNUMBER(SEARCH("R123",G505)),0)+IFERROR(--ISNUMBER(SEARCH("R124",G505)),0)+IFERROR(--ISNUMBER(SEARCH("R125",G505)),0)+IFERROR(--ISNUMBER(SEARCH("R126",G505)),0)+IFERROR(--ISNUMBER(SEARCH("R127",G505)),0)+IFERROR(--ISNUMBER(SEARCH("R128",G505)),0)+IFERROR(--ISNUMBER(SEARCH("R129",G505)),0)+IFERROR(--ISNUMBER(SEARCH("R130",G505)),0)+IFERROR(--ISNUMBER(SEARCH("R131",G505)),0)+IFERROR(--ISNUMBER(SEARCH("R132",G505)),0)+IFERROR(--ISNUMBER(SEARCH("R133",G505)),0)+IFERROR(--ISNUMBER(SEARCH("R134",G505)),0)+IFERROR(--ISNUMBER(SEARCH("R135",G505)),0)+IFERROR(--ISNUMBER(SEARCH("R136",G505)),0)+IFERROR(--ISNUMBER(SEARCH("R137",G505)),0)+IFERROR(--ISNUMBER(SEARCH("R138",G505)),0)+IFERROR(--ISNUMBER(SEARCH("R139",G505)),0)+IFERROR(--ISNUMBER(SEARCH("R140",G505)),0)+IFERROR(--ISNUMBER(SEARCH("R141",G505)),0))</f>
        <v/>
      </c>
      <c r="T505" s="63">
        <f>IF(A505="","",IFERROR(--ISNUMBER(SEARCH("R28",G505)),0)+IFERROR(--ISNUMBER(SEARCH("R29",G505)),0)+IFERROR(--ISNUMBER(SEARCH("R30",G505)),0)+IFERROR(--ISNUMBER(SEARCH("R32",G505)),0)+IFERROR(--ISNUMBER(SEARCH("R33",G505)),0)+IFERROR(--ISNUMBER(SEARCH("R35",G505)),0)+IFERROR(--ISNUMBER(SEARCH("R36",G505)),0)+IFERROR(--ISNUMBER(SEARCH("R38",G505)),0)+IFERROR(--ISNUMBER(SEARCH("R39",G505)),0)+IFERROR(--ISNUMBER(SEARCH("R43",G505)),0)+IFERROR(--ISNUMBER(SEARCH("R44",G505)),0)+IFERROR(--ISNUMBER(SEARCH("R45",G505)),0)+IFERROR(--ISNUMBER(SEARCH("R47",G505)),0)+IFERROR(--ISNUMBER(SEARCH("R48",G505)),0)+IFERROR(--ISNUMBER(SEARCH("R50",G505)),0)+IFERROR(--ISNUMBER(SEARCH("R51",G505)),0)+IFERROR(--ISNUMBER(SEARCH("R56",G505)),0)+IFERROR(--ISNUMBER(SEARCH("R58",G505)),0)+IFERROR(--ISNUMBER(SEARCH("R59",G505)),0)+IFERROR(--ISNUMBER(SEARCH("R60",G505)),0)+IFERROR(--ISNUMBER(SEARCH("R62",G505)),0)+IFERROR(--ISNUMBER(SEARCH("R63",G505)),0)+IFERROR(--ISNUMBER(SEARCH("R64",G505)),0)+IFERROR(--ISNUMBER(SEARCH("R66",G505)),0)+IFERROR(--ISNUMBER(SEARCH("R67",G505)),0)+IFERROR(--ISNUMBER(SEARCH("R72",G505)),0)+IFERROR(--ISNUMBER(SEARCH("R74",G505)),0)+IFERROR(--ISNUMBER(SEARCH("R75",G505)),0)+IFERROR(--ISNUMBER(SEARCH("R76",G505)),0)+IFERROR(--ISNUMBER(SEARCH("R77",G505)),0)+IFERROR(--ISNUMBER(SEARCH("R79",G505)),0)+IFERROR(--ISNUMBER(SEARCH("R80",G505)),0)+IFERROR(--ISNUMBER(SEARCH("R81",G505)),0)+IFERROR(--ISNUMBER(SEARCH("R83",G505)),0)+IFERROR(--ISNUMBER(SEARCH("R84",G505)),0)+IFERROR(--ISNUMBER(SEARCH("R89",G505)),0)+IFERROR(--ISNUMBER(SEARCH("R94",G505)),0)+IFERROR(--ISNUMBER(SEARCH("R95",G505)),0)+IFERROR(--ISNUMBER(SEARCH("R96",G505)),0)+IFERROR(--ISNUMBER(SEARCH("R98",G505)),0)+IFERROR(--ISNUMBER(SEARCH("R99",G505)),0)+IFERROR(--ISNUMBER(SEARCH("R100",G505)),0)+IFERROR(--ISNUMBER(SEARCH("R104",G505)),0)+IFERROR(--ISNUMBER(SEARCH("R105",G505)),0)+IFERROR(--ISNUMBER(SEARCH("R107",G505)),0)+IFERROR(--ISNUMBER(SEARCH("R108",G505)),0)+IFERROR(--ISNUMBER(SEARCH("R109",G505)),0)+IFERROR(--ISNUMBER(SEARCH("R110",G505)),0)+IFERROR(--ISNUMBER(SEARCH("R112",G505)),0)+IFERROR(--ISNUMBER(SEARCH("R113",G505)),0)+IFERROR(--ISNUMBER(SEARCH("R114",G505)),0)+IFERROR(--ISNUMBER(SEARCH("R118",G505)),0)+IFERROR(--ISNUMBER(SEARCH("R119",G505)),0)+IFERROR(--ISNUMBER(SEARCH("R120",G505)),0)+IFERROR(--ISNUMBER(SEARCH("R122",G505)),0)+IFERROR(--ISNUMBER(SEARCH("R123",G505)),0)+IFERROR(--ISNUMBER(SEARCH("R124",G505)),0)+IFERROR(--ISNUMBER(SEARCH("R128",G505)),0)+IFERROR(--ISNUMBER(SEARCH("R130",G505)),0)+IFERROR(--ISNUMBER(SEARCH("R131",G505)),0)+IFERROR(--ISNUMBER(SEARCH("R132",G505)),0)+IFERROR(--ISNUMBER(SEARCH("R135",G505)),0)+IFERROR(--ISNUMBER(SEARCH("R138",G505)),0)+IFERROR(--ISNUMBER(SEARCH("R141",G505)),0))</f>
        <v/>
      </c>
      <c r="U505" s="63">
        <f>IF(A505="","",IFERROR(--ISNUMBER(SEARCH("R28",G505))*28,0)+IFERROR(--ISNUMBER(SEARCH("R29",G505))*29,0)+IFERROR(--ISNUMBER(SEARCH("R30",G505))*30,0)+IFERROR(--ISNUMBER(SEARCH("R31",G505))*31,0)+IFERROR(--ISNUMBER(SEARCH("R32",G505))*32,0)+IFERROR(--ISNUMBER(SEARCH("R33",G505))*33,0)+IFERROR(--ISNUMBER(SEARCH("R34",G505))*34,0)+IFERROR(--ISNUMBER(SEARCH("R35",G505))*35,0)+IFERROR(--ISNUMBER(SEARCH("R36",G505))*36,0)+IFERROR(--ISNUMBER(SEARCH("R37",G505))*37,0)+IFERROR(--ISNUMBER(SEARCH("R38",G505))*38,0)+IFERROR(--ISNUMBER(SEARCH("R39",G505))*39,0)+IFERROR(--ISNUMBER(SEARCH("R40",G505))*40,0)+IFERROR(--ISNUMBER(SEARCH("R41",G505))*41,0)+IFERROR(--ISNUMBER(SEARCH("R42",G505))*42,0)+IFERROR(--ISNUMBER(SEARCH("R43",G505))*43,0)+IFERROR(--ISNUMBER(SEARCH("R44",G505))*44,0)+IFERROR(--ISNUMBER(SEARCH("R45",G505))*45,0)+IFERROR(--ISNUMBER(SEARCH("R46",G505))*46,0)+IFERROR(--ISNUMBER(SEARCH("R47",G505))*47,0)+IFERROR(--ISNUMBER(SEARCH("R48",G505))*48,0)+IFERROR(--ISNUMBER(SEARCH("R49",G505))*49,0)+IFERROR(--ISNUMBER(SEARCH("R50",G505))*50,0)+IFERROR(--ISNUMBER(SEARCH("R51",G505))*51,0)+IFERROR(--ISNUMBER(SEARCH("R52",G505))*52,0)+IFERROR(--ISNUMBER(SEARCH("R53",G505))*53,0)+IFERROR(--ISNUMBER(SEARCH("R54",G505))*54,0)+IFERROR(--ISNUMBER(SEARCH("R55",G505))*55,0)+IFERROR(--ISNUMBER(SEARCH("R56",G505))*56,0)+IFERROR(--ISNUMBER(SEARCH("R57",G505))*57,0)+IFERROR(--ISNUMBER(SEARCH("R58",G505))*58,0)+IFERROR(--ISNUMBER(SEARCH("R59",G505))*59,0)+IFERROR(--ISNUMBER(SEARCH("R60",G505))*60,0)+IFERROR(--ISNUMBER(SEARCH("R61",G505))*61,0)+IFERROR(--ISNUMBER(SEARCH("R62",G505))*62,0)+IFERROR(--ISNUMBER(SEARCH("R63",G505))*63,0)+IFERROR(--ISNUMBER(SEARCH("R64",G505))*64,0)+IFERROR(--ISNUMBER(SEARCH("R65",G505))*65,0)+IFERROR(--ISNUMBER(SEARCH("R66",G505))*66,0)+IFERROR(--ISNUMBER(SEARCH("R67",G505))*67,0)+IFERROR(--ISNUMBER(SEARCH("R68",G505))*68,0)+IFERROR(--ISNUMBER(SEARCH("R69",G505))*69,0)+IFERROR(--ISNUMBER(SEARCH("R70",G505))*70,0)+IFERROR(--ISNUMBER(SEARCH("R71",G505))*71,0)+IFERROR(--ISNUMBER(SEARCH("R72",G505))*72,0)+IFERROR(--ISNUMBER(SEARCH("R73",G505))*73,0)+IFERROR(--ISNUMBER(SEARCH("R74",G505))*74,0)+IFERROR(--ISNUMBER(SEARCH("R75",G505))*75,0)+IFERROR(--ISNUMBER(SEARCH("R76",G505))*76,0)+IFERROR(--ISNUMBER(SEARCH("R77",G505))*77,0)+IFERROR(--ISNUMBER(SEARCH("R78",G505))*78,0)+IFERROR(--ISNUMBER(SEARCH("R79",G505))*79,0)+IFERROR(--ISNUMBER(SEARCH("R80",G505))*80,0)+IFERROR(--ISNUMBER(SEARCH("R81",G505))*81,0)+IFERROR(--ISNUMBER(SEARCH("R82",G505))*82,0)+IFERROR(--ISNUMBER(SEARCH("R83",G505))*83,0)+IFERROR(--ISNUMBER(SEARCH("R84",G505))*84,0)+IFERROR(--ISNUMBER(SEARCH("R85",G505))*85,0)+IFERROR(--ISNUMBER(SEARCH("R86",G505))*86,0)+IFERROR(--ISNUMBER(SEARCH("R87",G505))*87,0)+IFERROR(--ISNUMBER(SEARCH("R88",G505))*88,0)+IFERROR(--ISNUMBER(SEARCH("R89",G505))*89,0)+IFERROR(--ISNUMBER(SEARCH("R90",G505))*90,0)+IFERROR(--ISNUMBER(SEARCH("R91",G505))*91,0)+IFERROR(--ISNUMBER(SEARCH("R92",G505))*92,0)+IFERROR(--ISNUMBER(SEARCH("R93",G505))*93,0)+IFERROR(--ISNUMBER(SEARCH("R94",G505))*94,0)+IFERROR(--ISNUMBER(SEARCH("R95",G505))*95,0)+IFERROR(--ISNUMBER(SEARCH("R96",G505))*96,0)+IFERROR(--ISNUMBER(SEARCH("R97",G505))*97,0)+IFERROR(--ISNUMBER(SEARCH("R98",G505))*98,0)+IFERROR(--ISNUMBER(SEARCH("R99",G505))*99,0)+IFERROR(--ISNUMBER(SEARCH("R100",G505))*100,0)+IFERROR(--ISNUMBER(SEARCH("R101",G505))*101,0)+IFERROR(--ISNUMBER(SEARCH("R102",G505))*102,0)+IFERROR(--ISNUMBER(SEARCH("R103",G505))*103,0)+IFERROR(--ISNUMBER(SEARCH("R104",G505))*104,0)+IFERROR(--ISNUMBER(SEARCH("R105",G505))*105,0)+IFERROR(--ISNUMBER(SEARCH("R106",G505))*106,0)+IFERROR(--ISNUMBER(SEARCH("R107",G505))*107,0)+IFERROR(--ISNUMBER(SEARCH("R108",G505))*108,0)+IFERROR(--ISNUMBER(SEARCH("R109",G505))*109,0)+IFERROR(--ISNUMBER(SEARCH("R110",G505))*110,0)+IFERROR(--ISNUMBER(SEARCH("R111",G505))*111,0)+IFERROR(--ISNUMBER(SEARCH("R112",G505))*112,0)+IFERROR(--ISNUMBER(SEARCH("R113",G505))*113,0)+IFERROR(--ISNUMBER(SEARCH("R114",G505))*114,0)+IFERROR(--ISNUMBER(SEARCH("R115",G505))*115,0)+IFERROR(--ISNUMBER(SEARCH("R116",G505))*116,0)+IFERROR(--ISNUMBER(SEARCH("R117",G505))*117,0)+IFERROR(--ISNUMBER(SEARCH("R118",G505))*118,0)+IFERROR(--ISNUMBER(SEARCH("R119",G505))*119,0)+IFERROR(--ISNUMBER(SEARCH("R120",G505))*120,0)+IFERROR(--ISNUMBER(SEARCH("R121",G505))*121,0)+IFERROR(--ISNUMBER(SEARCH("R122",G505))*122,0)+IFERROR(--ISNUMBER(SEARCH("R123",G505))*123,0)+IFERROR(--ISNUMBER(SEARCH("R124",G505))*124,0)+IFERROR(--ISNUMBER(SEARCH("R125",G505))*125,0)+IFERROR(--ISNUMBER(SEARCH("R126",G505))*126,0)+IFERROR(--ISNUMBER(SEARCH("R127",G505))*127,0)+IFERROR(--ISNUMBER(SEARCH("R128",G505))*128,0)+IFERROR(--ISNUMBER(SEARCH("R129",G505))*129,0)+IFERROR(--ISNUMBER(SEARCH("R130",G505))*130,0)+IFERROR(--ISNUMBER(SEARCH("R131",G505))*131,0)+IFERROR(--ISNUMBER(SEARCH("R132",G505))*132,0)+IFERROR(--ISNUMBER(SEARCH("R133",G505))*133,0)+IFERROR(--ISNUMBER(SEARCH("R134",G505))*134,0)+IFERROR(--ISNUMBER(SEARCH("R135",G505))*135,0)+IFERROR(--ISNUMBER(SEARCH("R136",G505))*136,0)+IFERROR(--ISNUMBER(SEARCH("R137",G505))*137,0)+IFERROR(--ISNUMBER(SEARCH("R138",G505))*138,0)+IFERROR(--ISNUMBER(SEARCH("R139",G505))*139,0)+IFERROR(--ISNUMBER(SEARCH("R140",G505))*140,0)+IFERROR(--ISNUMBER(SEARCH("R141",G505))*141,0))</f>
        <v/>
      </c>
      <c r="V505" s="64">
        <f>IF(A505="","",IF(K505&lt;&gt;"",K505,J505))</f>
        <v/>
      </c>
      <c r="W505" s="64">
        <f>IF(A505="","",IF(AND(V505=29,O505&lt;&gt;"",COUNTIFS($V$6:$V$505,29,$F$6:$F$505,F505,$C$6:$C$505,C505,$O$6:$O$505,"&lt;&gt;")&gt;1),IF(COUNTIFS($V$6:V505,29,$F$6:F505,F505,$C$6:C505,C505,$O$6:O505,"&lt;&gt;")=1,"Esta es la fila que se debe CONSERVAR (aparición 1 de "&amp;COUNTIFS($V$6:$V$505,29,$F$6:$F$505,F505,$C$6:$C$505,C505,$O$6:$O$505,"&lt;&gt;")&amp;" con el mismo tercero y valor, casilla 29). Si hay más filas iguales, bórreles el valor a ELLAS, no a esta.","DUPLICADO — ya existe otra fila con el mismo tercero y valor para casilla 29 (aparición "&amp;COUNTIFS($V$6:V505,29,$F$6:F505,F505,$C$6:C505,C505,$O$6:O505,"&lt;&gt;")&amp;" de "&amp;COUNTIFS($V$6:$V$505,29,$F$6:$F$505,F505,$C$6:$C$505,C505,$O$6:$O$505,"&lt;&gt;")&amp;"). Para resolverlo: seleccione la celda O"&amp;ROW()&amp;" (columna Valor a declarar de ESTA fila) y presione Supr."),""))</f>
        <v/>
      </c>
      <c r="X505" s="463">
        <f>IF(A505="","",F505)</f>
        <v/>
      </c>
      <c r="Y505" s="463">
        <f>IF(A505="","",SUMIF(Entrada_Manual!$I$88:$I$187,A505,Entrada_Manual!$F$88:$F$187))</f>
        <v/>
      </c>
      <c r="Z505" s="463">
        <f>IF(A505="","",X505-Y505)</f>
        <v/>
      </c>
      <c r="AA505">
        <f>IF(A505="","",SUMPRODUCT((Entrada_Manual!$I$88:$I$187=A505)*1))</f>
        <v/>
      </c>
      <c r="AB505">
        <f>IF(A505="","",IF(S505&lt;=1,"",IF(AA505=0,"PENDIENTE — SIN ASIGNAR",IF(Z505=0,"RESUELTO","PARCIAL — DIFERENCIA "&amp;TEXT(Z505,"#,##0")))))</f>
        <v/>
      </c>
    </row>
  </sheetData>
  <sheetProtection selectLockedCells="0" selectUnlockedCells="0" sheet="1" objects="1" insertRows="1" insertHyperlinks="1" autoFilter="1" scenarios="1" formatColumns="0" deleteColumns="1" insertColumns="1" pivotTables="1" deleteRows="1" formatCells="1" formatRows="0" sort="1"/>
  <mergeCells count="2">
    <mergeCell ref="A2:V2"/>
    <mergeCell ref="A1:V1"/>
  </mergeCells>
  <conditionalFormatting sqref="G6:G505">
    <cfRule type="expression" priority="8" dxfId="16">
      <formula>$I6="VARIAS CASILLAS"</formula>
    </cfRule>
  </conditionalFormatting>
  <conditionalFormatting sqref="I6:I505">
    <cfRule type="cellIs" priority="7" operator="equal" dxfId="16">
      <formula>"VARIAS CASILLAS"</formula>
    </cfRule>
  </conditionalFormatting>
  <conditionalFormatting sqref="O6:O505">
    <cfRule type="expression" priority="1" dxfId="15">
      <formula>_xlfn.ISFORMULA(O6)</formula>
    </cfRule>
  </conditionalFormatting>
  <conditionalFormatting sqref="Q6:Q505">
    <cfRule type="containsText" priority="3" operator="containsText" dxfId="1" text="BLOQUEADO">
      <formula>NOT(ISERROR(SEARCH("BLOQUEADO",Q6)))</formula>
    </cfRule>
    <cfRule type="containsText" priority="4" operator="containsText" dxfId="0" text="PENDIENTE">
      <formula>NOT(ISERROR(SEARCH("PENDIENTE",Q6)))</formula>
    </cfRule>
    <cfRule type="containsText" priority="5" operator="containsText" dxfId="3" text="ACEPTADO">
      <formula>NOT(ISERROR(SEARCH("ACEPTADO",Q6)))</formula>
    </cfRule>
    <cfRule type="containsText" priority="6" operator="containsText" dxfId="0" text="BORRADOR">
      <formula>NOT(ISERROR(SEARCH("BORRADOR",Q6)))</formula>
    </cfRule>
  </conditionalFormatting>
  <conditionalFormatting sqref="W6:W505">
    <cfRule type="expression" priority="2" dxfId="10">
      <formula>$W6&lt;&gt;""</formula>
    </cfRule>
  </conditionalFormatting>
  <dataValidations count="2">
    <dataValidation sqref="O6:O505" showDropDown="0" showInputMessage="0" showErrorMessage="1" allowBlank="1" errorTitle="Valor inválido" error="El valor debe ser numérico y no negativo." type="decimal" operator="greaterThanOrEqual">
      <formula1>0</formula1>
      <formula2>0</formula2>
    </dataValidation>
    <dataValidation sqref="K6:K505" showDropDown="0" showInputMessage="1" showErrorMessage="1" allowBlank="1" errorTitle="Casilla inválida" error="La casilla debe ser un número entero entre 28 y 141." promptTitle="Casilla elegida" prompt="Escriba el número de casilla elegido (28 a 141)." type="whole">
      <formula1>28</formula1>
      <formula2>141</formula2>
    </dataValidation>
  </dataValidation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J188"/>
  <sheetViews>
    <sheetView showGridLines="0" topLeftCell="A16" workbookViewId="0">
      <selection activeCell="B25" sqref="B25"/>
    </sheetView>
  </sheetViews>
  <sheetFormatPr baseColWidth="10" defaultColWidth="9" defaultRowHeight="15"/>
  <cols>
    <col width="22" customWidth="1" style="235" min="1" max="1"/>
    <col width="52" customWidth="1" style="235" min="2" max="2"/>
    <col width="10" customWidth="1" style="235" min="3" max="3"/>
    <col width="16" customWidth="1" style="235" min="4" max="4"/>
    <col width="30" customWidth="1" style="235" min="5" max="5"/>
    <col width="12" customWidth="1" style="235" min="6" max="6"/>
    <col width="10" customWidth="1" style="235" min="7" max="7"/>
    <col width="14" customWidth="1" style="235" min="8" max="8"/>
    <col width="22" customWidth="1" style="235" min="9" max="9"/>
    <col width="40" customWidth="1" style="235" min="10" max="10"/>
  </cols>
  <sheetData>
    <row r="1" ht="20.25" customHeight="1" s="235">
      <c r="A1" s="272" t="inlineStr">
        <is>
          <t>ENTRADA MANUAL — SIN REPORTE DIAN (checklist guiado)</t>
        </is>
      </c>
    </row>
    <row r="2" ht="31.5" customHeight="1" s="235">
      <c r="A2" s="271" t="inlineStr">
        <is>
          <t>Use esta hoja si no tiene el reporte de información Exógena de la DIAN. Escriba el valor de cada rubro que le aplique (deje en blanco los que no apliquen); no necesita saber el número de casilla, ya está asignado. Estos valores se suman automáticamente a Formulario_210, junto con lo que venga de Hoja_Trabajo si también tiene reporte Exógena — se pueden combinar sin duplicar.</t>
        </is>
      </c>
    </row>
    <row r="4" ht="29.25" customHeight="1" s="235">
      <c r="A4" s="65" t="inlineStr">
        <is>
          <t>Sección</t>
        </is>
      </c>
      <c r="B4" s="65" t="inlineStr">
        <is>
          <t>Rubro</t>
        </is>
      </c>
      <c r="C4" s="65" t="inlineStr">
        <is>
          <t>Casilla</t>
        </is>
      </c>
      <c r="D4" s="65" t="inlineStr">
        <is>
          <t>Valor</t>
        </is>
      </c>
      <c r="E4" s="65" t="inlineStr">
        <is>
          <t>Observación / soporte</t>
        </is>
      </c>
      <c r="F4" s="65" t="inlineStr">
        <is>
          <t>Valor aceptado</t>
        </is>
      </c>
      <c r="G4" s="65" t="inlineStr">
        <is>
          <t>Casilla efectiva</t>
        </is>
      </c>
      <c r="H4" s="65" t="inlineStr">
        <is>
          <t>Estado</t>
        </is>
      </c>
    </row>
    <row r="5" ht="25.5" customHeight="1" s="235">
      <c r="A5" s="66" t="inlineStr">
        <is>
          <t>Patrimonio</t>
        </is>
      </c>
      <c r="B5" s="66" t="inlineStr">
        <is>
          <t>Total de compras del año con factura electrónica (para el beneficio del 1%)</t>
        </is>
      </c>
      <c r="C5" s="67" t="n">
        <v>28</v>
      </c>
      <c r="D5" s="466" t="n"/>
      <c r="E5" s="223" t="n"/>
      <c r="F5" s="467">
        <f>IF(D5="",0,IF(AND(ISNUMBER(D5),D5&gt;=0),D5,0))</f>
        <v/>
      </c>
      <c r="G5" s="69">
        <f>C5</f>
        <v/>
      </c>
      <c r="H5" s="69">
        <f>IF(D5="","SIN DATOS",IF(AND(ISNUMBER(D5),D5&gt;=0),"DILIGENCIADO","BLOQUEADO: VALOR INVÁLIDO"))</f>
        <v/>
      </c>
    </row>
    <row r="6" ht="23.25" customHeight="1" s="235">
      <c r="A6" s="66" t="inlineStr">
        <is>
          <t>Patrimonio</t>
        </is>
      </c>
      <c r="B6" s="66" t="inlineStr">
        <is>
          <t>Saldo en cuentas de ahorro y corriente</t>
        </is>
      </c>
      <c r="C6" s="67" t="n">
        <v>29</v>
      </c>
      <c r="D6" s="466" t="n"/>
      <c r="E6" s="223" t="n"/>
      <c r="F6" s="467">
        <f>IF(D6="",0,IF(AND(ISNUMBER(D6),D6&gt;=0),D6,0))</f>
        <v/>
      </c>
      <c r="G6" s="69">
        <f>C6</f>
        <v/>
      </c>
      <c r="H6" s="69">
        <f>IF(D6="","SIN DATOS",IF(AND(ISNUMBER(D6),D6&gt;=0),"DILIGENCIADO","BLOQUEADO: VALOR INVÁLIDO"))</f>
        <v/>
      </c>
    </row>
    <row r="7" ht="45.75" customHeight="1" s="235">
      <c r="A7" s="66" t="inlineStr">
        <is>
          <t>Patrimonio</t>
        </is>
      </c>
      <c r="B7" s="66" t="inlineStr">
        <is>
          <t>CDT y otras inversiones financieras</t>
        </is>
      </c>
      <c r="C7" s="67" t="n">
        <v>29</v>
      </c>
      <c r="D7" s="466" t="n"/>
      <c r="E7" s="223" t="n"/>
      <c r="F7" s="467">
        <f>IF(D7="",0,IF(AND(ISNUMBER(D7),D7&gt;=0),D7,0))</f>
        <v/>
      </c>
      <c r="G7" s="69">
        <f>C7</f>
        <v/>
      </c>
      <c r="H7" s="69">
        <f>IF(D7="","SIN DATOS",IF(AND(ISNUMBER(D7),D7&gt;=0),"DILIGENCIADO","BLOQUEADO: VALOR INVÁLIDO"))</f>
        <v/>
      </c>
    </row>
    <row r="8" ht="14.25" customHeight="1" s="235">
      <c r="A8" s="66" t="inlineStr">
        <is>
          <t>Patrimonio</t>
        </is>
      </c>
      <c r="B8" s="66" t="inlineStr">
        <is>
          <t>Fondos de inversión, fiducias o encargos fiduciarios</t>
        </is>
      </c>
      <c r="C8" s="67" t="n">
        <v>29</v>
      </c>
      <c r="D8" s="466" t="n"/>
      <c r="E8" s="223" t="n"/>
      <c r="F8" s="69">
        <f>IF(D8="",0,IF(AND(ISNUMBER(D8),D8&gt;=0),D8,0))</f>
        <v/>
      </c>
      <c r="G8" s="69">
        <f>C8</f>
        <v/>
      </c>
      <c r="H8" s="69">
        <f>IF(D8="","SIN DATOS",IF(AND(ISNUMBER(D8),D8&gt;=0),"DILIGENCIADO","BLOQUEADO: VALOR INVÁLIDO"))</f>
        <v/>
      </c>
    </row>
    <row r="9" ht="14.25" customHeight="1" s="235">
      <c r="A9" s="66" t="inlineStr">
        <is>
          <t>Patrimonio</t>
        </is>
      </c>
      <c r="B9" s="66" t="inlineStr">
        <is>
          <t>Acciones y aportes en sociedades</t>
        </is>
      </c>
      <c r="C9" s="67" t="n">
        <v>29</v>
      </c>
      <c r="D9" s="466" t="n"/>
      <c r="E9" s="223" t="n"/>
      <c r="F9" s="69">
        <f>IF(D9="",0,IF(AND(ISNUMBER(D9),D9&gt;=0),D9,0))</f>
        <v/>
      </c>
      <c r="G9" s="69">
        <f>C9</f>
        <v/>
      </c>
      <c r="H9" s="69">
        <f>IF(D9="","SIN DATOS",IF(AND(ISNUMBER(D9),D9&gt;=0),"DILIGENCIADO","BLOQUEADO: VALOR INVÁLIDO"))</f>
        <v/>
      </c>
    </row>
    <row r="10" ht="14.25" customHeight="1" s="235">
      <c r="A10" s="66" t="inlineStr">
        <is>
          <t>Patrimonio</t>
        </is>
      </c>
      <c r="B10" s="66" t="inlineStr">
        <is>
          <t>Vehículos (valor comercial o costo fiscal)</t>
        </is>
      </c>
      <c r="C10" s="67" t="n">
        <v>29</v>
      </c>
      <c r="D10" s="466" t="n"/>
      <c r="E10" s="223" t="n"/>
      <c r="F10" s="69">
        <f>IF(D10="",0,IF(AND(ISNUMBER(D10),D10&gt;=0),D10,0))</f>
        <v/>
      </c>
      <c r="G10" s="69">
        <f>C10</f>
        <v/>
      </c>
      <c r="H10" s="69">
        <f>IF(D10="","SIN DATOS",IF(AND(ISNUMBER(D10),D10&gt;=0),"DILIGENCIADO","BLOQUEADO: VALOR INVÁLIDO"))</f>
        <v/>
      </c>
    </row>
    <row r="11" ht="14.25" customHeight="1" s="235">
      <c r="A11" s="66" t="inlineStr">
        <is>
          <t>Patrimonio</t>
        </is>
      </c>
      <c r="B11" s="66" t="inlineStr">
        <is>
          <t>Vivienda principal (avalúo catastral o costo fiscal)</t>
        </is>
      </c>
      <c r="C11" s="67" t="n">
        <v>29</v>
      </c>
      <c r="D11" s="466" t="n"/>
      <c r="E11" s="223" t="n"/>
      <c r="F11" s="69">
        <f>IF(D11="",0,IF(AND(ISNUMBER(D11),D11&gt;=0),D11,0))</f>
        <v/>
      </c>
      <c r="G11" s="69">
        <f>C11</f>
        <v/>
      </c>
      <c r="H11" s="69">
        <f>IF(D11="","SIN DATOS",IF(AND(ISNUMBER(D11),D11&gt;=0),"DILIGENCIADO","BLOQUEADO: VALOR INVÁLIDO"))</f>
        <v/>
      </c>
    </row>
    <row r="12" ht="57" customHeight="1" s="235">
      <c r="A12" s="66" t="inlineStr">
        <is>
          <t>Patrimonio</t>
        </is>
      </c>
      <c r="B12" s="66" t="inlineStr">
        <is>
          <t>Otros inmuebles</t>
        </is>
      </c>
      <c r="C12" s="67" t="n">
        <v>29</v>
      </c>
      <c r="D12" s="466" t="n"/>
      <c r="E12" s="223" t="n"/>
      <c r="F12" s="467">
        <f>IF(D12="",0,IF(AND(ISNUMBER(D12),D12&gt;=0),D12,0))</f>
        <v/>
      </c>
      <c r="G12" s="69">
        <f>C12</f>
        <v/>
      </c>
      <c r="H12" s="69">
        <f>IF(D12="","SIN DATOS",IF(AND(ISNUMBER(D12),D12&gt;=0),"DILIGENCIADO","BLOQUEADO: VALOR INVÁLIDO"))</f>
        <v/>
      </c>
    </row>
    <row r="13" ht="14.25" customHeight="1" s="235">
      <c r="A13" s="66" t="inlineStr">
        <is>
          <t>Patrimonio</t>
        </is>
      </c>
      <c r="B13" s="66" t="inlineStr">
        <is>
          <t>Otros bienes (muebles de valor, aportes, criptoactivos, etc.)</t>
        </is>
      </c>
      <c r="C13" s="67" t="n">
        <v>29</v>
      </c>
      <c r="D13" s="466" t="n"/>
      <c r="E13" s="223" t="n"/>
      <c r="F13" s="69">
        <f>IF(D13="",0,IF(AND(ISNUMBER(D13),D13&gt;=0),D13,0))</f>
        <v/>
      </c>
      <c r="G13" s="69">
        <f>C13</f>
        <v/>
      </c>
      <c r="H13" s="69">
        <f>IF(D13="","SIN DATOS",IF(AND(ISNUMBER(D13),D13&gt;=0),"DILIGENCIADO","BLOQUEADO: VALOR INVÁLIDO"))</f>
        <v/>
      </c>
    </row>
    <row r="14" ht="14.25" customHeight="1" s="235">
      <c r="A14" s="66" t="inlineStr">
        <is>
          <t>Patrimonio</t>
        </is>
      </c>
      <c r="B14" s="66" t="inlineStr">
        <is>
          <t>Saldo de créditos hipotecarios</t>
        </is>
      </c>
      <c r="C14" s="67" t="n">
        <v>30</v>
      </c>
      <c r="D14" s="466" t="n"/>
      <c r="E14" s="223" t="n"/>
      <c r="F14" s="69">
        <f>IF(D14="",0,IF(AND(ISNUMBER(D14),D14&gt;=0),D14,0))</f>
        <v/>
      </c>
      <c r="G14" s="69">
        <f>C14</f>
        <v/>
      </c>
      <c r="H14" s="69">
        <f>IF(D14="","SIN DATOS",IF(AND(ISNUMBER(D14),D14&gt;=0),"DILIGENCIADO","BLOQUEADO: VALOR INVÁLIDO"))</f>
        <v/>
      </c>
    </row>
    <row r="15" ht="14.25" customHeight="1" s="235">
      <c r="A15" s="66" t="inlineStr">
        <is>
          <t>Patrimonio</t>
        </is>
      </c>
      <c r="B15" s="66" t="inlineStr">
        <is>
          <t>Saldo de créditos de consumo o libre inversión</t>
        </is>
      </c>
      <c r="C15" s="67" t="n">
        <v>30</v>
      </c>
      <c r="D15" s="466" t="n"/>
      <c r="E15" s="223" t="n"/>
      <c r="F15" s="69">
        <f>IF(D15="",0,IF(AND(ISNUMBER(D15),D15&gt;=0),D15,0))</f>
        <v/>
      </c>
      <c r="G15" s="69">
        <f>C15</f>
        <v/>
      </c>
      <c r="H15" s="69">
        <f>IF(D15="","SIN DATOS",IF(AND(ISNUMBER(D15),D15&gt;=0),"DILIGENCIADO","BLOQUEADO: VALOR INVÁLIDO"))</f>
        <v/>
      </c>
    </row>
    <row r="16" ht="14.25" customHeight="1" s="235">
      <c r="A16" s="66" t="inlineStr">
        <is>
          <t>Patrimonio</t>
        </is>
      </c>
      <c r="B16" s="66" t="inlineStr">
        <is>
          <t>Saldo de tarjetas de crédito</t>
        </is>
      </c>
      <c r="C16" s="67" t="n">
        <v>30</v>
      </c>
      <c r="D16" s="466" t="n"/>
      <c r="E16" s="223" t="n"/>
      <c r="F16" s="69">
        <f>IF(D16="",0,IF(AND(ISNUMBER(D16),D16&gt;=0),D16,0))</f>
        <v/>
      </c>
      <c r="G16" s="69">
        <f>C16</f>
        <v/>
      </c>
      <c r="H16" s="69">
        <f>IF(D16="","SIN DATOS",IF(AND(ISNUMBER(D16),D16&gt;=0),"DILIGENCIADO","BLOQUEADO: VALOR INVÁLIDO"))</f>
        <v/>
      </c>
    </row>
    <row r="17" ht="14.25" customHeight="1" s="235">
      <c r="A17" s="66" t="inlineStr">
        <is>
          <t>Patrimonio</t>
        </is>
      </c>
      <c r="B17" s="66" t="inlineStr">
        <is>
          <t>Otras deudas o pasivos</t>
        </is>
      </c>
      <c r="C17" s="67" t="n">
        <v>30</v>
      </c>
      <c r="D17" s="466" t="n"/>
      <c r="E17" s="223" t="n"/>
      <c r="F17" s="69">
        <f>IF(D17="",0,IF(AND(ISNUMBER(D17),D17&gt;=0),D17,0))</f>
        <v/>
      </c>
      <c r="G17" s="69">
        <f>C17</f>
        <v/>
      </c>
      <c r="H17" s="69">
        <f>IF(D17="","SIN DATOS",IF(AND(ISNUMBER(D17),D17&gt;=0),"DILIGENCIADO","BLOQUEADO: VALOR INVÁLIDO"))</f>
        <v/>
      </c>
    </row>
    <row r="18" ht="14.25" customHeight="1" s="235">
      <c r="A18" s="70" t="inlineStr">
        <is>
          <t>Rentas de trabajo</t>
        </is>
      </c>
      <c r="B18" s="70" t="inlineStr">
        <is>
          <t>Salarios y prestaciones sociales</t>
        </is>
      </c>
      <c r="C18" s="71" t="n">
        <v>32</v>
      </c>
      <c r="D18" s="468" t="n"/>
      <c r="E18" s="225" t="n"/>
      <c r="F18" s="72">
        <f>IF(D18="",0,IF(AND(ISNUMBER(D18),D18&gt;=0),D18,0))</f>
        <v/>
      </c>
      <c r="G18" s="72">
        <f>C18</f>
        <v/>
      </c>
      <c r="H18" s="72">
        <f>IF(D18="","SIN DATOS",IF(AND(ISNUMBER(D18),D18&gt;=0),"DILIGENCIADO","BLOQUEADO: VALOR INVÁLIDO"))</f>
        <v/>
      </c>
    </row>
    <row r="19" ht="14.25" customHeight="1" s="235">
      <c r="A19" s="70" t="inlineStr">
        <is>
          <t>Rentas de trabajo</t>
        </is>
      </c>
      <c r="B19" s="70" t="inlineStr">
        <is>
          <t>Cesantías e intereses de cesantías (parte gravada)</t>
        </is>
      </c>
      <c r="C19" s="71" t="n">
        <v>32</v>
      </c>
      <c r="D19" s="468" t="n"/>
      <c r="E19" s="225" t="n"/>
      <c r="F19" s="72">
        <f>IF(D19="",0,IF(AND(ISNUMBER(D19),D19&gt;=0),D19,0))</f>
        <v/>
      </c>
      <c r="G19" s="72">
        <f>C19</f>
        <v/>
      </c>
      <c r="H19" s="72">
        <f>IF(D19="","SIN DATOS",IF(AND(ISNUMBER(D19),D19&gt;=0),"DILIGENCIADO","BLOQUEADO: VALOR INVÁLIDO"))</f>
        <v/>
      </c>
    </row>
    <row r="20" ht="14.25" customHeight="1" s="235">
      <c r="A20" s="70" t="inlineStr">
        <is>
          <t>Rentas de trabajo</t>
        </is>
      </c>
      <c r="B20" s="70" t="inlineStr">
        <is>
          <t>Comisiones y otros pagos laborales</t>
        </is>
      </c>
      <c r="C20" s="71" t="n">
        <v>32</v>
      </c>
      <c r="D20" s="468" t="n"/>
      <c r="E20" s="225" t="n"/>
      <c r="F20" s="72">
        <f>IF(D20="",0,IF(AND(ISNUMBER(D20),D20&gt;=0),D20,0))</f>
        <v/>
      </c>
      <c r="G20" s="72">
        <f>C20</f>
        <v/>
      </c>
      <c r="H20" s="72">
        <f>IF(D20="","SIN DATOS",IF(AND(ISNUMBER(D20),D20&gt;=0),"DILIGENCIADO","BLOQUEADO: VALOR INVÁLIDO"))</f>
        <v/>
      </c>
    </row>
    <row r="21" ht="25.5" customHeight="1" s="235">
      <c r="A21" s="70" t="inlineStr">
        <is>
          <t>Rentas de trabajo</t>
        </is>
      </c>
      <c r="B21" s="70" t="inlineStr">
        <is>
          <t>Aportes obligatorios a salud y pensión (ya descontados por el pagador)</t>
        </is>
      </c>
      <c r="C21" s="71" t="n">
        <v>33</v>
      </c>
      <c r="D21" s="468" t="n"/>
      <c r="E21" s="225" t="n"/>
      <c r="F21" s="72">
        <f>IF(D21="",0,IF(AND(ISNUMBER(D21),D21&gt;=0),D21,0))</f>
        <v/>
      </c>
      <c r="G21" s="72">
        <f>C21</f>
        <v/>
      </c>
      <c r="H21" s="72">
        <f>IF(D21="","SIN DATOS",IF(AND(ISNUMBER(D21),D21&gt;=0),"DILIGENCIADO","BLOQUEADO: VALOR INVÁLIDO"))</f>
        <v/>
      </c>
    </row>
    <row r="22" ht="14.25" customHeight="1" s="235">
      <c r="A22" s="70" t="inlineStr">
        <is>
          <t>Rentas de trabajo</t>
        </is>
      </c>
      <c r="B22" s="70" t="inlineStr">
        <is>
          <t>Aportes voluntarios AFC/FVP/pensión voluntaria — trabajo</t>
        </is>
      </c>
      <c r="C22" s="71" t="n">
        <v>35</v>
      </c>
      <c r="D22" s="468" t="n"/>
      <c r="E22" s="225" t="n"/>
      <c r="F22" s="72">
        <f>IF(D22="",0,IF(AND(ISNUMBER(D22),D22&gt;=0),D22,0))</f>
        <v/>
      </c>
      <c r="G22" s="72">
        <f>C22</f>
        <v/>
      </c>
      <c r="H22" s="72">
        <f>IF(D22="","SIN DATOS",IF(AND(ISNUMBER(D22),D22&gt;=0),"DILIGENCIADO","BLOQUEADO: VALOR INVÁLIDO"))</f>
        <v/>
      </c>
    </row>
    <row r="23" ht="34.5" customHeight="1" s="235">
      <c r="A23" s="70" t="inlineStr">
        <is>
          <t>Rentas de trabajo</t>
        </is>
      </c>
      <c r="B23" s="70" t="inlineStr">
        <is>
          <t>Otras rentas exentas de trabajo (DISTINTAS al 25% — ese ya se calcula automático)</t>
        </is>
      </c>
      <c r="C23" s="71" t="n">
        <v>36</v>
      </c>
      <c r="D23" s="468" t="n"/>
      <c r="E23" s="225" t="n"/>
      <c r="F23" s="469">
        <f>IF(D23="",0,IF(AND(ISNUMBER(D23),D23&gt;=0),D23,0))</f>
        <v/>
      </c>
      <c r="G23" s="72">
        <f>C23</f>
        <v/>
      </c>
      <c r="H23" s="72">
        <f>IF(D23="","SIN DATOS",IF(AND(ISNUMBER(D23),D23&gt;=0),"DILIGENCIADO","BLOQUEADO: VALOR INVÁLIDO"))</f>
        <v/>
      </c>
    </row>
    <row r="24" ht="34.5" customHeight="1" s="235">
      <c r="A24" s="70" t="inlineStr">
        <is>
          <t>Rentas de trabajo</t>
        </is>
      </c>
      <c r="B24" s="70" t="inlineStr">
        <is>
          <t>Intereses de crédito de vivienda pagados — trabajo</t>
        </is>
      </c>
      <c r="C24" s="71" t="n">
        <v>38</v>
      </c>
      <c r="D24" s="468" t="n"/>
      <c r="E24" s="225" t="n"/>
      <c r="F24" s="469">
        <f>IF(D24="",0,IF(AND(ISNUMBER(D24),D24&gt;=0),D24,0))</f>
        <v/>
      </c>
      <c r="G24" s="72">
        <f>C24</f>
        <v/>
      </c>
      <c r="H24" s="72">
        <f>IF(D24="","SIN DATOS",IF(AND(ISNUMBER(D24),D24&gt;=0),"DILIGENCIADO","BLOQUEADO: VALOR INVÁLIDO"))</f>
        <v/>
      </c>
    </row>
    <row r="25" ht="25.5" customHeight="1" s="235">
      <c r="A25" s="70" t="inlineStr">
        <is>
          <t>Rentas de trabajo</t>
        </is>
      </c>
      <c r="B25" s="70" t="inlineStr">
        <is>
          <t>Otras deducciones imputables — trabajo (dependientes, medicina prepagada, etc.)</t>
        </is>
      </c>
      <c r="C25" s="71" t="n">
        <v>39</v>
      </c>
      <c r="D25" s="468" t="n"/>
      <c r="E25" s="225" t="n"/>
      <c r="F25" s="469">
        <f>IF(D25="",0,IF(AND(ISNUMBER(D25),D25&gt;=0),D25,0))</f>
        <v/>
      </c>
      <c r="G25" s="72">
        <f>C25</f>
        <v/>
      </c>
      <c r="H25" s="72">
        <f>IF(D25="","SIN DATOS",IF(AND(ISNUMBER(D25),D25&gt;=0),"DILIGENCIADO","BLOQUEADO: VALOR INVÁLIDO"))</f>
        <v/>
      </c>
    </row>
    <row r="26" ht="14.25" customHeight="1" s="235">
      <c r="A26" s="66" t="inlineStr">
        <is>
          <t>Honorarios con costos</t>
        </is>
      </c>
      <c r="B26" s="66" t="inlineStr">
        <is>
          <t>Honorarios y servicios facturados con costos asociados</t>
        </is>
      </c>
      <c r="C26" s="67" t="n">
        <v>43</v>
      </c>
      <c r="D26" s="466" t="n"/>
      <c r="E26" s="223" t="n"/>
      <c r="F26" s="69">
        <f>IF(D26="",0,IF(AND(ISNUMBER(D26),D26&gt;=0),D26,0))</f>
        <v/>
      </c>
      <c r="G26" s="69">
        <f>C26</f>
        <v/>
      </c>
      <c r="H26" s="69">
        <f>IF(D26="","SIN DATOS",IF(AND(ISNUMBER(D26),D26&gt;=0),"DILIGENCIADO","BLOQUEADO: VALOR INVÁLIDO"))</f>
        <v/>
      </c>
    </row>
    <row r="27" ht="14.25" customHeight="1" s="235">
      <c r="A27" s="66" t="inlineStr">
        <is>
          <t>Honorarios con costos</t>
        </is>
      </c>
      <c r="B27" s="66" t="inlineStr">
        <is>
          <t>Ingresos no constitutivos de renta — honorarios</t>
        </is>
      </c>
      <c r="C27" s="67" t="n">
        <v>44</v>
      </c>
      <c r="D27" s="466" t="n"/>
      <c r="E27" s="223" t="n"/>
      <c r="F27" s="69">
        <f>IF(D27="",0,IF(AND(ISNUMBER(D27),D27&gt;=0),D27,0))</f>
        <v/>
      </c>
      <c r="G27" s="69">
        <f>C27</f>
        <v/>
      </c>
      <c r="H27" s="69">
        <f>IF(D27="","SIN DATOS",IF(AND(ISNUMBER(D27),D27&gt;=0),"DILIGENCIADO","BLOQUEADO: VALOR INVÁLIDO"))</f>
        <v/>
      </c>
    </row>
    <row r="28" ht="14.25" customHeight="1" s="235">
      <c r="A28" s="66" t="inlineStr">
        <is>
          <t>Honorarios con costos</t>
        </is>
      </c>
      <c r="B28" s="66" t="inlineStr">
        <is>
          <t>Costos y gastos asociados a los honorarios</t>
        </is>
      </c>
      <c r="C28" s="67" t="n">
        <v>45</v>
      </c>
      <c r="D28" s="466" t="n"/>
      <c r="E28" s="223" t="n"/>
      <c r="F28" s="69">
        <f>IF(D28="",0,IF(AND(ISNUMBER(D28),D28&gt;=0),D28,0))</f>
        <v/>
      </c>
      <c r="G28" s="69">
        <f>C28</f>
        <v/>
      </c>
      <c r="H28" s="69">
        <f>IF(D28="","SIN DATOS",IF(AND(ISNUMBER(D28),D28&gt;=0),"DILIGENCIADO","BLOQUEADO: VALOR INVÁLIDO"))</f>
        <v/>
      </c>
    </row>
    <row r="29" ht="14.25" customHeight="1" s="235">
      <c r="A29" s="66" t="inlineStr">
        <is>
          <t>Honorarios con costos</t>
        </is>
      </c>
      <c r="B29" s="66" t="inlineStr">
        <is>
          <t>Aportes voluntarios AFC/FVP/pensión voluntaria — honorarios</t>
        </is>
      </c>
      <c r="C29" s="67" t="n">
        <v>47</v>
      </c>
      <c r="D29" s="466" t="n"/>
      <c r="E29" s="223" t="n"/>
      <c r="F29" s="69">
        <f>IF(D29="",0,IF(AND(ISNUMBER(D29),D29&gt;=0),D29,0))</f>
        <v/>
      </c>
      <c r="G29" s="69">
        <f>C29</f>
        <v/>
      </c>
      <c r="H29" s="69">
        <f>IF(D29="","SIN DATOS",IF(AND(ISNUMBER(D29),D29&gt;=0),"DILIGENCIADO","BLOQUEADO: VALOR INVÁLIDO"))</f>
        <v/>
      </c>
    </row>
    <row r="30" ht="14.25" customHeight="1" s="235">
      <c r="A30" s="66" t="inlineStr">
        <is>
          <t>Honorarios con costos</t>
        </is>
      </c>
      <c r="B30" s="66" t="inlineStr">
        <is>
          <t>Otras rentas exentas — honorarios</t>
        </is>
      </c>
      <c r="C30" s="67" t="n">
        <v>48</v>
      </c>
      <c r="D30" s="466" t="n"/>
      <c r="E30" s="223" t="n"/>
      <c r="F30" s="69">
        <f>IF(D30="",0,IF(AND(ISNUMBER(D30),D30&gt;=0),D30,0))</f>
        <v/>
      </c>
      <c r="G30" s="69">
        <f>C30</f>
        <v/>
      </c>
      <c r="H30" s="69">
        <f>IF(D30="","SIN DATOS",IF(AND(ISNUMBER(D30),D30&gt;=0),"DILIGENCIADO","BLOQUEADO: VALOR INVÁLIDO"))</f>
        <v/>
      </c>
    </row>
    <row r="31" ht="14.25" customHeight="1" s="235">
      <c r="A31" s="66" t="inlineStr">
        <is>
          <t>Honorarios con costos</t>
        </is>
      </c>
      <c r="B31" s="66" t="inlineStr">
        <is>
          <t>Intereses de crédito de vivienda — honorarios</t>
        </is>
      </c>
      <c r="C31" s="67" t="n">
        <v>50</v>
      </c>
      <c r="D31" s="466" t="n"/>
      <c r="E31" s="223" t="n"/>
      <c r="F31" s="69">
        <f>IF(D31="",0,IF(AND(ISNUMBER(D31),D31&gt;=0),D31,0))</f>
        <v/>
      </c>
      <c r="G31" s="69">
        <f>C31</f>
        <v/>
      </c>
      <c r="H31" s="69">
        <f>IF(D31="","SIN DATOS",IF(AND(ISNUMBER(D31),D31&gt;=0),"DILIGENCIADO","BLOQUEADO: VALOR INVÁLIDO"))</f>
        <v/>
      </c>
    </row>
    <row r="32" ht="14.25" customHeight="1" s="235">
      <c r="A32" s="66" t="inlineStr">
        <is>
          <t>Honorarios con costos</t>
        </is>
      </c>
      <c r="B32" s="66" t="inlineStr">
        <is>
          <t>Otras deducciones — honorarios</t>
        </is>
      </c>
      <c r="C32" s="67" t="n">
        <v>51</v>
      </c>
      <c r="D32" s="466" t="n"/>
      <c r="E32" s="223" t="n"/>
      <c r="F32" s="69">
        <f>IF(D32="",0,IF(AND(ISNUMBER(D32),D32&gt;=0),D32,0))</f>
        <v/>
      </c>
      <c r="G32" s="69">
        <f>C32</f>
        <v/>
      </c>
      <c r="H32" s="69">
        <f>IF(D32="","SIN DATOS",IF(AND(ISNUMBER(D32),D32&gt;=0),"DILIGENCIADO","BLOQUEADO: VALOR INVÁLIDO"))</f>
        <v/>
      </c>
    </row>
    <row r="33" ht="14.25" customHeight="1" s="235">
      <c r="A33" s="66" t="inlineStr">
        <is>
          <t>Honorarios con costos</t>
        </is>
      </c>
      <c r="B33" s="66" t="inlineStr">
        <is>
          <t>Compensación de pérdidas de años anteriores — honorarios</t>
        </is>
      </c>
      <c r="C33" s="67" t="n">
        <v>56</v>
      </c>
      <c r="D33" s="466" t="n"/>
      <c r="E33" s="223" t="n"/>
      <c r="F33" s="69">
        <f>IF(D33="",0,IF(AND(ISNUMBER(D33),D33&gt;=0),D33,0))</f>
        <v/>
      </c>
      <c r="G33" s="69">
        <f>C33</f>
        <v/>
      </c>
      <c r="H33" s="69">
        <f>IF(D33="","SIN DATOS",IF(AND(ISNUMBER(D33),D33&gt;=0),"DILIGENCIADO","BLOQUEADO: VALOR INVÁLIDO"))</f>
        <v/>
      </c>
    </row>
    <row r="34" ht="14.25" customHeight="1" s="235">
      <c r="A34" s="70" t="inlineStr">
        <is>
          <t>Rentas de capital</t>
        </is>
      </c>
      <c r="B34" s="70" t="inlineStr">
        <is>
          <t>Arrendamientos recibidos</t>
        </is>
      </c>
      <c r="C34" s="71" t="n">
        <v>58</v>
      </c>
      <c r="D34" s="468" t="n"/>
      <c r="E34" s="225" t="n"/>
      <c r="F34" s="72">
        <f>IF(D34="",0,IF(AND(ISNUMBER(D34),D34&gt;=0),D34,0))</f>
        <v/>
      </c>
      <c r="G34" s="72">
        <f>C34</f>
        <v/>
      </c>
      <c r="H34" s="72">
        <f>IF(D34="","SIN DATOS",IF(AND(ISNUMBER(D34),D34&gt;=0),"DILIGENCIADO","BLOQUEADO: VALOR INVÁLIDO"))</f>
        <v/>
      </c>
    </row>
    <row r="35" ht="14.25" customHeight="1" s="235">
      <c r="A35" s="70" t="inlineStr">
        <is>
          <t>Rentas de capital</t>
        </is>
      </c>
      <c r="B35" s="70" t="inlineStr">
        <is>
          <t>Intereses y rendimientos financieros recibidos</t>
        </is>
      </c>
      <c r="C35" s="71" t="n">
        <v>58</v>
      </c>
      <c r="D35" s="468" t="n"/>
      <c r="E35" s="225" t="n"/>
      <c r="F35" s="72">
        <f>IF(D35="",0,IF(AND(ISNUMBER(D35),D35&gt;=0),D35,0))</f>
        <v/>
      </c>
      <c r="G35" s="72">
        <f>C35</f>
        <v/>
      </c>
      <c r="H35" s="72">
        <f>IF(D35="","SIN DATOS",IF(AND(ISNUMBER(D35),D35&gt;=0),"DILIGENCIADO","BLOQUEADO: VALOR INVÁLIDO"))</f>
        <v/>
      </c>
    </row>
    <row r="36" ht="14.25" customHeight="1" s="235">
      <c r="A36" s="70" t="inlineStr">
        <is>
          <t>Rentas de capital</t>
        </is>
      </c>
      <c r="B36" s="70" t="inlineStr">
        <is>
          <t>Regalías o derechos de propiedad intelectual</t>
        </is>
      </c>
      <c r="C36" s="71" t="n">
        <v>58</v>
      </c>
      <c r="D36" s="468" t="n"/>
      <c r="E36" s="225" t="n"/>
      <c r="F36" s="72">
        <f>IF(D36="",0,IF(AND(ISNUMBER(D36),D36&gt;=0),D36,0))</f>
        <v/>
      </c>
      <c r="G36" s="72">
        <f>C36</f>
        <v/>
      </c>
      <c r="H36" s="72">
        <f>IF(D36="","SIN DATOS",IF(AND(ISNUMBER(D36),D36&gt;=0),"DILIGENCIADO","BLOQUEADO: VALOR INVÁLIDO"))</f>
        <v/>
      </c>
    </row>
    <row r="37" ht="14.25" customHeight="1" s="235">
      <c r="A37" s="70" t="inlineStr">
        <is>
          <t>Rentas de capital</t>
        </is>
      </c>
      <c r="B37" s="70" t="inlineStr">
        <is>
          <t>Ingresos no constitutivos de renta — capital</t>
        </is>
      </c>
      <c r="C37" s="71" t="n">
        <v>59</v>
      </c>
      <c r="D37" s="468" t="n"/>
      <c r="E37" s="225" t="n"/>
      <c r="F37" s="469">
        <f>IF(D37="",0,IF(AND(ISNUMBER(D37),D37&gt;=0),D37,0))</f>
        <v/>
      </c>
      <c r="G37" s="72">
        <f>C37</f>
        <v/>
      </c>
      <c r="H37" s="72">
        <f>IF(D37="","SIN DATOS",IF(AND(ISNUMBER(D37),D37&gt;=0),"DILIGENCIADO","BLOQUEADO: VALOR INVÁLIDO"))</f>
        <v/>
      </c>
    </row>
    <row r="38" ht="14.25" customHeight="1" s="235">
      <c r="A38" s="70" t="inlineStr">
        <is>
          <t>Rentas de capital</t>
        </is>
      </c>
      <c r="B38" s="70" t="inlineStr">
        <is>
          <t>Costos y gastos asociados — capital</t>
        </is>
      </c>
      <c r="C38" s="71" t="n">
        <v>60</v>
      </c>
      <c r="D38" s="468" t="n"/>
      <c r="E38" s="225" t="n"/>
      <c r="F38" s="72">
        <f>IF(D38="",0,IF(AND(ISNUMBER(D38),D38&gt;=0),D38,0))</f>
        <v/>
      </c>
      <c r="G38" s="72">
        <f>C38</f>
        <v/>
      </c>
      <c r="H38" s="72">
        <f>IF(D38="","SIN DATOS",IF(AND(ISNUMBER(D38),D38&gt;=0),"DILIGENCIADO","BLOQUEADO: VALOR INVÁLIDO"))</f>
        <v/>
      </c>
    </row>
    <row r="39" ht="14.25" customHeight="1" s="235">
      <c r="A39" s="70" t="inlineStr">
        <is>
          <t>Rentas de capital</t>
        </is>
      </c>
      <c r="B39" s="70" t="inlineStr">
        <is>
          <t>Rentas líquidas pasivas del exterior (ECE) — capital</t>
        </is>
      </c>
      <c r="C39" s="71" t="n">
        <v>62</v>
      </c>
      <c r="D39" s="468" t="n"/>
      <c r="E39" s="225" t="n"/>
      <c r="F39" s="72">
        <f>IF(D39="",0,IF(AND(ISNUMBER(D39),D39&gt;=0),D39,0))</f>
        <v/>
      </c>
      <c r="G39" s="72">
        <f>C39</f>
        <v/>
      </c>
      <c r="H39" s="72">
        <f>IF(D39="","SIN DATOS",IF(AND(ISNUMBER(D39),D39&gt;=0),"DILIGENCIADO","BLOQUEADO: VALOR INVÁLIDO"))</f>
        <v/>
      </c>
    </row>
    <row r="40" ht="14.25" customHeight="1" s="235">
      <c r="A40" s="70" t="inlineStr">
        <is>
          <t>Rentas de capital</t>
        </is>
      </c>
      <c r="B40" s="70" t="inlineStr">
        <is>
          <t>Aportes voluntarios AFC/FVP/pensión voluntaria — capital</t>
        </is>
      </c>
      <c r="C40" s="71" t="n">
        <v>63</v>
      </c>
      <c r="D40" s="468" t="n"/>
      <c r="E40" s="225" t="n"/>
      <c r="F40" s="72">
        <f>IF(D40="",0,IF(AND(ISNUMBER(D40),D40&gt;=0),D40,0))</f>
        <v/>
      </c>
      <c r="G40" s="72">
        <f>C40</f>
        <v/>
      </c>
      <c r="H40" s="72">
        <f>IF(D40="","SIN DATOS",IF(AND(ISNUMBER(D40),D40&gt;=0),"DILIGENCIADO","BLOQUEADO: VALOR INVÁLIDO"))</f>
        <v/>
      </c>
    </row>
    <row r="41" ht="14.25" customHeight="1" s="235">
      <c r="A41" s="70" t="inlineStr">
        <is>
          <t>Rentas de capital</t>
        </is>
      </c>
      <c r="B41" s="70" t="inlineStr">
        <is>
          <t>Otras rentas exentas — capital</t>
        </is>
      </c>
      <c r="C41" s="71" t="n">
        <v>64</v>
      </c>
      <c r="D41" s="468" t="n"/>
      <c r="E41" s="225" t="n"/>
      <c r="F41" s="72">
        <f>IF(D41="",0,IF(AND(ISNUMBER(D41),D41&gt;=0),D41,0))</f>
        <v/>
      </c>
      <c r="G41" s="72">
        <f>C41</f>
        <v/>
      </c>
      <c r="H41" s="72">
        <f>IF(D41="","SIN DATOS",IF(AND(ISNUMBER(D41),D41&gt;=0),"DILIGENCIADO","BLOQUEADO: VALOR INVÁLIDO"))</f>
        <v/>
      </c>
    </row>
    <row r="42" ht="14.25" customHeight="1" s="235">
      <c r="A42" s="70" t="inlineStr">
        <is>
          <t>Rentas de capital</t>
        </is>
      </c>
      <c r="B42" s="70" t="inlineStr">
        <is>
          <t>Intereses de crédito de vivienda — capital</t>
        </is>
      </c>
      <c r="C42" s="71" t="n">
        <v>66</v>
      </c>
      <c r="D42" s="468" t="n"/>
      <c r="E42" s="225" t="n"/>
      <c r="F42" s="72">
        <f>IF(D42="",0,IF(AND(ISNUMBER(D42),D42&gt;=0),D42,0))</f>
        <v/>
      </c>
      <c r="G42" s="72">
        <f>C42</f>
        <v/>
      </c>
      <c r="H42" s="72">
        <f>IF(D42="","SIN DATOS",IF(AND(ISNUMBER(D42),D42&gt;=0),"DILIGENCIADO","BLOQUEADO: VALOR INVÁLIDO"))</f>
        <v/>
      </c>
    </row>
    <row r="43" ht="14.25" customHeight="1" s="235">
      <c r="A43" s="70" t="inlineStr">
        <is>
          <t>Rentas de capital</t>
        </is>
      </c>
      <c r="B43" s="70" t="inlineStr">
        <is>
          <t>Otras deducciones — capital</t>
        </is>
      </c>
      <c r="C43" s="71" t="n">
        <v>67</v>
      </c>
      <c r="D43" s="468" t="n"/>
      <c r="E43" s="225" t="n"/>
      <c r="F43" s="72">
        <f>IF(D43="",0,IF(AND(ISNUMBER(D43),D43&gt;=0),D43,0))</f>
        <v/>
      </c>
      <c r="G43" s="72">
        <f>C43</f>
        <v/>
      </c>
      <c r="H43" s="72">
        <f>IF(D43="","SIN DATOS",IF(AND(ISNUMBER(D43),D43&gt;=0),"DILIGENCIADO","BLOQUEADO: VALOR INVÁLIDO"))</f>
        <v/>
      </c>
    </row>
    <row r="44" ht="14.25" customHeight="1" s="235">
      <c r="A44" s="70" t="inlineStr">
        <is>
          <t>Rentas de capital</t>
        </is>
      </c>
      <c r="B44" s="70" t="inlineStr">
        <is>
          <t>Compensación de pérdidas de años anteriores — capital</t>
        </is>
      </c>
      <c r="C44" s="71" t="n">
        <v>72</v>
      </c>
      <c r="D44" s="468" t="n"/>
      <c r="E44" s="225" t="n"/>
      <c r="F44" s="72">
        <f>IF(D44="",0,IF(AND(ISNUMBER(D44),D44&gt;=0),D44,0))</f>
        <v/>
      </c>
      <c r="G44" s="72">
        <f>C44</f>
        <v/>
      </c>
      <c r="H44" s="72">
        <f>IF(D44="","SIN DATOS",IF(AND(ISNUMBER(D44),D44&gt;=0),"DILIGENCIADO","BLOQUEADO: VALOR INVÁLIDO"))</f>
        <v/>
      </c>
    </row>
    <row r="45" ht="14.25" customHeight="1" s="235">
      <c r="A45" s="66" t="inlineStr">
        <is>
          <t>Rentas no laborales</t>
        </is>
      </c>
      <c r="B45" s="66" t="inlineStr">
        <is>
          <t>Venta ocasional de bienes u otros ingresos no clasificados arriba</t>
        </is>
      </c>
      <c r="C45" s="67" t="n">
        <v>74</v>
      </c>
      <c r="D45" s="466" t="n"/>
      <c r="E45" s="223" t="n"/>
      <c r="F45" s="69">
        <f>IF(D45="",0,IF(AND(ISNUMBER(D45),D45&gt;=0),D45,0))</f>
        <v/>
      </c>
      <c r="G45" s="69">
        <f>C45</f>
        <v/>
      </c>
      <c r="H45" s="69">
        <f>IF(D45="","SIN DATOS",IF(AND(ISNUMBER(D45),D45&gt;=0),"DILIGENCIADO","BLOQUEADO: VALOR INVÁLIDO"))</f>
        <v/>
      </c>
    </row>
    <row r="46" ht="14.25" customHeight="1" s="235">
      <c r="A46" s="66" t="inlineStr">
        <is>
          <t>Rentas no laborales</t>
        </is>
      </c>
      <c r="B46" s="66" t="inlineStr">
        <is>
          <t>Devoluciones, rebajas y descuentos</t>
        </is>
      </c>
      <c r="C46" s="67" t="n">
        <v>75</v>
      </c>
      <c r="D46" s="466" t="n"/>
      <c r="E46" s="223" t="n"/>
      <c r="F46" s="69">
        <f>IF(D46="",0,IF(AND(ISNUMBER(D46),D46&gt;=0),D46,0))</f>
        <v/>
      </c>
      <c r="G46" s="69">
        <f>C46</f>
        <v/>
      </c>
      <c r="H46" s="69">
        <f>IF(D46="","SIN DATOS",IF(AND(ISNUMBER(D46),D46&gt;=0),"DILIGENCIADO","BLOQUEADO: VALOR INVÁLIDO"))</f>
        <v/>
      </c>
    </row>
    <row r="47" ht="14.25" customHeight="1" s="235">
      <c r="A47" s="66" t="inlineStr">
        <is>
          <t>Rentas no laborales</t>
        </is>
      </c>
      <c r="B47" s="66" t="inlineStr">
        <is>
          <t>Ingresos no constitutivos de renta — no laboral</t>
        </is>
      </c>
      <c r="C47" s="67" t="n">
        <v>76</v>
      </c>
      <c r="D47" s="466" t="n"/>
      <c r="E47" s="223" t="n"/>
      <c r="F47" s="69">
        <f>IF(D47="",0,IF(AND(ISNUMBER(D47),D47&gt;=0),D47,0))</f>
        <v/>
      </c>
      <c r="G47" s="69">
        <f>C47</f>
        <v/>
      </c>
      <c r="H47" s="69">
        <f>IF(D47="","SIN DATOS",IF(AND(ISNUMBER(D47),D47&gt;=0),"DILIGENCIADO","BLOQUEADO: VALOR INVÁLIDO"))</f>
        <v/>
      </c>
    </row>
    <row r="48" ht="14.25" customHeight="1" s="235">
      <c r="A48" s="66" t="inlineStr">
        <is>
          <t>Rentas no laborales</t>
        </is>
      </c>
      <c r="B48" s="66" t="inlineStr">
        <is>
          <t>Costos y gastos — no laboral</t>
        </is>
      </c>
      <c r="C48" s="67" t="n">
        <v>77</v>
      </c>
      <c r="D48" s="466" t="n"/>
      <c r="E48" s="223" t="n"/>
      <c r="F48" s="69">
        <f>IF(D48="",0,IF(AND(ISNUMBER(D48),D48&gt;=0),D48,0))</f>
        <v/>
      </c>
      <c r="G48" s="69">
        <f>C48</f>
        <v/>
      </c>
      <c r="H48" s="69">
        <f>IF(D48="","SIN DATOS",IF(AND(ISNUMBER(D48),D48&gt;=0),"DILIGENCIADO","BLOQUEADO: VALOR INVÁLIDO"))</f>
        <v/>
      </c>
    </row>
    <row r="49" ht="14.25" customHeight="1" s="235">
      <c r="A49" s="66" t="inlineStr">
        <is>
          <t>Rentas no laborales</t>
        </is>
      </c>
      <c r="B49" s="66" t="inlineStr">
        <is>
          <t>Rentas líquidas pasivas del exterior (ECE) — no laboral</t>
        </is>
      </c>
      <c r="C49" s="67" t="n">
        <v>79</v>
      </c>
      <c r="D49" s="466" t="n"/>
      <c r="E49" s="223" t="n"/>
      <c r="F49" s="69">
        <f>IF(D49="",0,IF(AND(ISNUMBER(D49),D49&gt;=0),D49,0))</f>
        <v/>
      </c>
      <c r="G49" s="69">
        <f>C49</f>
        <v/>
      </c>
      <c r="H49" s="69">
        <f>IF(D49="","SIN DATOS",IF(AND(ISNUMBER(D49),D49&gt;=0),"DILIGENCIADO","BLOQUEADO: VALOR INVÁLIDO"))</f>
        <v/>
      </c>
    </row>
    <row r="50" ht="14.25" customHeight="1" s="235">
      <c r="A50" s="66" t="inlineStr">
        <is>
          <t>Rentas no laborales</t>
        </is>
      </c>
      <c r="B50" s="66" t="inlineStr">
        <is>
          <t>Aportes voluntarios AFC/FVP/pensión voluntaria — no laboral</t>
        </is>
      </c>
      <c r="C50" s="67" t="n">
        <v>80</v>
      </c>
      <c r="D50" s="466" t="n"/>
      <c r="E50" s="223" t="n"/>
      <c r="F50" s="69">
        <f>IF(D50="",0,IF(AND(ISNUMBER(D50),D50&gt;=0),D50,0))</f>
        <v/>
      </c>
      <c r="G50" s="69">
        <f>C50</f>
        <v/>
      </c>
      <c r="H50" s="69">
        <f>IF(D50="","SIN DATOS",IF(AND(ISNUMBER(D50),D50&gt;=0),"DILIGENCIADO","BLOQUEADO: VALOR INVÁLIDO"))</f>
        <v/>
      </c>
    </row>
    <row r="51" ht="14.25" customHeight="1" s="235">
      <c r="A51" s="66" t="inlineStr">
        <is>
          <t>Rentas no laborales</t>
        </is>
      </c>
      <c r="B51" s="66" t="inlineStr">
        <is>
          <t>Otras rentas exentas — no laboral</t>
        </is>
      </c>
      <c r="C51" s="67" t="n">
        <v>81</v>
      </c>
      <c r="D51" s="466" t="n"/>
      <c r="E51" s="223" t="n"/>
      <c r="F51" s="69">
        <f>IF(D51="",0,IF(AND(ISNUMBER(D51),D51&gt;=0),D51,0))</f>
        <v/>
      </c>
      <c r="G51" s="69">
        <f>C51</f>
        <v/>
      </c>
      <c r="H51" s="69">
        <f>IF(D51="","SIN DATOS",IF(AND(ISNUMBER(D51),D51&gt;=0),"DILIGENCIADO","BLOQUEADO: VALOR INVÁLIDO"))</f>
        <v/>
      </c>
    </row>
    <row r="52" ht="14.25" customHeight="1" s="235">
      <c r="A52" s="66" t="inlineStr">
        <is>
          <t>Rentas no laborales</t>
        </is>
      </c>
      <c r="B52" s="66" t="inlineStr">
        <is>
          <t>Intereses de crédito de vivienda — no laboral</t>
        </is>
      </c>
      <c r="C52" s="67" t="n">
        <v>83</v>
      </c>
      <c r="D52" s="466" t="n"/>
      <c r="E52" s="223" t="n"/>
      <c r="F52" s="69">
        <f>IF(D52="",0,IF(AND(ISNUMBER(D52),D52&gt;=0),D52,0))</f>
        <v/>
      </c>
      <c r="G52" s="69">
        <f>C52</f>
        <v/>
      </c>
      <c r="H52" s="69">
        <f>IF(D52="","SIN DATOS",IF(AND(ISNUMBER(D52),D52&gt;=0),"DILIGENCIADO","BLOQUEADO: VALOR INVÁLIDO"))</f>
        <v/>
      </c>
    </row>
    <row r="53" ht="14.25" customHeight="1" s="235">
      <c r="A53" s="66" t="inlineStr">
        <is>
          <t>Rentas no laborales</t>
        </is>
      </c>
      <c r="B53" s="66" t="inlineStr">
        <is>
          <t>Otras deducciones — no laboral</t>
        </is>
      </c>
      <c r="C53" s="67" t="n">
        <v>84</v>
      </c>
      <c r="D53" s="466" t="n"/>
      <c r="E53" s="223" t="n"/>
      <c r="F53" s="69">
        <f>IF(D53="",0,IF(AND(ISNUMBER(D53),D53&gt;=0),D53,0))</f>
        <v/>
      </c>
      <c r="G53" s="69">
        <f>C53</f>
        <v/>
      </c>
      <c r="H53" s="69">
        <f>IF(D53="","SIN DATOS",IF(AND(ISNUMBER(D53),D53&gt;=0),"DILIGENCIADO","BLOQUEADO: VALOR INVÁLIDO"))</f>
        <v/>
      </c>
    </row>
    <row r="54" ht="14.25" customHeight="1" s="235">
      <c r="A54" s="66" t="inlineStr">
        <is>
          <t>Rentas no laborales</t>
        </is>
      </c>
      <c r="B54" s="66" t="inlineStr">
        <is>
          <t>Compensación de pérdidas de años anteriores — no laboral</t>
        </is>
      </c>
      <c r="C54" s="67" t="n">
        <v>89</v>
      </c>
      <c r="D54" s="466" t="n"/>
      <c r="E54" s="223" t="n"/>
      <c r="F54" s="69">
        <f>IF(D54="",0,IF(AND(ISNUMBER(D54),D54&gt;=0),D54,0))</f>
        <v/>
      </c>
      <c r="G54" s="69">
        <f>C54</f>
        <v/>
      </c>
      <c r="H54" s="69">
        <f>IF(D54="","SIN DATOS",IF(AND(ISNUMBER(D54),D54&gt;=0),"DILIGENCIADO","BLOQUEADO: VALOR INVÁLIDO"))</f>
        <v/>
      </c>
    </row>
    <row r="55" ht="14.25" customHeight="1" s="235">
      <c r="A55" s="70" t="inlineStr">
        <is>
          <t>Cédula general</t>
        </is>
      </c>
      <c r="B55" s="70" t="inlineStr">
        <is>
          <t>Compensación de pérdidas fiscales de 2018 y anteriores</t>
        </is>
      </c>
      <c r="C55" s="71" t="n">
        <v>94</v>
      </c>
      <c r="D55" s="468" t="n"/>
      <c r="E55" s="225" t="n"/>
      <c r="F55" s="72">
        <f>IF(D55="",0,IF(AND(ISNUMBER(D55),D55&gt;=0),D55,0))</f>
        <v/>
      </c>
      <c r="G55" s="72">
        <f>C55</f>
        <v/>
      </c>
      <c r="H55" s="72">
        <f>IF(D55="","SIN DATOS",IF(AND(ISNUMBER(D55),D55&gt;=0),"DILIGENCIADO","BLOQUEADO: VALOR INVÁLIDO"))</f>
        <v/>
      </c>
    </row>
    <row r="56" ht="14.25" customHeight="1" s="235">
      <c r="A56" s="70" t="inlineStr">
        <is>
          <t>Cédula general</t>
        </is>
      </c>
      <c r="B56" s="70" t="inlineStr">
        <is>
          <t>Compensación de excesos de renta presuntiva de años anteriores</t>
        </is>
      </c>
      <c r="C56" s="71" t="n">
        <v>95</v>
      </c>
      <c r="D56" s="468" t="n"/>
      <c r="E56" s="225" t="n"/>
      <c r="F56" s="72">
        <f>IF(D56="",0,IF(AND(ISNUMBER(D56),D56&gt;=0),D56,0))</f>
        <v/>
      </c>
      <c r="G56" s="72">
        <f>C56</f>
        <v/>
      </c>
      <c r="H56" s="72">
        <f>IF(D56="","SIN DATOS",IF(AND(ISNUMBER(D56),D56&gt;=0),"DILIGENCIADO","BLOQUEADO: VALOR INVÁLIDO"))</f>
        <v/>
      </c>
    </row>
    <row r="57" ht="14.25" customHeight="1" s="235">
      <c r="A57" s="70" t="inlineStr">
        <is>
          <t>Cédula general</t>
        </is>
      </c>
      <c r="B57" s="70" t="inlineStr">
        <is>
          <t>Rentas gravables (entidades controladas del exterior, etc.)</t>
        </is>
      </c>
      <c r="C57" s="71" t="n">
        <v>96</v>
      </c>
      <c r="D57" s="468" t="n"/>
      <c r="E57" s="225" t="n"/>
      <c r="F57" s="72">
        <f>IF(D57="",0,IF(AND(ISNUMBER(D57),D57&gt;=0),D57,0))</f>
        <v/>
      </c>
      <c r="G57" s="72">
        <f>C57</f>
        <v/>
      </c>
      <c r="H57" s="72">
        <f>IF(D57="","SIN DATOS",IF(AND(ISNUMBER(D57),D57&gt;=0),"DILIGENCIADO","BLOQUEADO: VALOR INVÁLIDO"))</f>
        <v/>
      </c>
    </row>
    <row r="58" ht="14.25" customHeight="1" s="235">
      <c r="A58" s="70" t="inlineStr">
        <is>
          <t>Cédula general</t>
        </is>
      </c>
      <c r="B58" s="70" t="inlineStr">
        <is>
          <t>Renta presuntiva del año</t>
        </is>
      </c>
      <c r="C58" s="71" t="n">
        <v>98</v>
      </c>
      <c r="D58" s="468" t="n"/>
      <c r="E58" s="225" t="n"/>
      <c r="F58" s="72">
        <f>IF(D58="",0,IF(AND(ISNUMBER(D58),D58&gt;=0),D58,0))</f>
        <v/>
      </c>
      <c r="G58" s="72">
        <f>C58</f>
        <v/>
      </c>
      <c r="H58" s="72">
        <f>IF(D58="","SIN DATOS",IF(AND(ISNUMBER(D58),D58&gt;=0),"DILIGENCIADO","BLOQUEADO: VALOR INVÁLIDO"))</f>
        <v/>
      </c>
    </row>
    <row r="59" ht="14.25" customHeight="1" s="235">
      <c r="A59" s="66" t="inlineStr">
        <is>
          <t>Pensiones</t>
        </is>
      </c>
      <c r="B59" s="66" t="inlineStr">
        <is>
          <t>Pensión recibida (país y/o exterior)</t>
        </is>
      </c>
      <c r="C59" s="67" t="n">
        <v>99</v>
      </c>
      <c r="D59" s="466" t="n"/>
      <c r="E59" s="223" t="n"/>
      <c r="F59" s="69">
        <f>IF(D59="",0,IF(AND(ISNUMBER(D59),D59&gt;=0),D59,0))</f>
        <v/>
      </c>
      <c r="G59" s="69">
        <f>C59</f>
        <v/>
      </c>
      <c r="H59" s="69">
        <f>IF(D59="","SIN DATOS",IF(AND(ISNUMBER(D59),D59&gt;=0),"DILIGENCIADO","BLOQUEADO: VALOR INVÁLIDO"))</f>
        <v/>
      </c>
    </row>
    <row r="60" ht="14.25" customHeight="1" s="235">
      <c r="A60" s="66" t="inlineStr">
        <is>
          <t>Pensiones</t>
        </is>
      </c>
      <c r="B60" s="66" t="inlineStr">
        <is>
          <t>Ingresos no constitutivos de renta — pensiones</t>
        </is>
      </c>
      <c r="C60" s="67" t="n">
        <v>100</v>
      </c>
      <c r="D60" s="466" t="n"/>
      <c r="E60" s="223" t="n"/>
      <c r="F60" s="69">
        <f>IF(D60="",0,IF(AND(ISNUMBER(D60),D60&gt;=0),D60,0))</f>
        <v/>
      </c>
      <c r="G60" s="69">
        <f>C60</f>
        <v/>
      </c>
      <c r="H60" s="69">
        <f>IF(D60="","SIN DATOS",IF(AND(ISNUMBER(D60),D60&gt;=0),"DILIGENCIADO","BLOQUEADO: VALOR INVÁLIDO"))</f>
        <v/>
      </c>
    </row>
    <row r="61" ht="14.25" customHeight="1" s="235">
      <c r="A61" s="70" t="inlineStr">
        <is>
          <t>Dividendos</t>
        </is>
      </c>
      <c r="B61" s="70" t="inlineStr">
        <is>
          <t>Dividendos y participaciones de 2016 y años anteriores</t>
        </is>
      </c>
      <c r="C61" s="71" t="n">
        <v>104</v>
      </c>
      <c r="D61" s="468" t="n"/>
      <c r="E61" s="225" t="n"/>
      <c r="F61" s="72">
        <f>IF(D61="",0,IF(AND(ISNUMBER(D61),D61&gt;=0),D61,0))</f>
        <v/>
      </c>
      <c r="G61" s="72">
        <f>C61</f>
        <v/>
      </c>
      <c r="H61" s="72">
        <f>IF(D61="","SIN DATOS",IF(AND(ISNUMBER(D61),D61&gt;=0),"DILIGENCIADO","BLOQUEADO: VALOR INVÁLIDO"))</f>
        <v/>
      </c>
    </row>
    <row r="62" ht="14.25" customHeight="1" s="235">
      <c r="A62" s="70" t="inlineStr">
        <is>
          <t>Dividendos</t>
        </is>
      </c>
      <c r="B62" s="70" t="inlineStr">
        <is>
          <t>Ingresos no constitutivos de renta — dividendos</t>
        </is>
      </c>
      <c r="C62" s="71" t="n">
        <v>105</v>
      </c>
      <c r="D62" s="468" t="n"/>
      <c r="E62" s="225" t="n"/>
      <c r="F62" s="72">
        <f>IF(D62="",0,IF(AND(ISNUMBER(D62),D62&gt;=0),D62,0))</f>
        <v/>
      </c>
      <c r="G62" s="72">
        <f>C62</f>
        <v/>
      </c>
      <c r="H62" s="72">
        <f>IF(D62="","SIN DATOS",IF(AND(ISNUMBER(D62),D62&gt;=0),"DILIGENCIADO","BLOQUEADO: VALOR INVÁLIDO"))</f>
        <v/>
      </c>
    </row>
    <row r="63" ht="14.25" customHeight="1" s="235">
      <c r="A63" s="70" t="inlineStr">
        <is>
          <t>Dividendos</t>
        </is>
      </c>
      <c r="B63" s="70" t="inlineStr">
        <is>
          <t>Dividendos no gravados recibidos de 2017 en adelante</t>
        </is>
      </c>
      <c r="C63" s="71" t="n">
        <v>107</v>
      </c>
      <c r="D63" s="468" t="n"/>
      <c r="E63" s="225" t="n"/>
      <c r="F63" s="72">
        <f>IF(D63="",0,IF(AND(ISNUMBER(D63),D63&gt;=0),D63,0))</f>
        <v/>
      </c>
      <c r="G63" s="72">
        <f>C63</f>
        <v/>
      </c>
      <c r="H63" s="72">
        <f>IF(D63="","SIN DATOS",IF(AND(ISNUMBER(D63),D63&gt;=0),"DILIGENCIADO","BLOQUEADO: VALOR INVÁLIDO"))</f>
        <v/>
      </c>
    </row>
    <row r="64" ht="14.25" customHeight="1" s="235">
      <c r="A64" s="70" t="inlineStr">
        <is>
          <t>Dividendos</t>
        </is>
      </c>
      <c r="B64" s="70" t="inlineStr">
        <is>
          <t>Dividendos gravados recibidos de 2017 en adelante</t>
        </is>
      </c>
      <c r="C64" s="71" t="n">
        <v>108</v>
      </c>
      <c r="D64" s="468" t="n"/>
      <c r="E64" s="225" t="n"/>
      <c r="F64" s="72">
        <f>IF(D64="",0,IF(AND(ISNUMBER(D64),D64&gt;=0),D64,0))</f>
        <v/>
      </c>
      <c r="G64" s="72">
        <f>C64</f>
        <v/>
      </c>
      <c r="H64" s="72">
        <f>IF(D64="","SIN DATOS",IF(AND(ISNUMBER(D64),D64&gt;=0),"DILIGENCIADO","BLOQUEADO: VALOR INVÁLIDO"))</f>
        <v/>
      </c>
    </row>
    <row r="65" ht="14.25" customHeight="1" s="235">
      <c r="A65" s="70" t="inlineStr">
        <is>
          <t>Dividendos</t>
        </is>
      </c>
      <c r="B65" s="70" t="inlineStr">
        <is>
          <t>Dividendos recibidos del exterior</t>
        </is>
      </c>
      <c r="C65" s="71" t="n">
        <v>109</v>
      </c>
      <c r="D65" s="468" t="n"/>
      <c r="E65" s="225" t="n"/>
      <c r="F65" s="72">
        <f>IF(D65="",0,IF(AND(ISNUMBER(D65),D65&gt;=0),D65,0))</f>
        <v/>
      </c>
      <c r="G65" s="72">
        <f>C65</f>
        <v/>
      </c>
      <c r="H65" s="72">
        <f>IF(D65="","SIN DATOS",IF(AND(ISNUMBER(D65),D65&gt;=0),"DILIGENCIADO","BLOQUEADO: VALOR INVÁLIDO"))</f>
        <v/>
      </c>
    </row>
    <row r="66" ht="14.25" customHeight="1" s="235">
      <c r="A66" s="70" t="inlineStr">
        <is>
          <t>Dividendos</t>
        </is>
      </c>
      <c r="B66" s="70" t="inlineStr">
        <is>
          <t>Rentas exentas — dividendos del exterior</t>
        </is>
      </c>
      <c r="C66" s="71" t="n">
        <v>110</v>
      </c>
      <c r="D66" s="468" t="n"/>
      <c r="E66" s="225" t="n"/>
      <c r="F66" s="72">
        <f>IF(D66="",0,IF(AND(ISNUMBER(D66),D66&gt;=0),D66,0))</f>
        <v/>
      </c>
      <c r="G66" s="72">
        <f>C66</f>
        <v/>
      </c>
      <c r="H66" s="72">
        <f>IF(D66="","SIN DATOS",IF(AND(ISNUMBER(D66),D66&gt;=0),"DILIGENCIADO","BLOQUEADO: VALOR INVÁLIDO"))</f>
        <v/>
      </c>
    </row>
    <row r="67" ht="14.25" customHeight="1" s="235">
      <c r="A67" s="66" t="inlineStr">
        <is>
          <t>Ganancias ocasionales</t>
        </is>
      </c>
      <c r="B67" s="66" t="inlineStr">
        <is>
          <t>Herencias, legados o donaciones recibidas</t>
        </is>
      </c>
      <c r="C67" s="67" t="n">
        <v>112</v>
      </c>
      <c r="D67" s="466" t="n"/>
      <c r="E67" s="223" t="n"/>
      <c r="F67" s="69">
        <f>IF(D67="",0,IF(AND(ISNUMBER(D67),D67&gt;=0),D67,0))</f>
        <v/>
      </c>
      <c r="G67" s="69">
        <f>C67</f>
        <v/>
      </c>
      <c r="H67" s="69">
        <f>IF(D67="","SIN DATOS",IF(AND(ISNUMBER(D67),D67&gt;=0),"DILIGENCIADO","BLOQUEADO: VALOR INVÁLIDO"))</f>
        <v/>
      </c>
    </row>
    <row r="68" ht="25.5" customHeight="1" s="235">
      <c r="A68" s="66" t="inlineStr">
        <is>
          <t>Ganancias ocasionales</t>
        </is>
      </c>
      <c r="B68" s="66" t="inlineStr">
        <is>
          <t>Loterías, rifas, apuestas y similares (tarifa especial 20%, verificar aparte)</t>
        </is>
      </c>
      <c r="C68" s="67" t="n">
        <v>112</v>
      </c>
      <c r="D68" s="466" t="n"/>
      <c r="E68" s="223" t="n"/>
      <c r="F68" s="69">
        <f>IF(D68="",0,IF(AND(ISNUMBER(D68),D68&gt;=0),D68,0))</f>
        <v/>
      </c>
      <c r="G68" s="69">
        <f>C68</f>
        <v/>
      </c>
      <c r="H68" s="69">
        <f>IF(D68="","SIN DATOS",IF(AND(ISNUMBER(D68),D68&gt;=0),"DILIGENCIADO","BLOQUEADO: VALOR INVÁLIDO"))</f>
        <v/>
      </c>
    </row>
    <row r="69" ht="14.25" customHeight="1" s="235">
      <c r="A69" s="66" t="inlineStr">
        <is>
          <t>Ganancias ocasionales</t>
        </is>
      </c>
      <c r="B69" s="66" t="inlineStr">
        <is>
          <t>Venta de activos fijos poseídos por más de 2 años</t>
        </is>
      </c>
      <c r="C69" s="67" t="n">
        <v>112</v>
      </c>
      <c r="D69" s="466" t="n"/>
      <c r="E69" s="223" t="n"/>
      <c r="F69" s="69">
        <f>IF(D69="",0,IF(AND(ISNUMBER(D69),D69&gt;=0),D69,0))</f>
        <v/>
      </c>
      <c r="G69" s="69">
        <f>C69</f>
        <v/>
      </c>
      <c r="H69" s="69">
        <f>IF(D69="","SIN DATOS",IF(AND(ISNUMBER(D69),D69&gt;=0),"DILIGENCIADO","BLOQUEADO: VALOR INVÁLIDO"))</f>
        <v/>
      </c>
    </row>
    <row r="70" ht="14.25" customHeight="1" s="235">
      <c r="A70" s="66" t="inlineStr">
        <is>
          <t>Ganancias ocasionales</t>
        </is>
      </c>
      <c r="B70" s="66" t="inlineStr">
        <is>
          <t>Costos de los bienes de la casilla 112</t>
        </is>
      </c>
      <c r="C70" s="67" t="n">
        <v>113</v>
      </c>
      <c r="D70" s="466" t="n"/>
      <c r="E70" s="223" t="n"/>
      <c r="F70" s="69">
        <f>IF(D70="",0,IF(AND(ISNUMBER(D70),D70&gt;=0),D70,0))</f>
        <v/>
      </c>
      <c r="G70" s="69">
        <f>C70</f>
        <v/>
      </c>
      <c r="H70" s="69">
        <f>IF(D70="","SIN DATOS",IF(AND(ISNUMBER(D70),D70&gt;=0),"DILIGENCIADO","BLOQUEADO: VALOR INVÁLIDO"))</f>
        <v/>
      </c>
    </row>
    <row r="71" ht="14.25" customHeight="1" s="235">
      <c r="A71" s="66" t="inlineStr">
        <is>
          <t>Ganancias ocasionales</t>
        </is>
      </c>
      <c r="B71" s="66" t="inlineStr">
        <is>
          <t>Ganancias ocasionales no gravadas o exentas</t>
        </is>
      </c>
      <c r="C71" s="67" t="n">
        <v>114</v>
      </c>
      <c r="D71" s="466" t="n"/>
      <c r="E71" s="223" t="n"/>
      <c r="F71" s="69">
        <f>IF(D71="",0,IF(AND(ISNUMBER(D71),D71&gt;=0),D71,0))</f>
        <v/>
      </c>
      <c r="G71" s="69">
        <f>C71</f>
        <v/>
      </c>
      <c r="H71" s="69">
        <f>IF(D71="","SIN DATOS",IF(AND(ISNUMBER(D71),D71&gt;=0),"DILIGENCIADO","BLOQUEADO: VALOR INVÁLIDO"))</f>
        <v/>
      </c>
    </row>
    <row r="72" ht="14.25" customHeight="1" s="235">
      <c r="A72" s="70" t="inlineStr">
        <is>
          <t>Impuesto y descuentos</t>
        </is>
      </c>
      <c r="B72" s="70" t="inlineStr">
        <is>
          <t>Impuesto sobre dividendos gravados 2017+ ya retenido/liquidado</t>
        </is>
      </c>
      <c r="C72" s="71" t="n">
        <v>118</v>
      </c>
      <c r="D72" s="468" t="n"/>
      <c r="E72" s="225" t="n"/>
      <c r="F72" s="72">
        <f>IF(D72="",0,IF(AND(ISNUMBER(D72),D72&gt;=0),D72,0))</f>
        <v/>
      </c>
      <c r="G72" s="72">
        <f>C72</f>
        <v/>
      </c>
      <c r="H72" s="72">
        <f>IF(D72="","SIN DATOS",IF(AND(ISNUMBER(D72),D72&gt;=0),"DILIGENCIADO","BLOQUEADO: VALOR INVÁLIDO"))</f>
        <v/>
      </c>
    </row>
    <row r="73" ht="14.25" customHeight="1" s="235">
      <c r="A73" s="70" t="inlineStr">
        <is>
          <t>Impuesto y descuentos</t>
        </is>
      </c>
      <c r="B73" s="70" t="inlineStr">
        <is>
          <t>Impuesto sobre dividendos 2016 y anteriores</t>
        </is>
      </c>
      <c r="C73" s="71" t="n">
        <v>119</v>
      </c>
      <c r="D73" s="468" t="n"/>
      <c r="E73" s="225" t="n"/>
      <c r="F73" s="72">
        <f>IF(D73="",0,IF(AND(ISNUMBER(D73),D73&gt;=0),D73,0))</f>
        <v/>
      </c>
      <c r="G73" s="72">
        <f>C73</f>
        <v/>
      </c>
      <c r="H73" s="72">
        <f>IF(D73="","SIN DATOS",IF(AND(ISNUMBER(D73),D73&gt;=0),"DILIGENCIADO","BLOQUEADO: VALOR INVÁLIDO"))</f>
        <v/>
      </c>
    </row>
    <row r="74" ht="14.25" customHeight="1" s="235">
      <c r="A74" s="70" t="inlineStr">
        <is>
          <t>Impuesto y descuentos</t>
        </is>
      </c>
      <c r="B74" s="70" t="inlineStr">
        <is>
          <t>Impuesto sobre dividendos del exterior</t>
        </is>
      </c>
      <c r="C74" s="71" t="n">
        <v>120</v>
      </c>
      <c r="D74" s="468" t="n"/>
      <c r="E74" s="225" t="n"/>
      <c r="F74" s="72">
        <f>IF(D74="",0,IF(AND(ISNUMBER(D74),D74&gt;=0),D74,0))</f>
        <v/>
      </c>
      <c r="G74" s="72">
        <f>C74</f>
        <v/>
      </c>
      <c r="H74" s="72">
        <f>IF(D74="","SIN DATOS",IF(AND(ISNUMBER(D74),D74&gt;=0),"DILIGENCIADO","BLOQUEADO: VALOR INVÁLIDO"))</f>
        <v/>
      </c>
    </row>
    <row r="75" ht="14.25" customHeight="1" s="235">
      <c r="A75" s="70" t="inlineStr">
        <is>
          <t>Impuesto y descuentos</t>
        </is>
      </c>
      <c r="B75" s="70" t="inlineStr">
        <is>
          <t>Impuestos pagados en el exterior</t>
        </is>
      </c>
      <c r="C75" s="71" t="n">
        <v>122</v>
      </c>
      <c r="D75" s="468" t="n"/>
      <c r="E75" s="225" t="n"/>
      <c r="F75" s="72">
        <f>IF(D75="",0,IF(AND(ISNUMBER(D75),D75&gt;=0),D75,0))</f>
        <v/>
      </c>
      <c r="G75" s="72">
        <f>C75</f>
        <v/>
      </c>
      <c r="H75" s="72">
        <f>IF(D75="","SIN DATOS",IF(AND(ISNUMBER(D75),D75&gt;=0),"DILIGENCIADO","BLOQUEADO: VALOR INVÁLIDO"))</f>
        <v/>
      </c>
    </row>
    <row r="76" ht="14.25" customHeight="1" s="235">
      <c r="A76" s="70" t="inlineStr">
        <is>
          <t>Impuesto y descuentos</t>
        </is>
      </c>
      <c r="B76" s="70" t="inlineStr">
        <is>
          <t>Donaciones certificadas</t>
        </is>
      </c>
      <c r="C76" s="71" t="n">
        <v>123</v>
      </c>
      <c r="D76" s="468" t="n"/>
      <c r="E76" s="225" t="n"/>
      <c r="F76" s="72">
        <f>IF(D76="",0,IF(AND(ISNUMBER(D76),D76&gt;=0),D76,0))</f>
        <v/>
      </c>
      <c r="G76" s="72">
        <f>C76</f>
        <v/>
      </c>
      <c r="H76" s="72">
        <f>IF(D76="","SIN DATOS",IF(AND(ISNUMBER(D76),D76&gt;=0),"DILIGENCIADO","BLOQUEADO: VALOR INVÁLIDO"))</f>
        <v/>
      </c>
    </row>
    <row r="77" ht="14.25" customHeight="1" s="235">
      <c r="A77" s="70" t="inlineStr">
        <is>
          <t>Impuesto y descuentos</t>
        </is>
      </c>
      <c r="B77" s="70" t="inlineStr">
        <is>
          <t>Otros descuentos tributarios</t>
        </is>
      </c>
      <c r="C77" s="71" t="n">
        <v>124</v>
      </c>
      <c r="D77" s="468" t="n"/>
      <c r="E77" s="225" t="n"/>
      <c r="F77" s="72">
        <f>IF(D77="",0,IF(AND(ISNUMBER(D77),D77&gt;=0),D77,0))</f>
        <v/>
      </c>
      <c r="G77" s="72">
        <f>C77</f>
        <v/>
      </c>
      <c r="H77" s="72">
        <f>IF(D77="","SIN DATOS",IF(AND(ISNUMBER(D77),D77&gt;=0),"DILIGENCIADO","BLOQUEADO: VALOR INVÁLIDO"))</f>
        <v/>
      </c>
    </row>
    <row r="78" ht="25.5" customHeight="1" s="235">
      <c r="A78" s="70" t="inlineStr">
        <is>
          <t>Impuesto y descuentos</t>
        </is>
      </c>
      <c r="B78" s="70" t="inlineStr">
        <is>
          <t>Descuento por impuestos pagados en el exterior — ganancias ocasionales</t>
        </is>
      </c>
      <c r="C78" s="71" t="n">
        <v>128</v>
      </c>
      <c r="D78" s="468" t="n"/>
      <c r="E78" s="225" t="n"/>
      <c r="F78" s="72">
        <f>IF(D78="",0,IF(AND(ISNUMBER(D78),D78&gt;=0),D78,0))</f>
        <v/>
      </c>
      <c r="G78" s="72">
        <f>C78</f>
        <v/>
      </c>
      <c r="H78" s="72">
        <f>IF(D78="","SIN DATOS",IF(AND(ISNUMBER(D78),D78&gt;=0),"DILIGENCIADO","BLOQUEADO: VALOR INVÁLIDO"))</f>
        <v/>
      </c>
    </row>
    <row r="79" ht="14.25" customHeight="1" s="235">
      <c r="A79" s="66" t="inlineStr">
        <is>
          <t>Liquidación</t>
        </is>
      </c>
      <c r="B79" s="66" t="inlineStr">
        <is>
          <t>Anticipo de renta pagado el año anterior</t>
        </is>
      </c>
      <c r="C79" s="67" t="n">
        <v>130</v>
      </c>
      <c r="D79" s="466" t="n"/>
      <c r="E79" s="223" t="n"/>
      <c r="F79" s="467">
        <f>IF(D79="",0,IF(AND(ISNUMBER(D79),D79&gt;=0),D79,0))</f>
        <v/>
      </c>
      <c r="G79" s="69">
        <f>C79</f>
        <v/>
      </c>
      <c r="H79" s="69">
        <f>IF(D79="","SIN DATOS",IF(AND(ISNUMBER(D79),D79&gt;=0),"DILIGENCIADO","BLOQUEADO: VALOR INVÁLIDO"))</f>
        <v/>
      </c>
    </row>
    <row r="80" ht="25.5" customHeight="1" s="235">
      <c r="A80" s="66" t="inlineStr">
        <is>
          <t>Liquidación</t>
        </is>
      </c>
      <c r="B80" s="66" t="inlineStr">
        <is>
          <t>Saldo a favor del año anterior sin solicitud de devolución/compensación</t>
        </is>
      </c>
      <c r="C80" s="67" t="n">
        <v>131</v>
      </c>
      <c r="D80" s="466" t="n"/>
      <c r="E80" s="223" t="n"/>
      <c r="F80" s="69">
        <f>IF(D80="",0,IF(AND(ISNUMBER(D80),D80&gt;=0),D80,0))</f>
        <v/>
      </c>
      <c r="G80" s="69">
        <f>C80</f>
        <v/>
      </c>
      <c r="H80" s="69">
        <f>IF(D80="","SIN DATOS",IF(AND(ISNUMBER(D80),D80&gt;=0),"DILIGENCIADO","BLOQUEADO: VALOR INVÁLIDO"))</f>
        <v/>
      </c>
    </row>
    <row r="81" ht="14.25" customHeight="1" s="235">
      <c r="A81" s="66" t="inlineStr">
        <is>
          <t>Liquidación</t>
        </is>
      </c>
      <c r="B81" s="66" t="inlineStr">
        <is>
          <t>Retenciones en la fuente certificadas del año</t>
        </is>
      </c>
      <c r="C81" s="67" t="n">
        <v>132</v>
      </c>
      <c r="D81" s="466" t="n"/>
      <c r="E81" s="223" t="n"/>
      <c r="F81" s="69">
        <f>IF(D81="",0,IF(AND(ISNUMBER(D81),D81&gt;=0),D81,0))</f>
        <v/>
      </c>
      <c r="G81" s="69">
        <f>C81</f>
        <v/>
      </c>
      <c r="H81" s="69">
        <f>IF(D81="","SIN DATOS",IF(AND(ISNUMBER(D81),D81&gt;=0),"DILIGENCIADO","BLOQUEADO: VALOR INVÁLIDO"))</f>
        <v/>
      </c>
    </row>
    <row r="82" ht="14.25" customHeight="1" s="235">
      <c r="A82" s="66" t="inlineStr">
        <is>
          <t>Liquidación</t>
        </is>
      </c>
      <c r="B82" s="66" t="inlineStr">
        <is>
          <t>Sanciones</t>
        </is>
      </c>
      <c r="C82" s="67" t="n">
        <v>135</v>
      </c>
      <c r="D82" s="466" t="n"/>
      <c r="E82" s="223" t="n"/>
      <c r="F82" s="69">
        <f>IF(D82="",0,IF(AND(ISNUMBER(D82),D82&gt;=0),D82,0))</f>
        <v/>
      </c>
      <c r="G82" s="69">
        <f>C82</f>
        <v/>
      </c>
      <c r="H82" s="69">
        <f>IF(D82="","SIN DATOS",IF(AND(ISNUMBER(D82),D82&gt;=0),"DILIGENCIADO","BLOQUEADO: VALOR INVÁLIDO"))</f>
        <v/>
      </c>
    </row>
    <row r="83" ht="14.25" customHeight="1" s="235">
      <c r="A83" s="70" t="inlineStr">
        <is>
          <t>Informativas</t>
        </is>
      </c>
      <c r="B83" s="70" t="inlineStr">
        <is>
          <t>Número de dependientes económicos</t>
        </is>
      </c>
      <c r="C83" s="71" t="n">
        <v>138</v>
      </c>
      <c r="D83" s="468" t="n"/>
      <c r="E83" s="225" t="n"/>
      <c r="F83" s="469">
        <f>IF(D83="",0,IF(AND(ISNUMBER(D83),D83&gt;=0),D83,0))</f>
        <v/>
      </c>
      <c r="G83" s="72">
        <f>C83</f>
        <v/>
      </c>
      <c r="H83" s="72">
        <f>IF(D83="","SIN DATOS",IF(AND(ISNUMBER(D83),D83&gt;=0),"DILIGENCIADO","BLOQUEADO: VALOR INVÁLIDO"))</f>
        <v/>
      </c>
    </row>
    <row r="84" ht="14.25" customHeight="1" s="235">
      <c r="A84" s="70" t="inlineStr">
        <is>
          <t>Informativas</t>
        </is>
      </c>
      <c r="B84" s="70" t="inlineStr">
        <is>
          <t>Aporte voluntario adicional</t>
        </is>
      </c>
      <c r="C84" s="71" t="n">
        <v>141</v>
      </c>
      <c r="D84" s="468" t="n"/>
      <c r="E84" s="225" t="n"/>
      <c r="F84" s="72">
        <f>IF(D84="",0,IF(AND(ISNUMBER(D84),D84&gt;=0),D84,0))</f>
        <v/>
      </c>
      <c r="G84" s="72">
        <f>C84</f>
        <v/>
      </c>
      <c r="H84" s="72">
        <f>IF(D84="","SIN DATOS",IF(AND(ISNUMBER(D84),D84&gt;=0),"DILIGENCIADO","BLOQUEADO: VALOR INVÁLIDO"))</f>
        <v/>
      </c>
    </row>
    <row r="86" ht="15" customHeight="1" s="235">
      <c r="A86" s="22" t="inlineStr">
        <is>
          <t>ASIGNACIÓN MÚLTIPLE (A-02)</t>
        </is>
      </c>
      <c r="B86" t="inlineStr">
        <is>
          <t>Use estas filas SOLO para resolver un registro de Hoja_Trabajo que la DIAN sugirió repartir entre varias casillas (estado 'REQUIERE ASIGNACIÓN MANUAL (VARIAS CASILLAS)'). Hay 100 filas disponibles (88 a 187). Escriba el ID de la fila fuente en Hoja_Trabajo (columna A de esa hoja), la casilla destino, el valor que le corresponde a esa casilla y la justificación.</t>
        </is>
      </c>
    </row>
    <row r="87" ht="15" customHeight="1" s="235">
      <c r="A87" s="55" t="inlineStr">
        <is>
          <t>Sección</t>
        </is>
      </c>
      <c r="B87" s="55" t="inlineStr">
        <is>
          <t>Rubro</t>
        </is>
      </c>
      <c r="C87" s="55" t="inlineStr">
        <is>
          <t>Casilla</t>
        </is>
      </c>
      <c r="D87" s="55" t="inlineStr">
        <is>
          <t>Valor</t>
        </is>
      </c>
      <c r="E87" s="55" t="inlineStr">
        <is>
          <t>Observación / soporte</t>
        </is>
      </c>
      <c r="F87" s="55" t="inlineStr">
        <is>
          <t>Valor aceptado</t>
        </is>
      </c>
      <c r="G87" s="55" t="inlineStr">
        <is>
          <t>Casilla efectiva</t>
        </is>
      </c>
      <c r="H87" s="55" t="inlineStr">
        <is>
          <t>Estado</t>
        </is>
      </c>
      <c r="I87" s="55" t="inlineStr">
        <is>
          <t>ID fuente Hoja_Trabajo</t>
        </is>
      </c>
      <c r="J87" s="55" t="inlineStr">
        <is>
          <t>Justificación de asignación</t>
        </is>
      </c>
    </row>
    <row r="88" ht="14.25" customHeight="1" s="235">
      <c r="A88" t="inlineStr">
        <is>
          <t>Asignación múltiple</t>
        </is>
      </c>
      <c r="C88" s="256" t="n"/>
      <c r="D88" s="470" t="n"/>
      <c r="E88" s="256" t="n"/>
      <c r="F88">
        <f>IF(OR($D88="",$I88="",$J88="",$C88=""),0,IF($D88&lt;0,0,IF(COUNTIF(Hoja_Trabajo!$A$6:$A$505,$I88)&lt;&gt;1,0,IF(IFERROR(INDEX(Hoja_Trabajo!$Q$6:$Q$505,MATCH($I88,Hoja_Trabajo!$A$6:$A$505,0)),"")&lt;&gt;"REQUIERE ASIGNACIÓN MANUAL (VARIAS CASILLAS)",0,IF(NOT(IFERROR(ISNUMBER(SEARCH("R"&amp;$C88,INDEX(Hoja_Trabajo!$G$6:$G$505,MATCH($I88,Hoja_Trabajo!$A$6:$A$505,0)))),FALSE)),0,IF(SUMIF($I$87:I87,$I88,$F$87:F87)+$D88&gt;IFERROR(INDEX(Hoja_Trabajo!$X$6:$X$505,MATCH($I88,Hoja_Trabajo!$A$6:$A$505,0)),0),0,$D88))))))</f>
        <v/>
      </c>
      <c r="G88">
        <f>IF(C88="","",C88)</f>
        <v/>
      </c>
      <c r="H88">
        <f>IF($D88="","SIN DATOS",IF(OR($I88="",$J88="",$C88=""),"INCOMPLETO — falta ID, casilla o justificación",IF($D88&lt;0,"VALOR NEGATIVO NO PERMITIDO",IF(COUNTIF(Hoja_Trabajo!$A$6:$A$505,$I88)&lt;&gt;1,"ID INEXISTENTE O DUPLICADO EN HOJA_TRABAJO",IF(IFERROR(INDEX(Hoja_Trabajo!$Q$6:$Q$505,MATCH($I88,Hoja_Trabajo!$A$6:$A$505,0)),"")&lt;&gt;"REQUIERE ASIGNACIÓN MANUAL (VARIAS CASILLAS)","FUENTE NO REQUIERE ASIGNACIÓN MANUAL",IF(NOT(IFERROR(ISNUMBER(SEARCH("R"&amp;$C88,INDEX(Hoja_Trabajo!$G$6:$G$505,MATCH($I88,Hoja_Trabajo!$A$6:$A$505,0)))),FALSE)),"CASILLA NO SUGERIDA PARA LA FUENTE",IF(SUMIF($I$87:I87,$I88,$F$87:F87)+$D88&gt;IFERROR(INDEX(Hoja_Trabajo!$X$6:$X$505,MATCH($I88,Hoja_Trabajo!$A$6:$A$505,0)),0),"EXCEDE VALOR ORIGINAL DE LA FUENTE","DILIGENCIADO")))))))</f>
        <v/>
      </c>
      <c r="I88" s="256" t="n"/>
      <c r="J88" s="256" t="n"/>
    </row>
    <row r="89" ht="14.25" customHeight="1" s="235">
      <c r="A89" t="inlineStr">
        <is>
          <t>Asignación múltiple</t>
        </is>
      </c>
      <c r="C89" s="256" t="n"/>
      <c r="D89" s="470" t="n"/>
      <c r="E89" s="256" t="n"/>
      <c r="F89">
        <f>IF(OR($D89="",$I89="",$J89="",$C89=""),0,IF($D89&lt;0,0,IF(COUNTIF(Hoja_Trabajo!$A$6:$A$505,$I89)&lt;&gt;1,0,IF(IFERROR(INDEX(Hoja_Trabajo!$Q$6:$Q$505,MATCH($I89,Hoja_Trabajo!$A$6:$A$505,0)),"")&lt;&gt;"REQUIERE ASIGNACIÓN MANUAL (VARIAS CASILLAS)",0,IF(NOT(IFERROR(ISNUMBER(SEARCH("R"&amp;$C89,INDEX(Hoja_Trabajo!$G$6:$G$505,MATCH($I89,Hoja_Trabajo!$A$6:$A$505,0)))),FALSE)),0,IF(SUMIF($I$87:I88,$I89,$F$87:F88)+$D89&gt;IFERROR(INDEX(Hoja_Trabajo!$X$6:$X$505,MATCH($I89,Hoja_Trabajo!$A$6:$A$505,0)),0),0,$D89))))))</f>
        <v/>
      </c>
      <c r="G89">
        <f>IF(C89="","",C89)</f>
        <v/>
      </c>
      <c r="H89">
        <f>IF($D89="","SIN DATOS",IF(OR($I89="",$J89="",$C89=""),"INCOMPLETO — falta ID, casilla o justificación",IF($D89&lt;0,"VALOR NEGATIVO NO PERMITIDO",IF(COUNTIF(Hoja_Trabajo!$A$6:$A$505,$I89)&lt;&gt;1,"ID INEXISTENTE O DUPLICADO EN HOJA_TRABAJO",IF(IFERROR(INDEX(Hoja_Trabajo!$Q$6:$Q$505,MATCH($I89,Hoja_Trabajo!$A$6:$A$505,0)),"")&lt;&gt;"REQUIERE ASIGNACIÓN MANUAL (VARIAS CASILLAS)","FUENTE NO REQUIERE ASIGNACIÓN MANUAL",IF(NOT(IFERROR(ISNUMBER(SEARCH("R"&amp;$C89,INDEX(Hoja_Trabajo!$G$6:$G$505,MATCH($I89,Hoja_Trabajo!$A$6:$A$505,0)))),FALSE)),"CASILLA NO SUGERIDA PARA LA FUENTE",IF(SUMIF($I$87:I88,$I89,$F$87:F88)+$D89&gt;IFERROR(INDEX(Hoja_Trabajo!$X$6:$X$505,MATCH($I89,Hoja_Trabajo!$A$6:$A$505,0)),0),"EXCEDE VALOR ORIGINAL DE LA FUENTE","DILIGENCIADO")))))))</f>
        <v/>
      </c>
      <c r="I89" s="256" t="n"/>
      <c r="J89" s="256" t="n"/>
    </row>
    <row r="90" ht="14.25" customHeight="1" s="235">
      <c r="A90" t="inlineStr">
        <is>
          <t>Asignación múltiple</t>
        </is>
      </c>
      <c r="C90" s="256" t="n"/>
      <c r="D90" s="470" t="n"/>
      <c r="E90" s="256" t="n"/>
      <c r="F90">
        <f>IF(OR($D90="",$I90="",$J90="",$C90=""),0,IF($D90&lt;0,0,IF(COUNTIF(Hoja_Trabajo!$A$6:$A$505,$I90)&lt;&gt;1,0,IF(IFERROR(INDEX(Hoja_Trabajo!$Q$6:$Q$505,MATCH($I90,Hoja_Trabajo!$A$6:$A$505,0)),"")&lt;&gt;"REQUIERE ASIGNACIÓN MANUAL (VARIAS CASILLAS)",0,IF(NOT(IFERROR(ISNUMBER(SEARCH("R"&amp;$C90,INDEX(Hoja_Trabajo!$G$6:$G$505,MATCH($I90,Hoja_Trabajo!$A$6:$A$505,0)))),FALSE)),0,IF(SUMIF($I$87:I89,$I90,$F$87:F89)+$D90&gt;IFERROR(INDEX(Hoja_Trabajo!$X$6:$X$505,MATCH($I90,Hoja_Trabajo!$A$6:$A$505,0)),0),0,$D90))))))</f>
        <v/>
      </c>
      <c r="G90">
        <f>IF(C90="","",C90)</f>
        <v/>
      </c>
      <c r="H90">
        <f>IF($D90="","SIN DATOS",IF(OR($I90="",$J90="",$C90=""),"INCOMPLETO — falta ID, casilla o justificación",IF($D90&lt;0,"VALOR NEGATIVO NO PERMITIDO",IF(COUNTIF(Hoja_Trabajo!$A$6:$A$505,$I90)&lt;&gt;1,"ID INEXISTENTE O DUPLICADO EN HOJA_TRABAJO",IF(IFERROR(INDEX(Hoja_Trabajo!$Q$6:$Q$505,MATCH($I90,Hoja_Trabajo!$A$6:$A$505,0)),"")&lt;&gt;"REQUIERE ASIGNACIÓN MANUAL (VARIAS CASILLAS)","FUENTE NO REQUIERE ASIGNACIÓN MANUAL",IF(NOT(IFERROR(ISNUMBER(SEARCH("R"&amp;$C90,INDEX(Hoja_Trabajo!$G$6:$G$505,MATCH($I90,Hoja_Trabajo!$A$6:$A$505,0)))),FALSE)),"CASILLA NO SUGERIDA PARA LA FUENTE",IF(SUMIF($I$87:I89,$I90,$F$87:F89)+$D90&gt;IFERROR(INDEX(Hoja_Trabajo!$X$6:$X$505,MATCH($I90,Hoja_Trabajo!$A$6:$A$505,0)),0),"EXCEDE VALOR ORIGINAL DE LA FUENTE","DILIGENCIADO")))))))</f>
        <v/>
      </c>
      <c r="I90" s="256" t="n"/>
      <c r="J90" s="256" t="n"/>
    </row>
    <row r="91" ht="14.25" customHeight="1" s="235">
      <c r="A91" t="inlineStr">
        <is>
          <t>Asignación múltiple</t>
        </is>
      </c>
      <c r="C91" s="256" t="n"/>
      <c r="D91" s="470" t="n"/>
      <c r="E91" s="256" t="n"/>
      <c r="F91">
        <f>IF(OR($D91="",$I91="",$J91="",$C91=""),0,IF($D91&lt;0,0,IF(COUNTIF(Hoja_Trabajo!$A$6:$A$505,$I91)&lt;&gt;1,0,IF(IFERROR(INDEX(Hoja_Trabajo!$Q$6:$Q$505,MATCH($I91,Hoja_Trabajo!$A$6:$A$505,0)),"")&lt;&gt;"REQUIERE ASIGNACIÓN MANUAL (VARIAS CASILLAS)",0,IF(NOT(IFERROR(ISNUMBER(SEARCH("R"&amp;$C91,INDEX(Hoja_Trabajo!$G$6:$G$505,MATCH($I91,Hoja_Trabajo!$A$6:$A$505,0)))),FALSE)),0,IF(SUMIF($I$87:I90,$I91,$F$87:F90)+$D91&gt;IFERROR(INDEX(Hoja_Trabajo!$X$6:$X$505,MATCH($I91,Hoja_Trabajo!$A$6:$A$505,0)),0),0,$D91))))))</f>
        <v/>
      </c>
      <c r="G91">
        <f>IF(C91="","",C91)</f>
        <v/>
      </c>
      <c r="H91">
        <f>IF($D91="","SIN DATOS",IF(OR($I91="",$J91="",$C91=""),"INCOMPLETO — falta ID, casilla o justificación",IF($D91&lt;0,"VALOR NEGATIVO NO PERMITIDO",IF(COUNTIF(Hoja_Trabajo!$A$6:$A$505,$I91)&lt;&gt;1,"ID INEXISTENTE O DUPLICADO EN HOJA_TRABAJO",IF(IFERROR(INDEX(Hoja_Trabajo!$Q$6:$Q$505,MATCH($I91,Hoja_Trabajo!$A$6:$A$505,0)),"")&lt;&gt;"REQUIERE ASIGNACIÓN MANUAL (VARIAS CASILLAS)","FUENTE NO REQUIERE ASIGNACIÓN MANUAL",IF(NOT(IFERROR(ISNUMBER(SEARCH("R"&amp;$C91,INDEX(Hoja_Trabajo!$G$6:$G$505,MATCH($I91,Hoja_Trabajo!$A$6:$A$505,0)))),FALSE)),"CASILLA NO SUGERIDA PARA LA FUENTE",IF(SUMIF($I$87:I90,$I91,$F$87:F90)+$D91&gt;IFERROR(INDEX(Hoja_Trabajo!$X$6:$X$505,MATCH($I91,Hoja_Trabajo!$A$6:$A$505,0)),0),"EXCEDE VALOR ORIGINAL DE LA FUENTE","DILIGENCIADO")))))))</f>
        <v/>
      </c>
      <c r="I91" s="256" t="n"/>
      <c r="J91" s="256" t="n"/>
    </row>
    <row r="92" ht="14.25" customHeight="1" s="235">
      <c r="A92" t="inlineStr">
        <is>
          <t>Asignación múltiple</t>
        </is>
      </c>
      <c r="C92" s="256" t="n"/>
      <c r="D92" s="470" t="n"/>
      <c r="E92" s="256" t="n"/>
      <c r="F92">
        <f>IF(OR($D92="",$I92="",$J92="",$C92=""),0,IF($D92&lt;0,0,IF(COUNTIF(Hoja_Trabajo!$A$6:$A$505,$I92)&lt;&gt;1,0,IF(IFERROR(INDEX(Hoja_Trabajo!$Q$6:$Q$505,MATCH($I92,Hoja_Trabajo!$A$6:$A$505,0)),"")&lt;&gt;"REQUIERE ASIGNACIÓN MANUAL (VARIAS CASILLAS)",0,IF(NOT(IFERROR(ISNUMBER(SEARCH("R"&amp;$C92,INDEX(Hoja_Trabajo!$G$6:$G$505,MATCH($I92,Hoja_Trabajo!$A$6:$A$505,0)))),FALSE)),0,IF(SUMIF($I$87:I91,$I92,$F$87:F91)+$D92&gt;IFERROR(INDEX(Hoja_Trabajo!$X$6:$X$505,MATCH($I92,Hoja_Trabajo!$A$6:$A$505,0)),0),0,$D92))))))</f>
        <v/>
      </c>
      <c r="G92">
        <f>IF(C92="","",C92)</f>
        <v/>
      </c>
      <c r="H92">
        <f>IF($D92="","SIN DATOS",IF(OR($I92="",$J92="",$C92=""),"INCOMPLETO — falta ID, casilla o justificación",IF($D92&lt;0,"VALOR NEGATIVO NO PERMITIDO",IF(COUNTIF(Hoja_Trabajo!$A$6:$A$505,$I92)&lt;&gt;1,"ID INEXISTENTE O DUPLICADO EN HOJA_TRABAJO",IF(IFERROR(INDEX(Hoja_Trabajo!$Q$6:$Q$505,MATCH($I92,Hoja_Trabajo!$A$6:$A$505,0)),"")&lt;&gt;"REQUIERE ASIGNACIÓN MANUAL (VARIAS CASILLAS)","FUENTE NO REQUIERE ASIGNACIÓN MANUAL",IF(NOT(IFERROR(ISNUMBER(SEARCH("R"&amp;$C92,INDEX(Hoja_Trabajo!$G$6:$G$505,MATCH($I92,Hoja_Trabajo!$A$6:$A$505,0)))),FALSE)),"CASILLA NO SUGERIDA PARA LA FUENTE",IF(SUMIF($I$87:I91,$I92,$F$87:F91)+$D92&gt;IFERROR(INDEX(Hoja_Trabajo!$X$6:$X$505,MATCH($I92,Hoja_Trabajo!$A$6:$A$505,0)),0),"EXCEDE VALOR ORIGINAL DE LA FUENTE","DILIGENCIADO")))))))</f>
        <v/>
      </c>
      <c r="I92" s="256" t="n"/>
      <c r="J92" s="256" t="n"/>
    </row>
    <row r="93" ht="14.25" customHeight="1" s="235">
      <c r="A93" t="inlineStr">
        <is>
          <t>Asignación múltiple</t>
        </is>
      </c>
      <c r="C93" s="256" t="n"/>
      <c r="D93" s="470" t="n"/>
      <c r="E93" s="256" t="n"/>
      <c r="F93">
        <f>IF(OR($D93="",$I93="",$J93="",$C93=""),0,IF($D93&lt;0,0,IF(COUNTIF(Hoja_Trabajo!$A$6:$A$505,$I93)&lt;&gt;1,0,IF(IFERROR(INDEX(Hoja_Trabajo!$Q$6:$Q$505,MATCH($I93,Hoja_Trabajo!$A$6:$A$505,0)),"")&lt;&gt;"REQUIERE ASIGNACIÓN MANUAL (VARIAS CASILLAS)",0,IF(NOT(IFERROR(ISNUMBER(SEARCH("R"&amp;$C93,INDEX(Hoja_Trabajo!$G$6:$G$505,MATCH($I93,Hoja_Trabajo!$A$6:$A$505,0)))),FALSE)),0,IF(SUMIF($I$87:I92,$I93,$F$87:F92)+$D93&gt;IFERROR(INDEX(Hoja_Trabajo!$X$6:$X$505,MATCH($I93,Hoja_Trabajo!$A$6:$A$505,0)),0),0,$D93))))))</f>
        <v/>
      </c>
      <c r="G93">
        <f>IF(C93="","",C93)</f>
        <v/>
      </c>
      <c r="H93">
        <f>IF($D93="","SIN DATOS",IF(OR($I93="",$J93="",$C93=""),"INCOMPLETO — falta ID, casilla o justificación",IF($D93&lt;0,"VALOR NEGATIVO NO PERMITIDO",IF(COUNTIF(Hoja_Trabajo!$A$6:$A$505,$I93)&lt;&gt;1,"ID INEXISTENTE O DUPLICADO EN HOJA_TRABAJO",IF(IFERROR(INDEX(Hoja_Trabajo!$Q$6:$Q$505,MATCH($I93,Hoja_Trabajo!$A$6:$A$505,0)),"")&lt;&gt;"REQUIERE ASIGNACIÓN MANUAL (VARIAS CASILLAS)","FUENTE NO REQUIERE ASIGNACIÓN MANUAL",IF(NOT(IFERROR(ISNUMBER(SEARCH("R"&amp;$C93,INDEX(Hoja_Trabajo!$G$6:$G$505,MATCH($I93,Hoja_Trabajo!$A$6:$A$505,0)))),FALSE)),"CASILLA NO SUGERIDA PARA LA FUENTE",IF(SUMIF($I$87:I92,$I93,$F$87:F92)+$D93&gt;IFERROR(INDEX(Hoja_Trabajo!$X$6:$X$505,MATCH($I93,Hoja_Trabajo!$A$6:$A$505,0)),0),"EXCEDE VALOR ORIGINAL DE LA FUENTE","DILIGENCIADO")))))))</f>
        <v/>
      </c>
      <c r="I93" s="256" t="n"/>
      <c r="J93" s="256" t="n"/>
    </row>
    <row r="94" ht="14.25" customHeight="1" s="235">
      <c r="A94" t="inlineStr">
        <is>
          <t>Asignación múltiple</t>
        </is>
      </c>
      <c r="C94" s="256" t="n"/>
      <c r="D94" s="470" t="n"/>
      <c r="E94" s="256" t="n"/>
      <c r="F94">
        <f>IF(OR($D94="",$I94="",$J94="",$C94=""),0,IF($D94&lt;0,0,IF(COUNTIF(Hoja_Trabajo!$A$6:$A$505,$I94)&lt;&gt;1,0,IF(IFERROR(INDEX(Hoja_Trabajo!$Q$6:$Q$505,MATCH($I94,Hoja_Trabajo!$A$6:$A$505,0)),"")&lt;&gt;"REQUIERE ASIGNACIÓN MANUAL (VARIAS CASILLAS)",0,IF(NOT(IFERROR(ISNUMBER(SEARCH("R"&amp;$C94,INDEX(Hoja_Trabajo!$G$6:$G$505,MATCH($I94,Hoja_Trabajo!$A$6:$A$505,0)))),FALSE)),0,IF(SUMIF($I$87:I93,$I94,$F$87:F93)+$D94&gt;IFERROR(INDEX(Hoja_Trabajo!$X$6:$X$505,MATCH($I94,Hoja_Trabajo!$A$6:$A$505,0)),0),0,$D94))))))</f>
        <v/>
      </c>
      <c r="G94">
        <f>IF(C94="","",C94)</f>
        <v/>
      </c>
      <c r="H94">
        <f>IF($D94="","SIN DATOS",IF(OR($I94="",$J94="",$C94=""),"INCOMPLETO — falta ID, casilla o justificación",IF($D94&lt;0,"VALOR NEGATIVO NO PERMITIDO",IF(COUNTIF(Hoja_Trabajo!$A$6:$A$505,$I94)&lt;&gt;1,"ID INEXISTENTE O DUPLICADO EN HOJA_TRABAJO",IF(IFERROR(INDEX(Hoja_Trabajo!$Q$6:$Q$505,MATCH($I94,Hoja_Trabajo!$A$6:$A$505,0)),"")&lt;&gt;"REQUIERE ASIGNACIÓN MANUAL (VARIAS CASILLAS)","FUENTE NO REQUIERE ASIGNACIÓN MANUAL",IF(NOT(IFERROR(ISNUMBER(SEARCH("R"&amp;$C94,INDEX(Hoja_Trabajo!$G$6:$G$505,MATCH($I94,Hoja_Trabajo!$A$6:$A$505,0)))),FALSE)),"CASILLA NO SUGERIDA PARA LA FUENTE",IF(SUMIF($I$87:I93,$I94,$F$87:F93)+$D94&gt;IFERROR(INDEX(Hoja_Trabajo!$X$6:$X$505,MATCH($I94,Hoja_Trabajo!$A$6:$A$505,0)),0),"EXCEDE VALOR ORIGINAL DE LA FUENTE","DILIGENCIADO")))))))</f>
        <v/>
      </c>
      <c r="I94" s="256" t="n"/>
      <c r="J94" s="256" t="n"/>
    </row>
    <row r="95" ht="14.25" customHeight="1" s="235">
      <c r="A95" t="inlineStr">
        <is>
          <t>Asignación múltiple</t>
        </is>
      </c>
      <c r="C95" s="256" t="n"/>
      <c r="D95" s="470" t="n"/>
      <c r="E95" s="256" t="n"/>
      <c r="F95">
        <f>IF(OR($D95="",$I95="",$J95="",$C95=""),0,IF($D95&lt;0,0,IF(COUNTIF(Hoja_Trabajo!$A$6:$A$505,$I95)&lt;&gt;1,0,IF(IFERROR(INDEX(Hoja_Trabajo!$Q$6:$Q$505,MATCH($I95,Hoja_Trabajo!$A$6:$A$505,0)),"")&lt;&gt;"REQUIERE ASIGNACIÓN MANUAL (VARIAS CASILLAS)",0,IF(NOT(IFERROR(ISNUMBER(SEARCH("R"&amp;$C95,INDEX(Hoja_Trabajo!$G$6:$G$505,MATCH($I95,Hoja_Trabajo!$A$6:$A$505,0)))),FALSE)),0,IF(SUMIF($I$87:I94,$I95,$F$87:F94)+$D95&gt;IFERROR(INDEX(Hoja_Trabajo!$X$6:$X$505,MATCH($I95,Hoja_Trabajo!$A$6:$A$505,0)),0),0,$D95))))))</f>
        <v/>
      </c>
      <c r="G95">
        <f>IF(C95="","",C95)</f>
        <v/>
      </c>
      <c r="H95">
        <f>IF($D95="","SIN DATOS",IF(OR($I95="",$J95="",$C95=""),"INCOMPLETO — falta ID, casilla o justificación",IF($D95&lt;0,"VALOR NEGATIVO NO PERMITIDO",IF(COUNTIF(Hoja_Trabajo!$A$6:$A$505,$I95)&lt;&gt;1,"ID INEXISTENTE O DUPLICADO EN HOJA_TRABAJO",IF(IFERROR(INDEX(Hoja_Trabajo!$Q$6:$Q$505,MATCH($I95,Hoja_Trabajo!$A$6:$A$505,0)),"")&lt;&gt;"REQUIERE ASIGNACIÓN MANUAL (VARIAS CASILLAS)","FUENTE NO REQUIERE ASIGNACIÓN MANUAL",IF(NOT(IFERROR(ISNUMBER(SEARCH("R"&amp;$C95,INDEX(Hoja_Trabajo!$G$6:$G$505,MATCH($I95,Hoja_Trabajo!$A$6:$A$505,0)))),FALSE)),"CASILLA NO SUGERIDA PARA LA FUENTE",IF(SUMIF($I$87:I94,$I95,$F$87:F94)+$D95&gt;IFERROR(INDEX(Hoja_Trabajo!$X$6:$X$505,MATCH($I95,Hoja_Trabajo!$A$6:$A$505,0)),0),"EXCEDE VALOR ORIGINAL DE LA FUENTE","DILIGENCIADO")))))))</f>
        <v/>
      </c>
      <c r="I95" s="256" t="n"/>
      <c r="J95" s="256" t="n"/>
    </row>
    <row r="96" ht="14.25" customHeight="1" s="235">
      <c r="A96" t="inlineStr">
        <is>
          <t>Asignación múltiple</t>
        </is>
      </c>
      <c r="C96" s="256" t="n"/>
      <c r="D96" s="470" t="n"/>
      <c r="E96" s="256" t="n"/>
      <c r="F96">
        <f>IF(OR($D96="",$I96="",$J96="",$C96=""),0,IF($D96&lt;0,0,IF(COUNTIF(Hoja_Trabajo!$A$6:$A$505,$I96)&lt;&gt;1,0,IF(IFERROR(INDEX(Hoja_Trabajo!$Q$6:$Q$505,MATCH($I96,Hoja_Trabajo!$A$6:$A$505,0)),"")&lt;&gt;"REQUIERE ASIGNACIÓN MANUAL (VARIAS CASILLAS)",0,IF(NOT(IFERROR(ISNUMBER(SEARCH("R"&amp;$C96,INDEX(Hoja_Trabajo!$G$6:$G$505,MATCH($I96,Hoja_Trabajo!$A$6:$A$505,0)))),FALSE)),0,IF(SUMIF($I$87:I95,$I96,$F$87:F95)+$D96&gt;IFERROR(INDEX(Hoja_Trabajo!$X$6:$X$505,MATCH($I96,Hoja_Trabajo!$A$6:$A$505,0)),0),0,$D96))))))</f>
        <v/>
      </c>
      <c r="G96">
        <f>IF(C96="","",C96)</f>
        <v/>
      </c>
      <c r="H96">
        <f>IF($D96="","SIN DATOS",IF(OR($I96="",$J96="",$C96=""),"INCOMPLETO — falta ID, casilla o justificación",IF($D96&lt;0,"VALOR NEGATIVO NO PERMITIDO",IF(COUNTIF(Hoja_Trabajo!$A$6:$A$505,$I96)&lt;&gt;1,"ID INEXISTENTE O DUPLICADO EN HOJA_TRABAJO",IF(IFERROR(INDEX(Hoja_Trabajo!$Q$6:$Q$505,MATCH($I96,Hoja_Trabajo!$A$6:$A$505,0)),"")&lt;&gt;"REQUIERE ASIGNACIÓN MANUAL (VARIAS CASILLAS)","FUENTE NO REQUIERE ASIGNACIÓN MANUAL",IF(NOT(IFERROR(ISNUMBER(SEARCH("R"&amp;$C96,INDEX(Hoja_Trabajo!$G$6:$G$505,MATCH($I96,Hoja_Trabajo!$A$6:$A$505,0)))),FALSE)),"CASILLA NO SUGERIDA PARA LA FUENTE",IF(SUMIF($I$87:I95,$I96,$F$87:F95)+$D96&gt;IFERROR(INDEX(Hoja_Trabajo!$X$6:$X$505,MATCH($I96,Hoja_Trabajo!$A$6:$A$505,0)),0),"EXCEDE VALOR ORIGINAL DE LA FUENTE","DILIGENCIADO")))))))</f>
        <v/>
      </c>
      <c r="I96" s="256" t="n"/>
      <c r="J96" s="256" t="n"/>
    </row>
    <row r="97" ht="14.25" customHeight="1" s="235">
      <c r="A97" t="inlineStr">
        <is>
          <t>Asignación múltiple</t>
        </is>
      </c>
      <c r="C97" s="256" t="n"/>
      <c r="D97" s="470" t="n"/>
      <c r="E97" s="256" t="n"/>
      <c r="F97">
        <f>IF(OR($D97="",$I97="",$J97="",$C97=""),0,IF($D97&lt;0,0,IF(COUNTIF(Hoja_Trabajo!$A$6:$A$505,$I97)&lt;&gt;1,0,IF(IFERROR(INDEX(Hoja_Trabajo!$Q$6:$Q$505,MATCH($I97,Hoja_Trabajo!$A$6:$A$505,0)),"")&lt;&gt;"REQUIERE ASIGNACIÓN MANUAL (VARIAS CASILLAS)",0,IF(NOT(IFERROR(ISNUMBER(SEARCH("R"&amp;$C97,INDEX(Hoja_Trabajo!$G$6:$G$505,MATCH($I97,Hoja_Trabajo!$A$6:$A$505,0)))),FALSE)),0,IF(SUMIF($I$87:I96,$I97,$F$87:F96)+$D97&gt;IFERROR(INDEX(Hoja_Trabajo!$X$6:$X$505,MATCH($I97,Hoja_Trabajo!$A$6:$A$505,0)),0),0,$D97))))))</f>
        <v/>
      </c>
      <c r="G97">
        <f>IF(C97="","",C97)</f>
        <v/>
      </c>
      <c r="H97">
        <f>IF($D97="","SIN DATOS",IF(OR($I97="",$J97="",$C97=""),"INCOMPLETO — falta ID, casilla o justificación",IF($D97&lt;0,"VALOR NEGATIVO NO PERMITIDO",IF(COUNTIF(Hoja_Trabajo!$A$6:$A$505,$I97)&lt;&gt;1,"ID INEXISTENTE O DUPLICADO EN HOJA_TRABAJO",IF(IFERROR(INDEX(Hoja_Trabajo!$Q$6:$Q$505,MATCH($I97,Hoja_Trabajo!$A$6:$A$505,0)),"")&lt;&gt;"REQUIERE ASIGNACIÓN MANUAL (VARIAS CASILLAS)","FUENTE NO REQUIERE ASIGNACIÓN MANUAL",IF(NOT(IFERROR(ISNUMBER(SEARCH("R"&amp;$C97,INDEX(Hoja_Trabajo!$G$6:$G$505,MATCH($I97,Hoja_Trabajo!$A$6:$A$505,0)))),FALSE)),"CASILLA NO SUGERIDA PARA LA FUENTE",IF(SUMIF($I$87:I96,$I97,$F$87:F96)+$D97&gt;IFERROR(INDEX(Hoja_Trabajo!$X$6:$X$505,MATCH($I97,Hoja_Trabajo!$A$6:$A$505,0)),0),"EXCEDE VALOR ORIGINAL DE LA FUENTE","DILIGENCIADO")))))))</f>
        <v/>
      </c>
      <c r="I97" s="256" t="n"/>
      <c r="J97" s="256" t="n"/>
    </row>
    <row r="98" ht="14.25" customHeight="1" s="235">
      <c r="A98" t="inlineStr">
        <is>
          <t>Asignación múltiple</t>
        </is>
      </c>
      <c r="C98" s="256" t="n"/>
      <c r="D98" s="470" t="n"/>
      <c r="E98" s="256" t="n"/>
      <c r="F98">
        <f>IF(OR($D98="",$I98="",$J98="",$C98=""),0,IF($D98&lt;0,0,IF(COUNTIF(Hoja_Trabajo!$A$6:$A$505,$I98)&lt;&gt;1,0,IF(IFERROR(INDEX(Hoja_Trabajo!$Q$6:$Q$505,MATCH($I98,Hoja_Trabajo!$A$6:$A$505,0)),"")&lt;&gt;"REQUIERE ASIGNACIÓN MANUAL (VARIAS CASILLAS)",0,IF(NOT(IFERROR(ISNUMBER(SEARCH("R"&amp;$C98,INDEX(Hoja_Trabajo!$G$6:$G$505,MATCH($I98,Hoja_Trabajo!$A$6:$A$505,0)))),FALSE)),0,IF(SUMIF($I$87:I97,$I98,$F$87:F97)+$D98&gt;IFERROR(INDEX(Hoja_Trabajo!$X$6:$X$505,MATCH($I98,Hoja_Trabajo!$A$6:$A$505,0)),0),0,$D98))))))</f>
        <v/>
      </c>
      <c r="G98">
        <f>IF(C98="","",C98)</f>
        <v/>
      </c>
      <c r="H98">
        <f>IF($D98="","SIN DATOS",IF(OR($I98="",$J98="",$C98=""),"INCOMPLETO — falta ID, casilla o justificación",IF($D98&lt;0,"VALOR NEGATIVO NO PERMITIDO",IF(COUNTIF(Hoja_Trabajo!$A$6:$A$505,$I98)&lt;&gt;1,"ID INEXISTENTE O DUPLICADO EN HOJA_TRABAJO",IF(IFERROR(INDEX(Hoja_Trabajo!$Q$6:$Q$505,MATCH($I98,Hoja_Trabajo!$A$6:$A$505,0)),"")&lt;&gt;"REQUIERE ASIGNACIÓN MANUAL (VARIAS CASILLAS)","FUENTE NO REQUIERE ASIGNACIÓN MANUAL",IF(NOT(IFERROR(ISNUMBER(SEARCH("R"&amp;$C98,INDEX(Hoja_Trabajo!$G$6:$G$505,MATCH($I98,Hoja_Trabajo!$A$6:$A$505,0)))),FALSE)),"CASILLA NO SUGERIDA PARA LA FUENTE",IF(SUMIF($I$87:I97,$I98,$F$87:F97)+$D98&gt;IFERROR(INDEX(Hoja_Trabajo!$X$6:$X$505,MATCH($I98,Hoja_Trabajo!$A$6:$A$505,0)),0),"EXCEDE VALOR ORIGINAL DE LA FUENTE","DILIGENCIADO")))))))</f>
        <v/>
      </c>
      <c r="I98" s="256" t="n"/>
      <c r="J98" s="256" t="n"/>
    </row>
    <row r="99" ht="14.25" customHeight="1" s="235">
      <c r="A99" t="inlineStr">
        <is>
          <t>Asignación múltiple</t>
        </is>
      </c>
      <c r="C99" s="256" t="n"/>
      <c r="D99" s="470" t="n"/>
      <c r="E99" s="256" t="n"/>
      <c r="F99">
        <f>IF(OR($D99="",$I99="",$J99="",$C99=""),0,IF($D99&lt;0,0,IF(COUNTIF(Hoja_Trabajo!$A$6:$A$505,$I99)&lt;&gt;1,0,IF(IFERROR(INDEX(Hoja_Trabajo!$Q$6:$Q$505,MATCH($I99,Hoja_Trabajo!$A$6:$A$505,0)),"")&lt;&gt;"REQUIERE ASIGNACIÓN MANUAL (VARIAS CASILLAS)",0,IF(NOT(IFERROR(ISNUMBER(SEARCH("R"&amp;$C99,INDEX(Hoja_Trabajo!$G$6:$G$505,MATCH($I99,Hoja_Trabajo!$A$6:$A$505,0)))),FALSE)),0,IF(SUMIF($I$87:I98,$I99,$F$87:F98)+$D99&gt;IFERROR(INDEX(Hoja_Trabajo!$X$6:$X$505,MATCH($I99,Hoja_Trabajo!$A$6:$A$505,0)),0),0,$D99))))))</f>
        <v/>
      </c>
      <c r="G99">
        <f>IF(C99="","",C99)</f>
        <v/>
      </c>
      <c r="H99">
        <f>IF($D99="","SIN DATOS",IF(OR($I99="",$J99="",$C99=""),"INCOMPLETO — falta ID, casilla o justificación",IF($D99&lt;0,"VALOR NEGATIVO NO PERMITIDO",IF(COUNTIF(Hoja_Trabajo!$A$6:$A$505,$I99)&lt;&gt;1,"ID INEXISTENTE O DUPLICADO EN HOJA_TRABAJO",IF(IFERROR(INDEX(Hoja_Trabajo!$Q$6:$Q$505,MATCH($I99,Hoja_Trabajo!$A$6:$A$505,0)),"")&lt;&gt;"REQUIERE ASIGNACIÓN MANUAL (VARIAS CASILLAS)","FUENTE NO REQUIERE ASIGNACIÓN MANUAL",IF(NOT(IFERROR(ISNUMBER(SEARCH("R"&amp;$C99,INDEX(Hoja_Trabajo!$G$6:$G$505,MATCH($I99,Hoja_Trabajo!$A$6:$A$505,0)))),FALSE)),"CASILLA NO SUGERIDA PARA LA FUENTE",IF(SUMIF($I$87:I98,$I99,$F$87:F98)+$D99&gt;IFERROR(INDEX(Hoja_Trabajo!$X$6:$X$505,MATCH($I99,Hoja_Trabajo!$A$6:$A$505,0)),0),"EXCEDE VALOR ORIGINAL DE LA FUENTE","DILIGENCIADO")))))))</f>
        <v/>
      </c>
      <c r="I99" s="256" t="n"/>
      <c r="J99" s="256" t="n"/>
    </row>
    <row r="100" ht="14.25" customHeight="1" s="235">
      <c r="A100" t="inlineStr">
        <is>
          <t>Asignación múltiple</t>
        </is>
      </c>
      <c r="C100" s="256" t="n"/>
      <c r="D100" s="470" t="n"/>
      <c r="E100" s="256" t="n"/>
      <c r="F100">
        <f>IF(OR($D100="",$I100="",$J100="",$C100=""),0,IF($D100&lt;0,0,IF(COUNTIF(Hoja_Trabajo!$A$6:$A$505,$I100)&lt;&gt;1,0,IF(IFERROR(INDEX(Hoja_Trabajo!$Q$6:$Q$505,MATCH($I100,Hoja_Trabajo!$A$6:$A$505,0)),"")&lt;&gt;"REQUIERE ASIGNACIÓN MANUAL (VARIAS CASILLAS)",0,IF(NOT(IFERROR(ISNUMBER(SEARCH("R"&amp;$C100,INDEX(Hoja_Trabajo!$G$6:$G$505,MATCH($I100,Hoja_Trabajo!$A$6:$A$505,0)))),FALSE)),0,IF(SUMIF($I$87:I99,$I100,$F$87:F99)+$D100&gt;IFERROR(INDEX(Hoja_Trabajo!$X$6:$X$505,MATCH($I100,Hoja_Trabajo!$A$6:$A$505,0)),0),0,$D100))))))</f>
        <v/>
      </c>
      <c r="G100">
        <f>IF(C100="","",C100)</f>
        <v/>
      </c>
      <c r="H100">
        <f>IF($D100="","SIN DATOS",IF(OR($I100="",$J100="",$C100=""),"INCOMPLETO — falta ID, casilla o justificación",IF($D100&lt;0,"VALOR NEGATIVO NO PERMITIDO",IF(COUNTIF(Hoja_Trabajo!$A$6:$A$505,$I100)&lt;&gt;1,"ID INEXISTENTE O DUPLICADO EN HOJA_TRABAJO",IF(IFERROR(INDEX(Hoja_Trabajo!$Q$6:$Q$505,MATCH($I100,Hoja_Trabajo!$A$6:$A$505,0)),"")&lt;&gt;"REQUIERE ASIGNACIÓN MANUAL (VARIAS CASILLAS)","FUENTE NO REQUIERE ASIGNACIÓN MANUAL",IF(NOT(IFERROR(ISNUMBER(SEARCH("R"&amp;$C100,INDEX(Hoja_Trabajo!$G$6:$G$505,MATCH($I100,Hoja_Trabajo!$A$6:$A$505,0)))),FALSE)),"CASILLA NO SUGERIDA PARA LA FUENTE",IF(SUMIF($I$87:I99,$I100,$F$87:F99)+$D100&gt;IFERROR(INDEX(Hoja_Trabajo!$X$6:$X$505,MATCH($I100,Hoja_Trabajo!$A$6:$A$505,0)),0),"EXCEDE VALOR ORIGINAL DE LA FUENTE","DILIGENCIADO")))))))</f>
        <v/>
      </c>
      <c r="I100" s="256" t="n"/>
      <c r="J100" s="256" t="n"/>
    </row>
    <row r="101" ht="14.25" customHeight="1" s="235">
      <c r="A101" t="inlineStr">
        <is>
          <t>Asignación múltiple</t>
        </is>
      </c>
      <c r="C101" s="256" t="n"/>
      <c r="D101" s="470" t="n"/>
      <c r="E101" s="256" t="n"/>
      <c r="F101">
        <f>IF(OR($D101="",$I101="",$J101="",$C101=""),0,IF($D101&lt;0,0,IF(COUNTIF(Hoja_Trabajo!$A$6:$A$505,$I101)&lt;&gt;1,0,IF(IFERROR(INDEX(Hoja_Trabajo!$Q$6:$Q$505,MATCH($I101,Hoja_Trabajo!$A$6:$A$505,0)),"")&lt;&gt;"REQUIERE ASIGNACIÓN MANUAL (VARIAS CASILLAS)",0,IF(NOT(IFERROR(ISNUMBER(SEARCH("R"&amp;$C101,INDEX(Hoja_Trabajo!$G$6:$G$505,MATCH($I101,Hoja_Trabajo!$A$6:$A$505,0)))),FALSE)),0,IF(SUMIF($I$87:I100,$I101,$F$87:F100)+$D101&gt;IFERROR(INDEX(Hoja_Trabajo!$X$6:$X$505,MATCH($I101,Hoja_Trabajo!$A$6:$A$505,0)),0),0,$D101))))))</f>
        <v/>
      </c>
      <c r="G101">
        <f>IF(C101="","",C101)</f>
        <v/>
      </c>
      <c r="H101">
        <f>IF($D101="","SIN DATOS",IF(OR($I101="",$J101="",$C101=""),"INCOMPLETO — falta ID, casilla o justificación",IF($D101&lt;0,"VALOR NEGATIVO NO PERMITIDO",IF(COUNTIF(Hoja_Trabajo!$A$6:$A$505,$I101)&lt;&gt;1,"ID INEXISTENTE O DUPLICADO EN HOJA_TRABAJO",IF(IFERROR(INDEX(Hoja_Trabajo!$Q$6:$Q$505,MATCH($I101,Hoja_Trabajo!$A$6:$A$505,0)),"")&lt;&gt;"REQUIERE ASIGNACIÓN MANUAL (VARIAS CASILLAS)","FUENTE NO REQUIERE ASIGNACIÓN MANUAL",IF(NOT(IFERROR(ISNUMBER(SEARCH("R"&amp;$C101,INDEX(Hoja_Trabajo!$G$6:$G$505,MATCH($I101,Hoja_Trabajo!$A$6:$A$505,0)))),FALSE)),"CASILLA NO SUGERIDA PARA LA FUENTE",IF(SUMIF($I$87:I100,$I101,$F$87:F100)+$D101&gt;IFERROR(INDEX(Hoja_Trabajo!$X$6:$X$505,MATCH($I101,Hoja_Trabajo!$A$6:$A$505,0)),0),"EXCEDE VALOR ORIGINAL DE LA FUENTE","DILIGENCIADO")))))))</f>
        <v/>
      </c>
      <c r="I101" s="256" t="n"/>
      <c r="J101" s="256" t="n"/>
    </row>
    <row r="102" ht="14.25" customHeight="1" s="235">
      <c r="A102" t="inlineStr">
        <is>
          <t>Asignación múltiple</t>
        </is>
      </c>
      <c r="C102" s="256" t="n"/>
      <c r="D102" s="470" t="n"/>
      <c r="E102" s="256" t="n"/>
      <c r="F102">
        <f>IF(OR($D102="",$I102="",$J102="",$C102=""),0,IF($D102&lt;0,0,IF(COUNTIF(Hoja_Trabajo!$A$6:$A$505,$I102)&lt;&gt;1,0,IF(IFERROR(INDEX(Hoja_Trabajo!$Q$6:$Q$505,MATCH($I102,Hoja_Trabajo!$A$6:$A$505,0)),"")&lt;&gt;"REQUIERE ASIGNACIÓN MANUAL (VARIAS CASILLAS)",0,IF(NOT(IFERROR(ISNUMBER(SEARCH("R"&amp;$C102,INDEX(Hoja_Trabajo!$G$6:$G$505,MATCH($I102,Hoja_Trabajo!$A$6:$A$505,0)))),FALSE)),0,IF(SUMIF($I$87:I101,$I102,$F$87:F101)+$D102&gt;IFERROR(INDEX(Hoja_Trabajo!$X$6:$X$505,MATCH($I102,Hoja_Trabajo!$A$6:$A$505,0)),0),0,$D102))))))</f>
        <v/>
      </c>
      <c r="G102">
        <f>IF(C102="","",C102)</f>
        <v/>
      </c>
      <c r="H102">
        <f>IF($D102="","SIN DATOS",IF(OR($I102="",$J102="",$C102=""),"INCOMPLETO — falta ID, casilla o justificación",IF($D102&lt;0,"VALOR NEGATIVO NO PERMITIDO",IF(COUNTIF(Hoja_Trabajo!$A$6:$A$505,$I102)&lt;&gt;1,"ID INEXISTENTE O DUPLICADO EN HOJA_TRABAJO",IF(IFERROR(INDEX(Hoja_Trabajo!$Q$6:$Q$505,MATCH($I102,Hoja_Trabajo!$A$6:$A$505,0)),"")&lt;&gt;"REQUIERE ASIGNACIÓN MANUAL (VARIAS CASILLAS)","FUENTE NO REQUIERE ASIGNACIÓN MANUAL",IF(NOT(IFERROR(ISNUMBER(SEARCH("R"&amp;$C102,INDEX(Hoja_Trabajo!$G$6:$G$505,MATCH($I102,Hoja_Trabajo!$A$6:$A$505,0)))),FALSE)),"CASILLA NO SUGERIDA PARA LA FUENTE",IF(SUMIF($I$87:I101,$I102,$F$87:F101)+$D102&gt;IFERROR(INDEX(Hoja_Trabajo!$X$6:$X$505,MATCH($I102,Hoja_Trabajo!$A$6:$A$505,0)),0),"EXCEDE VALOR ORIGINAL DE LA FUENTE","DILIGENCIADO")))))))</f>
        <v/>
      </c>
      <c r="I102" s="256" t="n"/>
      <c r="J102" s="256" t="n"/>
    </row>
    <row r="103" ht="14.25" customHeight="1" s="235">
      <c r="A103" t="inlineStr">
        <is>
          <t>Asignación múltiple</t>
        </is>
      </c>
      <c r="C103" s="256" t="n"/>
      <c r="D103" s="470" t="n"/>
      <c r="E103" s="256" t="n"/>
      <c r="F103">
        <f>IF(OR($D103="",$I103="",$J103="",$C103=""),0,IF($D103&lt;0,0,IF(COUNTIF(Hoja_Trabajo!$A$6:$A$505,$I103)&lt;&gt;1,0,IF(IFERROR(INDEX(Hoja_Trabajo!$Q$6:$Q$505,MATCH($I103,Hoja_Trabajo!$A$6:$A$505,0)),"")&lt;&gt;"REQUIERE ASIGNACIÓN MANUAL (VARIAS CASILLAS)",0,IF(NOT(IFERROR(ISNUMBER(SEARCH("R"&amp;$C103,INDEX(Hoja_Trabajo!$G$6:$G$505,MATCH($I103,Hoja_Trabajo!$A$6:$A$505,0)))),FALSE)),0,IF(SUMIF($I$87:I102,$I103,$F$87:F102)+$D103&gt;IFERROR(INDEX(Hoja_Trabajo!$X$6:$X$505,MATCH($I103,Hoja_Trabajo!$A$6:$A$505,0)),0),0,$D103))))))</f>
        <v/>
      </c>
      <c r="G103">
        <f>IF(C103="","",C103)</f>
        <v/>
      </c>
      <c r="H103">
        <f>IF($D103="","SIN DATOS",IF(OR($I103="",$J103="",$C103=""),"INCOMPLETO — falta ID, casilla o justificación",IF($D103&lt;0,"VALOR NEGATIVO NO PERMITIDO",IF(COUNTIF(Hoja_Trabajo!$A$6:$A$505,$I103)&lt;&gt;1,"ID INEXISTENTE O DUPLICADO EN HOJA_TRABAJO",IF(IFERROR(INDEX(Hoja_Trabajo!$Q$6:$Q$505,MATCH($I103,Hoja_Trabajo!$A$6:$A$505,0)),"")&lt;&gt;"REQUIERE ASIGNACIÓN MANUAL (VARIAS CASILLAS)","FUENTE NO REQUIERE ASIGNACIÓN MANUAL",IF(NOT(IFERROR(ISNUMBER(SEARCH("R"&amp;$C103,INDEX(Hoja_Trabajo!$G$6:$G$505,MATCH($I103,Hoja_Trabajo!$A$6:$A$505,0)))),FALSE)),"CASILLA NO SUGERIDA PARA LA FUENTE",IF(SUMIF($I$87:I102,$I103,$F$87:F102)+$D103&gt;IFERROR(INDEX(Hoja_Trabajo!$X$6:$X$505,MATCH($I103,Hoja_Trabajo!$A$6:$A$505,0)),0),"EXCEDE VALOR ORIGINAL DE LA FUENTE","DILIGENCIADO")))))))</f>
        <v/>
      </c>
      <c r="I103" s="256" t="n"/>
      <c r="J103" s="256" t="n"/>
    </row>
    <row r="104" ht="14.25" customHeight="1" s="235">
      <c r="A104" t="inlineStr">
        <is>
          <t>Asignación múltiple</t>
        </is>
      </c>
      <c r="C104" s="256" t="n"/>
      <c r="D104" s="470" t="n"/>
      <c r="E104" s="256" t="n"/>
      <c r="F104">
        <f>IF(OR($D104="",$I104="",$J104="",$C104=""),0,IF($D104&lt;0,0,IF(COUNTIF(Hoja_Trabajo!$A$6:$A$505,$I104)&lt;&gt;1,0,IF(IFERROR(INDEX(Hoja_Trabajo!$Q$6:$Q$505,MATCH($I104,Hoja_Trabajo!$A$6:$A$505,0)),"")&lt;&gt;"REQUIERE ASIGNACIÓN MANUAL (VARIAS CASILLAS)",0,IF(NOT(IFERROR(ISNUMBER(SEARCH("R"&amp;$C104,INDEX(Hoja_Trabajo!$G$6:$G$505,MATCH($I104,Hoja_Trabajo!$A$6:$A$505,0)))),FALSE)),0,IF(SUMIF($I$87:I103,$I104,$F$87:F103)+$D104&gt;IFERROR(INDEX(Hoja_Trabajo!$X$6:$X$505,MATCH($I104,Hoja_Trabajo!$A$6:$A$505,0)),0),0,$D104))))))</f>
        <v/>
      </c>
      <c r="G104">
        <f>IF(C104="","",C104)</f>
        <v/>
      </c>
      <c r="H104">
        <f>IF($D104="","SIN DATOS",IF(OR($I104="",$J104="",$C104=""),"INCOMPLETO — falta ID, casilla o justificación",IF($D104&lt;0,"VALOR NEGATIVO NO PERMITIDO",IF(COUNTIF(Hoja_Trabajo!$A$6:$A$505,$I104)&lt;&gt;1,"ID INEXISTENTE O DUPLICADO EN HOJA_TRABAJO",IF(IFERROR(INDEX(Hoja_Trabajo!$Q$6:$Q$505,MATCH($I104,Hoja_Trabajo!$A$6:$A$505,0)),"")&lt;&gt;"REQUIERE ASIGNACIÓN MANUAL (VARIAS CASILLAS)","FUENTE NO REQUIERE ASIGNACIÓN MANUAL",IF(NOT(IFERROR(ISNUMBER(SEARCH("R"&amp;$C104,INDEX(Hoja_Trabajo!$G$6:$G$505,MATCH($I104,Hoja_Trabajo!$A$6:$A$505,0)))),FALSE)),"CASILLA NO SUGERIDA PARA LA FUENTE",IF(SUMIF($I$87:I103,$I104,$F$87:F103)+$D104&gt;IFERROR(INDEX(Hoja_Trabajo!$X$6:$X$505,MATCH($I104,Hoja_Trabajo!$A$6:$A$505,0)),0),"EXCEDE VALOR ORIGINAL DE LA FUENTE","DILIGENCIADO")))))))</f>
        <v/>
      </c>
      <c r="I104" s="256" t="n"/>
      <c r="J104" s="256" t="n"/>
    </row>
    <row r="105" ht="14.25" customHeight="1" s="235">
      <c r="A105" t="inlineStr">
        <is>
          <t>Asignación múltiple</t>
        </is>
      </c>
      <c r="C105" s="256" t="n"/>
      <c r="D105" s="470" t="n"/>
      <c r="E105" s="256" t="n"/>
      <c r="F105">
        <f>IF(OR($D105="",$I105="",$J105="",$C105=""),0,IF($D105&lt;0,0,IF(COUNTIF(Hoja_Trabajo!$A$6:$A$505,$I105)&lt;&gt;1,0,IF(IFERROR(INDEX(Hoja_Trabajo!$Q$6:$Q$505,MATCH($I105,Hoja_Trabajo!$A$6:$A$505,0)),"")&lt;&gt;"REQUIERE ASIGNACIÓN MANUAL (VARIAS CASILLAS)",0,IF(NOT(IFERROR(ISNUMBER(SEARCH("R"&amp;$C105,INDEX(Hoja_Trabajo!$G$6:$G$505,MATCH($I105,Hoja_Trabajo!$A$6:$A$505,0)))),FALSE)),0,IF(SUMIF($I$87:I104,$I105,$F$87:F104)+$D105&gt;IFERROR(INDEX(Hoja_Trabajo!$X$6:$X$505,MATCH($I105,Hoja_Trabajo!$A$6:$A$505,0)),0),0,$D105))))))</f>
        <v/>
      </c>
      <c r="G105">
        <f>IF(C105="","",C105)</f>
        <v/>
      </c>
      <c r="H105">
        <f>IF($D105="","SIN DATOS",IF(OR($I105="",$J105="",$C105=""),"INCOMPLETO — falta ID, casilla o justificación",IF($D105&lt;0,"VALOR NEGATIVO NO PERMITIDO",IF(COUNTIF(Hoja_Trabajo!$A$6:$A$505,$I105)&lt;&gt;1,"ID INEXISTENTE O DUPLICADO EN HOJA_TRABAJO",IF(IFERROR(INDEX(Hoja_Trabajo!$Q$6:$Q$505,MATCH($I105,Hoja_Trabajo!$A$6:$A$505,0)),"")&lt;&gt;"REQUIERE ASIGNACIÓN MANUAL (VARIAS CASILLAS)","FUENTE NO REQUIERE ASIGNACIÓN MANUAL",IF(NOT(IFERROR(ISNUMBER(SEARCH("R"&amp;$C105,INDEX(Hoja_Trabajo!$G$6:$G$505,MATCH($I105,Hoja_Trabajo!$A$6:$A$505,0)))),FALSE)),"CASILLA NO SUGERIDA PARA LA FUENTE",IF(SUMIF($I$87:I104,$I105,$F$87:F104)+$D105&gt;IFERROR(INDEX(Hoja_Trabajo!$X$6:$X$505,MATCH($I105,Hoja_Trabajo!$A$6:$A$505,0)),0),"EXCEDE VALOR ORIGINAL DE LA FUENTE","DILIGENCIADO")))))))</f>
        <v/>
      </c>
      <c r="I105" s="256" t="n"/>
      <c r="J105" s="256" t="n"/>
    </row>
    <row r="106" ht="14.25" customHeight="1" s="235">
      <c r="A106" t="inlineStr">
        <is>
          <t>Asignación múltiple</t>
        </is>
      </c>
      <c r="C106" s="256" t="n"/>
      <c r="D106" s="470" t="n"/>
      <c r="E106" s="256" t="n"/>
      <c r="F106">
        <f>IF(OR($D106="",$I106="",$J106="",$C106=""),0,IF($D106&lt;0,0,IF(COUNTIF(Hoja_Trabajo!$A$6:$A$505,$I106)&lt;&gt;1,0,IF(IFERROR(INDEX(Hoja_Trabajo!$Q$6:$Q$505,MATCH($I106,Hoja_Trabajo!$A$6:$A$505,0)),"")&lt;&gt;"REQUIERE ASIGNACIÓN MANUAL (VARIAS CASILLAS)",0,IF(NOT(IFERROR(ISNUMBER(SEARCH("R"&amp;$C106,INDEX(Hoja_Trabajo!$G$6:$G$505,MATCH($I106,Hoja_Trabajo!$A$6:$A$505,0)))),FALSE)),0,IF(SUMIF($I$87:I105,$I106,$F$87:F105)+$D106&gt;IFERROR(INDEX(Hoja_Trabajo!$X$6:$X$505,MATCH($I106,Hoja_Trabajo!$A$6:$A$505,0)),0),0,$D106))))))</f>
        <v/>
      </c>
      <c r="G106">
        <f>IF(C106="","",C106)</f>
        <v/>
      </c>
      <c r="H106">
        <f>IF($D106="","SIN DATOS",IF(OR($I106="",$J106="",$C106=""),"INCOMPLETO — falta ID, casilla o justificación",IF($D106&lt;0,"VALOR NEGATIVO NO PERMITIDO",IF(COUNTIF(Hoja_Trabajo!$A$6:$A$505,$I106)&lt;&gt;1,"ID INEXISTENTE O DUPLICADO EN HOJA_TRABAJO",IF(IFERROR(INDEX(Hoja_Trabajo!$Q$6:$Q$505,MATCH($I106,Hoja_Trabajo!$A$6:$A$505,0)),"")&lt;&gt;"REQUIERE ASIGNACIÓN MANUAL (VARIAS CASILLAS)","FUENTE NO REQUIERE ASIGNACIÓN MANUAL",IF(NOT(IFERROR(ISNUMBER(SEARCH("R"&amp;$C106,INDEX(Hoja_Trabajo!$G$6:$G$505,MATCH($I106,Hoja_Trabajo!$A$6:$A$505,0)))),FALSE)),"CASILLA NO SUGERIDA PARA LA FUENTE",IF(SUMIF($I$87:I105,$I106,$F$87:F105)+$D106&gt;IFERROR(INDEX(Hoja_Trabajo!$X$6:$X$505,MATCH($I106,Hoja_Trabajo!$A$6:$A$505,0)),0),"EXCEDE VALOR ORIGINAL DE LA FUENTE","DILIGENCIADO")))))))</f>
        <v/>
      </c>
      <c r="I106" s="256" t="n"/>
      <c r="J106" s="256" t="n"/>
    </row>
    <row r="107" ht="14.25" customHeight="1" s="235">
      <c r="A107" t="inlineStr">
        <is>
          <t>Asignación múltiple</t>
        </is>
      </c>
      <c r="C107" s="256" t="n"/>
      <c r="D107" s="470" t="n"/>
      <c r="E107" s="256" t="n"/>
      <c r="F107">
        <f>IF(OR($D107="",$I107="",$J107="",$C107=""),0,IF($D107&lt;0,0,IF(COUNTIF(Hoja_Trabajo!$A$6:$A$505,$I107)&lt;&gt;1,0,IF(IFERROR(INDEX(Hoja_Trabajo!$Q$6:$Q$505,MATCH($I107,Hoja_Trabajo!$A$6:$A$505,0)),"")&lt;&gt;"REQUIERE ASIGNACIÓN MANUAL (VARIAS CASILLAS)",0,IF(NOT(IFERROR(ISNUMBER(SEARCH("R"&amp;$C107,INDEX(Hoja_Trabajo!$G$6:$G$505,MATCH($I107,Hoja_Trabajo!$A$6:$A$505,0)))),FALSE)),0,IF(SUMIF($I$87:I106,$I107,$F$87:F106)+$D107&gt;IFERROR(INDEX(Hoja_Trabajo!$X$6:$X$505,MATCH($I107,Hoja_Trabajo!$A$6:$A$505,0)),0),0,$D107))))))</f>
        <v/>
      </c>
      <c r="G107">
        <f>IF(C107="","",C107)</f>
        <v/>
      </c>
      <c r="H107">
        <f>IF($D107="","SIN DATOS",IF(OR($I107="",$J107="",$C107=""),"INCOMPLETO — falta ID, casilla o justificación",IF($D107&lt;0,"VALOR NEGATIVO NO PERMITIDO",IF(COUNTIF(Hoja_Trabajo!$A$6:$A$505,$I107)&lt;&gt;1,"ID INEXISTENTE O DUPLICADO EN HOJA_TRABAJO",IF(IFERROR(INDEX(Hoja_Trabajo!$Q$6:$Q$505,MATCH($I107,Hoja_Trabajo!$A$6:$A$505,0)),"")&lt;&gt;"REQUIERE ASIGNACIÓN MANUAL (VARIAS CASILLAS)","FUENTE NO REQUIERE ASIGNACIÓN MANUAL",IF(NOT(IFERROR(ISNUMBER(SEARCH("R"&amp;$C107,INDEX(Hoja_Trabajo!$G$6:$G$505,MATCH($I107,Hoja_Trabajo!$A$6:$A$505,0)))),FALSE)),"CASILLA NO SUGERIDA PARA LA FUENTE",IF(SUMIF($I$87:I106,$I107,$F$87:F106)+$D107&gt;IFERROR(INDEX(Hoja_Trabajo!$X$6:$X$505,MATCH($I107,Hoja_Trabajo!$A$6:$A$505,0)),0),"EXCEDE VALOR ORIGINAL DE LA FUENTE","DILIGENCIADO")))))))</f>
        <v/>
      </c>
      <c r="I107" s="256" t="n"/>
      <c r="J107" s="256" t="n"/>
    </row>
    <row r="108" ht="14.25" customHeight="1" s="235">
      <c r="A108" t="inlineStr">
        <is>
          <t>Asignación múltiple</t>
        </is>
      </c>
      <c r="C108" s="256" t="n"/>
      <c r="D108" s="470" t="n"/>
      <c r="E108" s="256" t="n"/>
      <c r="F108">
        <f>IF(OR($D108="",$I108="",$J108="",$C108=""),0,IF($D108&lt;0,0,IF(COUNTIF(Hoja_Trabajo!$A$6:$A$505,$I108)&lt;&gt;1,0,IF(IFERROR(INDEX(Hoja_Trabajo!$Q$6:$Q$505,MATCH($I108,Hoja_Trabajo!$A$6:$A$505,0)),"")&lt;&gt;"REQUIERE ASIGNACIÓN MANUAL (VARIAS CASILLAS)",0,IF(NOT(IFERROR(ISNUMBER(SEARCH("R"&amp;$C108,INDEX(Hoja_Trabajo!$G$6:$G$505,MATCH($I108,Hoja_Trabajo!$A$6:$A$505,0)))),FALSE)),0,IF(SUMIF($I$87:I107,$I108,$F$87:F107)+$D108&gt;IFERROR(INDEX(Hoja_Trabajo!$X$6:$X$505,MATCH($I108,Hoja_Trabajo!$A$6:$A$505,0)),0),0,$D108))))))</f>
        <v/>
      </c>
      <c r="G108">
        <f>IF(C108="","",C108)</f>
        <v/>
      </c>
      <c r="H108">
        <f>IF($D108="","SIN DATOS",IF(OR($I108="",$J108="",$C108=""),"INCOMPLETO — falta ID, casilla o justificación",IF($D108&lt;0,"VALOR NEGATIVO NO PERMITIDO",IF(COUNTIF(Hoja_Trabajo!$A$6:$A$505,$I108)&lt;&gt;1,"ID INEXISTENTE O DUPLICADO EN HOJA_TRABAJO",IF(IFERROR(INDEX(Hoja_Trabajo!$Q$6:$Q$505,MATCH($I108,Hoja_Trabajo!$A$6:$A$505,0)),"")&lt;&gt;"REQUIERE ASIGNACIÓN MANUAL (VARIAS CASILLAS)","FUENTE NO REQUIERE ASIGNACIÓN MANUAL",IF(NOT(IFERROR(ISNUMBER(SEARCH("R"&amp;$C108,INDEX(Hoja_Trabajo!$G$6:$G$505,MATCH($I108,Hoja_Trabajo!$A$6:$A$505,0)))),FALSE)),"CASILLA NO SUGERIDA PARA LA FUENTE",IF(SUMIF($I$87:I107,$I108,$F$87:F107)+$D108&gt;IFERROR(INDEX(Hoja_Trabajo!$X$6:$X$505,MATCH($I108,Hoja_Trabajo!$A$6:$A$505,0)),0),"EXCEDE VALOR ORIGINAL DE LA FUENTE","DILIGENCIADO")))))))</f>
        <v/>
      </c>
      <c r="I108" s="256" t="n"/>
      <c r="J108" s="256" t="n"/>
    </row>
    <row r="109" ht="14.25" customHeight="1" s="235">
      <c r="A109" t="inlineStr">
        <is>
          <t>Asignación múltiple</t>
        </is>
      </c>
      <c r="C109" s="256" t="n"/>
      <c r="D109" s="470" t="n"/>
      <c r="E109" s="256" t="n"/>
      <c r="F109">
        <f>IF(OR($D109="",$I109="",$J109="",$C109=""),0,IF($D109&lt;0,0,IF(COUNTIF(Hoja_Trabajo!$A$6:$A$505,$I109)&lt;&gt;1,0,IF(IFERROR(INDEX(Hoja_Trabajo!$Q$6:$Q$505,MATCH($I109,Hoja_Trabajo!$A$6:$A$505,0)),"")&lt;&gt;"REQUIERE ASIGNACIÓN MANUAL (VARIAS CASILLAS)",0,IF(NOT(IFERROR(ISNUMBER(SEARCH("R"&amp;$C109,INDEX(Hoja_Trabajo!$G$6:$G$505,MATCH($I109,Hoja_Trabajo!$A$6:$A$505,0)))),FALSE)),0,IF(SUMIF($I$87:I108,$I109,$F$87:F108)+$D109&gt;IFERROR(INDEX(Hoja_Trabajo!$X$6:$X$505,MATCH($I109,Hoja_Trabajo!$A$6:$A$505,0)),0),0,$D109))))))</f>
        <v/>
      </c>
      <c r="G109">
        <f>IF(C109="","",C109)</f>
        <v/>
      </c>
      <c r="H109">
        <f>IF($D109="","SIN DATOS",IF(OR($I109="",$J109="",$C109=""),"INCOMPLETO — falta ID, casilla o justificación",IF($D109&lt;0,"VALOR NEGATIVO NO PERMITIDO",IF(COUNTIF(Hoja_Trabajo!$A$6:$A$505,$I109)&lt;&gt;1,"ID INEXISTENTE O DUPLICADO EN HOJA_TRABAJO",IF(IFERROR(INDEX(Hoja_Trabajo!$Q$6:$Q$505,MATCH($I109,Hoja_Trabajo!$A$6:$A$505,0)),"")&lt;&gt;"REQUIERE ASIGNACIÓN MANUAL (VARIAS CASILLAS)","FUENTE NO REQUIERE ASIGNACIÓN MANUAL",IF(NOT(IFERROR(ISNUMBER(SEARCH("R"&amp;$C109,INDEX(Hoja_Trabajo!$G$6:$G$505,MATCH($I109,Hoja_Trabajo!$A$6:$A$505,0)))),FALSE)),"CASILLA NO SUGERIDA PARA LA FUENTE",IF(SUMIF($I$87:I108,$I109,$F$87:F108)+$D109&gt;IFERROR(INDEX(Hoja_Trabajo!$X$6:$X$505,MATCH($I109,Hoja_Trabajo!$A$6:$A$505,0)),0),"EXCEDE VALOR ORIGINAL DE LA FUENTE","DILIGENCIADO")))))))</f>
        <v/>
      </c>
      <c r="I109" s="256" t="n"/>
      <c r="J109" s="256" t="n"/>
    </row>
    <row r="110" ht="14.25" customHeight="1" s="235">
      <c r="A110" t="inlineStr">
        <is>
          <t>Asignación múltiple</t>
        </is>
      </c>
      <c r="C110" s="256" t="n"/>
      <c r="D110" s="470" t="n"/>
      <c r="E110" s="256" t="n"/>
      <c r="F110">
        <f>IF(OR($D110="",$I110="",$J110="",$C110=""),0,IF($D110&lt;0,0,IF(COUNTIF(Hoja_Trabajo!$A$6:$A$505,$I110)&lt;&gt;1,0,IF(IFERROR(INDEX(Hoja_Trabajo!$Q$6:$Q$505,MATCH($I110,Hoja_Trabajo!$A$6:$A$505,0)),"")&lt;&gt;"REQUIERE ASIGNACIÓN MANUAL (VARIAS CASILLAS)",0,IF(NOT(IFERROR(ISNUMBER(SEARCH("R"&amp;$C110,INDEX(Hoja_Trabajo!$G$6:$G$505,MATCH($I110,Hoja_Trabajo!$A$6:$A$505,0)))),FALSE)),0,IF(SUMIF($I$87:I109,$I110,$F$87:F109)+$D110&gt;IFERROR(INDEX(Hoja_Trabajo!$X$6:$X$505,MATCH($I110,Hoja_Trabajo!$A$6:$A$505,0)),0),0,$D110))))))</f>
        <v/>
      </c>
      <c r="G110">
        <f>IF(C110="","",C110)</f>
        <v/>
      </c>
      <c r="H110">
        <f>IF($D110="","SIN DATOS",IF(OR($I110="",$J110="",$C110=""),"INCOMPLETO — falta ID, casilla o justificación",IF($D110&lt;0,"VALOR NEGATIVO NO PERMITIDO",IF(COUNTIF(Hoja_Trabajo!$A$6:$A$505,$I110)&lt;&gt;1,"ID INEXISTENTE O DUPLICADO EN HOJA_TRABAJO",IF(IFERROR(INDEX(Hoja_Trabajo!$Q$6:$Q$505,MATCH($I110,Hoja_Trabajo!$A$6:$A$505,0)),"")&lt;&gt;"REQUIERE ASIGNACIÓN MANUAL (VARIAS CASILLAS)","FUENTE NO REQUIERE ASIGNACIÓN MANUAL",IF(NOT(IFERROR(ISNUMBER(SEARCH("R"&amp;$C110,INDEX(Hoja_Trabajo!$G$6:$G$505,MATCH($I110,Hoja_Trabajo!$A$6:$A$505,0)))),FALSE)),"CASILLA NO SUGERIDA PARA LA FUENTE",IF(SUMIF($I$87:I109,$I110,$F$87:F109)+$D110&gt;IFERROR(INDEX(Hoja_Trabajo!$X$6:$X$505,MATCH($I110,Hoja_Trabajo!$A$6:$A$505,0)),0),"EXCEDE VALOR ORIGINAL DE LA FUENTE","DILIGENCIADO")))))))</f>
        <v/>
      </c>
      <c r="I110" s="256" t="n"/>
      <c r="J110" s="256" t="n"/>
    </row>
    <row r="111" ht="14.25" customHeight="1" s="235">
      <c r="A111" t="inlineStr">
        <is>
          <t>Asignación múltiple</t>
        </is>
      </c>
      <c r="C111" s="256" t="n"/>
      <c r="D111" s="470" t="n"/>
      <c r="E111" s="256" t="n"/>
      <c r="F111">
        <f>IF(OR($D111="",$I111="",$J111="",$C111=""),0,IF($D111&lt;0,0,IF(COUNTIF(Hoja_Trabajo!$A$6:$A$505,$I111)&lt;&gt;1,0,IF(IFERROR(INDEX(Hoja_Trabajo!$Q$6:$Q$505,MATCH($I111,Hoja_Trabajo!$A$6:$A$505,0)),"")&lt;&gt;"REQUIERE ASIGNACIÓN MANUAL (VARIAS CASILLAS)",0,IF(NOT(IFERROR(ISNUMBER(SEARCH("R"&amp;$C111,INDEX(Hoja_Trabajo!$G$6:$G$505,MATCH($I111,Hoja_Trabajo!$A$6:$A$505,0)))),FALSE)),0,IF(SUMIF($I$87:I110,$I111,$F$87:F110)+$D111&gt;IFERROR(INDEX(Hoja_Trabajo!$X$6:$X$505,MATCH($I111,Hoja_Trabajo!$A$6:$A$505,0)),0),0,$D111))))))</f>
        <v/>
      </c>
      <c r="G111">
        <f>IF(C111="","",C111)</f>
        <v/>
      </c>
      <c r="H111">
        <f>IF($D111="","SIN DATOS",IF(OR($I111="",$J111="",$C111=""),"INCOMPLETO — falta ID, casilla o justificación",IF($D111&lt;0,"VALOR NEGATIVO NO PERMITIDO",IF(COUNTIF(Hoja_Trabajo!$A$6:$A$505,$I111)&lt;&gt;1,"ID INEXISTENTE O DUPLICADO EN HOJA_TRABAJO",IF(IFERROR(INDEX(Hoja_Trabajo!$Q$6:$Q$505,MATCH($I111,Hoja_Trabajo!$A$6:$A$505,0)),"")&lt;&gt;"REQUIERE ASIGNACIÓN MANUAL (VARIAS CASILLAS)","FUENTE NO REQUIERE ASIGNACIÓN MANUAL",IF(NOT(IFERROR(ISNUMBER(SEARCH("R"&amp;$C111,INDEX(Hoja_Trabajo!$G$6:$G$505,MATCH($I111,Hoja_Trabajo!$A$6:$A$505,0)))),FALSE)),"CASILLA NO SUGERIDA PARA LA FUENTE",IF(SUMIF($I$87:I110,$I111,$F$87:F110)+$D111&gt;IFERROR(INDEX(Hoja_Trabajo!$X$6:$X$505,MATCH($I111,Hoja_Trabajo!$A$6:$A$505,0)),0),"EXCEDE VALOR ORIGINAL DE LA FUENTE","DILIGENCIADO")))))))</f>
        <v/>
      </c>
      <c r="I111" s="256" t="n"/>
      <c r="J111" s="256" t="n"/>
    </row>
    <row r="112" ht="14.25" customHeight="1" s="235">
      <c r="A112" t="inlineStr">
        <is>
          <t>Asignación múltiple</t>
        </is>
      </c>
      <c r="C112" s="256" t="n"/>
      <c r="D112" s="470" t="n"/>
      <c r="E112" s="256" t="n"/>
      <c r="F112">
        <f>IF(OR($D112="",$I112="",$J112="",$C112=""),0,IF($D112&lt;0,0,IF(COUNTIF(Hoja_Trabajo!$A$6:$A$505,$I112)&lt;&gt;1,0,IF(IFERROR(INDEX(Hoja_Trabajo!$Q$6:$Q$505,MATCH($I112,Hoja_Trabajo!$A$6:$A$505,0)),"")&lt;&gt;"REQUIERE ASIGNACIÓN MANUAL (VARIAS CASILLAS)",0,IF(NOT(IFERROR(ISNUMBER(SEARCH("R"&amp;$C112,INDEX(Hoja_Trabajo!$G$6:$G$505,MATCH($I112,Hoja_Trabajo!$A$6:$A$505,0)))),FALSE)),0,IF(SUMIF($I$87:I111,$I112,$F$87:F111)+$D112&gt;IFERROR(INDEX(Hoja_Trabajo!$X$6:$X$505,MATCH($I112,Hoja_Trabajo!$A$6:$A$505,0)),0),0,$D112))))))</f>
        <v/>
      </c>
      <c r="G112">
        <f>IF(C112="","",C112)</f>
        <v/>
      </c>
      <c r="H112">
        <f>IF($D112="","SIN DATOS",IF(OR($I112="",$J112="",$C112=""),"INCOMPLETO — falta ID, casilla o justificación",IF($D112&lt;0,"VALOR NEGATIVO NO PERMITIDO",IF(COUNTIF(Hoja_Trabajo!$A$6:$A$505,$I112)&lt;&gt;1,"ID INEXISTENTE O DUPLICADO EN HOJA_TRABAJO",IF(IFERROR(INDEX(Hoja_Trabajo!$Q$6:$Q$505,MATCH($I112,Hoja_Trabajo!$A$6:$A$505,0)),"")&lt;&gt;"REQUIERE ASIGNACIÓN MANUAL (VARIAS CASILLAS)","FUENTE NO REQUIERE ASIGNACIÓN MANUAL",IF(NOT(IFERROR(ISNUMBER(SEARCH("R"&amp;$C112,INDEX(Hoja_Trabajo!$G$6:$G$505,MATCH($I112,Hoja_Trabajo!$A$6:$A$505,0)))),FALSE)),"CASILLA NO SUGERIDA PARA LA FUENTE",IF(SUMIF($I$87:I111,$I112,$F$87:F111)+$D112&gt;IFERROR(INDEX(Hoja_Trabajo!$X$6:$X$505,MATCH($I112,Hoja_Trabajo!$A$6:$A$505,0)),0),"EXCEDE VALOR ORIGINAL DE LA FUENTE","DILIGENCIADO")))))))</f>
        <v/>
      </c>
      <c r="I112" s="256" t="n"/>
      <c r="J112" s="256" t="n"/>
    </row>
    <row r="113" ht="14.25" customHeight="1" s="235">
      <c r="A113" t="inlineStr">
        <is>
          <t>Asignación múltiple</t>
        </is>
      </c>
      <c r="C113" s="256" t="n"/>
      <c r="D113" s="470" t="n"/>
      <c r="E113" s="256" t="n"/>
      <c r="F113">
        <f>IF(OR($D113="",$I113="",$J113="",$C113=""),0,IF($D113&lt;0,0,IF(COUNTIF(Hoja_Trabajo!$A$6:$A$505,$I113)&lt;&gt;1,0,IF(IFERROR(INDEX(Hoja_Trabajo!$Q$6:$Q$505,MATCH($I113,Hoja_Trabajo!$A$6:$A$505,0)),"")&lt;&gt;"REQUIERE ASIGNACIÓN MANUAL (VARIAS CASILLAS)",0,IF(NOT(IFERROR(ISNUMBER(SEARCH("R"&amp;$C113,INDEX(Hoja_Trabajo!$G$6:$G$505,MATCH($I113,Hoja_Trabajo!$A$6:$A$505,0)))),FALSE)),0,IF(SUMIF($I$87:I112,$I113,$F$87:F112)+$D113&gt;IFERROR(INDEX(Hoja_Trabajo!$X$6:$X$505,MATCH($I113,Hoja_Trabajo!$A$6:$A$505,0)),0),0,$D113))))))</f>
        <v/>
      </c>
      <c r="G113">
        <f>IF(C113="","",C113)</f>
        <v/>
      </c>
      <c r="H113">
        <f>IF($D113="","SIN DATOS",IF(OR($I113="",$J113="",$C113=""),"INCOMPLETO — falta ID, casilla o justificación",IF($D113&lt;0,"VALOR NEGATIVO NO PERMITIDO",IF(COUNTIF(Hoja_Trabajo!$A$6:$A$505,$I113)&lt;&gt;1,"ID INEXISTENTE O DUPLICADO EN HOJA_TRABAJO",IF(IFERROR(INDEX(Hoja_Trabajo!$Q$6:$Q$505,MATCH($I113,Hoja_Trabajo!$A$6:$A$505,0)),"")&lt;&gt;"REQUIERE ASIGNACIÓN MANUAL (VARIAS CASILLAS)","FUENTE NO REQUIERE ASIGNACIÓN MANUAL",IF(NOT(IFERROR(ISNUMBER(SEARCH("R"&amp;$C113,INDEX(Hoja_Trabajo!$G$6:$G$505,MATCH($I113,Hoja_Trabajo!$A$6:$A$505,0)))),FALSE)),"CASILLA NO SUGERIDA PARA LA FUENTE",IF(SUMIF($I$87:I112,$I113,$F$87:F112)+$D113&gt;IFERROR(INDEX(Hoja_Trabajo!$X$6:$X$505,MATCH($I113,Hoja_Trabajo!$A$6:$A$505,0)),0),"EXCEDE VALOR ORIGINAL DE LA FUENTE","DILIGENCIADO")))))))</f>
        <v/>
      </c>
      <c r="I113" s="256" t="n"/>
      <c r="J113" s="256" t="n"/>
    </row>
    <row r="114" ht="14.25" customHeight="1" s="235">
      <c r="A114" t="inlineStr">
        <is>
          <t>Asignación múltiple</t>
        </is>
      </c>
      <c r="C114" s="256" t="n"/>
      <c r="D114" s="470" t="n"/>
      <c r="E114" s="256" t="n"/>
      <c r="F114">
        <f>IF(OR($D114="",$I114="",$J114="",$C114=""),0,IF($D114&lt;0,0,IF(COUNTIF(Hoja_Trabajo!$A$6:$A$505,$I114)&lt;&gt;1,0,IF(IFERROR(INDEX(Hoja_Trabajo!$Q$6:$Q$505,MATCH($I114,Hoja_Trabajo!$A$6:$A$505,0)),"")&lt;&gt;"REQUIERE ASIGNACIÓN MANUAL (VARIAS CASILLAS)",0,IF(NOT(IFERROR(ISNUMBER(SEARCH("R"&amp;$C114,INDEX(Hoja_Trabajo!$G$6:$G$505,MATCH($I114,Hoja_Trabajo!$A$6:$A$505,0)))),FALSE)),0,IF(SUMIF($I$87:I113,$I114,$F$87:F113)+$D114&gt;IFERROR(INDEX(Hoja_Trabajo!$X$6:$X$505,MATCH($I114,Hoja_Trabajo!$A$6:$A$505,0)),0),0,$D114))))))</f>
        <v/>
      </c>
      <c r="G114">
        <f>IF(C114="","",C114)</f>
        <v/>
      </c>
      <c r="H114">
        <f>IF($D114="","SIN DATOS",IF(OR($I114="",$J114="",$C114=""),"INCOMPLETO — falta ID, casilla o justificación",IF($D114&lt;0,"VALOR NEGATIVO NO PERMITIDO",IF(COUNTIF(Hoja_Trabajo!$A$6:$A$505,$I114)&lt;&gt;1,"ID INEXISTENTE O DUPLICADO EN HOJA_TRABAJO",IF(IFERROR(INDEX(Hoja_Trabajo!$Q$6:$Q$505,MATCH($I114,Hoja_Trabajo!$A$6:$A$505,0)),"")&lt;&gt;"REQUIERE ASIGNACIÓN MANUAL (VARIAS CASILLAS)","FUENTE NO REQUIERE ASIGNACIÓN MANUAL",IF(NOT(IFERROR(ISNUMBER(SEARCH("R"&amp;$C114,INDEX(Hoja_Trabajo!$G$6:$G$505,MATCH($I114,Hoja_Trabajo!$A$6:$A$505,0)))),FALSE)),"CASILLA NO SUGERIDA PARA LA FUENTE",IF(SUMIF($I$87:I113,$I114,$F$87:F113)+$D114&gt;IFERROR(INDEX(Hoja_Trabajo!$X$6:$X$505,MATCH($I114,Hoja_Trabajo!$A$6:$A$505,0)),0),"EXCEDE VALOR ORIGINAL DE LA FUENTE","DILIGENCIADO")))))))</f>
        <v/>
      </c>
      <c r="I114" s="256" t="n"/>
      <c r="J114" s="256" t="n"/>
    </row>
    <row r="115" ht="14.25" customHeight="1" s="235">
      <c r="A115" t="inlineStr">
        <is>
          <t>Asignación múltiple</t>
        </is>
      </c>
      <c r="C115" s="256" t="n"/>
      <c r="D115" s="470" t="n"/>
      <c r="E115" s="256" t="n"/>
      <c r="F115">
        <f>IF(OR($D115="",$I115="",$J115="",$C115=""),0,IF($D115&lt;0,0,IF(COUNTIF(Hoja_Trabajo!$A$6:$A$505,$I115)&lt;&gt;1,0,IF(IFERROR(INDEX(Hoja_Trabajo!$Q$6:$Q$505,MATCH($I115,Hoja_Trabajo!$A$6:$A$505,0)),"")&lt;&gt;"REQUIERE ASIGNACIÓN MANUAL (VARIAS CASILLAS)",0,IF(NOT(IFERROR(ISNUMBER(SEARCH("R"&amp;$C115,INDEX(Hoja_Trabajo!$G$6:$G$505,MATCH($I115,Hoja_Trabajo!$A$6:$A$505,0)))),FALSE)),0,IF(SUMIF($I$87:I114,$I115,$F$87:F114)+$D115&gt;IFERROR(INDEX(Hoja_Trabajo!$X$6:$X$505,MATCH($I115,Hoja_Trabajo!$A$6:$A$505,0)),0),0,$D115))))))</f>
        <v/>
      </c>
      <c r="G115">
        <f>IF(C115="","",C115)</f>
        <v/>
      </c>
      <c r="H115">
        <f>IF($D115="","SIN DATOS",IF(OR($I115="",$J115="",$C115=""),"INCOMPLETO — falta ID, casilla o justificación",IF($D115&lt;0,"VALOR NEGATIVO NO PERMITIDO",IF(COUNTIF(Hoja_Trabajo!$A$6:$A$505,$I115)&lt;&gt;1,"ID INEXISTENTE O DUPLICADO EN HOJA_TRABAJO",IF(IFERROR(INDEX(Hoja_Trabajo!$Q$6:$Q$505,MATCH($I115,Hoja_Trabajo!$A$6:$A$505,0)),"")&lt;&gt;"REQUIERE ASIGNACIÓN MANUAL (VARIAS CASILLAS)","FUENTE NO REQUIERE ASIGNACIÓN MANUAL",IF(NOT(IFERROR(ISNUMBER(SEARCH("R"&amp;$C115,INDEX(Hoja_Trabajo!$G$6:$G$505,MATCH($I115,Hoja_Trabajo!$A$6:$A$505,0)))),FALSE)),"CASILLA NO SUGERIDA PARA LA FUENTE",IF(SUMIF($I$87:I114,$I115,$F$87:F114)+$D115&gt;IFERROR(INDEX(Hoja_Trabajo!$X$6:$X$505,MATCH($I115,Hoja_Trabajo!$A$6:$A$505,0)),0),"EXCEDE VALOR ORIGINAL DE LA FUENTE","DILIGENCIADO")))))))</f>
        <v/>
      </c>
      <c r="I115" s="256" t="n"/>
      <c r="J115" s="256" t="n"/>
    </row>
    <row r="116" ht="14.25" customHeight="1" s="235">
      <c r="A116" t="inlineStr">
        <is>
          <t>Asignación múltiple</t>
        </is>
      </c>
      <c r="C116" s="256" t="n"/>
      <c r="D116" s="470" t="n"/>
      <c r="E116" s="256" t="n"/>
      <c r="F116">
        <f>IF(OR($D116="",$I116="",$J116="",$C116=""),0,IF($D116&lt;0,0,IF(COUNTIF(Hoja_Trabajo!$A$6:$A$505,$I116)&lt;&gt;1,0,IF(IFERROR(INDEX(Hoja_Trabajo!$Q$6:$Q$505,MATCH($I116,Hoja_Trabajo!$A$6:$A$505,0)),"")&lt;&gt;"REQUIERE ASIGNACIÓN MANUAL (VARIAS CASILLAS)",0,IF(NOT(IFERROR(ISNUMBER(SEARCH("R"&amp;$C116,INDEX(Hoja_Trabajo!$G$6:$G$505,MATCH($I116,Hoja_Trabajo!$A$6:$A$505,0)))),FALSE)),0,IF(SUMIF($I$87:I115,$I116,$F$87:F115)+$D116&gt;IFERROR(INDEX(Hoja_Trabajo!$X$6:$X$505,MATCH($I116,Hoja_Trabajo!$A$6:$A$505,0)),0),0,$D116))))))</f>
        <v/>
      </c>
      <c r="G116">
        <f>IF(C116="","",C116)</f>
        <v/>
      </c>
      <c r="H116">
        <f>IF($D116="","SIN DATOS",IF(OR($I116="",$J116="",$C116=""),"INCOMPLETO — falta ID, casilla o justificación",IF($D116&lt;0,"VALOR NEGATIVO NO PERMITIDO",IF(COUNTIF(Hoja_Trabajo!$A$6:$A$505,$I116)&lt;&gt;1,"ID INEXISTENTE O DUPLICADO EN HOJA_TRABAJO",IF(IFERROR(INDEX(Hoja_Trabajo!$Q$6:$Q$505,MATCH($I116,Hoja_Trabajo!$A$6:$A$505,0)),"")&lt;&gt;"REQUIERE ASIGNACIÓN MANUAL (VARIAS CASILLAS)","FUENTE NO REQUIERE ASIGNACIÓN MANUAL",IF(NOT(IFERROR(ISNUMBER(SEARCH("R"&amp;$C116,INDEX(Hoja_Trabajo!$G$6:$G$505,MATCH($I116,Hoja_Trabajo!$A$6:$A$505,0)))),FALSE)),"CASILLA NO SUGERIDA PARA LA FUENTE",IF(SUMIF($I$87:I115,$I116,$F$87:F115)+$D116&gt;IFERROR(INDEX(Hoja_Trabajo!$X$6:$X$505,MATCH($I116,Hoja_Trabajo!$A$6:$A$505,0)),0),"EXCEDE VALOR ORIGINAL DE LA FUENTE","DILIGENCIADO")))))))</f>
        <v/>
      </c>
      <c r="I116" s="256" t="n"/>
      <c r="J116" s="256" t="n"/>
    </row>
    <row r="117" ht="14.25" customHeight="1" s="235">
      <c r="A117" t="inlineStr">
        <is>
          <t>Asignación múltiple</t>
        </is>
      </c>
      <c r="C117" s="256" t="n"/>
      <c r="D117" s="470" t="n"/>
      <c r="E117" s="256" t="n"/>
      <c r="F117">
        <f>IF(OR($D117="",$I117="",$J117="",$C117=""),0,IF($D117&lt;0,0,IF(COUNTIF(Hoja_Trabajo!$A$6:$A$505,$I117)&lt;&gt;1,0,IF(IFERROR(INDEX(Hoja_Trabajo!$Q$6:$Q$505,MATCH($I117,Hoja_Trabajo!$A$6:$A$505,0)),"")&lt;&gt;"REQUIERE ASIGNACIÓN MANUAL (VARIAS CASILLAS)",0,IF(NOT(IFERROR(ISNUMBER(SEARCH("R"&amp;$C117,INDEX(Hoja_Trabajo!$G$6:$G$505,MATCH($I117,Hoja_Trabajo!$A$6:$A$505,0)))),FALSE)),0,IF(SUMIF($I$87:I116,$I117,$F$87:F116)+$D117&gt;IFERROR(INDEX(Hoja_Trabajo!$X$6:$X$505,MATCH($I117,Hoja_Trabajo!$A$6:$A$505,0)),0),0,$D117))))))</f>
        <v/>
      </c>
      <c r="G117">
        <f>IF(C117="","",C117)</f>
        <v/>
      </c>
      <c r="H117">
        <f>IF($D117="","SIN DATOS",IF(OR($I117="",$J117="",$C117=""),"INCOMPLETO — falta ID, casilla o justificación",IF($D117&lt;0,"VALOR NEGATIVO NO PERMITIDO",IF(COUNTIF(Hoja_Trabajo!$A$6:$A$505,$I117)&lt;&gt;1,"ID INEXISTENTE O DUPLICADO EN HOJA_TRABAJO",IF(IFERROR(INDEX(Hoja_Trabajo!$Q$6:$Q$505,MATCH($I117,Hoja_Trabajo!$A$6:$A$505,0)),"")&lt;&gt;"REQUIERE ASIGNACIÓN MANUAL (VARIAS CASILLAS)","FUENTE NO REQUIERE ASIGNACIÓN MANUAL",IF(NOT(IFERROR(ISNUMBER(SEARCH("R"&amp;$C117,INDEX(Hoja_Trabajo!$G$6:$G$505,MATCH($I117,Hoja_Trabajo!$A$6:$A$505,0)))),FALSE)),"CASILLA NO SUGERIDA PARA LA FUENTE",IF(SUMIF($I$87:I116,$I117,$F$87:F116)+$D117&gt;IFERROR(INDEX(Hoja_Trabajo!$X$6:$X$505,MATCH($I117,Hoja_Trabajo!$A$6:$A$505,0)),0),"EXCEDE VALOR ORIGINAL DE LA FUENTE","DILIGENCIADO")))))))</f>
        <v/>
      </c>
      <c r="I117" s="256" t="n"/>
      <c r="J117" s="256" t="n"/>
    </row>
    <row r="118" ht="14.25" customHeight="1" s="235">
      <c r="A118" t="inlineStr">
        <is>
          <t>Asignación múltiple</t>
        </is>
      </c>
      <c r="C118" s="256" t="n"/>
      <c r="D118" s="470" t="n"/>
      <c r="E118" s="256" t="n"/>
      <c r="F118">
        <f>IF(OR($D118="",$I118="",$J118="",$C118=""),0,IF($D118&lt;0,0,IF(COUNTIF(Hoja_Trabajo!$A$6:$A$505,$I118)&lt;&gt;1,0,IF(IFERROR(INDEX(Hoja_Trabajo!$Q$6:$Q$505,MATCH($I118,Hoja_Trabajo!$A$6:$A$505,0)),"")&lt;&gt;"REQUIERE ASIGNACIÓN MANUAL (VARIAS CASILLAS)",0,IF(NOT(IFERROR(ISNUMBER(SEARCH("R"&amp;$C118,INDEX(Hoja_Trabajo!$G$6:$G$505,MATCH($I118,Hoja_Trabajo!$A$6:$A$505,0)))),FALSE)),0,IF(SUMIF($I$87:I117,$I118,$F$87:F117)+$D118&gt;IFERROR(INDEX(Hoja_Trabajo!$X$6:$X$505,MATCH($I118,Hoja_Trabajo!$A$6:$A$505,0)),0),0,$D118))))))</f>
        <v/>
      </c>
      <c r="G118">
        <f>IF(C118="","",C118)</f>
        <v/>
      </c>
      <c r="H118">
        <f>IF($D118="","SIN DATOS",IF(OR($I118="",$J118="",$C118=""),"INCOMPLETO — falta ID, casilla o justificación",IF($D118&lt;0,"VALOR NEGATIVO NO PERMITIDO",IF(COUNTIF(Hoja_Trabajo!$A$6:$A$505,$I118)&lt;&gt;1,"ID INEXISTENTE O DUPLICADO EN HOJA_TRABAJO",IF(IFERROR(INDEX(Hoja_Trabajo!$Q$6:$Q$505,MATCH($I118,Hoja_Trabajo!$A$6:$A$505,0)),"")&lt;&gt;"REQUIERE ASIGNACIÓN MANUAL (VARIAS CASILLAS)","FUENTE NO REQUIERE ASIGNACIÓN MANUAL",IF(NOT(IFERROR(ISNUMBER(SEARCH("R"&amp;$C118,INDEX(Hoja_Trabajo!$G$6:$G$505,MATCH($I118,Hoja_Trabajo!$A$6:$A$505,0)))),FALSE)),"CASILLA NO SUGERIDA PARA LA FUENTE",IF(SUMIF($I$87:I117,$I118,$F$87:F117)+$D118&gt;IFERROR(INDEX(Hoja_Trabajo!$X$6:$X$505,MATCH($I118,Hoja_Trabajo!$A$6:$A$505,0)),0),"EXCEDE VALOR ORIGINAL DE LA FUENTE","DILIGENCIADO")))))))</f>
        <v/>
      </c>
      <c r="I118" s="256" t="n"/>
      <c r="J118" s="256" t="n"/>
    </row>
    <row r="119" ht="14.25" customHeight="1" s="235">
      <c r="A119" t="inlineStr">
        <is>
          <t>Asignación múltiple</t>
        </is>
      </c>
      <c r="C119" s="256" t="n"/>
      <c r="D119" s="470" t="n"/>
      <c r="E119" s="256" t="n"/>
      <c r="F119">
        <f>IF(OR($D119="",$I119="",$J119="",$C119=""),0,IF($D119&lt;0,0,IF(COUNTIF(Hoja_Trabajo!$A$6:$A$505,$I119)&lt;&gt;1,0,IF(IFERROR(INDEX(Hoja_Trabajo!$Q$6:$Q$505,MATCH($I119,Hoja_Trabajo!$A$6:$A$505,0)),"")&lt;&gt;"REQUIERE ASIGNACIÓN MANUAL (VARIAS CASILLAS)",0,IF(NOT(IFERROR(ISNUMBER(SEARCH("R"&amp;$C119,INDEX(Hoja_Trabajo!$G$6:$G$505,MATCH($I119,Hoja_Trabajo!$A$6:$A$505,0)))),FALSE)),0,IF(SUMIF($I$87:I118,$I119,$F$87:F118)+$D119&gt;IFERROR(INDEX(Hoja_Trabajo!$X$6:$X$505,MATCH($I119,Hoja_Trabajo!$A$6:$A$505,0)),0),0,$D119))))))</f>
        <v/>
      </c>
      <c r="G119">
        <f>IF(C119="","",C119)</f>
        <v/>
      </c>
      <c r="H119">
        <f>IF($D119="","SIN DATOS",IF(OR($I119="",$J119="",$C119=""),"INCOMPLETO — falta ID, casilla o justificación",IF($D119&lt;0,"VALOR NEGATIVO NO PERMITIDO",IF(COUNTIF(Hoja_Trabajo!$A$6:$A$505,$I119)&lt;&gt;1,"ID INEXISTENTE O DUPLICADO EN HOJA_TRABAJO",IF(IFERROR(INDEX(Hoja_Trabajo!$Q$6:$Q$505,MATCH($I119,Hoja_Trabajo!$A$6:$A$505,0)),"")&lt;&gt;"REQUIERE ASIGNACIÓN MANUAL (VARIAS CASILLAS)","FUENTE NO REQUIERE ASIGNACIÓN MANUAL",IF(NOT(IFERROR(ISNUMBER(SEARCH("R"&amp;$C119,INDEX(Hoja_Trabajo!$G$6:$G$505,MATCH($I119,Hoja_Trabajo!$A$6:$A$505,0)))),FALSE)),"CASILLA NO SUGERIDA PARA LA FUENTE",IF(SUMIF($I$87:I118,$I119,$F$87:F118)+$D119&gt;IFERROR(INDEX(Hoja_Trabajo!$X$6:$X$505,MATCH($I119,Hoja_Trabajo!$A$6:$A$505,0)),0),"EXCEDE VALOR ORIGINAL DE LA FUENTE","DILIGENCIADO")))))))</f>
        <v/>
      </c>
      <c r="I119" s="256" t="n"/>
      <c r="J119" s="256" t="n"/>
    </row>
    <row r="120" ht="14.25" customHeight="1" s="235">
      <c r="A120" t="inlineStr">
        <is>
          <t>Asignación múltiple</t>
        </is>
      </c>
      <c r="C120" s="256" t="n"/>
      <c r="D120" s="470" t="n"/>
      <c r="E120" s="256" t="n"/>
      <c r="F120">
        <f>IF(OR($D120="",$I120="",$J120="",$C120=""),0,IF($D120&lt;0,0,IF(COUNTIF(Hoja_Trabajo!$A$6:$A$505,$I120)&lt;&gt;1,0,IF(IFERROR(INDEX(Hoja_Trabajo!$Q$6:$Q$505,MATCH($I120,Hoja_Trabajo!$A$6:$A$505,0)),"")&lt;&gt;"REQUIERE ASIGNACIÓN MANUAL (VARIAS CASILLAS)",0,IF(NOT(IFERROR(ISNUMBER(SEARCH("R"&amp;$C120,INDEX(Hoja_Trabajo!$G$6:$G$505,MATCH($I120,Hoja_Trabajo!$A$6:$A$505,0)))),FALSE)),0,IF(SUMIF($I$87:I119,$I120,$F$87:F119)+$D120&gt;IFERROR(INDEX(Hoja_Trabajo!$X$6:$X$505,MATCH($I120,Hoja_Trabajo!$A$6:$A$505,0)),0),0,$D120))))))</f>
        <v/>
      </c>
      <c r="G120">
        <f>IF(C120="","",C120)</f>
        <v/>
      </c>
      <c r="H120">
        <f>IF($D120="","SIN DATOS",IF(OR($I120="",$J120="",$C120=""),"INCOMPLETO — falta ID, casilla o justificación",IF($D120&lt;0,"VALOR NEGATIVO NO PERMITIDO",IF(COUNTIF(Hoja_Trabajo!$A$6:$A$505,$I120)&lt;&gt;1,"ID INEXISTENTE O DUPLICADO EN HOJA_TRABAJO",IF(IFERROR(INDEX(Hoja_Trabajo!$Q$6:$Q$505,MATCH($I120,Hoja_Trabajo!$A$6:$A$505,0)),"")&lt;&gt;"REQUIERE ASIGNACIÓN MANUAL (VARIAS CASILLAS)","FUENTE NO REQUIERE ASIGNACIÓN MANUAL",IF(NOT(IFERROR(ISNUMBER(SEARCH("R"&amp;$C120,INDEX(Hoja_Trabajo!$G$6:$G$505,MATCH($I120,Hoja_Trabajo!$A$6:$A$505,0)))),FALSE)),"CASILLA NO SUGERIDA PARA LA FUENTE",IF(SUMIF($I$87:I119,$I120,$F$87:F119)+$D120&gt;IFERROR(INDEX(Hoja_Trabajo!$X$6:$X$505,MATCH($I120,Hoja_Trabajo!$A$6:$A$505,0)),0),"EXCEDE VALOR ORIGINAL DE LA FUENTE","DILIGENCIADO")))))))</f>
        <v/>
      </c>
      <c r="I120" s="256" t="n"/>
      <c r="J120" s="256" t="n"/>
    </row>
    <row r="121" ht="14.25" customHeight="1" s="235">
      <c r="A121" t="inlineStr">
        <is>
          <t>Asignación múltiple</t>
        </is>
      </c>
      <c r="C121" s="256" t="n"/>
      <c r="D121" s="470" t="n"/>
      <c r="E121" s="256" t="n"/>
      <c r="F121">
        <f>IF(OR($D121="",$I121="",$J121="",$C121=""),0,IF($D121&lt;0,0,IF(COUNTIF(Hoja_Trabajo!$A$6:$A$505,$I121)&lt;&gt;1,0,IF(IFERROR(INDEX(Hoja_Trabajo!$Q$6:$Q$505,MATCH($I121,Hoja_Trabajo!$A$6:$A$505,0)),"")&lt;&gt;"REQUIERE ASIGNACIÓN MANUAL (VARIAS CASILLAS)",0,IF(NOT(IFERROR(ISNUMBER(SEARCH("R"&amp;$C121,INDEX(Hoja_Trabajo!$G$6:$G$505,MATCH($I121,Hoja_Trabajo!$A$6:$A$505,0)))),FALSE)),0,IF(SUMIF($I$87:I120,$I121,$F$87:F120)+$D121&gt;IFERROR(INDEX(Hoja_Trabajo!$X$6:$X$505,MATCH($I121,Hoja_Trabajo!$A$6:$A$505,0)),0),0,$D121))))))</f>
        <v/>
      </c>
      <c r="G121">
        <f>IF(C121="","",C121)</f>
        <v/>
      </c>
      <c r="H121">
        <f>IF($D121="","SIN DATOS",IF(OR($I121="",$J121="",$C121=""),"INCOMPLETO — falta ID, casilla o justificación",IF($D121&lt;0,"VALOR NEGATIVO NO PERMITIDO",IF(COUNTIF(Hoja_Trabajo!$A$6:$A$505,$I121)&lt;&gt;1,"ID INEXISTENTE O DUPLICADO EN HOJA_TRABAJO",IF(IFERROR(INDEX(Hoja_Trabajo!$Q$6:$Q$505,MATCH($I121,Hoja_Trabajo!$A$6:$A$505,0)),"")&lt;&gt;"REQUIERE ASIGNACIÓN MANUAL (VARIAS CASILLAS)","FUENTE NO REQUIERE ASIGNACIÓN MANUAL",IF(NOT(IFERROR(ISNUMBER(SEARCH("R"&amp;$C121,INDEX(Hoja_Trabajo!$G$6:$G$505,MATCH($I121,Hoja_Trabajo!$A$6:$A$505,0)))),FALSE)),"CASILLA NO SUGERIDA PARA LA FUENTE",IF(SUMIF($I$87:I120,$I121,$F$87:F120)+$D121&gt;IFERROR(INDEX(Hoja_Trabajo!$X$6:$X$505,MATCH($I121,Hoja_Trabajo!$A$6:$A$505,0)),0),"EXCEDE VALOR ORIGINAL DE LA FUENTE","DILIGENCIADO")))))))</f>
        <v/>
      </c>
      <c r="I121" s="256" t="n"/>
      <c r="J121" s="256" t="n"/>
    </row>
    <row r="122" ht="14.25" customHeight="1" s="235">
      <c r="A122" t="inlineStr">
        <is>
          <t>Asignación múltiple</t>
        </is>
      </c>
      <c r="C122" s="256" t="n"/>
      <c r="D122" s="470" t="n"/>
      <c r="E122" s="256" t="n"/>
      <c r="F122">
        <f>IF(OR($D122="",$I122="",$J122="",$C122=""),0,IF($D122&lt;0,0,IF(COUNTIF(Hoja_Trabajo!$A$6:$A$505,$I122)&lt;&gt;1,0,IF(IFERROR(INDEX(Hoja_Trabajo!$Q$6:$Q$505,MATCH($I122,Hoja_Trabajo!$A$6:$A$505,0)),"")&lt;&gt;"REQUIERE ASIGNACIÓN MANUAL (VARIAS CASILLAS)",0,IF(NOT(IFERROR(ISNUMBER(SEARCH("R"&amp;$C122,INDEX(Hoja_Trabajo!$G$6:$G$505,MATCH($I122,Hoja_Trabajo!$A$6:$A$505,0)))),FALSE)),0,IF(SUMIF($I$87:I121,$I122,$F$87:F121)+$D122&gt;IFERROR(INDEX(Hoja_Trabajo!$X$6:$X$505,MATCH($I122,Hoja_Trabajo!$A$6:$A$505,0)),0),0,$D122))))))</f>
        <v/>
      </c>
      <c r="G122">
        <f>IF(C122="","",C122)</f>
        <v/>
      </c>
      <c r="H122">
        <f>IF($D122="","SIN DATOS",IF(OR($I122="",$J122="",$C122=""),"INCOMPLETO — falta ID, casilla o justificación",IF($D122&lt;0,"VALOR NEGATIVO NO PERMITIDO",IF(COUNTIF(Hoja_Trabajo!$A$6:$A$505,$I122)&lt;&gt;1,"ID INEXISTENTE O DUPLICADO EN HOJA_TRABAJO",IF(IFERROR(INDEX(Hoja_Trabajo!$Q$6:$Q$505,MATCH($I122,Hoja_Trabajo!$A$6:$A$505,0)),"")&lt;&gt;"REQUIERE ASIGNACIÓN MANUAL (VARIAS CASILLAS)","FUENTE NO REQUIERE ASIGNACIÓN MANUAL",IF(NOT(IFERROR(ISNUMBER(SEARCH("R"&amp;$C122,INDEX(Hoja_Trabajo!$G$6:$G$505,MATCH($I122,Hoja_Trabajo!$A$6:$A$505,0)))),FALSE)),"CASILLA NO SUGERIDA PARA LA FUENTE",IF(SUMIF($I$87:I121,$I122,$F$87:F121)+$D122&gt;IFERROR(INDEX(Hoja_Trabajo!$X$6:$X$505,MATCH($I122,Hoja_Trabajo!$A$6:$A$505,0)),0),"EXCEDE VALOR ORIGINAL DE LA FUENTE","DILIGENCIADO")))))))</f>
        <v/>
      </c>
      <c r="I122" s="256" t="n"/>
      <c r="J122" s="256" t="n"/>
    </row>
    <row r="123" ht="14.25" customHeight="1" s="235">
      <c r="A123" t="inlineStr">
        <is>
          <t>Asignación múltiple</t>
        </is>
      </c>
      <c r="C123" s="256" t="n"/>
      <c r="D123" s="470" t="n"/>
      <c r="E123" s="256" t="n"/>
      <c r="F123">
        <f>IF(OR($D123="",$I123="",$J123="",$C123=""),0,IF($D123&lt;0,0,IF(COUNTIF(Hoja_Trabajo!$A$6:$A$505,$I123)&lt;&gt;1,0,IF(IFERROR(INDEX(Hoja_Trabajo!$Q$6:$Q$505,MATCH($I123,Hoja_Trabajo!$A$6:$A$505,0)),"")&lt;&gt;"REQUIERE ASIGNACIÓN MANUAL (VARIAS CASILLAS)",0,IF(NOT(IFERROR(ISNUMBER(SEARCH("R"&amp;$C123,INDEX(Hoja_Trabajo!$G$6:$G$505,MATCH($I123,Hoja_Trabajo!$A$6:$A$505,0)))),FALSE)),0,IF(SUMIF($I$87:I122,$I123,$F$87:F122)+$D123&gt;IFERROR(INDEX(Hoja_Trabajo!$X$6:$X$505,MATCH($I123,Hoja_Trabajo!$A$6:$A$505,0)),0),0,$D123))))))</f>
        <v/>
      </c>
      <c r="G123">
        <f>IF(C123="","",C123)</f>
        <v/>
      </c>
      <c r="H123">
        <f>IF($D123="","SIN DATOS",IF(OR($I123="",$J123="",$C123=""),"INCOMPLETO — falta ID, casilla o justificación",IF($D123&lt;0,"VALOR NEGATIVO NO PERMITIDO",IF(COUNTIF(Hoja_Trabajo!$A$6:$A$505,$I123)&lt;&gt;1,"ID INEXISTENTE O DUPLICADO EN HOJA_TRABAJO",IF(IFERROR(INDEX(Hoja_Trabajo!$Q$6:$Q$505,MATCH($I123,Hoja_Trabajo!$A$6:$A$505,0)),"")&lt;&gt;"REQUIERE ASIGNACIÓN MANUAL (VARIAS CASILLAS)","FUENTE NO REQUIERE ASIGNACIÓN MANUAL",IF(NOT(IFERROR(ISNUMBER(SEARCH("R"&amp;$C123,INDEX(Hoja_Trabajo!$G$6:$G$505,MATCH($I123,Hoja_Trabajo!$A$6:$A$505,0)))),FALSE)),"CASILLA NO SUGERIDA PARA LA FUENTE",IF(SUMIF($I$87:I122,$I123,$F$87:F122)+$D123&gt;IFERROR(INDEX(Hoja_Trabajo!$X$6:$X$505,MATCH($I123,Hoja_Trabajo!$A$6:$A$505,0)),0),"EXCEDE VALOR ORIGINAL DE LA FUENTE","DILIGENCIADO")))))))</f>
        <v/>
      </c>
      <c r="I123" s="256" t="n"/>
      <c r="J123" s="256" t="n"/>
    </row>
    <row r="124" ht="14.25" customHeight="1" s="235">
      <c r="A124" t="inlineStr">
        <is>
          <t>Asignación múltiple</t>
        </is>
      </c>
      <c r="C124" s="256" t="n"/>
      <c r="D124" s="470" t="n"/>
      <c r="E124" s="256" t="n"/>
      <c r="F124">
        <f>IF(OR($D124="",$I124="",$J124="",$C124=""),0,IF($D124&lt;0,0,IF(COUNTIF(Hoja_Trabajo!$A$6:$A$505,$I124)&lt;&gt;1,0,IF(IFERROR(INDEX(Hoja_Trabajo!$Q$6:$Q$505,MATCH($I124,Hoja_Trabajo!$A$6:$A$505,0)),"")&lt;&gt;"REQUIERE ASIGNACIÓN MANUAL (VARIAS CASILLAS)",0,IF(NOT(IFERROR(ISNUMBER(SEARCH("R"&amp;$C124,INDEX(Hoja_Trabajo!$G$6:$G$505,MATCH($I124,Hoja_Trabajo!$A$6:$A$505,0)))),FALSE)),0,IF(SUMIF($I$87:I123,$I124,$F$87:F123)+$D124&gt;IFERROR(INDEX(Hoja_Trabajo!$X$6:$X$505,MATCH($I124,Hoja_Trabajo!$A$6:$A$505,0)),0),0,$D124))))))</f>
        <v/>
      </c>
      <c r="G124">
        <f>IF(C124="","",C124)</f>
        <v/>
      </c>
      <c r="H124">
        <f>IF($D124="","SIN DATOS",IF(OR($I124="",$J124="",$C124=""),"INCOMPLETO — falta ID, casilla o justificación",IF($D124&lt;0,"VALOR NEGATIVO NO PERMITIDO",IF(COUNTIF(Hoja_Trabajo!$A$6:$A$505,$I124)&lt;&gt;1,"ID INEXISTENTE O DUPLICADO EN HOJA_TRABAJO",IF(IFERROR(INDEX(Hoja_Trabajo!$Q$6:$Q$505,MATCH($I124,Hoja_Trabajo!$A$6:$A$505,0)),"")&lt;&gt;"REQUIERE ASIGNACIÓN MANUAL (VARIAS CASILLAS)","FUENTE NO REQUIERE ASIGNACIÓN MANUAL",IF(NOT(IFERROR(ISNUMBER(SEARCH("R"&amp;$C124,INDEX(Hoja_Trabajo!$G$6:$G$505,MATCH($I124,Hoja_Trabajo!$A$6:$A$505,0)))),FALSE)),"CASILLA NO SUGERIDA PARA LA FUENTE",IF(SUMIF($I$87:I123,$I124,$F$87:F123)+$D124&gt;IFERROR(INDEX(Hoja_Trabajo!$X$6:$X$505,MATCH($I124,Hoja_Trabajo!$A$6:$A$505,0)),0),"EXCEDE VALOR ORIGINAL DE LA FUENTE","DILIGENCIADO")))))))</f>
        <v/>
      </c>
      <c r="I124" s="256" t="n"/>
      <c r="J124" s="256" t="n"/>
    </row>
    <row r="125" ht="14.25" customHeight="1" s="235">
      <c r="A125" t="inlineStr">
        <is>
          <t>Asignación múltiple</t>
        </is>
      </c>
      <c r="C125" s="256" t="n"/>
      <c r="D125" s="470" t="n"/>
      <c r="E125" s="256" t="n"/>
      <c r="F125">
        <f>IF(OR($D125="",$I125="",$J125="",$C125=""),0,IF($D125&lt;0,0,IF(COUNTIF(Hoja_Trabajo!$A$6:$A$505,$I125)&lt;&gt;1,0,IF(IFERROR(INDEX(Hoja_Trabajo!$Q$6:$Q$505,MATCH($I125,Hoja_Trabajo!$A$6:$A$505,0)),"")&lt;&gt;"REQUIERE ASIGNACIÓN MANUAL (VARIAS CASILLAS)",0,IF(NOT(IFERROR(ISNUMBER(SEARCH("R"&amp;$C125,INDEX(Hoja_Trabajo!$G$6:$G$505,MATCH($I125,Hoja_Trabajo!$A$6:$A$505,0)))),FALSE)),0,IF(SUMIF($I$87:I124,$I125,$F$87:F124)+$D125&gt;IFERROR(INDEX(Hoja_Trabajo!$X$6:$X$505,MATCH($I125,Hoja_Trabajo!$A$6:$A$505,0)),0),0,$D125))))))</f>
        <v/>
      </c>
      <c r="G125">
        <f>IF(C125="","",C125)</f>
        <v/>
      </c>
      <c r="H125">
        <f>IF($D125="","SIN DATOS",IF(OR($I125="",$J125="",$C125=""),"INCOMPLETO — falta ID, casilla o justificación",IF($D125&lt;0,"VALOR NEGATIVO NO PERMITIDO",IF(COUNTIF(Hoja_Trabajo!$A$6:$A$505,$I125)&lt;&gt;1,"ID INEXISTENTE O DUPLICADO EN HOJA_TRABAJO",IF(IFERROR(INDEX(Hoja_Trabajo!$Q$6:$Q$505,MATCH($I125,Hoja_Trabajo!$A$6:$A$505,0)),"")&lt;&gt;"REQUIERE ASIGNACIÓN MANUAL (VARIAS CASILLAS)","FUENTE NO REQUIERE ASIGNACIÓN MANUAL",IF(NOT(IFERROR(ISNUMBER(SEARCH("R"&amp;$C125,INDEX(Hoja_Trabajo!$G$6:$G$505,MATCH($I125,Hoja_Trabajo!$A$6:$A$505,0)))),FALSE)),"CASILLA NO SUGERIDA PARA LA FUENTE",IF(SUMIF($I$87:I124,$I125,$F$87:F124)+$D125&gt;IFERROR(INDEX(Hoja_Trabajo!$X$6:$X$505,MATCH($I125,Hoja_Trabajo!$A$6:$A$505,0)),0),"EXCEDE VALOR ORIGINAL DE LA FUENTE","DILIGENCIADO")))))))</f>
        <v/>
      </c>
      <c r="I125" s="256" t="n"/>
      <c r="J125" s="256" t="n"/>
    </row>
    <row r="126" ht="14.25" customHeight="1" s="235">
      <c r="A126" t="inlineStr">
        <is>
          <t>Asignación múltiple</t>
        </is>
      </c>
      <c r="C126" s="256" t="n"/>
      <c r="D126" s="470" t="n"/>
      <c r="E126" s="256" t="n"/>
      <c r="F126">
        <f>IF(OR($D126="",$I126="",$J126="",$C126=""),0,IF($D126&lt;0,0,IF(COUNTIF(Hoja_Trabajo!$A$6:$A$505,$I126)&lt;&gt;1,0,IF(IFERROR(INDEX(Hoja_Trabajo!$Q$6:$Q$505,MATCH($I126,Hoja_Trabajo!$A$6:$A$505,0)),"")&lt;&gt;"REQUIERE ASIGNACIÓN MANUAL (VARIAS CASILLAS)",0,IF(NOT(IFERROR(ISNUMBER(SEARCH("R"&amp;$C126,INDEX(Hoja_Trabajo!$G$6:$G$505,MATCH($I126,Hoja_Trabajo!$A$6:$A$505,0)))),FALSE)),0,IF(SUMIF($I$87:I125,$I126,$F$87:F125)+$D126&gt;IFERROR(INDEX(Hoja_Trabajo!$X$6:$X$505,MATCH($I126,Hoja_Trabajo!$A$6:$A$505,0)),0),0,$D126))))))</f>
        <v/>
      </c>
      <c r="G126">
        <f>IF(C126="","",C126)</f>
        <v/>
      </c>
      <c r="H126">
        <f>IF($D126="","SIN DATOS",IF(OR($I126="",$J126="",$C126=""),"INCOMPLETO — falta ID, casilla o justificación",IF($D126&lt;0,"VALOR NEGATIVO NO PERMITIDO",IF(COUNTIF(Hoja_Trabajo!$A$6:$A$505,$I126)&lt;&gt;1,"ID INEXISTENTE O DUPLICADO EN HOJA_TRABAJO",IF(IFERROR(INDEX(Hoja_Trabajo!$Q$6:$Q$505,MATCH($I126,Hoja_Trabajo!$A$6:$A$505,0)),"")&lt;&gt;"REQUIERE ASIGNACIÓN MANUAL (VARIAS CASILLAS)","FUENTE NO REQUIERE ASIGNACIÓN MANUAL",IF(NOT(IFERROR(ISNUMBER(SEARCH("R"&amp;$C126,INDEX(Hoja_Trabajo!$G$6:$G$505,MATCH($I126,Hoja_Trabajo!$A$6:$A$505,0)))),FALSE)),"CASILLA NO SUGERIDA PARA LA FUENTE",IF(SUMIF($I$87:I125,$I126,$F$87:F125)+$D126&gt;IFERROR(INDEX(Hoja_Trabajo!$X$6:$X$505,MATCH($I126,Hoja_Trabajo!$A$6:$A$505,0)),0),"EXCEDE VALOR ORIGINAL DE LA FUENTE","DILIGENCIADO")))))))</f>
        <v/>
      </c>
      <c r="I126" s="256" t="n"/>
      <c r="J126" s="256" t="n"/>
    </row>
    <row r="127" ht="14.25" customHeight="1" s="235">
      <c r="A127" t="inlineStr">
        <is>
          <t>Asignación múltiple</t>
        </is>
      </c>
      <c r="C127" s="256" t="n"/>
      <c r="D127" s="470" t="n"/>
      <c r="E127" s="256" t="n"/>
      <c r="F127">
        <f>IF(OR($D127="",$I127="",$J127="",$C127=""),0,IF($D127&lt;0,0,IF(COUNTIF(Hoja_Trabajo!$A$6:$A$505,$I127)&lt;&gt;1,0,IF(IFERROR(INDEX(Hoja_Trabajo!$Q$6:$Q$505,MATCH($I127,Hoja_Trabajo!$A$6:$A$505,0)),"")&lt;&gt;"REQUIERE ASIGNACIÓN MANUAL (VARIAS CASILLAS)",0,IF(NOT(IFERROR(ISNUMBER(SEARCH("R"&amp;$C127,INDEX(Hoja_Trabajo!$G$6:$G$505,MATCH($I127,Hoja_Trabajo!$A$6:$A$505,0)))),FALSE)),0,IF(SUMIF($I$87:I126,$I127,$F$87:F126)+$D127&gt;IFERROR(INDEX(Hoja_Trabajo!$X$6:$X$505,MATCH($I127,Hoja_Trabajo!$A$6:$A$505,0)),0),0,$D127))))))</f>
        <v/>
      </c>
      <c r="G127">
        <f>IF(C127="","",C127)</f>
        <v/>
      </c>
      <c r="H127">
        <f>IF($D127="","SIN DATOS",IF(OR($I127="",$J127="",$C127=""),"INCOMPLETO — falta ID, casilla o justificación",IF($D127&lt;0,"VALOR NEGATIVO NO PERMITIDO",IF(COUNTIF(Hoja_Trabajo!$A$6:$A$505,$I127)&lt;&gt;1,"ID INEXISTENTE O DUPLICADO EN HOJA_TRABAJO",IF(IFERROR(INDEX(Hoja_Trabajo!$Q$6:$Q$505,MATCH($I127,Hoja_Trabajo!$A$6:$A$505,0)),"")&lt;&gt;"REQUIERE ASIGNACIÓN MANUAL (VARIAS CASILLAS)","FUENTE NO REQUIERE ASIGNACIÓN MANUAL",IF(NOT(IFERROR(ISNUMBER(SEARCH("R"&amp;$C127,INDEX(Hoja_Trabajo!$G$6:$G$505,MATCH($I127,Hoja_Trabajo!$A$6:$A$505,0)))),FALSE)),"CASILLA NO SUGERIDA PARA LA FUENTE",IF(SUMIF($I$87:I126,$I127,$F$87:F126)+$D127&gt;IFERROR(INDEX(Hoja_Trabajo!$X$6:$X$505,MATCH($I127,Hoja_Trabajo!$A$6:$A$505,0)),0),"EXCEDE VALOR ORIGINAL DE LA FUENTE","DILIGENCIADO")))))))</f>
        <v/>
      </c>
      <c r="I127" s="256" t="n"/>
      <c r="J127" s="256" t="n"/>
    </row>
    <row r="128" ht="14.25" customHeight="1" s="235">
      <c r="A128" t="inlineStr">
        <is>
          <t>Asignación múltiple</t>
        </is>
      </c>
      <c r="C128" s="256" t="n"/>
      <c r="D128" s="470" t="n"/>
      <c r="E128" s="256" t="n"/>
      <c r="F128">
        <f>IF(OR($D128="",$I128="",$J128="",$C128=""),0,IF($D128&lt;0,0,IF(COUNTIF(Hoja_Trabajo!$A$6:$A$505,$I128)&lt;&gt;1,0,IF(IFERROR(INDEX(Hoja_Trabajo!$Q$6:$Q$505,MATCH($I128,Hoja_Trabajo!$A$6:$A$505,0)),"")&lt;&gt;"REQUIERE ASIGNACIÓN MANUAL (VARIAS CASILLAS)",0,IF(NOT(IFERROR(ISNUMBER(SEARCH("R"&amp;$C128,INDEX(Hoja_Trabajo!$G$6:$G$505,MATCH($I128,Hoja_Trabajo!$A$6:$A$505,0)))),FALSE)),0,IF(SUMIF($I$87:I127,$I128,$F$87:F127)+$D128&gt;IFERROR(INDEX(Hoja_Trabajo!$X$6:$X$505,MATCH($I128,Hoja_Trabajo!$A$6:$A$505,0)),0),0,$D128))))))</f>
        <v/>
      </c>
      <c r="G128">
        <f>IF(C128="","",C128)</f>
        <v/>
      </c>
      <c r="H128">
        <f>IF($D128="","SIN DATOS",IF(OR($I128="",$J128="",$C128=""),"INCOMPLETO — falta ID, casilla o justificación",IF($D128&lt;0,"VALOR NEGATIVO NO PERMITIDO",IF(COUNTIF(Hoja_Trabajo!$A$6:$A$505,$I128)&lt;&gt;1,"ID INEXISTENTE O DUPLICADO EN HOJA_TRABAJO",IF(IFERROR(INDEX(Hoja_Trabajo!$Q$6:$Q$505,MATCH($I128,Hoja_Trabajo!$A$6:$A$505,0)),"")&lt;&gt;"REQUIERE ASIGNACIÓN MANUAL (VARIAS CASILLAS)","FUENTE NO REQUIERE ASIGNACIÓN MANUAL",IF(NOT(IFERROR(ISNUMBER(SEARCH("R"&amp;$C128,INDEX(Hoja_Trabajo!$G$6:$G$505,MATCH($I128,Hoja_Trabajo!$A$6:$A$505,0)))),FALSE)),"CASILLA NO SUGERIDA PARA LA FUENTE",IF(SUMIF($I$87:I127,$I128,$F$87:F127)+$D128&gt;IFERROR(INDEX(Hoja_Trabajo!$X$6:$X$505,MATCH($I128,Hoja_Trabajo!$A$6:$A$505,0)),0),"EXCEDE VALOR ORIGINAL DE LA FUENTE","DILIGENCIADO")))))))</f>
        <v/>
      </c>
      <c r="I128" s="256" t="n"/>
      <c r="J128" s="256" t="n"/>
    </row>
    <row r="129" ht="14.25" customHeight="1" s="235">
      <c r="A129" t="inlineStr">
        <is>
          <t>Asignación múltiple</t>
        </is>
      </c>
      <c r="C129" s="256" t="n"/>
      <c r="D129" s="470" t="n"/>
      <c r="E129" s="256" t="n"/>
      <c r="F129">
        <f>IF(OR($D129="",$I129="",$J129="",$C129=""),0,IF($D129&lt;0,0,IF(COUNTIF(Hoja_Trabajo!$A$6:$A$505,$I129)&lt;&gt;1,0,IF(IFERROR(INDEX(Hoja_Trabajo!$Q$6:$Q$505,MATCH($I129,Hoja_Trabajo!$A$6:$A$505,0)),"")&lt;&gt;"REQUIERE ASIGNACIÓN MANUAL (VARIAS CASILLAS)",0,IF(NOT(IFERROR(ISNUMBER(SEARCH("R"&amp;$C129,INDEX(Hoja_Trabajo!$G$6:$G$505,MATCH($I129,Hoja_Trabajo!$A$6:$A$505,0)))),FALSE)),0,IF(SUMIF($I$87:I128,$I129,$F$87:F128)+$D129&gt;IFERROR(INDEX(Hoja_Trabajo!$X$6:$X$505,MATCH($I129,Hoja_Trabajo!$A$6:$A$505,0)),0),0,$D129))))))</f>
        <v/>
      </c>
      <c r="G129">
        <f>IF(C129="","",C129)</f>
        <v/>
      </c>
      <c r="H129">
        <f>IF($D129="","SIN DATOS",IF(OR($I129="",$J129="",$C129=""),"INCOMPLETO — falta ID, casilla o justificación",IF($D129&lt;0,"VALOR NEGATIVO NO PERMITIDO",IF(COUNTIF(Hoja_Trabajo!$A$6:$A$505,$I129)&lt;&gt;1,"ID INEXISTENTE O DUPLICADO EN HOJA_TRABAJO",IF(IFERROR(INDEX(Hoja_Trabajo!$Q$6:$Q$505,MATCH($I129,Hoja_Trabajo!$A$6:$A$505,0)),"")&lt;&gt;"REQUIERE ASIGNACIÓN MANUAL (VARIAS CASILLAS)","FUENTE NO REQUIERE ASIGNACIÓN MANUAL",IF(NOT(IFERROR(ISNUMBER(SEARCH("R"&amp;$C129,INDEX(Hoja_Trabajo!$G$6:$G$505,MATCH($I129,Hoja_Trabajo!$A$6:$A$505,0)))),FALSE)),"CASILLA NO SUGERIDA PARA LA FUENTE",IF(SUMIF($I$87:I128,$I129,$F$87:F128)+$D129&gt;IFERROR(INDEX(Hoja_Trabajo!$X$6:$X$505,MATCH($I129,Hoja_Trabajo!$A$6:$A$505,0)),0),"EXCEDE VALOR ORIGINAL DE LA FUENTE","DILIGENCIADO")))))))</f>
        <v/>
      </c>
      <c r="I129" s="256" t="n"/>
      <c r="J129" s="256" t="n"/>
    </row>
    <row r="130" ht="14.25" customHeight="1" s="235">
      <c r="A130" t="inlineStr">
        <is>
          <t>Asignación múltiple</t>
        </is>
      </c>
      <c r="C130" s="256" t="n"/>
      <c r="D130" s="470" t="n"/>
      <c r="E130" s="256" t="n"/>
      <c r="F130">
        <f>IF(OR($D130="",$I130="",$J130="",$C130=""),0,IF($D130&lt;0,0,IF(COUNTIF(Hoja_Trabajo!$A$6:$A$505,$I130)&lt;&gt;1,0,IF(IFERROR(INDEX(Hoja_Trabajo!$Q$6:$Q$505,MATCH($I130,Hoja_Trabajo!$A$6:$A$505,0)),"")&lt;&gt;"REQUIERE ASIGNACIÓN MANUAL (VARIAS CASILLAS)",0,IF(NOT(IFERROR(ISNUMBER(SEARCH("R"&amp;$C130,INDEX(Hoja_Trabajo!$G$6:$G$505,MATCH($I130,Hoja_Trabajo!$A$6:$A$505,0)))),FALSE)),0,IF(SUMIF($I$87:I129,$I130,$F$87:F129)+$D130&gt;IFERROR(INDEX(Hoja_Trabajo!$X$6:$X$505,MATCH($I130,Hoja_Trabajo!$A$6:$A$505,0)),0),0,$D130))))))</f>
        <v/>
      </c>
      <c r="G130">
        <f>IF(C130="","",C130)</f>
        <v/>
      </c>
      <c r="H130">
        <f>IF($D130="","SIN DATOS",IF(OR($I130="",$J130="",$C130=""),"INCOMPLETO — falta ID, casilla o justificación",IF($D130&lt;0,"VALOR NEGATIVO NO PERMITIDO",IF(COUNTIF(Hoja_Trabajo!$A$6:$A$505,$I130)&lt;&gt;1,"ID INEXISTENTE O DUPLICADO EN HOJA_TRABAJO",IF(IFERROR(INDEX(Hoja_Trabajo!$Q$6:$Q$505,MATCH($I130,Hoja_Trabajo!$A$6:$A$505,0)),"")&lt;&gt;"REQUIERE ASIGNACIÓN MANUAL (VARIAS CASILLAS)","FUENTE NO REQUIERE ASIGNACIÓN MANUAL",IF(NOT(IFERROR(ISNUMBER(SEARCH("R"&amp;$C130,INDEX(Hoja_Trabajo!$G$6:$G$505,MATCH($I130,Hoja_Trabajo!$A$6:$A$505,0)))),FALSE)),"CASILLA NO SUGERIDA PARA LA FUENTE",IF(SUMIF($I$87:I129,$I130,$F$87:F129)+$D130&gt;IFERROR(INDEX(Hoja_Trabajo!$X$6:$X$505,MATCH($I130,Hoja_Trabajo!$A$6:$A$505,0)),0),"EXCEDE VALOR ORIGINAL DE LA FUENTE","DILIGENCIADO")))))))</f>
        <v/>
      </c>
      <c r="I130" s="256" t="n"/>
      <c r="J130" s="256" t="n"/>
    </row>
    <row r="131" ht="14.25" customHeight="1" s="235">
      <c r="A131" t="inlineStr">
        <is>
          <t>Asignación múltiple</t>
        </is>
      </c>
      <c r="C131" s="256" t="n"/>
      <c r="D131" s="470" t="n"/>
      <c r="E131" s="256" t="n"/>
      <c r="F131">
        <f>IF(OR($D131="",$I131="",$J131="",$C131=""),0,IF($D131&lt;0,0,IF(COUNTIF(Hoja_Trabajo!$A$6:$A$505,$I131)&lt;&gt;1,0,IF(IFERROR(INDEX(Hoja_Trabajo!$Q$6:$Q$505,MATCH($I131,Hoja_Trabajo!$A$6:$A$505,0)),"")&lt;&gt;"REQUIERE ASIGNACIÓN MANUAL (VARIAS CASILLAS)",0,IF(NOT(IFERROR(ISNUMBER(SEARCH("R"&amp;$C131,INDEX(Hoja_Trabajo!$G$6:$G$505,MATCH($I131,Hoja_Trabajo!$A$6:$A$505,0)))),FALSE)),0,IF(SUMIF($I$87:I130,$I131,$F$87:F130)+$D131&gt;IFERROR(INDEX(Hoja_Trabajo!$X$6:$X$505,MATCH($I131,Hoja_Trabajo!$A$6:$A$505,0)),0),0,$D131))))))</f>
        <v/>
      </c>
      <c r="G131">
        <f>IF(C131="","",C131)</f>
        <v/>
      </c>
      <c r="H131">
        <f>IF($D131="","SIN DATOS",IF(OR($I131="",$J131="",$C131=""),"INCOMPLETO — falta ID, casilla o justificación",IF($D131&lt;0,"VALOR NEGATIVO NO PERMITIDO",IF(COUNTIF(Hoja_Trabajo!$A$6:$A$505,$I131)&lt;&gt;1,"ID INEXISTENTE O DUPLICADO EN HOJA_TRABAJO",IF(IFERROR(INDEX(Hoja_Trabajo!$Q$6:$Q$505,MATCH($I131,Hoja_Trabajo!$A$6:$A$505,0)),"")&lt;&gt;"REQUIERE ASIGNACIÓN MANUAL (VARIAS CASILLAS)","FUENTE NO REQUIERE ASIGNACIÓN MANUAL",IF(NOT(IFERROR(ISNUMBER(SEARCH("R"&amp;$C131,INDEX(Hoja_Trabajo!$G$6:$G$505,MATCH($I131,Hoja_Trabajo!$A$6:$A$505,0)))),FALSE)),"CASILLA NO SUGERIDA PARA LA FUENTE",IF(SUMIF($I$87:I130,$I131,$F$87:F130)+$D131&gt;IFERROR(INDEX(Hoja_Trabajo!$X$6:$X$505,MATCH($I131,Hoja_Trabajo!$A$6:$A$505,0)),0),"EXCEDE VALOR ORIGINAL DE LA FUENTE","DILIGENCIADO")))))))</f>
        <v/>
      </c>
      <c r="I131" s="256" t="n"/>
      <c r="J131" s="256" t="n"/>
    </row>
    <row r="132" ht="14.25" customHeight="1" s="235">
      <c r="A132" t="inlineStr">
        <is>
          <t>Asignación múltiple</t>
        </is>
      </c>
      <c r="C132" s="256" t="n"/>
      <c r="D132" s="470" t="n"/>
      <c r="E132" s="256" t="n"/>
      <c r="F132">
        <f>IF(OR($D132="",$I132="",$J132="",$C132=""),0,IF($D132&lt;0,0,IF(COUNTIF(Hoja_Trabajo!$A$6:$A$505,$I132)&lt;&gt;1,0,IF(IFERROR(INDEX(Hoja_Trabajo!$Q$6:$Q$505,MATCH($I132,Hoja_Trabajo!$A$6:$A$505,0)),"")&lt;&gt;"REQUIERE ASIGNACIÓN MANUAL (VARIAS CASILLAS)",0,IF(NOT(IFERROR(ISNUMBER(SEARCH("R"&amp;$C132,INDEX(Hoja_Trabajo!$G$6:$G$505,MATCH($I132,Hoja_Trabajo!$A$6:$A$505,0)))),FALSE)),0,IF(SUMIF($I$87:I131,$I132,$F$87:F131)+$D132&gt;IFERROR(INDEX(Hoja_Trabajo!$X$6:$X$505,MATCH($I132,Hoja_Trabajo!$A$6:$A$505,0)),0),0,$D132))))))</f>
        <v/>
      </c>
      <c r="G132">
        <f>IF(C132="","",C132)</f>
        <v/>
      </c>
      <c r="H132">
        <f>IF($D132="","SIN DATOS",IF(OR($I132="",$J132="",$C132=""),"INCOMPLETO — falta ID, casilla o justificación",IF($D132&lt;0,"VALOR NEGATIVO NO PERMITIDO",IF(COUNTIF(Hoja_Trabajo!$A$6:$A$505,$I132)&lt;&gt;1,"ID INEXISTENTE O DUPLICADO EN HOJA_TRABAJO",IF(IFERROR(INDEX(Hoja_Trabajo!$Q$6:$Q$505,MATCH($I132,Hoja_Trabajo!$A$6:$A$505,0)),"")&lt;&gt;"REQUIERE ASIGNACIÓN MANUAL (VARIAS CASILLAS)","FUENTE NO REQUIERE ASIGNACIÓN MANUAL",IF(NOT(IFERROR(ISNUMBER(SEARCH("R"&amp;$C132,INDEX(Hoja_Trabajo!$G$6:$G$505,MATCH($I132,Hoja_Trabajo!$A$6:$A$505,0)))),FALSE)),"CASILLA NO SUGERIDA PARA LA FUENTE",IF(SUMIF($I$87:I131,$I132,$F$87:F131)+$D132&gt;IFERROR(INDEX(Hoja_Trabajo!$X$6:$X$505,MATCH($I132,Hoja_Trabajo!$A$6:$A$505,0)),0),"EXCEDE VALOR ORIGINAL DE LA FUENTE","DILIGENCIADO")))))))</f>
        <v/>
      </c>
      <c r="I132" s="256" t="n"/>
      <c r="J132" s="256" t="n"/>
    </row>
    <row r="133" ht="14.25" customHeight="1" s="235">
      <c r="A133" t="inlineStr">
        <is>
          <t>Asignación múltiple</t>
        </is>
      </c>
      <c r="C133" s="256" t="n"/>
      <c r="D133" s="470" t="n"/>
      <c r="E133" s="256" t="n"/>
      <c r="F133">
        <f>IF(OR($D133="",$I133="",$J133="",$C133=""),0,IF($D133&lt;0,0,IF(COUNTIF(Hoja_Trabajo!$A$6:$A$505,$I133)&lt;&gt;1,0,IF(IFERROR(INDEX(Hoja_Trabajo!$Q$6:$Q$505,MATCH($I133,Hoja_Trabajo!$A$6:$A$505,0)),"")&lt;&gt;"REQUIERE ASIGNACIÓN MANUAL (VARIAS CASILLAS)",0,IF(NOT(IFERROR(ISNUMBER(SEARCH("R"&amp;$C133,INDEX(Hoja_Trabajo!$G$6:$G$505,MATCH($I133,Hoja_Trabajo!$A$6:$A$505,0)))),FALSE)),0,IF(SUMIF($I$87:I132,$I133,$F$87:F132)+$D133&gt;IFERROR(INDEX(Hoja_Trabajo!$X$6:$X$505,MATCH($I133,Hoja_Trabajo!$A$6:$A$505,0)),0),0,$D133))))))</f>
        <v/>
      </c>
      <c r="G133">
        <f>IF(C133="","",C133)</f>
        <v/>
      </c>
      <c r="H133">
        <f>IF($D133="","SIN DATOS",IF(OR($I133="",$J133="",$C133=""),"INCOMPLETO — falta ID, casilla o justificación",IF($D133&lt;0,"VALOR NEGATIVO NO PERMITIDO",IF(COUNTIF(Hoja_Trabajo!$A$6:$A$505,$I133)&lt;&gt;1,"ID INEXISTENTE O DUPLICADO EN HOJA_TRABAJO",IF(IFERROR(INDEX(Hoja_Trabajo!$Q$6:$Q$505,MATCH($I133,Hoja_Trabajo!$A$6:$A$505,0)),"")&lt;&gt;"REQUIERE ASIGNACIÓN MANUAL (VARIAS CASILLAS)","FUENTE NO REQUIERE ASIGNACIÓN MANUAL",IF(NOT(IFERROR(ISNUMBER(SEARCH("R"&amp;$C133,INDEX(Hoja_Trabajo!$G$6:$G$505,MATCH($I133,Hoja_Trabajo!$A$6:$A$505,0)))),FALSE)),"CASILLA NO SUGERIDA PARA LA FUENTE",IF(SUMIF($I$87:I132,$I133,$F$87:F132)+$D133&gt;IFERROR(INDEX(Hoja_Trabajo!$X$6:$X$505,MATCH($I133,Hoja_Trabajo!$A$6:$A$505,0)),0),"EXCEDE VALOR ORIGINAL DE LA FUENTE","DILIGENCIADO")))))))</f>
        <v/>
      </c>
      <c r="I133" s="256" t="n"/>
      <c r="J133" s="256" t="n"/>
    </row>
    <row r="134" ht="14.25" customHeight="1" s="235">
      <c r="A134" t="inlineStr">
        <is>
          <t>Asignación múltiple</t>
        </is>
      </c>
      <c r="C134" s="256" t="n"/>
      <c r="D134" s="470" t="n"/>
      <c r="E134" s="256" t="n"/>
      <c r="F134">
        <f>IF(OR($D134="",$I134="",$J134="",$C134=""),0,IF($D134&lt;0,0,IF(COUNTIF(Hoja_Trabajo!$A$6:$A$505,$I134)&lt;&gt;1,0,IF(IFERROR(INDEX(Hoja_Trabajo!$Q$6:$Q$505,MATCH($I134,Hoja_Trabajo!$A$6:$A$505,0)),"")&lt;&gt;"REQUIERE ASIGNACIÓN MANUAL (VARIAS CASILLAS)",0,IF(NOT(IFERROR(ISNUMBER(SEARCH("R"&amp;$C134,INDEX(Hoja_Trabajo!$G$6:$G$505,MATCH($I134,Hoja_Trabajo!$A$6:$A$505,0)))),FALSE)),0,IF(SUMIF($I$87:I133,$I134,$F$87:F133)+$D134&gt;IFERROR(INDEX(Hoja_Trabajo!$X$6:$X$505,MATCH($I134,Hoja_Trabajo!$A$6:$A$505,0)),0),0,$D134))))))</f>
        <v/>
      </c>
      <c r="G134">
        <f>IF(C134="","",C134)</f>
        <v/>
      </c>
      <c r="H134">
        <f>IF($D134="","SIN DATOS",IF(OR($I134="",$J134="",$C134=""),"INCOMPLETO — falta ID, casilla o justificación",IF($D134&lt;0,"VALOR NEGATIVO NO PERMITIDO",IF(COUNTIF(Hoja_Trabajo!$A$6:$A$505,$I134)&lt;&gt;1,"ID INEXISTENTE O DUPLICADO EN HOJA_TRABAJO",IF(IFERROR(INDEX(Hoja_Trabajo!$Q$6:$Q$505,MATCH($I134,Hoja_Trabajo!$A$6:$A$505,0)),"")&lt;&gt;"REQUIERE ASIGNACIÓN MANUAL (VARIAS CASILLAS)","FUENTE NO REQUIERE ASIGNACIÓN MANUAL",IF(NOT(IFERROR(ISNUMBER(SEARCH("R"&amp;$C134,INDEX(Hoja_Trabajo!$G$6:$G$505,MATCH($I134,Hoja_Trabajo!$A$6:$A$505,0)))),FALSE)),"CASILLA NO SUGERIDA PARA LA FUENTE",IF(SUMIF($I$87:I133,$I134,$F$87:F133)+$D134&gt;IFERROR(INDEX(Hoja_Trabajo!$X$6:$X$505,MATCH($I134,Hoja_Trabajo!$A$6:$A$505,0)),0),"EXCEDE VALOR ORIGINAL DE LA FUENTE","DILIGENCIADO")))))))</f>
        <v/>
      </c>
      <c r="I134" s="256" t="n"/>
      <c r="J134" s="256" t="n"/>
    </row>
    <row r="135" ht="14.25" customHeight="1" s="235">
      <c r="A135" t="inlineStr">
        <is>
          <t>Asignación múltiple</t>
        </is>
      </c>
      <c r="C135" s="256" t="n"/>
      <c r="D135" s="470" t="n"/>
      <c r="E135" s="256" t="n"/>
      <c r="F135">
        <f>IF(OR($D135="",$I135="",$J135="",$C135=""),0,IF($D135&lt;0,0,IF(COUNTIF(Hoja_Trabajo!$A$6:$A$505,$I135)&lt;&gt;1,0,IF(IFERROR(INDEX(Hoja_Trabajo!$Q$6:$Q$505,MATCH($I135,Hoja_Trabajo!$A$6:$A$505,0)),"")&lt;&gt;"REQUIERE ASIGNACIÓN MANUAL (VARIAS CASILLAS)",0,IF(NOT(IFERROR(ISNUMBER(SEARCH("R"&amp;$C135,INDEX(Hoja_Trabajo!$G$6:$G$505,MATCH($I135,Hoja_Trabajo!$A$6:$A$505,0)))),FALSE)),0,IF(SUMIF($I$87:I134,$I135,$F$87:F134)+$D135&gt;IFERROR(INDEX(Hoja_Trabajo!$X$6:$X$505,MATCH($I135,Hoja_Trabajo!$A$6:$A$505,0)),0),0,$D135))))))</f>
        <v/>
      </c>
      <c r="G135">
        <f>IF(C135="","",C135)</f>
        <v/>
      </c>
      <c r="H135">
        <f>IF($D135="","SIN DATOS",IF(OR($I135="",$J135="",$C135=""),"INCOMPLETO — falta ID, casilla o justificación",IF($D135&lt;0,"VALOR NEGATIVO NO PERMITIDO",IF(COUNTIF(Hoja_Trabajo!$A$6:$A$505,$I135)&lt;&gt;1,"ID INEXISTENTE O DUPLICADO EN HOJA_TRABAJO",IF(IFERROR(INDEX(Hoja_Trabajo!$Q$6:$Q$505,MATCH($I135,Hoja_Trabajo!$A$6:$A$505,0)),"")&lt;&gt;"REQUIERE ASIGNACIÓN MANUAL (VARIAS CASILLAS)","FUENTE NO REQUIERE ASIGNACIÓN MANUAL",IF(NOT(IFERROR(ISNUMBER(SEARCH("R"&amp;$C135,INDEX(Hoja_Trabajo!$G$6:$G$505,MATCH($I135,Hoja_Trabajo!$A$6:$A$505,0)))),FALSE)),"CASILLA NO SUGERIDA PARA LA FUENTE",IF(SUMIF($I$87:I134,$I135,$F$87:F134)+$D135&gt;IFERROR(INDEX(Hoja_Trabajo!$X$6:$X$505,MATCH($I135,Hoja_Trabajo!$A$6:$A$505,0)),0),"EXCEDE VALOR ORIGINAL DE LA FUENTE","DILIGENCIADO")))))))</f>
        <v/>
      </c>
      <c r="I135" s="256" t="n"/>
      <c r="J135" s="256" t="n"/>
    </row>
    <row r="136" ht="14.25" customHeight="1" s="235">
      <c r="A136" t="inlineStr">
        <is>
          <t>Asignación múltiple</t>
        </is>
      </c>
      <c r="C136" s="256" t="n"/>
      <c r="D136" s="470" t="n"/>
      <c r="E136" s="256" t="n"/>
      <c r="F136">
        <f>IF(OR($D136="",$I136="",$J136="",$C136=""),0,IF($D136&lt;0,0,IF(COUNTIF(Hoja_Trabajo!$A$6:$A$505,$I136)&lt;&gt;1,0,IF(IFERROR(INDEX(Hoja_Trabajo!$Q$6:$Q$505,MATCH($I136,Hoja_Trabajo!$A$6:$A$505,0)),"")&lt;&gt;"REQUIERE ASIGNACIÓN MANUAL (VARIAS CASILLAS)",0,IF(NOT(IFERROR(ISNUMBER(SEARCH("R"&amp;$C136,INDEX(Hoja_Trabajo!$G$6:$G$505,MATCH($I136,Hoja_Trabajo!$A$6:$A$505,0)))),FALSE)),0,IF(SUMIF($I$87:I135,$I136,$F$87:F135)+$D136&gt;IFERROR(INDEX(Hoja_Trabajo!$X$6:$X$505,MATCH($I136,Hoja_Trabajo!$A$6:$A$505,0)),0),0,$D136))))))</f>
        <v/>
      </c>
      <c r="G136">
        <f>IF(C136="","",C136)</f>
        <v/>
      </c>
      <c r="H136">
        <f>IF($D136="","SIN DATOS",IF(OR($I136="",$J136="",$C136=""),"INCOMPLETO — falta ID, casilla o justificación",IF($D136&lt;0,"VALOR NEGATIVO NO PERMITIDO",IF(COUNTIF(Hoja_Trabajo!$A$6:$A$505,$I136)&lt;&gt;1,"ID INEXISTENTE O DUPLICADO EN HOJA_TRABAJO",IF(IFERROR(INDEX(Hoja_Trabajo!$Q$6:$Q$505,MATCH($I136,Hoja_Trabajo!$A$6:$A$505,0)),"")&lt;&gt;"REQUIERE ASIGNACIÓN MANUAL (VARIAS CASILLAS)","FUENTE NO REQUIERE ASIGNACIÓN MANUAL",IF(NOT(IFERROR(ISNUMBER(SEARCH("R"&amp;$C136,INDEX(Hoja_Trabajo!$G$6:$G$505,MATCH($I136,Hoja_Trabajo!$A$6:$A$505,0)))),FALSE)),"CASILLA NO SUGERIDA PARA LA FUENTE",IF(SUMIF($I$87:I135,$I136,$F$87:F135)+$D136&gt;IFERROR(INDEX(Hoja_Trabajo!$X$6:$X$505,MATCH($I136,Hoja_Trabajo!$A$6:$A$505,0)),0),"EXCEDE VALOR ORIGINAL DE LA FUENTE","DILIGENCIADO")))))))</f>
        <v/>
      </c>
      <c r="I136" s="256" t="n"/>
      <c r="J136" s="256" t="n"/>
    </row>
    <row r="137" ht="14.25" customHeight="1" s="235">
      <c r="A137" t="inlineStr">
        <is>
          <t>Asignación múltiple</t>
        </is>
      </c>
      <c r="C137" s="256" t="n"/>
      <c r="D137" s="470" t="n"/>
      <c r="E137" s="256" t="n"/>
      <c r="F137">
        <f>IF(OR($D137="",$I137="",$J137="",$C137=""),0,IF($D137&lt;0,0,IF(COUNTIF(Hoja_Trabajo!$A$6:$A$505,$I137)&lt;&gt;1,0,IF(IFERROR(INDEX(Hoja_Trabajo!$Q$6:$Q$505,MATCH($I137,Hoja_Trabajo!$A$6:$A$505,0)),"")&lt;&gt;"REQUIERE ASIGNACIÓN MANUAL (VARIAS CASILLAS)",0,IF(NOT(IFERROR(ISNUMBER(SEARCH("R"&amp;$C137,INDEX(Hoja_Trabajo!$G$6:$G$505,MATCH($I137,Hoja_Trabajo!$A$6:$A$505,0)))),FALSE)),0,IF(SUMIF($I$87:I136,$I137,$F$87:F136)+$D137&gt;IFERROR(INDEX(Hoja_Trabajo!$X$6:$X$505,MATCH($I137,Hoja_Trabajo!$A$6:$A$505,0)),0),0,$D137))))))</f>
        <v/>
      </c>
      <c r="G137">
        <f>IF(C137="","",C137)</f>
        <v/>
      </c>
      <c r="H137">
        <f>IF($D137="","SIN DATOS",IF(OR($I137="",$J137="",$C137=""),"INCOMPLETO — falta ID, casilla o justificación",IF($D137&lt;0,"VALOR NEGATIVO NO PERMITIDO",IF(COUNTIF(Hoja_Trabajo!$A$6:$A$505,$I137)&lt;&gt;1,"ID INEXISTENTE O DUPLICADO EN HOJA_TRABAJO",IF(IFERROR(INDEX(Hoja_Trabajo!$Q$6:$Q$505,MATCH($I137,Hoja_Trabajo!$A$6:$A$505,0)),"")&lt;&gt;"REQUIERE ASIGNACIÓN MANUAL (VARIAS CASILLAS)","FUENTE NO REQUIERE ASIGNACIÓN MANUAL",IF(NOT(IFERROR(ISNUMBER(SEARCH("R"&amp;$C137,INDEX(Hoja_Trabajo!$G$6:$G$505,MATCH($I137,Hoja_Trabajo!$A$6:$A$505,0)))),FALSE)),"CASILLA NO SUGERIDA PARA LA FUENTE",IF(SUMIF($I$87:I136,$I137,$F$87:F136)+$D137&gt;IFERROR(INDEX(Hoja_Trabajo!$X$6:$X$505,MATCH($I137,Hoja_Trabajo!$A$6:$A$505,0)),0),"EXCEDE VALOR ORIGINAL DE LA FUENTE","DILIGENCIADO")))))))</f>
        <v/>
      </c>
      <c r="I137" s="256" t="n"/>
      <c r="J137" s="256" t="n"/>
    </row>
    <row r="138" ht="14.25" customHeight="1" s="235">
      <c r="A138" t="inlineStr">
        <is>
          <t>Asignación múltiple</t>
        </is>
      </c>
      <c r="C138" s="256" t="n"/>
      <c r="D138" s="470" t="n"/>
      <c r="E138" s="256" t="n"/>
      <c r="F138">
        <f>IF(OR($D138="",$I138="",$J138="",$C138=""),0,IF($D138&lt;0,0,IF(COUNTIF(Hoja_Trabajo!$A$6:$A$505,$I138)&lt;&gt;1,0,IF(IFERROR(INDEX(Hoja_Trabajo!$Q$6:$Q$505,MATCH($I138,Hoja_Trabajo!$A$6:$A$505,0)),"")&lt;&gt;"REQUIERE ASIGNACIÓN MANUAL (VARIAS CASILLAS)",0,IF(NOT(IFERROR(ISNUMBER(SEARCH("R"&amp;$C138,INDEX(Hoja_Trabajo!$G$6:$G$505,MATCH($I138,Hoja_Trabajo!$A$6:$A$505,0)))),FALSE)),0,IF(SUMIF($I$87:I137,$I138,$F$87:F137)+$D138&gt;IFERROR(INDEX(Hoja_Trabajo!$X$6:$X$505,MATCH($I138,Hoja_Trabajo!$A$6:$A$505,0)),0),0,$D138))))))</f>
        <v/>
      </c>
      <c r="G138">
        <f>IF(C138="","",C138)</f>
        <v/>
      </c>
      <c r="H138">
        <f>IF($D138="","SIN DATOS",IF(OR($I138="",$J138="",$C138=""),"INCOMPLETO — falta ID, casilla o justificación",IF($D138&lt;0,"VALOR NEGATIVO NO PERMITIDO",IF(COUNTIF(Hoja_Trabajo!$A$6:$A$505,$I138)&lt;&gt;1,"ID INEXISTENTE O DUPLICADO EN HOJA_TRABAJO",IF(IFERROR(INDEX(Hoja_Trabajo!$Q$6:$Q$505,MATCH($I138,Hoja_Trabajo!$A$6:$A$505,0)),"")&lt;&gt;"REQUIERE ASIGNACIÓN MANUAL (VARIAS CASILLAS)","FUENTE NO REQUIERE ASIGNACIÓN MANUAL",IF(NOT(IFERROR(ISNUMBER(SEARCH("R"&amp;$C138,INDEX(Hoja_Trabajo!$G$6:$G$505,MATCH($I138,Hoja_Trabajo!$A$6:$A$505,0)))),FALSE)),"CASILLA NO SUGERIDA PARA LA FUENTE",IF(SUMIF($I$87:I137,$I138,$F$87:F137)+$D138&gt;IFERROR(INDEX(Hoja_Trabajo!$X$6:$X$505,MATCH($I138,Hoja_Trabajo!$A$6:$A$505,0)),0),"EXCEDE VALOR ORIGINAL DE LA FUENTE","DILIGENCIADO")))))))</f>
        <v/>
      </c>
      <c r="I138" s="256" t="n"/>
      <c r="J138" s="256" t="n"/>
    </row>
    <row r="139" ht="14.25" customHeight="1" s="235">
      <c r="A139" t="inlineStr">
        <is>
          <t>Asignación múltiple</t>
        </is>
      </c>
      <c r="C139" s="256" t="n"/>
      <c r="D139" s="470" t="n"/>
      <c r="E139" s="256" t="n"/>
      <c r="F139">
        <f>IF(OR($D139="",$I139="",$J139="",$C139=""),0,IF($D139&lt;0,0,IF(COUNTIF(Hoja_Trabajo!$A$6:$A$505,$I139)&lt;&gt;1,0,IF(IFERROR(INDEX(Hoja_Trabajo!$Q$6:$Q$505,MATCH($I139,Hoja_Trabajo!$A$6:$A$505,0)),"")&lt;&gt;"REQUIERE ASIGNACIÓN MANUAL (VARIAS CASILLAS)",0,IF(NOT(IFERROR(ISNUMBER(SEARCH("R"&amp;$C139,INDEX(Hoja_Trabajo!$G$6:$G$505,MATCH($I139,Hoja_Trabajo!$A$6:$A$505,0)))),FALSE)),0,IF(SUMIF($I$87:I138,$I139,$F$87:F138)+$D139&gt;IFERROR(INDEX(Hoja_Trabajo!$X$6:$X$505,MATCH($I139,Hoja_Trabajo!$A$6:$A$505,0)),0),0,$D139))))))</f>
        <v/>
      </c>
      <c r="G139">
        <f>IF(C139="","",C139)</f>
        <v/>
      </c>
      <c r="H139">
        <f>IF($D139="","SIN DATOS",IF(OR($I139="",$J139="",$C139=""),"INCOMPLETO — falta ID, casilla o justificación",IF($D139&lt;0,"VALOR NEGATIVO NO PERMITIDO",IF(COUNTIF(Hoja_Trabajo!$A$6:$A$505,$I139)&lt;&gt;1,"ID INEXISTENTE O DUPLICADO EN HOJA_TRABAJO",IF(IFERROR(INDEX(Hoja_Trabajo!$Q$6:$Q$505,MATCH($I139,Hoja_Trabajo!$A$6:$A$505,0)),"")&lt;&gt;"REQUIERE ASIGNACIÓN MANUAL (VARIAS CASILLAS)","FUENTE NO REQUIERE ASIGNACIÓN MANUAL",IF(NOT(IFERROR(ISNUMBER(SEARCH("R"&amp;$C139,INDEX(Hoja_Trabajo!$G$6:$G$505,MATCH($I139,Hoja_Trabajo!$A$6:$A$505,0)))),FALSE)),"CASILLA NO SUGERIDA PARA LA FUENTE",IF(SUMIF($I$87:I138,$I139,$F$87:F138)+$D139&gt;IFERROR(INDEX(Hoja_Trabajo!$X$6:$X$505,MATCH($I139,Hoja_Trabajo!$A$6:$A$505,0)),0),"EXCEDE VALOR ORIGINAL DE LA FUENTE","DILIGENCIADO")))))))</f>
        <v/>
      </c>
      <c r="I139" s="256" t="n"/>
      <c r="J139" s="256" t="n"/>
    </row>
    <row r="140" ht="14.25" customHeight="1" s="235">
      <c r="A140" t="inlineStr">
        <is>
          <t>Asignación múltiple</t>
        </is>
      </c>
      <c r="C140" s="256" t="n"/>
      <c r="D140" s="470" t="n"/>
      <c r="E140" s="256" t="n"/>
      <c r="F140">
        <f>IF(OR($D140="",$I140="",$J140="",$C140=""),0,IF($D140&lt;0,0,IF(COUNTIF(Hoja_Trabajo!$A$6:$A$505,$I140)&lt;&gt;1,0,IF(IFERROR(INDEX(Hoja_Trabajo!$Q$6:$Q$505,MATCH($I140,Hoja_Trabajo!$A$6:$A$505,0)),"")&lt;&gt;"REQUIERE ASIGNACIÓN MANUAL (VARIAS CASILLAS)",0,IF(NOT(IFERROR(ISNUMBER(SEARCH("R"&amp;$C140,INDEX(Hoja_Trabajo!$G$6:$G$505,MATCH($I140,Hoja_Trabajo!$A$6:$A$505,0)))),FALSE)),0,IF(SUMIF($I$87:I139,$I140,$F$87:F139)+$D140&gt;IFERROR(INDEX(Hoja_Trabajo!$X$6:$X$505,MATCH($I140,Hoja_Trabajo!$A$6:$A$505,0)),0),0,$D140))))))</f>
        <v/>
      </c>
      <c r="G140">
        <f>IF(C140="","",C140)</f>
        <v/>
      </c>
      <c r="H140">
        <f>IF($D140="","SIN DATOS",IF(OR($I140="",$J140="",$C140=""),"INCOMPLETO — falta ID, casilla o justificación",IF($D140&lt;0,"VALOR NEGATIVO NO PERMITIDO",IF(COUNTIF(Hoja_Trabajo!$A$6:$A$505,$I140)&lt;&gt;1,"ID INEXISTENTE O DUPLICADO EN HOJA_TRABAJO",IF(IFERROR(INDEX(Hoja_Trabajo!$Q$6:$Q$505,MATCH($I140,Hoja_Trabajo!$A$6:$A$505,0)),"")&lt;&gt;"REQUIERE ASIGNACIÓN MANUAL (VARIAS CASILLAS)","FUENTE NO REQUIERE ASIGNACIÓN MANUAL",IF(NOT(IFERROR(ISNUMBER(SEARCH("R"&amp;$C140,INDEX(Hoja_Trabajo!$G$6:$G$505,MATCH($I140,Hoja_Trabajo!$A$6:$A$505,0)))),FALSE)),"CASILLA NO SUGERIDA PARA LA FUENTE",IF(SUMIF($I$87:I139,$I140,$F$87:F139)+$D140&gt;IFERROR(INDEX(Hoja_Trabajo!$X$6:$X$505,MATCH($I140,Hoja_Trabajo!$A$6:$A$505,0)),0),"EXCEDE VALOR ORIGINAL DE LA FUENTE","DILIGENCIADO")))))))</f>
        <v/>
      </c>
      <c r="I140" s="256" t="n"/>
      <c r="J140" s="256" t="n"/>
    </row>
    <row r="141" ht="14.25" customHeight="1" s="235">
      <c r="A141" t="inlineStr">
        <is>
          <t>Asignación múltiple</t>
        </is>
      </c>
      <c r="C141" s="256" t="n"/>
      <c r="D141" s="470" t="n"/>
      <c r="E141" s="256" t="n"/>
      <c r="F141">
        <f>IF(OR($D141="",$I141="",$J141="",$C141=""),0,IF($D141&lt;0,0,IF(COUNTIF(Hoja_Trabajo!$A$6:$A$505,$I141)&lt;&gt;1,0,IF(IFERROR(INDEX(Hoja_Trabajo!$Q$6:$Q$505,MATCH($I141,Hoja_Trabajo!$A$6:$A$505,0)),"")&lt;&gt;"REQUIERE ASIGNACIÓN MANUAL (VARIAS CASILLAS)",0,IF(NOT(IFERROR(ISNUMBER(SEARCH("R"&amp;$C141,INDEX(Hoja_Trabajo!$G$6:$G$505,MATCH($I141,Hoja_Trabajo!$A$6:$A$505,0)))),FALSE)),0,IF(SUMIF($I$87:I140,$I141,$F$87:F140)+$D141&gt;IFERROR(INDEX(Hoja_Trabajo!$X$6:$X$505,MATCH($I141,Hoja_Trabajo!$A$6:$A$505,0)),0),0,$D141))))))</f>
        <v/>
      </c>
      <c r="G141">
        <f>IF(C141="","",C141)</f>
        <v/>
      </c>
      <c r="H141">
        <f>IF($D141="","SIN DATOS",IF(OR($I141="",$J141="",$C141=""),"INCOMPLETO — falta ID, casilla o justificación",IF($D141&lt;0,"VALOR NEGATIVO NO PERMITIDO",IF(COUNTIF(Hoja_Trabajo!$A$6:$A$505,$I141)&lt;&gt;1,"ID INEXISTENTE O DUPLICADO EN HOJA_TRABAJO",IF(IFERROR(INDEX(Hoja_Trabajo!$Q$6:$Q$505,MATCH($I141,Hoja_Trabajo!$A$6:$A$505,0)),"")&lt;&gt;"REQUIERE ASIGNACIÓN MANUAL (VARIAS CASILLAS)","FUENTE NO REQUIERE ASIGNACIÓN MANUAL",IF(NOT(IFERROR(ISNUMBER(SEARCH("R"&amp;$C141,INDEX(Hoja_Trabajo!$G$6:$G$505,MATCH($I141,Hoja_Trabajo!$A$6:$A$505,0)))),FALSE)),"CASILLA NO SUGERIDA PARA LA FUENTE",IF(SUMIF($I$87:I140,$I141,$F$87:F140)+$D141&gt;IFERROR(INDEX(Hoja_Trabajo!$X$6:$X$505,MATCH($I141,Hoja_Trabajo!$A$6:$A$505,0)),0),"EXCEDE VALOR ORIGINAL DE LA FUENTE","DILIGENCIADO")))))))</f>
        <v/>
      </c>
      <c r="I141" s="256" t="n"/>
      <c r="J141" s="256" t="n"/>
    </row>
    <row r="142" ht="14.25" customHeight="1" s="235">
      <c r="A142" t="inlineStr">
        <is>
          <t>Asignación múltiple</t>
        </is>
      </c>
      <c r="C142" s="256" t="n"/>
      <c r="D142" s="470" t="n"/>
      <c r="E142" s="256" t="n"/>
      <c r="F142">
        <f>IF(OR($D142="",$I142="",$J142="",$C142=""),0,IF($D142&lt;0,0,IF(COUNTIF(Hoja_Trabajo!$A$6:$A$505,$I142)&lt;&gt;1,0,IF(IFERROR(INDEX(Hoja_Trabajo!$Q$6:$Q$505,MATCH($I142,Hoja_Trabajo!$A$6:$A$505,0)),"")&lt;&gt;"REQUIERE ASIGNACIÓN MANUAL (VARIAS CASILLAS)",0,IF(NOT(IFERROR(ISNUMBER(SEARCH("R"&amp;$C142,INDEX(Hoja_Trabajo!$G$6:$G$505,MATCH($I142,Hoja_Trabajo!$A$6:$A$505,0)))),FALSE)),0,IF(SUMIF($I$87:I141,$I142,$F$87:F141)+$D142&gt;IFERROR(INDEX(Hoja_Trabajo!$X$6:$X$505,MATCH($I142,Hoja_Trabajo!$A$6:$A$505,0)),0),0,$D142))))))</f>
        <v/>
      </c>
      <c r="G142">
        <f>IF(C142="","",C142)</f>
        <v/>
      </c>
      <c r="H142">
        <f>IF($D142="","SIN DATOS",IF(OR($I142="",$J142="",$C142=""),"INCOMPLETO — falta ID, casilla o justificación",IF($D142&lt;0,"VALOR NEGATIVO NO PERMITIDO",IF(COUNTIF(Hoja_Trabajo!$A$6:$A$505,$I142)&lt;&gt;1,"ID INEXISTENTE O DUPLICADO EN HOJA_TRABAJO",IF(IFERROR(INDEX(Hoja_Trabajo!$Q$6:$Q$505,MATCH($I142,Hoja_Trabajo!$A$6:$A$505,0)),"")&lt;&gt;"REQUIERE ASIGNACIÓN MANUAL (VARIAS CASILLAS)","FUENTE NO REQUIERE ASIGNACIÓN MANUAL",IF(NOT(IFERROR(ISNUMBER(SEARCH("R"&amp;$C142,INDEX(Hoja_Trabajo!$G$6:$G$505,MATCH($I142,Hoja_Trabajo!$A$6:$A$505,0)))),FALSE)),"CASILLA NO SUGERIDA PARA LA FUENTE",IF(SUMIF($I$87:I141,$I142,$F$87:F141)+$D142&gt;IFERROR(INDEX(Hoja_Trabajo!$X$6:$X$505,MATCH($I142,Hoja_Trabajo!$A$6:$A$505,0)),0),"EXCEDE VALOR ORIGINAL DE LA FUENTE","DILIGENCIADO")))))))</f>
        <v/>
      </c>
      <c r="I142" s="256" t="n"/>
      <c r="J142" s="256" t="n"/>
    </row>
    <row r="143" ht="14.25" customHeight="1" s="235">
      <c r="A143" t="inlineStr">
        <is>
          <t>Asignación múltiple</t>
        </is>
      </c>
      <c r="C143" s="256" t="n"/>
      <c r="D143" s="470" t="n"/>
      <c r="E143" s="256" t="n"/>
      <c r="F143">
        <f>IF(OR($D143="",$I143="",$J143="",$C143=""),0,IF($D143&lt;0,0,IF(COUNTIF(Hoja_Trabajo!$A$6:$A$505,$I143)&lt;&gt;1,0,IF(IFERROR(INDEX(Hoja_Trabajo!$Q$6:$Q$505,MATCH($I143,Hoja_Trabajo!$A$6:$A$505,0)),"")&lt;&gt;"REQUIERE ASIGNACIÓN MANUAL (VARIAS CASILLAS)",0,IF(NOT(IFERROR(ISNUMBER(SEARCH("R"&amp;$C143,INDEX(Hoja_Trabajo!$G$6:$G$505,MATCH($I143,Hoja_Trabajo!$A$6:$A$505,0)))),FALSE)),0,IF(SUMIF($I$87:I142,$I143,$F$87:F142)+$D143&gt;IFERROR(INDEX(Hoja_Trabajo!$X$6:$X$505,MATCH($I143,Hoja_Trabajo!$A$6:$A$505,0)),0),0,$D143))))))</f>
        <v/>
      </c>
      <c r="G143">
        <f>IF(C143="","",C143)</f>
        <v/>
      </c>
      <c r="H143">
        <f>IF($D143="","SIN DATOS",IF(OR($I143="",$J143="",$C143=""),"INCOMPLETO — falta ID, casilla o justificación",IF($D143&lt;0,"VALOR NEGATIVO NO PERMITIDO",IF(COUNTIF(Hoja_Trabajo!$A$6:$A$505,$I143)&lt;&gt;1,"ID INEXISTENTE O DUPLICADO EN HOJA_TRABAJO",IF(IFERROR(INDEX(Hoja_Trabajo!$Q$6:$Q$505,MATCH($I143,Hoja_Trabajo!$A$6:$A$505,0)),"")&lt;&gt;"REQUIERE ASIGNACIÓN MANUAL (VARIAS CASILLAS)","FUENTE NO REQUIERE ASIGNACIÓN MANUAL",IF(NOT(IFERROR(ISNUMBER(SEARCH("R"&amp;$C143,INDEX(Hoja_Trabajo!$G$6:$G$505,MATCH($I143,Hoja_Trabajo!$A$6:$A$505,0)))),FALSE)),"CASILLA NO SUGERIDA PARA LA FUENTE",IF(SUMIF($I$87:I142,$I143,$F$87:F142)+$D143&gt;IFERROR(INDEX(Hoja_Trabajo!$X$6:$X$505,MATCH($I143,Hoja_Trabajo!$A$6:$A$505,0)),0),"EXCEDE VALOR ORIGINAL DE LA FUENTE","DILIGENCIADO")))))))</f>
        <v/>
      </c>
      <c r="I143" s="256" t="n"/>
      <c r="J143" s="256" t="n"/>
    </row>
    <row r="144" ht="14.25" customHeight="1" s="235">
      <c r="A144" t="inlineStr">
        <is>
          <t>Asignación múltiple</t>
        </is>
      </c>
      <c r="C144" s="256" t="n"/>
      <c r="D144" s="470" t="n"/>
      <c r="E144" s="256" t="n"/>
      <c r="F144">
        <f>IF(OR($D144="",$I144="",$J144="",$C144=""),0,IF($D144&lt;0,0,IF(COUNTIF(Hoja_Trabajo!$A$6:$A$505,$I144)&lt;&gt;1,0,IF(IFERROR(INDEX(Hoja_Trabajo!$Q$6:$Q$505,MATCH($I144,Hoja_Trabajo!$A$6:$A$505,0)),"")&lt;&gt;"REQUIERE ASIGNACIÓN MANUAL (VARIAS CASILLAS)",0,IF(NOT(IFERROR(ISNUMBER(SEARCH("R"&amp;$C144,INDEX(Hoja_Trabajo!$G$6:$G$505,MATCH($I144,Hoja_Trabajo!$A$6:$A$505,0)))),FALSE)),0,IF(SUMIF($I$87:I143,$I144,$F$87:F143)+$D144&gt;IFERROR(INDEX(Hoja_Trabajo!$X$6:$X$505,MATCH($I144,Hoja_Trabajo!$A$6:$A$505,0)),0),0,$D144))))))</f>
        <v/>
      </c>
      <c r="G144">
        <f>IF(C144="","",C144)</f>
        <v/>
      </c>
      <c r="H144">
        <f>IF($D144="","SIN DATOS",IF(OR($I144="",$J144="",$C144=""),"INCOMPLETO — falta ID, casilla o justificación",IF($D144&lt;0,"VALOR NEGATIVO NO PERMITIDO",IF(COUNTIF(Hoja_Trabajo!$A$6:$A$505,$I144)&lt;&gt;1,"ID INEXISTENTE O DUPLICADO EN HOJA_TRABAJO",IF(IFERROR(INDEX(Hoja_Trabajo!$Q$6:$Q$505,MATCH($I144,Hoja_Trabajo!$A$6:$A$505,0)),"")&lt;&gt;"REQUIERE ASIGNACIÓN MANUAL (VARIAS CASILLAS)","FUENTE NO REQUIERE ASIGNACIÓN MANUAL",IF(NOT(IFERROR(ISNUMBER(SEARCH("R"&amp;$C144,INDEX(Hoja_Trabajo!$G$6:$G$505,MATCH($I144,Hoja_Trabajo!$A$6:$A$505,0)))),FALSE)),"CASILLA NO SUGERIDA PARA LA FUENTE",IF(SUMIF($I$87:I143,$I144,$F$87:F143)+$D144&gt;IFERROR(INDEX(Hoja_Trabajo!$X$6:$X$505,MATCH($I144,Hoja_Trabajo!$A$6:$A$505,0)),0),"EXCEDE VALOR ORIGINAL DE LA FUENTE","DILIGENCIADO")))))))</f>
        <v/>
      </c>
      <c r="I144" s="256" t="n"/>
      <c r="J144" s="256" t="n"/>
    </row>
    <row r="145" ht="14.25" customHeight="1" s="235">
      <c r="A145" t="inlineStr">
        <is>
          <t>Asignación múltiple</t>
        </is>
      </c>
      <c r="C145" s="256" t="n"/>
      <c r="D145" s="470" t="n"/>
      <c r="E145" s="256" t="n"/>
      <c r="F145">
        <f>IF(OR($D145="",$I145="",$J145="",$C145=""),0,IF($D145&lt;0,0,IF(COUNTIF(Hoja_Trabajo!$A$6:$A$505,$I145)&lt;&gt;1,0,IF(IFERROR(INDEX(Hoja_Trabajo!$Q$6:$Q$505,MATCH($I145,Hoja_Trabajo!$A$6:$A$505,0)),"")&lt;&gt;"REQUIERE ASIGNACIÓN MANUAL (VARIAS CASILLAS)",0,IF(NOT(IFERROR(ISNUMBER(SEARCH("R"&amp;$C145,INDEX(Hoja_Trabajo!$G$6:$G$505,MATCH($I145,Hoja_Trabajo!$A$6:$A$505,0)))),FALSE)),0,IF(SUMIF($I$87:I144,$I145,$F$87:F144)+$D145&gt;IFERROR(INDEX(Hoja_Trabajo!$X$6:$X$505,MATCH($I145,Hoja_Trabajo!$A$6:$A$505,0)),0),0,$D145))))))</f>
        <v/>
      </c>
      <c r="G145">
        <f>IF(C145="","",C145)</f>
        <v/>
      </c>
      <c r="H145">
        <f>IF($D145="","SIN DATOS",IF(OR($I145="",$J145="",$C145=""),"INCOMPLETO — falta ID, casilla o justificación",IF($D145&lt;0,"VALOR NEGATIVO NO PERMITIDO",IF(COUNTIF(Hoja_Trabajo!$A$6:$A$505,$I145)&lt;&gt;1,"ID INEXISTENTE O DUPLICADO EN HOJA_TRABAJO",IF(IFERROR(INDEX(Hoja_Trabajo!$Q$6:$Q$505,MATCH($I145,Hoja_Trabajo!$A$6:$A$505,0)),"")&lt;&gt;"REQUIERE ASIGNACIÓN MANUAL (VARIAS CASILLAS)","FUENTE NO REQUIERE ASIGNACIÓN MANUAL",IF(NOT(IFERROR(ISNUMBER(SEARCH("R"&amp;$C145,INDEX(Hoja_Trabajo!$G$6:$G$505,MATCH($I145,Hoja_Trabajo!$A$6:$A$505,0)))),FALSE)),"CASILLA NO SUGERIDA PARA LA FUENTE",IF(SUMIF($I$87:I144,$I145,$F$87:F144)+$D145&gt;IFERROR(INDEX(Hoja_Trabajo!$X$6:$X$505,MATCH($I145,Hoja_Trabajo!$A$6:$A$505,0)),0),"EXCEDE VALOR ORIGINAL DE LA FUENTE","DILIGENCIADO")))))))</f>
        <v/>
      </c>
      <c r="I145" s="256" t="n"/>
      <c r="J145" s="256" t="n"/>
    </row>
    <row r="146" ht="14.25" customHeight="1" s="235">
      <c r="A146" t="inlineStr">
        <is>
          <t>Asignación múltiple</t>
        </is>
      </c>
      <c r="C146" s="256" t="n"/>
      <c r="D146" s="470" t="n"/>
      <c r="E146" s="256" t="n"/>
      <c r="F146">
        <f>IF(OR($D146="",$I146="",$J146="",$C146=""),0,IF($D146&lt;0,0,IF(COUNTIF(Hoja_Trabajo!$A$6:$A$505,$I146)&lt;&gt;1,0,IF(IFERROR(INDEX(Hoja_Trabajo!$Q$6:$Q$505,MATCH($I146,Hoja_Trabajo!$A$6:$A$505,0)),"")&lt;&gt;"REQUIERE ASIGNACIÓN MANUAL (VARIAS CASILLAS)",0,IF(NOT(IFERROR(ISNUMBER(SEARCH("R"&amp;$C146,INDEX(Hoja_Trabajo!$G$6:$G$505,MATCH($I146,Hoja_Trabajo!$A$6:$A$505,0)))),FALSE)),0,IF(SUMIF($I$87:I145,$I146,$F$87:F145)+$D146&gt;IFERROR(INDEX(Hoja_Trabajo!$X$6:$X$505,MATCH($I146,Hoja_Trabajo!$A$6:$A$505,0)),0),0,$D146))))))</f>
        <v/>
      </c>
      <c r="G146">
        <f>IF(C146="","",C146)</f>
        <v/>
      </c>
      <c r="H146">
        <f>IF($D146="","SIN DATOS",IF(OR($I146="",$J146="",$C146=""),"INCOMPLETO — falta ID, casilla o justificación",IF($D146&lt;0,"VALOR NEGATIVO NO PERMITIDO",IF(COUNTIF(Hoja_Trabajo!$A$6:$A$505,$I146)&lt;&gt;1,"ID INEXISTENTE O DUPLICADO EN HOJA_TRABAJO",IF(IFERROR(INDEX(Hoja_Trabajo!$Q$6:$Q$505,MATCH($I146,Hoja_Trabajo!$A$6:$A$505,0)),"")&lt;&gt;"REQUIERE ASIGNACIÓN MANUAL (VARIAS CASILLAS)","FUENTE NO REQUIERE ASIGNACIÓN MANUAL",IF(NOT(IFERROR(ISNUMBER(SEARCH("R"&amp;$C146,INDEX(Hoja_Trabajo!$G$6:$G$505,MATCH($I146,Hoja_Trabajo!$A$6:$A$505,0)))),FALSE)),"CASILLA NO SUGERIDA PARA LA FUENTE",IF(SUMIF($I$87:I145,$I146,$F$87:F145)+$D146&gt;IFERROR(INDEX(Hoja_Trabajo!$X$6:$X$505,MATCH($I146,Hoja_Trabajo!$A$6:$A$505,0)),0),"EXCEDE VALOR ORIGINAL DE LA FUENTE","DILIGENCIADO")))))))</f>
        <v/>
      </c>
      <c r="I146" s="256" t="n"/>
      <c r="J146" s="256" t="n"/>
    </row>
    <row r="147" ht="14.25" customHeight="1" s="235">
      <c r="A147" t="inlineStr">
        <is>
          <t>Asignación múltiple</t>
        </is>
      </c>
      <c r="C147" s="256" t="n"/>
      <c r="D147" s="470" t="n"/>
      <c r="E147" s="256" t="n"/>
      <c r="F147">
        <f>IF(OR($D147="",$I147="",$J147="",$C147=""),0,IF($D147&lt;0,0,IF(COUNTIF(Hoja_Trabajo!$A$6:$A$505,$I147)&lt;&gt;1,0,IF(IFERROR(INDEX(Hoja_Trabajo!$Q$6:$Q$505,MATCH($I147,Hoja_Trabajo!$A$6:$A$505,0)),"")&lt;&gt;"REQUIERE ASIGNACIÓN MANUAL (VARIAS CASILLAS)",0,IF(NOT(IFERROR(ISNUMBER(SEARCH("R"&amp;$C147,INDEX(Hoja_Trabajo!$G$6:$G$505,MATCH($I147,Hoja_Trabajo!$A$6:$A$505,0)))),FALSE)),0,IF(SUMIF($I$87:I146,$I147,$F$87:F146)+$D147&gt;IFERROR(INDEX(Hoja_Trabajo!$X$6:$X$505,MATCH($I147,Hoja_Trabajo!$A$6:$A$505,0)),0),0,$D147))))))</f>
        <v/>
      </c>
      <c r="G147">
        <f>IF(C147="","",C147)</f>
        <v/>
      </c>
      <c r="H147">
        <f>IF($D147="","SIN DATOS",IF(OR($I147="",$J147="",$C147=""),"INCOMPLETO — falta ID, casilla o justificación",IF($D147&lt;0,"VALOR NEGATIVO NO PERMITIDO",IF(COUNTIF(Hoja_Trabajo!$A$6:$A$505,$I147)&lt;&gt;1,"ID INEXISTENTE O DUPLICADO EN HOJA_TRABAJO",IF(IFERROR(INDEX(Hoja_Trabajo!$Q$6:$Q$505,MATCH($I147,Hoja_Trabajo!$A$6:$A$505,0)),"")&lt;&gt;"REQUIERE ASIGNACIÓN MANUAL (VARIAS CASILLAS)","FUENTE NO REQUIERE ASIGNACIÓN MANUAL",IF(NOT(IFERROR(ISNUMBER(SEARCH("R"&amp;$C147,INDEX(Hoja_Trabajo!$G$6:$G$505,MATCH($I147,Hoja_Trabajo!$A$6:$A$505,0)))),FALSE)),"CASILLA NO SUGERIDA PARA LA FUENTE",IF(SUMIF($I$87:I146,$I147,$F$87:F146)+$D147&gt;IFERROR(INDEX(Hoja_Trabajo!$X$6:$X$505,MATCH($I147,Hoja_Trabajo!$A$6:$A$505,0)),0),"EXCEDE VALOR ORIGINAL DE LA FUENTE","DILIGENCIADO")))))))</f>
        <v/>
      </c>
      <c r="I147" s="256" t="n"/>
      <c r="J147" s="256" t="n"/>
    </row>
    <row r="148" ht="14.25" customHeight="1" s="235">
      <c r="A148" t="inlineStr">
        <is>
          <t>Asignación múltiple</t>
        </is>
      </c>
      <c r="C148" s="256" t="n"/>
      <c r="D148" s="470" t="n"/>
      <c r="E148" s="256" t="n"/>
      <c r="F148">
        <f>IF(OR($D148="",$I148="",$J148="",$C148=""),0,IF($D148&lt;0,0,IF(COUNTIF(Hoja_Trabajo!$A$6:$A$505,$I148)&lt;&gt;1,0,IF(IFERROR(INDEX(Hoja_Trabajo!$Q$6:$Q$505,MATCH($I148,Hoja_Trabajo!$A$6:$A$505,0)),"")&lt;&gt;"REQUIERE ASIGNACIÓN MANUAL (VARIAS CASILLAS)",0,IF(NOT(IFERROR(ISNUMBER(SEARCH("R"&amp;$C148,INDEX(Hoja_Trabajo!$G$6:$G$505,MATCH($I148,Hoja_Trabajo!$A$6:$A$505,0)))),FALSE)),0,IF(SUMIF($I$87:I147,$I148,$F$87:F147)+$D148&gt;IFERROR(INDEX(Hoja_Trabajo!$X$6:$X$505,MATCH($I148,Hoja_Trabajo!$A$6:$A$505,0)),0),0,$D148))))))</f>
        <v/>
      </c>
      <c r="G148">
        <f>IF(C148="","",C148)</f>
        <v/>
      </c>
      <c r="H148">
        <f>IF($D148="","SIN DATOS",IF(OR($I148="",$J148="",$C148=""),"INCOMPLETO — falta ID, casilla o justificación",IF($D148&lt;0,"VALOR NEGATIVO NO PERMITIDO",IF(COUNTIF(Hoja_Trabajo!$A$6:$A$505,$I148)&lt;&gt;1,"ID INEXISTENTE O DUPLICADO EN HOJA_TRABAJO",IF(IFERROR(INDEX(Hoja_Trabajo!$Q$6:$Q$505,MATCH($I148,Hoja_Trabajo!$A$6:$A$505,0)),"")&lt;&gt;"REQUIERE ASIGNACIÓN MANUAL (VARIAS CASILLAS)","FUENTE NO REQUIERE ASIGNACIÓN MANUAL",IF(NOT(IFERROR(ISNUMBER(SEARCH("R"&amp;$C148,INDEX(Hoja_Trabajo!$G$6:$G$505,MATCH($I148,Hoja_Trabajo!$A$6:$A$505,0)))),FALSE)),"CASILLA NO SUGERIDA PARA LA FUENTE",IF(SUMIF($I$87:I147,$I148,$F$87:F147)+$D148&gt;IFERROR(INDEX(Hoja_Trabajo!$X$6:$X$505,MATCH($I148,Hoja_Trabajo!$A$6:$A$505,0)),0),"EXCEDE VALOR ORIGINAL DE LA FUENTE","DILIGENCIADO")))))))</f>
        <v/>
      </c>
      <c r="I148" s="256" t="n"/>
      <c r="J148" s="256" t="n"/>
    </row>
    <row r="149" ht="14.25" customHeight="1" s="235">
      <c r="A149" t="inlineStr">
        <is>
          <t>Asignación múltiple</t>
        </is>
      </c>
      <c r="C149" s="256" t="n"/>
      <c r="D149" s="470" t="n"/>
      <c r="E149" s="256" t="n"/>
      <c r="F149">
        <f>IF(OR($D149="",$I149="",$J149="",$C149=""),0,IF($D149&lt;0,0,IF(COUNTIF(Hoja_Trabajo!$A$6:$A$505,$I149)&lt;&gt;1,0,IF(IFERROR(INDEX(Hoja_Trabajo!$Q$6:$Q$505,MATCH($I149,Hoja_Trabajo!$A$6:$A$505,0)),"")&lt;&gt;"REQUIERE ASIGNACIÓN MANUAL (VARIAS CASILLAS)",0,IF(NOT(IFERROR(ISNUMBER(SEARCH("R"&amp;$C149,INDEX(Hoja_Trabajo!$G$6:$G$505,MATCH($I149,Hoja_Trabajo!$A$6:$A$505,0)))),FALSE)),0,IF(SUMIF($I$87:I148,$I149,$F$87:F148)+$D149&gt;IFERROR(INDEX(Hoja_Trabajo!$X$6:$X$505,MATCH($I149,Hoja_Trabajo!$A$6:$A$505,0)),0),0,$D149))))))</f>
        <v/>
      </c>
      <c r="G149">
        <f>IF(C149="","",C149)</f>
        <v/>
      </c>
      <c r="H149">
        <f>IF($D149="","SIN DATOS",IF(OR($I149="",$J149="",$C149=""),"INCOMPLETO — falta ID, casilla o justificación",IF($D149&lt;0,"VALOR NEGATIVO NO PERMITIDO",IF(COUNTIF(Hoja_Trabajo!$A$6:$A$505,$I149)&lt;&gt;1,"ID INEXISTENTE O DUPLICADO EN HOJA_TRABAJO",IF(IFERROR(INDEX(Hoja_Trabajo!$Q$6:$Q$505,MATCH($I149,Hoja_Trabajo!$A$6:$A$505,0)),"")&lt;&gt;"REQUIERE ASIGNACIÓN MANUAL (VARIAS CASILLAS)","FUENTE NO REQUIERE ASIGNACIÓN MANUAL",IF(NOT(IFERROR(ISNUMBER(SEARCH("R"&amp;$C149,INDEX(Hoja_Trabajo!$G$6:$G$505,MATCH($I149,Hoja_Trabajo!$A$6:$A$505,0)))),FALSE)),"CASILLA NO SUGERIDA PARA LA FUENTE",IF(SUMIF($I$87:I148,$I149,$F$87:F148)+$D149&gt;IFERROR(INDEX(Hoja_Trabajo!$X$6:$X$505,MATCH($I149,Hoja_Trabajo!$A$6:$A$505,0)),0),"EXCEDE VALOR ORIGINAL DE LA FUENTE","DILIGENCIADO")))))))</f>
        <v/>
      </c>
      <c r="I149" s="256" t="n"/>
      <c r="J149" s="256" t="n"/>
    </row>
    <row r="150" ht="14.25" customHeight="1" s="235">
      <c r="A150" t="inlineStr">
        <is>
          <t>Asignación múltiple</t>
        </is>
      </c>
      <c r="C150" s="256" t="n"/>
      <c r="D150" s="470" t="n"/>
      <c r="E150" s="256" t="n"/>
      <c r="F150">
        <f>IF(OR($D150="",$I150="",$J150="",$C150=""),0,IF($D150&lt;0,0,IF(COUNTIF(Hoja_Trabajo!$A$6:$A$505,$I150)&lt;&gt;1,0,IF(IFERROR(INDEX(Hoja_Trabajo!$Q$6:$Q$505,MATCH($I150,Hoja_Trabajo!$A$6:$A$505,0)),"")&lt;&gt;"REQUIERE ASIGNACIÓN MANUAL (VARIAS CASILLAS)",0,IF(NOT(IFERROR(ISNUMBER(SEARCH("R"&amp;$C150,INDEX(Hoja_Trabajo!$G$6:$G$505,MATCH($I150,Hoja_Trabajo!$A$6:$A$505,0)))),FALSE)),0,IF(SUMIF($I$87:I149,$I150,$F$87:F149)+$D150&gt;IFERROR(INDEX(Hoja_Trabajo!$X$6:$X$505,MATCH($I150,Hoja_Trabajo!$A$6:$A$505,0)),0),0,$D150))))))</f>
        <v/>
      </c>
      <c r="G150">
        <f>IF(C150="","",C150)</f>
        <v/>
      </c>
      <c r="H150">
        <f>IF($D150="","SIN DATOS",IF(OR($I150="",$J150="",$C150=""),"INCOMPLETO — falta ID, casilla o justificación",IF($D150&lt;0,"VALOR NEGATIVO NO PERMITIDO",IF(COUNTIF(Hoja_Trabajo!$A$6:$A$505,$I150)&lt;&gt;1,"ID INEXISTENTE O DUPLICADO EN HOJA_TRABAJO",IF(IFERROR(INDEX(Hoja_Trabajo!$Q$6:$Q$505,MATCH($I150,Hoja_Trabajo!$A$6:$A$505,0)),"")&lt;&gt;"REQUIERE ASIGNACIÓN MANUAL (VARIAS CASILLAS)","FUENTE NO REQUIERE ASIGNACIÓN MANUAL",IF(NOT(IFERROR(ISNUMBER(SEARCH("R"&amp;$C150,INDEX(Hoja_Trabajo!$G$6:$G$505,MATCH($I150,Hoja_Trabajo!$A$6:$A$505,0)))),FALSE)),"CASILLA NO SUGERIDA PARA LA FUENTE",IF(SUMIF($I$87:I149,$I150,$F$87:F149)+$D150&gt;IFERROR(INDEX(Hoja_Trabajo!$X$6:$X$505,MATCH($I150,Hoja_Trabajo!$A$6:$A$505,0)),0),"EXCEDE VALOR ORIGINAL DE LA FUENTE","DILIGENCIADO")))))))</f>
        <v/>
      </c>
      <c r="I150" s="256" t="n"/>
      <c r="J150" s="256" t="n"/>
    </row>
    <row r="151" ht="14.25" customHeight="1" s="235">
      <c r="A151" t="inlineStr">
        <is>
          <t>Asignación múltiple</t>
        </is>
      </c>
      <c r="C151" s="256" t="n"/>
      <c r="D151" s="470" t="n"/>
      <c r="E151" s="256" t="n"/>
      <c r="F151">
        <f>IF(OR($D151="",$I151="",$J151="",$C151=""),0,IF($D151&lt;0,0,IF(COUNTIF(Hoja_Trabajo!$A$6:$A$505,$I151)&lt;&gt;1,0,IF(IFERROR(INDEX(Hoja_Trabajo!$Q$6:$Q$505,MATCH($I151,Hoja_Trabajo!$A$6:$A$505,0)),"")&lt;&gt;"REQUIERE ASIGNACIÓN MANUAL (VARIAS CASILLAS)",0,IF(NOT(IFERROR(ISNUMBER(SEARCH("R"&amp;$C151,INDEX(Hoja_Trabajo!$G$6:$G$505,MATCH($I151,Hoja_Trabajo!$A$6:$A$505,0)))),FALSE)),0,IF(SUMIF($I$87:I150,$I151,$F$87:F150)+$D151&gt;IFERROR(INDEX(Hoja_Trabajo!$X$6:$X$505,MATCH($I151,Hoja_Trabajo!$A$6:$A$505,0)),0),0,$D151))))))</f>
        <v/>
      </c>
      <c r="G151">
        <f>IF(C151="","",C151)</f>
        <v/>
      </c>
      <c r="H151">
        <f>IF($D151="","SIN DATOS",IF(OR($I151="",$J151="",$C151=""),"INCOMPLETO — falta ID, casilla o justificación",IF($D151&lt;0,"VALOR NEGATIVO NO PERMITIDO",IF(COUNTIF(Hoja_Trabajo!$A$6:$A$505,$I151)&lt;&gt;1,"ID INEXISTENTE O DUPLICADO EN HOJA_TRABAJO",IF(IFERROR(INDEX(Hoja_Trabajo!$Q$6:$Q$505,MATCH($I151,Hoja_Trabajo!$A$6:$A$505,0)),"")&lt;&gt;"REQUIERE ASIGNACIÓN MANUAL (VARIAS CASILLAS)","FUENTE NO REQUIERE ASIGNACIÓN MANUAL",IF(NOT(IFERROR(ISNUMBER(SEARCH("R"&amp;$C151,INDEX(Hoja_Trabajo!$G$6:$G$505,MATCH($I151,Hoja_Trabajo!$A$6:$A$505,0)))),FALSE)),"CASILLA NO SUGERIDA PARA LA FUENTE",IF(SUMIF($I$87:I150,$I151,$F$87:F150)+$D151&gt;IFERROR(INDEX(Hoja_Trabajo!$X$6:$X$505,MATCH($I151,Hoja_Trabajo!$A$6:$A$505,0)),0),"EXCEDE VALOR ORIGINAL DE LA FUENTE","DILIGENCIADO")))))))</f>
        <v/>
      </c>
      <c r="I151" s="256" t="n"/>
      <c r="J151" s="256" t="n"/>
    </row>
    <row r="152" ht="14.25" customHeight="1" s="235">
      <c r="A152" t="inlineStr">
        <is>
          <t>Asignación múltiple</t>
        </is>
      </c>
      <c r="C152" s="256" t="n"/>
      <c r="D152" s="470" t="n"/>
      <c r="E152" s="256" t="n"/>
      <c r="F152">
        <f>IF(OR($D152="",$I152="",$J152="",$C152=""),0,IF($D152&lt;0,0,IF(COUNTIF(Hoja_Trabajo!$A$6:$A$505,$I152)&lt;&gt;1,0,IF(IFERROR(INDEX(Hoja_Trabajo!$Q$6:$Q$505,MATCH($I152,Hoja_Trabajo!$A$6:$A$505,0)),"")&lt;&gt;"REQUIERE ASIGNACIÓN MANUAL (VARIAS CASILLAS)",0,IF(NOT(IFERROR(ISNUMBER(SEARCH("R"&amp;$C152,INDEX(Hoja_Trabajo!$G$6:$G$505,MATCH($I152,Hoja_Trabajo!$A$6:$A$505,0)))),FALSE)),0,IF(SUMIF($I$87:I151,$I152,$F$87:F151)+$D152&gt;IFERROR(INDEX(Hoja_Trabajo!$X$6:$X$505,MATCH($I152,Hoja_Trabajo!$A$6:$A$505,0)),0),0,$D152))))))</f>
        <v/>
      </c>
      <c r="G152">
        <f>IF(C152="","",C152)</f>
        <v/>
      </c>
      <c r="H152">
        <f>IF($D152="","SIN DATOS",IF(OR($I152="",$J152="",$C152=""),"INCOMPLETO — falta ID, casilla o justificación",IF($D152&lt;0,"VALOR NEGATIVO NO PERMITIDO",IF(COUNTIF(Hoja_Trabajo!$A$6:$A$505,$I152)&lt;&gt;1,"ID INEXISTENTE O DUPLICADO EN HOJA_TRABAJO",IF(IFERROR(INDEX(Hoja_Trabajo!$Q$6:$Q$505,MATCH($I152,Hoja_Trabajo!$A$6:$A$505,0)),"")&lt;&gt;"REQUIERE ASIGNACIÓN MANUAL (VARIAS CASILLAS)","FUENTE NO REQUIERE ASIGNACIÓN MANUAL",IF(NOT(IFERROR(ISNUMBER(SEARCH("R"&amp;$C152,INDEX(Hoja_Trabajo!$G$6:$G$505,MATCH($I152,Hoja_Trabajo!$A$6:$A$505,0)))),FALSE)),"CASILLA NO SUGERIDA PARA LA FUENTE",IF(SUMIF($I$87:I151,$I152,$F$87:F151)+$D152&gt;IFERROR(INDEX(Hoja_Trabajo!$X$6:$X$505,MATCH($I152,Hoja_Trabajo!$A$6:$A$505,0)),0),"EXCEDE VALOR ORIGINAL DE LA FUENTE","DILIGENCIADO")))))))</f>
        <v/>
      </c>
      <c r="I152" s="256" t="n"/>
      <c r="J152" s="256" t="n"/>
    </row>
    <row r="153" ht="14.25" customHeight="1" s="235">
      <c r="A153" t="inlineStr">
        <is>
          <t>Asignación múltiple</t>
        </is>
      </c>
      <c r="C153" s="256" t="n"/>
      <c r="D153" s="470" t="n"/>
      <c r="E153" s="256" t="n"/>
      <c r="F153">
        <f>IF(OR($D153="",$I153="",$J153="",$C153=""),0,IF($D153&lt;0,0,IF(COUNTIF(Hoja_Trabajo!$A$6:$A$505,$I153)&lt;&gt;1,0,IF(IFERROR(INDEX(Hoja_Trabajo!$Q$6:$Q$505,MATCH($I153,Hoja_Trabajo!$A$6:$A$505,0)),"")&lt;&gt;"REQUIERE ASIGNACIÓN MANUAL (VARIAS CASILLAS)",0,IF(NOT(IFERROR(ISNUMBER(SEARCH("R"&amp;$C153,INDEX(Hoja_Trabajo!$G$6:$G$505,MATCH($I153,Hoja_Trabajo!$A$6:$A$505,0)))),FALSE)),0,IF(SUMIF($I$87:I152,$I153,$F$87:F152)+$D153&gt;IFERROR(INDEX(Hoja_Trabajo!$X$6:$X$505,MATCH($I153,Hoja_Trabajo!$A$6:$A$505,0)),0),0,$D153))))))</f>
        <v/>
      </c>
      <c r="G153">
        <f>IF(C153="","",C153)</f>
        <v/>
      </c>
      <c r="H153">
        <f>IF($D153="","SIN DATOS",IF(OR($I153="",$J153="",$C153=""),"INCOMPLETO — falta ID, casilla o justificación",IF($D153&lt;0,"VALOR NEGATIVO NO PERMITIDO",IF(COUNTIF(Hoja_Trabajo!$A$6:$A$505,$I153)&lt;&gt;1,"ID INEXISTENTE O DUPLICADO EN HOJA_TRABAJO",IF(IFERROR(INDEX(Hoja_Trabajo!$Q$6:$Q$505,MATCH($I153,Hoja_Trabajo!$A$6:$A$505,0)),"")&lt;&gt;"REQUIERE ASIGNACIÓN MANUAL (VARIAS CASILLAS)","FUENTE NO REQUIERE ASIGNACIÓN MANUAL",IF(NOT(IFERROR(ISNUMBER(SEARCH("R"&amp;$C153,INDEX(Hoja_Trabajo!$G$6:$G$505,MATCH($I153,Hoja_Trabajo!$A$6:$A$505,0)))),FALSE)),"CASILLA NO SUGERIDA PARA LA FUENTE",IF(SUMIF($I$87:I152,$I153,$F$87:F152)+$D153&gt;IFERROR(INDEX(Hoja_Trabajo!$X$6:$X$505,MATCH($I153,Hoja_Trabajo!$A$6:$A$505,0)),0),"EXCEDE VALOR ORIGINAL DE LA FUENTE","DILIGENCIADO")))))))</f>
        <v/>
      </c>
      <c r="I153" s="256" t="n"/>
      <c r="J153" s="256" t="n"/>
    </row>
    <row r="154" ht="14.25" customHeight="1" s="235">
      <c r="A154" t="inlineStr">
        <is>
          <t>Asignación múltiple</t>
        </is>
      </c>
      <c r="C154" s="256" t="n"/>
      <c r="D154" s="470" t="n"/>
      <c r="E154" s="256" t="n"/>
      <c r="F154">
        <f>IF(OR($D154="",$I154="",$J154="",$C154=""),0,IF($D154&lt;0,0,IF(COUNTIF(Hoja_Trabajo!$A$6:$A$505,$I154)&lt;&gt;1,0,IF(IFERROR(INDEX(Hoja_Trabajo!$Q$6:$Q$505,MATCH($I154,Hoja_Trabajo!$A$6:$A$505,0)),"")&lt;&gt;"REQUIERE ASIGNACIÓN MANUAL (VARIAS CASILLAS)",0,IF(NOT(IFERROR(ISNUMBER(SEARCH("R"&amp;$C154,INDEX(Hoja_Trabajo!$G$6:$G$505,MATCH($I154,Hoja_Trabajo!$A$6:$A$505,0)))),FALSE)),0,IF(SUMIF($I$87:I153,$I154,$F$87:F153)+$D154&gt;IFERROR(INDEX(Hoja_Trabajo!$X$6:$X$505,MATCH($I154,Hoja_Trabajo!$A$6:$A$505,0)),0),0,$D154))))))</f>
        <v/>
      </c>
      <c r="G154">
        <f>IF(C154="","",C154)</f>
        <v/>
      </c>
      <c r="H154">
        <f>IF($D154="","SIN DATOS",IF(OR($I154="",$J154="",$C154=""),"INCOMPLETO — falta ID, casilla o justificación",IF($D154&lt;0,"VALOR NEGATIVO NO PERMITIDO",IF(COUNTIF(Hoja_Trabajo!$A$6:$A$505,$I154)&lt;&gt;1,"ID INEXISTENTE O DUPLICADO EN HOJA_TRABAJO",IF(IFERROR(INDEX(Hoja_Trabajo!$Q$6:$Q$505,MATCH($I154,Hoja_Trabajo!$A$6:$A$505,0)),"")&lt;&gt;"REQUIERE ASIGNACIÓN MANUAL (VARIAS CASILLAS)","FUENTE NO REQUIERE ASIGNACIÓN MANUAL",IF(NOT(IFERROR(ISNUMBER(SEARCH("R"&amp;$C154,INDEX(Hoja_Trabajo!$G$6:$G$505,MATCH($I154,Hoja_Trabajo!$A$6:$A$505,0)))),FALSE)),"CASILLA NO SUGERIDA PARA LA FUENTE",IF(SUMIF($I$87:I153,$I154,$F$87:F153)+$D154&gt;IFERROR(INDEX(Hoja_Trabajo!$X$6:$X$505,MATCH($I154,Hoja_Trabajo!$A$6:$A$505,0)),0),"EXCEDE VALOR ORIGINAL DE LA FUENTE","DILIGENCIADO")))))))</f>
        <v/>
      </c>
      <c r="I154" s="256" t="n"/>
      <c r="J154" s="256" t="n"/>
    </row>
    <row r="155" ht="14.25" customHeight="1" s="235">
      <c r="A155" t="inlineStr">
        <is>
          <t>Asignación múltiple</t>
        </is>
      </c>
      <c r="C155" s="256" t="n"/>
      <c r="D155" s="470" t="n"/>
      <c r="E155" s="256" t="n"/>
      <c r="F155">
        <f>IF(OR($D155="",$I155="",$J155="",$C155=""),0,IF($D155&lt;0,0,IF(COUNTIF(Hoja_Trabajo!$A$6:$A$505,$I155)&lt;&gt;1,0,IF(IFERROR(INDEX(Hoja_Trabajo!$Q$6:$Q$505,MATCH($I155,Hoja_Trabajo!$A$6:$A$505,0)),"")&lt;&gt;"REQUIERE ASIGNACIÓN MANUAL (VARIAS CASILLAS)",0,IF(NOT(IFERROR(ISNUMBER(SEARCH("R"&amp;$C155,INDEX(Hoja_Trabajo!$G$6:$G$505,MATCH($I155,Hoja_Trabajo!$A$6:$A$505,0)))),FALSE)),0,IF(SUMIF($I$87:I154,$I155,$F$87:F154)+$D155&gt;IFERROR(INDEX(Hoja_Trabajo!$X$6:$X$505,MATCH($I155,Hoja_Trabajo!$A$6:$A$505,0)),0),0,$D155))))))</f>
        <v/>
      </c>
      <c r="G155">
        <f>IF(C155="","",C155)</f>
        <v/>
      </c>
      <c r="H155">
        <f>IF($D155="","SIN DATOS",IF(OR($I155="",$J155="",$C155=""),"INCOMPLETO — falta ID, casilla o justificación",IF($D155&lt;0,"VALOR NEGATIVO NO PERMITIDO",IF(COUNTIF(Hoja_Trabajo!$A$6:$A$505,$I155)&lt;&gt;1,"ID INEXISTENTE O DUPLICADO EN HOJA_TRABAJO",IF(IFERROR(INDEX(Hoja_Trabajo!$Q$6:$Q$505,MATCH($I155,Hoja_Trabajo!$A$6:$A$505,0)),"")&lt;&gt;"REQUIERE ASIGNACIÓN MANUAL (VARIAS CASILLAS)","FUENTE NO REQUIERE ASIGNACIÓN MANUAL",IF(NOT(IFERROR(ISNUMBER(SEARCH("R"&amp;$C155,INDEX(Hoja_Trabajo!$G$6:$G$505,MATCH($I155,Hoja_Trabajo!$A$6:$A$505,0)))),FALSE)),"CASILLA NO SUGERIDA PARA LA FUENTE",IF(SUMIF($I$87:I154,$I155,$F$87:F154)+$D155&gt;IFERROR(INDEX(Hoja_Trabajo!$X$6:$X$505,MATCH($I155,Hoja_Trabajo!$A$6:$A$505,0)),0),"EXCEDE VALOR ORIGINAL DE LA FUENTE","DILIGENCIADO")))))))</f>
        <v/>
      </c>
      <c r="I155" s="256" t="n"/>
      <c r="J155" s="256" t="n"/>
    </row>
    <row r="156" ht="14.25" customHeight="1" s="235">
      <c r="A156" t="inlineStr">
        <is>
          <t>Asignación múltiple</t>
        </is>
      </c>
      <c r="C156" s="256" t="n"/>
      <c r="D156" s="470" t="n"/>
      <c r="E156" s="256" t="n"/>
      <c r="F156">
        <f>IF(OR($D156="",$I156="",$J156="",$C156=""),0,IF($D156&lt;0,0,IF(COUNTIF(Hoja_Trabajo!$A$6:$A$505,$I156)&lt;&gt;1,0,IF(IFERROR(INDEX(Hoja_Trabajo!$Q$6:$Q$505,MATCH($I156,Hoja_Trabajo!$A$6:$A$505,0)),"")&lt;&gt;"REQUIERE ASIGNACIÓN MANUAL (VARIAS CASILLAS)",0,IF(NOT(IFERROR(ISNUMBER(SEARCH("R"&amp;$C156,INDEX(Hoja_Trabajo!$G$6:$G$505,MATCH($I156,Hoja_Trabajo!$A$6:$A$505,0)))),FALSE)),0,IF(SUMIF($I$87:I155,$I156,$F$87:F155)+$D156&gt;IFERROR(INDEX(Hoja_Trabajo!$X$6:$X$505,MATCH($I156,Hoja_Trabajo!$A$6:$A$505,0)),0),0,$D156))))))</f>
        <v/>
      </c>
      <c r="G156">
        <f>IF(C156="","",C156)</f>
        <v/>
      </c>
      <c r="H156">
        <f>IF($D156="","SIN DATOS",IF(OR($I156="",$J156="",$C156=""),"INCOMPLETO — falta ID, casilla o justificación",IF($D156&lt;0,"VALOR NEGATIVO NO PERMITIDO",IF(COUNTIF(Hoja_Trabajo!$A$6:$A$505,$I156)&lt;&gt;1,"ID INEXISTENTE O DUPLICADO EN HOJA_TRABAJO",IF(IFERROR(INDEX(Hoja_Trabajo!$Q$6:$Q$505,MATCH($I156,Hoja_Trabajo!$A$6:$A$505,0)),"")&lt;&gt;"REQUIERE ASIGNACIÓN MANUAL (VARIAS CASILLAS)","FUENTE NO REQUIERE ASIGNACIÓN MANUAL",IF(NOT(IFERROR(ISNUMBER(SEARCH("R"&amp;$C156,INDEX(Hoja_Trabajo!$G$6:$G$505,MATCH($I156,Hoja_Trabajo!$A$6:$A$505,0)))),FALSE)),"CASILLA NO SUGERIDA PARA LA FUENTE",IF(SUMIF($I$87:I155,$I156,$F$87:F155)+$D156&gt;IFERROR(INDEX(Hoja_Trabajo!$X$6:$X$505,MATCH($I156,Hoja_Trabajo!$A$6:$A$505,0)),0),"EXCEDE VALOR ORIGINAL DE LA FUENTE","DILIGENCIADO")))))))</f>
        <v/>
      </c>
      <c r="I156" s="256" t="n"/>
      <c r="J156" s="256" t="n"/>
    </row>
    <row r="157" ht="14.25" customHeight="1" s="235">
      <c r="A157" t="inlineStr">
        <is>
          <t>Asignación múltiple</t>
        </is>
      </c>
      <c r="C157" s="256" t="n"/>
      <c r="D157" s="470" t="n"/>
      <c r="E157" s="256" t="n"/>
      <c r="F157">
        <f>IF(OR($D157="",$I157="",$J157="",$C157=""),0,IF($D157&lt;0,0,IF(COUNTIF(Hoja_Trabajo!$A$6:$A$505,$I157)&lt;&gt;1,0,IF(IFERROR(INDEX(Hoja_Trabajo!$Q$6:$Q$505,MATCH($I157,Hoja_Trabajo!$A$6:$A$505,0)),"")&lt;&gt;"REQUIERE ASIGNACIÓN MANUAL (VARIAS CASILLAS)",0,IF(NOT(IFERROR(ISNUMBER(SEARCH("R"&amp;$C157,INDEX(Hoja_Trabajo!$G$6:$G$505,MATCH($I157,Hoja_Trabajo!$A$6:$A$505,0)))),FALSE)),0,IF(SUMIF($I$87:I156,$I157,$F$87:F156)+$D157&gt;IFERROR(INDEX(Hoja_Trabajo!$X$6:$X$505,MATCH($I157,Hoja_Trabajo!$A$6:$A$505,0)),0),0,$D157))))))</f>
        <v/>
      </c>
      <c r="G157">
        <f>IF(C157="","",C157)</f>
        <v/>
      </c>
      <c r="H157">
        <f>IF($D157="","SIN DATOS",IF(OR($I157="",$J157="",$C157=""),"INCOMPLETO — falta ID, casilla o justificación",IF($D157&lt;0,"VALOR NEGATIVO NO PERMITIDO",IF(COUNTIF(Hoja_Trabajo!$A$6:$A$505,$I157)&lt;&gt;1,"ID INEXISTENTE O DUPLICADO EN HOJA_TRABAJO",IF(IFERROR(INDEX(Hoja_Trabajo!$Q$6:$Q$505,MATCH($I157,Hoja_Trabajo!$A$6:$A$505,0)),"")&lt;&gt;"REQUIERE ASIGNACIÓN MANUAL (VARIAS CASILLAS)","FUENTE NO REQUIERE ASIGNACIÓN MANUAL",IF(NOT(IFERROR(ISNUMBER(SEARCH("R"&amp;$C157,INDEX(Hoja_Trabajo!$G$6:$G$505,MATCH($I157,Hoja_Trabajo!$A$6:$A$505,0)))),FALSE)),"CASILLA NO SUGERIDA PARA LA FUENTE",IF(SUMIF($I$87:I156,$I157,$F$87:F156)+$D157&gt;IFERROR(INDEX(Hoja_Trabajo!$X$6:$X$505,MATCH($I157,Hoja_Trabajo!$A$6:$A$505,0)),0),"EXCEDE VALOR ORIGINAL DE LA FUENTE","DILIGENCIADO")))))))</f>
        <v/>
      </c>
      <c r="I157" s="256" t="n"/>
      <c r="J157" s="256" t="n"/>
    </row>
    <row r="158" ht="14.25" customHeight="1" s="235">
      <c r="A158" t="inlineStr">
        <is>
          <t>Asignación múltiple</t>
        </is>
      </c>
      <c r="C158" s="256" t="n"/>
      <c r="D158" s="470" t="n"/>
      <c r="E158" s="256" t="n"/>
      <c r="F158">
        <f>IF(OR($D158="",$I158="",$J158="",$C158=""),0,IF($D158&lt;0,0,IF(COUNTIF(Hoja_Trabajo!$A$6:$A$505,$I158)&lt;&gt;1,0,IF(IFERROR(INDEX(Hoja_Trabajo!$Q$6:$Q$505,MATCH($I158,Hoja_Trabajo!$A$6:$A$505,0)),"")&lt;&gt;"REQUIERE ASIGNACIÓN MANUAL (VARIAS CASILLAS)",0,IF(NOT(IFERROR(ISNUMBER(SEARCH("R"&amp;$C158,INDEX(Hoja_Trabajo!$G$6:$G$505,MATCH($I158,Hoja_Trabajo!$A$6:$A$505,0)))),FALSE)),0,IF(SUMIF($I$87:I157,$I158,$F$87:F157)+$D158&gt;IFERROR(INDEX(Hoja_Trabajo!$X$6:$X$505,MATCH($I158,Hoja_Trabajo!$A$6:$A$505,0)),0),0,$D158))))))</f>
        <v/>
      </c>
      <c r="G158">
        <f>IF(C158="","",C158)</f>
        <v/>
      </c>
      <c r="H158">
        <f>IF($D158="","SIN DATOS",IF(OR($I158="",$J158="",$C158=""),"INCOMPLETO — falta ID, casilla o justificación",IF($D158&lt;0,"VALOR NEGATIVO NO PERMITIDO",IF(COUNTIF(Hoja_Trabajo!$A$6:$A$505,$I158)&lt;&gt;1,"ID INEXISTENTE O DUPLICADO EN HOJA_TRABAJO",IF(IFERROR(INDEX(Hoja_Trabajo!$Q$6:$Q$505,MATCH($I158,Hoja_Trabajo!$A$6:$A$505,0)),"")&lt;&gt;"REQUIERE ASIGNACIÓN MANUAL (VARIAS CASILLAS)","FUENTE NO REQUIERE ASIGNACIÓN MANUAL",IF(NOT(IFERROR(ISNUMBER(SEARCH("R"&amp;$C158,INDEX(Hoja_Trabajo!$G$6:$G$505,MATCH($I158,Hoja_Trabajo!$A$6:$A$505,0)))),FALSE)),"CASILLA NO SUGERIDA PARA LA FUENTE",IF(SUMIF($I$87:I157,$I158,$F$87:F157)+$D158&gt;IFERROR(INDEX(Hoja_Trabajo!$X$6:$X$505,MATCH($I158,Hoja_Trabajo!$A$6:$A$505,0)),0),"EXCEDE VALOR ORIGINAL DE LA FUENTE","DILIGENCIADO")))))))</f>
        <v/>
      </c>
      <c r="I158" s="256" t="n"/>
      <c r="J158" s="256" t="n"/>
    </row>
    <row r="159" ht="14.25" customHeight="1" s="235">
      <c r="A159" t="inlineStr">
        <is>
          <t>Asignación múltiple</t>
        </is>
      </c>
      <c r="C159" s="256" t="n"/>
      <c r="D159" s="470" t="n"/>
      <c r="E159" s="256" t="n"/>
      <c r="F159">
        <f>IF(OR($D159="",$I159="",$J159="",$C159=""),0,IF($D159&lt;0,0,IF(COUNTIF(Hoja_Trabajo!$A$6:$A$505,$I159)&lt;&gt;1,0,IF(IFERROR(INDEX(Hoja_Trabajo!$Q$6:$Q$505,MATCH($I159,Hoja_Trabajo!$A$6:$A$505,0)),"")&lt;&gt;"REQUIERE ASIGNACIÓN MANUAL (VARIAS CASILLAS)",0,IF(NOT(IFERROR(ISNUMBER(SEARCH("R"&amp;$C159,INDEX(Hoja_Trabajo!$G$6:$G$505,MATCH($I159,Hoja_Trabajo!$A$6:$A$505,0)))),FALSE)),0,IF(SUMIF($I$87:I158,$I159,$F$87:F158)+$D159&gt;IFERROR(INDEX(Hoja_Trabajo!$X$6:$X$505,MATCH($I159,Hoja_Trabajo!$A$6:$A$505,0)),0),0,$D159))))))</f>
        <v/>
      </c>
      <c r="G159">
        <f>IF(C159="","",C159)</f>
        <v/>
      </c>
      <c r="H159">
        <f>IF($D159="","SIN DATOS",IF(OR($I159="",$J159="",$C159=""),"INCOMPLETO — falta ID, casilla o justificación",IF($D159&lt;0,"VALOR NEGATIVO NO PERMITIDO",IF(COUNTIF(Hoja_Trabajo!$A$6:$A$505,$I159)&lt;&gt;1,"ID INEXISTENTE O DUPLICADO EN HOJA_TRABAJO",IF(IFERROR(INDEX(Hoja_Trabajo!$Q$6:$Q$505,MATCH($I159,Hoja_Trabajo!$A$6:$A$505,0)),"")&lt;&gt;"REQUIERE ASIGNACIÓN MANUAL (VARIAS CASILLAS)","FUENTE NO REQUIERE ASIGNACIÓN MANUAL",IF(NOT(IFERROR(ISNUMBER(SEARCH("R"&amp;$C159,INDEX(Hoja_Trabajo!$G$6:$G$505,MATCH($I159,Hoja_Trabajo!$A$6:$A$505,0)))),FALSE)),"CASILLA NO SUGERIDA PARA LA FUENTE",IF(SUMIF($I$87:I158,$I159,$F$87:F158)+$D159&gt;IFERROR(INDEX(Hoja_Trabajo!$X$6:$X$505,MATCH($I159,Hoja_Trabajo!$A$6:$A$505,0)),0),"EXCEDE VALOR ORIGINAL DE LA FUENTE","DILIGENCIADO")))))))</f>
        <v/>
      </c>
      <c r="I159" s="256" t="n"/>
      <c r="J159" s="256" t="n"/>
    </row>
    <row r="160" ht="14.25" customHeight="1" s="235">
      <c r="A160" t="inlineStr">
        <is>
          <t>Asignación múltiple</t>
        </is>
      </c>
      <c r="C160" s="256" t="n"/>
      <c r="D160" s="470" t="n"/>
      <c r="E160" s="256" t="n"/>
      <c r="F160">
        <f>IF(OR($D160="",$I160="",$J160="",$C160=""),0,IF($D160&lt;0,0,IF(COUNTIF(Hoja_Trabajo!$A$6:$A$505,$I160)&lt;&gt;1,0,IF(IFERROR(INDEX(Hoja_Trabajo!$Q$6:$Q$505,MATCH($I160,Hoja_Trabajo!$A$6:$A$505,0)),"")&lt;&gt;"REQUIERE ASIGNACIÓN MANUAL (VARIAS CASILLAS)",0,IF(NOT(IFERROR(ISNUMBER(SEARCH("R"&amp;$C160,INDEX(Hoja_Trabajo!$G$6:$G$505,MATCH($I160,Hoja_Trabajo!$A$6:$A$505,0)))),FALSE)),0,IF(SUMIF($I$87:I159,$I160,$F$87:F159)+$D160&gt;IFERROR(INDEX(Hoja_Trabajo!$X$6:$X$505,MATCH($I160,Hoja_Trabajo!$A$6:$A$505,0)),0),0,$D160))))))</f>
        <v/>
      </c>
      <c r="G160">
        <f>IF(C160="","",C160)</f>
        <v/>
      </c>
      <c r="H160">
        <f>IF($D160="","SIN DATOS",IF(OR($I160="",$J160="",$C160=""),"INCOMPLETO — falta ID, casilla o justificación",IF($D160&lt;0,"VALOR NEGATIVO NO PERMITIDO",IF(COUNTIF(Hoja_Trabajo!$A$6:$A$505,$I160)&lt;&gt;1,"ID INEXISTENTE O DUPLICADO EN HOJA_TRABAJO",IF(IFERROR(INDEX(Hoja_Trabajo!$Q$6:$Q$505,MATCH($I160,Hoja_Trabajo!$A$6:$A$505,0)),"")&lt;&gt;"REQUIERE ASIGNACIÓN MANUAL (VARIAS CASILLAS)","FUENTE NO REQUIERE ASIGNACIÓN MANUAL",IF(NOT(IFERROR(ISNUMBER(SEARCH("R"&amp;$C160,INDEX(Hoja_Trabajo!$G$6:$G$505,MATCH($I160,Hoja_Trabajo!$A$6:$A$505,0)))),FALSE)),"CASILLA NO SUGERIDA PARA LA FUENTE",IF(SUMIF($I$87:I159,$I160,$F$87:F159)+$D160&gt;IFERROR(INDEX(Hoja_Trabajo!$X$6:$X$505,MATCH($I160,Hoja_Trabajo!$A$6:$A$505,0)),0),"EXCEDE VALOR ORIGINAL DE LA FUENTE","DILIGENCIADO")))))))</f>
        <v/>
      </c>
      <c r="I160" s="256" t="n"/>
      <c r="J160" s="256" t="n"/>
    </row>
    <row r="161" ht="14.25" customHeight="1" s="235">
      <c r="A161" t="inlineStr">
        <is>
          <t>Asignación múltiple</t>
        </is>
      </c>
      <c r="C161" s="256" t="n"/>
      <c r="D161" s="470" t="n"/>
      <c r="E161" s="256" t="n"/>
      <c r="F161">
        <f>IF(OR($D161="",$I161="",$J161="",$C161=""),0,IF($D161&lt;0,0,IF(COUNTIF(Hoja_Trabajo!$A$6:$A$505,$I161)&lt;&gt;1,0,IF(IFERROR(INDEX(Hoja_Trabajo!$Q$6:$Q$505,MATCH($I161,Hoja_Trabajo!$A$6:$A$505,0)),"")&lt;&gt;"REQUIERE ASIGNACIÓN MANUAL (VARIAS CASILLAS)",0,IF(NOT(IFERROR(ISNUMBER(SEARCH("R"&amp;$C161,INDEX(Hoja_Trabajo!$G$6:$G$505,MATCH($I161,Hoja_Trabajo!$A$6:$A$505,0)))),FALSE)),0,IF(SUMIF($I$87:I160,$I161,$F$87:F160)+$D161&gt;IFERROR(INDEX(Hoja_Trabajo!$X$6:$X$505,MATCH($I161,Hoja_Trabajo!$A$6:$A$505,0)),0),0,$D161))))))</f>
        <v/>
      </c>
      <c r="G161">
        <f>IF(C161="","",C161)</f>
        <v/>
      </c>
      <c r="H161">
        <f>IF($D161="","SIN DATOS",IF(OR($I161="",$J161="",$C161=""),"INCOMPLETO — falta ID, casilla o justificación",IF($D161&lt;0,"VALOR NEGATIVO NO PERMITIDO",IF(COUNTIF(Hoja_Trabajo!$A$6:$A$505,$I161)&lt;&gt;1,"ID INEXISTENTE O DUPLICADO EN HOJA_TRABAJO",IF(IFERROR(INDEX(Hoja_Trabajo!$Q$6:$Q$505,MATCH($I161,Hoja_Trabajo!$A$6:$A$505,0)),"")&lt;&gt;"REQUIERE ASIGNACIÓN MANUAL (VARIAS CASILLAS)","FUENTE NO REQUIERE ASIGNACIÓN MANUAL",IF(NOT(IFERROR(ISNUMBER(SEARCH("R"&amp;$C161,INDEX(Hoja_Trabajo!$G$6:$G$505,MATCH($I161,Hoja_Trabajo!$A$6:$A$505,0)))),FALSE)),"CASILLA NO SUGERIDA PARA LA FUENTE",IF(SUMIF($I$87:I160,$I161,$F$87:F160)+$D161&gt;IFERROR(INDEX(Hoja_Trabajo!$X$6:$X$505,MATCH($I161,Hoja_Trabajo!$A$6:$A$505,0)),0),"EXCEDE VALOR ORIGINAL DE LA FUENTE","DILIGENCIADO")))))))</f>
        <v/>
      </c>
      <c r="I161" s="256" t="n"/>
      <c r="J161" s="256" t="n"/>
    </row>
    <row r="162" ht="14.25" customHeight="1" s="235">
      <c r="A162" t="inlineStr">
        <is>
          <t>Asignación múltiple</t>
        </is>
      </c>
      <c r="C162" s="256" t="n"/>
      <c r="D162" s="470" t="n"/>
      <c r="E162" s="256" t="n"/>
      <c r="F162">
        <f>IF(OR($D162="",$I162="",$J162="",$C162=""),0,IF($D162&lt;0,0,IF(COUNTIF(Hoja_Trabajo!$A$6:$A$505,$I162)&lt;&gt;1,0,IF(IFERROR(INDEX(Hoja_Trabajo!$Q$6:$Q$505,MATCH($I162,Hoja_Trabajo!$A$6:$A$505,0)),"")&lt;&gt;"REQUIERE ASIGNACIÓN MANUAL (VARIAS CASILLAS)",0,IF(NOT(IFERROR(ISNUMBER(SEARCH("R"&amp;$C162,INDEX(Hoja_Trabajo!$G$6:$G$505,MATCH($I162,Hoja_Trabajo!$A$6:$A$505,0)))),FALSE)),0,IF(SUMIF($I$87:I161,$I162,$F$87:F161)+$D162&gt;IFERROR(INDEX(Hoja_Trabajo!$X$6:$X$505,MATCH($I162,Hoja_Trabajo!$A$6:$A$505,0)),0),0,$D162))))))</f>
        <v/>
      </c>
      <c r="G162">
        <f>IF(C162="","",C162)</f>
        <v/>
      </c>
      <c r="H162">
        <f>IF($D162="","SIN DATOS",IF(OR($I162="",$J162="",$C162=""),"INCOMPLETO — falta ID, casilla o justificación",IF($D162&lt;0,"VALOR NEGATIVO NO PERMITIDO",IF(COUNTIF(Hoja_Trabajo!$A$6:$A$505,$I162)&lt;&gt;1,"ID INEXISTENTE O DUPLICADO EN HOJA_TRABAJO",IF(IFERROR(INDEX(Hoja_Trabajo!$Q$6:$Q$505,MATCH($I162,Hoja_Trabajo!$A$6:$A$505,0)),"")&lt;&gt;"REQUIERE ASIGNACIÓN MANUAL (VARIAS CASILLAS)","FUENTE NO REQUIERE ASIGNACIÓN MANUAL",IF(NOT(IFERROR(ISNUMBER(SEARCH("R"&amp;$C162,INDEX(Hoja_Trabajo!$G$6:$G$505,MATCH($I162,Hoja_Trabajo!$A$6:$A$505,0)))),FALSE)),"CASILLA NO SUGERIDA PARA LA FUENTE",IF(SUMIF($I$87:I161,$I162,$F$87:F161)+$D162&gt;IFERROR(INDEX(Hoja_Trabajo!$X$6:$X$505,MATCH($I162,Hoja_Trabajo!$A$6:$A$505,0)),0),"EXCEDE VALOR ORIGINAL DE LA FUENTE","DILIGENCIADO")))))))</f>
        <v/>
      </c>
      <c r="I162" s="256" t="n"/>
      <c r="J162" s="256" t="n"/>
    </row>
    <row r="163" ht="14.25" customHeight="1" s="235">
      <c r="A163" t="inlineStr">
        <is>
          <t>Asignación múltiple</t>
        </is>
      </c>
      <c r="C163" s="256" t="n"/>
      <c r="D163" s="470" t="n"/>
      <c r="E163" s="256" t="n"/>
      <c r="F163">
        <f>IF(OR($D163="",$I163="",$J163="",$C163=""),0,IF($D163&lt;0,0,IF(COUNTIF(Hoja_Trabajo!$A$6:$A$505,$I163)&lt;&gt;1,0,IF(IFERROR(INDEX(Hoja_Trabajo!$Q$6:$Q$505,MATCH($I163,Hoja_Trabajo!$A$6:$A$505,0)),"")&lt;&gt;"REQUIERE ASIGNACIÓN MANUAL (VARIAS CASILLAS)",0,IF(NOT(IFERROR(ISNUMBER(SEARCH("R"&amp;$C163,INDEX(Hoja_Trabajo!$G$6:$G$505,MATCH($I163,Hoja_Trabajo!$A$6:$A$505,0)))),FALSE)),0,IF(SUMIF($I$87:I162,$I163,$F$87:F162)+$D163&gt;IFERROR(INDEX(Hoja_Trabajo!$X$6:$X$505,MATCH($I163,Hoja_Trabajo!$A$6:$A$505,0)),0),0,$D163))))))</f>
        <v/>
      </c>
      <c r="G163">
        <f>IF(C163="","",C163)</f>
        <v/>
      </c>
      <c r="H163">
        <f>IF($D163="","SIN DATOS",IF(OR($I163="",$J163="",$C163=""),"INCOMPLETO — falta ID, casilla o justificación",IF($D163&lt;0,"VALOR NEGATIVO NO PERMITIDO",IF(COUNTIF(Hoja_Trabajo!$A$6:$A$505,$I163)&lt;&gt;1,"ID INEXISTENTE O DUPLICADO EN HOJA_TRABAJO",IF(IFERROR(INDEX(Hoja_Trabajo!$Q$6:$Q$505,MATCH($I163,Hoja_Trabajo!$A$6:$A$505,0)),"")&lt;&gt;"REQUIERE ASIGNACIÓN MANUAL (VARIAS CASILLAS)","FUENTE NO REQUIERE ASIGNACIÓN MANUAL",IF(NOT(IFERROR(ISNUMBER(SEARCH("R"&amp;$C163,INDEX(Hoja_Trabajo!$G$6:$G$505,MATCH($I163,Hoja_Trabajo!$A$6:$A$505,0)))),FALSE)),"CASILLA NO SUGERIDA PARA LA FUENTE",IF(SUMIF($I$87:I162,$I163,$F$87:F162)+$D163&gt;IFERROR(INDEX(Hoja_Trabajo!$X$6:$X$505,MATCH($I163,Hoja_Trabajo!$A$6:$A$505,0)),0),"EXCEDE VALOR ORIGINAL DE LA FUENTE","DILIGENCIADO")))))))</f>
        <v/>
      </c>
      <c r="I163" s="256" t="n"/>
      <c r="J163" s="256" t="n"/>
    </row>
    <row r="164" ht="14.25" customHeight="1" s="235">
      <c r="A164" t="inlineStr">
        <is>
          <t>Asignación múltiple</t>
        </is>
      </c>
      <c r="C164" s="256" t="n"/>
      <c r="D164" s="470" t="n"/>
      <c r="E164" s="256" t="n"/>
      <c r="F164">
        <f>IF(OR($D164="",$I164="",$J164="",$C164=""),0,IF($D164&lt;0,0,IF(COUNTIF(Hoja_Trabajo!$A$6:$A$505,$I164)&lt;&gt;1,0,IF(IFERROR(INDEX(Hoja_Trabajo!$Q$6:$Q$505,MATCH($I164,Hoja_Trabajo!$A$6:$A$505,0)),"")&lt;&gt;"REQUIERE ASIGNACIÓN MANUAL (VARIAS CASILLAS)",0,IF(NOT(IFERROR(ISNUMBER(SEARCH("R"&amp;$C164,INDEX(Hoja_Trabajo!$G$6:$G$505,MATCH($I164,Hoja_Trabajo!$A$6:$A$505,0)))),FALSE)),0,IF(SUMIF($I$87:I163,$I164,$F$87:F163)+$D164&gt;IFERROR(INDEX(Hoja_Trabajo!$X$6:$X$505,MATCH($I164,Hoja_Trabajo!$A$6:$A$505,0)),0),0,$D164))))))</f>
        <v/>
      </c>
      <c r="G164">
        <f>IF(C164="","",C164)</f>
        <v/>
      </c>
      <c r="H164">
        <f>IF($D164="","SIN DATOS",IF(OR($I164="",$J164="",$C164=""),"INCOMPLETO — falta ID, casilla o justificación",IF($D164&lt;0,"VALOR NEGATIVO NO PERMITIDO",IF(COUNTIF(Hoja_Trabajo!$A$6:$A$505,$I164)&lt;&gt;1,"ID INEXISTENTE O DUPLICADO EN HOJA_TRABAJO",IF(IFERROR(INDEX(Hoja_Trabajo!$Q$6:$Q$505,MATCH($I164,Hoja_Trabajo!$A$6:$A$505,0)),"")&lt;&gt;"REQUIERE ASIGNACIÓN MANUAL (VARIAS CASILLAS)","FUENTE NO REQUIERE ASIGNACIÓN MANUAL",IF(NOT(IFERROR(ISNUMBER(SEARCH("R"&amp;$C164,INDEX(Hoja_Trabajo!$G$6:$G$505,MATCH($I164,Hoja_Trabajo!$A$6:$A$505,0)))),FALSE)),"CASILLA NO SUGERIDA PARA LA FUENTE",IF(SUMIF($I$87:I163,$I164,$F$87:F163)+$D164&gt;IFERROR(INDEX(Hoja_Trabajo!$X$6:$X$505,MATCH($I164,Hoja_Trabajo!$A$6:$A$505,0)),0),"EXCEDE VALOR ORIGINAL DE LA FUENTE","DILIGENCIADO")))))))</f>
        <v/>
      </c>
      <c r="I164" s="256" t="n"/>
      <c r="J164" s="256" t="n"/>
    </row>
    <row r="165" ht="14.25" customHeight="1" s="235">
      <c r="A165" t="inlineStr">
        <is>
          <t>Asignación múltiple</t>
        </is>
      </c>
      <c r="C165" s="256" t="n"/>
      <c r="D165" s="470" t="n"/>
      <c r="E165" s="256" t="n"/>
      <c r="F165">
        <f>IF(OR($D165="",$I165="",$J165="",$C165=""),0,IF($D165&lt;0,0,IF(COUNTIF(Hoja_Trabajo!$A$6:$A$505,$I165)&lt;&gt;1,0,IF(IFERROR(INDEX(Hoja_Trabajo!$Q$6:$Q$505,MATCH($I165,Hoja_Trabajo!$A$6:$A$505,0)),"")&lt;&gt;"REQUIERE ASIGNACIÓN MANUAL (VARIAS CASILLAS)",0,IF(NOT(IFERROR(ISNUMBER(SEARCH("R"&amp;$C165,INDEX(Hoja_Trabajo!$G$6:$G$505,MATCH($I165,Hoja_Trabajo!$A$6:$A$505,0)))),FALSE)),0,IF(SUMIF($I$87:I164,$I165,$F$87:F164)+$D165&gt;IFERROR(INDEX(Hoja_Trabajo!$X$6:$X$505,MATCH($I165,Hoja_Trabajo!$A$6:$A$505,0)),0),0,$D165))))))</f>
        <v/>
      </c>
      <c r="G165">
        <f>IF(C165="","",C165)</f>
        <v/>
      </c>
      <c r="H165">
        <f>IF($D165="","SIN DATOS",IF(OR($I165="",$J165="",$C165=""),"INCOMPLETO — falta ID, casilla o justificación",IF($D165&lt;0,"VALOR NEGATIVO NO PERMITIDO",IF(COUNTIF(Hoja_Trabajo!$A$6:$A$505,$I165)&lt;&gt;1,"ID INEXISTENTE O DUPLICADO EN HOJA_TRABAJO",IF(IFERROR(INDEX(Hoja_Trabajo!$Q$6:$Q$505,MATCH($I165,Hoja_Trabajo!$A$6:$A$505,0)),"")&lt;&gt;"REQUIERE ASIGNACIÓN MANUAL (VARIAS CASILLAS)","FUENTE NO REQUIERE ASIGNACIÓN MANUAL",IF(NOT(IFERROR(ISNUMBER(SEARCH("R"&amp;$C165,INDEX(Hoja_Trabajo!$G$6:$G$505,MATCH($I165,Hoja_Trabajo!$A$6:$A$505,0)))),FALSE)),"CASILLA NO SUGERIDA PARA LA FUENTE",IF(SUMIF($I$87:I164,$I165,$F$87:F164)+$D165&gt;IFERROR(INDEX(Hoja_Trabajo!$X$6:$X$505,MATCH($I165,Hoja_Trabajo!$A$6:$A$505,0)),0),"EXCEDE VALOR ORIGINAL DE LA FUENTE","DILIGENCIADO")))))))</f>
        <v/>
      </c>
      <c r="I165" s="256" t="n"/>
      <c r="J165" s="256" t="n"/>
    </row>
    <row r="166" ht="14.25" customHeight="1" s="235">
      <c r="A166" t="inlineStr">
        <is>
          <t>Asignación múltiple</t>
        </is>
      </c>
      <c r="C166" s="256" t="n"/>
      <c r="D166" s="470" t="n"/>
      <c r="E166" s="256" t="n"/>
      <c r="F166">
        <f>IF(OR($D166="",$I166="",$J166="",$C166=""),0,IF($D166&lt;0,0,IF(COUNTIF(Hoja_Trabajo!$A$6:$A$505,$I166)&lt;&gt;1,0,IF(IFERROR(INDEX(Hoja_Trabajo!$Q$6:$Q$505,MATCH($I166,Hoja_Trabajo!$A$6:$A$505,0)),"")&lt;&gt;"REQUIERE ASIGNACIÓN MANUAL (VARIAS CASILLAS)",0,IF(NOT(IFERROR(ISNUMBER(SEARCH("R"&amp;$C166,INDEX(Hoja_Trabajo!$G$6:$G$505,MATCH($I166,Hoja_Trabajo!$A$6:$A$505,0)))),FALSE)),0,IF(SUMIF($I$87:I165,$I166,$F$87:F165)+$D166&gt;IFERROR(INDEX(Hoja_Trabajo!$X$6:$X$505,MATCH($I166,Hoja_Trabajo!$A$6:$A$505,0)),0),0,$D166))))))</f>
        <v/>
      </c>
      <c r="G166">
        <f>IF(C166="","",C166)</f>
        <v/>
      </c>
      <c r="H166">
        <f>IF($D166="","SIN DATOS",IF(OR($I166="",$J166="",$C166=""),"INCOMPLETO — falta ID, casilla o justificación",IF($D166&lt;0,"VALOR NEGATIVO NO PERMITIDO",IF(COUNTIF(Hoja_Trabajo!$A$6:$A$505,$I166)&lt;&gt;1,"ID INEXISTENTE O DUPLICADO EN HOJA_TRABAJO",IF(IFERROR(INDEX(Hoja_Trabajo!$Q$6:$Q$505,MATCH($I166,Hoja_Trabajo!$A$6:$A$505,0)),"")&lt;&gt;"REQUIERE ASIGNACIÓN MANUAL (VARIAS CASILLAS)","FUENTE NO REQUIERE ASIGNACIÓN MANUAL",IF(NOT(IFERROR(ISNUMBER(SEARCH("R"&amp;$C166,INDEX(Hoja_Trabajo!$G$6:$G$505,MATCH($I166,Hoja_Trabajo!$A$6:$A$505,0)))),FALSE)),"CASILLA NO SUGERIDA PARA LA FUENTE",IF(SUMIF($I$87:I165,$I166,$F$87:F165)+$D166&gt;IFERROR(INDEX(Hoja_Trabajo!$X$6:$X$505,MATCH($I166,Hoja_Trabajo!$A$6:$A$505,0)),0),"EXCEDE VALOR ORIGINAL DE LA FUENTE","DILIGENCIADO")))))))</f>
        <v/>
      </c>
      <c r="I166" s="256" t="n"/>
      <c r="J166" s="256" t="n"/>
    </row>
    <row r="167" ht="14.25" customHeight="1" s="235">
      <c r="A167" t="inlineStr">
        <is>
          <t>Asignación múltiple</t>
        </is>
      </c>
      <c r="C167" s="256" t="n"/>
      <c r="D167" s="470" t="n"/>
      <c r="E167" s="256" t="n"/>
      <c r="F167">
        <f>IF(OR($D167="",$I167="",$J167="",$C167=""),0,IF($D167&lt;0,0,IF(COUNTIF(Hoja_Trabajo!$A$6:$A$505,$I167)&lt;&gt;1,0,IF(IFERROR(INDEX(Hoja_Trabajo!$Q$6:$Q$505,MATCH($I167,Hoja_Trabajo!$A$6:$A$505,0)),"")&lt;&gt;"REQUIERE ASIGNACIÓN MANUAL (VARIAS CASILLAS)",0,IF(NOT(IFERROR(ISNUMBER(SEARCH("R"&amp;$C167,INDEX(Hoja_Trabajo!$G$6:$G$505,MATCH($I167,Hoja_Trabajo!$A$6:$A$505,0)))),FALSE)),0,IF(SUMIF($I$87:I166,$I167,$F$87:F166)+$D167&gt;IFERROR(INDEX(Hoja_Trabajo!$X$6:$X$505,MATCH($I167,Hoja_Trabajo!$A$6:$A$505,0)),0),0,$D167))))))</f>
        <v/>
      </c>
      <c r="G167">
        <f>IF(C167="","",C167)</f>
        <v/>
      </c>
      <c r="H167">
        <f>IF($D167="","SIN DATOS",IF(OR($I167="",$J167="",$C167=""),"INCOMPLETO — falta ID, casilla o justificación",IF($D167&lt;0,"VALOR NEGATIVO NO PERMITIDO",IF(COUNTIF(Hoja_Trabajo!$A$6:$A$505,$I167)&lt;&gt;1,"ID INEXISTENTE O DUPLICADO EN HOJA_TRABAJO",IF(IFERROR(INDEX(Hoja_Trabajo!$Q$6:$Q$505,MATCH($I167,Hoja_Trabajo!$A$6:$A$505,0)),"")&lt;&gt;"REQUIERE ASIGNACIÓN MANUAL (VARIAS CASILLAS)","FUENTE NO REQUIERE ASIGNACIÓN MANUAL",IF(NOT(IFERROR(ISNUMBER(SEARCH("R"&amp;$C167,INDEX(Hoja_Trabajo!$G$6:$G$505,MATCH($I167,Hoja_Trabajo!$A$6:$A$505,0)))),FALSE)),"CASILLA NO SUGERIDA PARA LA FUENTE",IF(SUMIF($I$87:I166,$I167,$F$87:F166)+$D167&gt;IFERROR(INDEX(Hoja_Trabajo!$X$6:$X$505,MATCH($I167,Hoja_Trabajo!$A$6:$A$505,0)),0),"EXCEDE VALOR ORIGINAL DE LA FUENTE","DILIGENCIADO")))))))</f>
        <v/>
      </c>
      <c r="I167" s="256" t="n"/>
      <c r="J167" s="256" t="n"/>
    </row>
    <row r="168" ht="14.25" customHeight="1" s="235">
      <c r="A168" t="inlineStr">
        <is>
          <t>Asignación múltiple</t>
        </is>
      </c>
      <c r="C168" s="256" t="n"/>
      <c r="D168" s="470" t="n"/>
      <c r="E168" s="256" t="n"/>
      <c r="F168">
        <f>IF(OR($D168="",$I168="",$J168="",$C168=""),0,IF($D168&lt;0,0,IF(COUNTIF(Hoja_Trabajo!$A$6:$A$505,$I168)&lt;&gt;1,0,IF(IFERROR(INDEX(Hoja_Trabajo!$Q$6:$Q$505,MATCH($I168,Hoja_Trabajo!$A$6:$A$505,0)),"")&lt;&gt;"REQUIERE ASIGNACIÓN MANUAL (VARIAS CASILLAS)",0,IF(NOT(IFERROR(ISNUMBER(SEARCH("R"&amp;$C168,INDEX(Hoja_Trabajo!$G$6:$G$505,MATCH($I168,Hoja_Trabajo!$A$6:$A$505,0)))),FALSE)),0,IF(SUMIF($I$87:I167,$I168,$F$87:F167)+$D168&gt;IFERROR(INDEX(Hoja_Trabajo!$X$6:$X$505,MATCH($I168,Hoja_Trabajo!$A$6:$A$505,0)),0),0,$D168))))))</f>
        <v/>
      </c>
      <c r="G168">
        <f>IF(C168="","",C168)</f>
        <v/>
      </c>
      <c r="H168">
        <f>IF($D168="","SIN DATOS",IF(OR($I168="",$J168="",$C168=""),"INCOMPLETO — falta ID, casilla o justificación",IF($D168&lt;0,"VALOR NEGATIVO NO PERMITIDO",IF(COUNTIF(Hoja_Trabajo!$A$6:$A$505,$I168)&lt;&gt;1,"ID INEXISTENTE O DUPLICADO EN HOJA_TRABAJO",IF(IFERROR(INDEX(Hoja_Trabajo!$Q$6:$Q$505,MATCH($I168,Hoja_Trabajo!$A$6:$A$505,0)),"")&lt;&gt;"REQUIERE ASIGNACIÓN MANUAL (VARIAS CASILLAS)","FUENTE NO REQUIERE ASIGNACIÓN MANUAL",IF(NOT(IFERROR(ISNUMBER(SEARCH("R"&amp;$C168,INDEX(Hoja_Trabajo!$G$6:$G$505,MATCH($I168,Hoja_Trabajo!$A$6:$A$505,0)))),FALSE)),"CASILLA NO SUGERIDA PARA LA FUENTE",IF(SUMIF($I$87:I167,$I168,$F$87:F167)+$D168&gt;IFERROR(INDEX(Hoja_Trabajo!$X$6:$X$505,MATCH($I168,Hoja_Trabajo!$A$6:$A$505,0)),0),"EXCEDE VALOR ORIGINAL DE LA FUENTE","DILIGENCIADO")))))))</f>
        <v/>
      </c>
      <c r="I168" s="256" t="n"/>
      <c r="J168" s="256" t="n"/>
    </row>
    <row r="169" ht="14.25" customHeight="1" s="235">
      <c r="A169" t="inlineStr">
        <is>
          <t>Asignación múltiple</t>
        </is>
      </c>
      <c r="C169" s="256" t="n"/>
      <c r="D169" s="470" t="n"/>
      <c r="E169" s="256" t="n"/>
      <c r="F169">
        <f>IF(OR($D169="",$I169="",$J169="",$C169=""),0,IF($D169&lt;0,0,IF(COUNTIF(Hoja_Trabajo!$A$6:$A$505,$I169)&lt;&gt;1,0,IF(IFERROR(INDEX(Hoja_Trabajo!$Q$6:$Q$505,MATCH($I169,Hoja_Trabajo!$A$6:$A$505,0)),"")&lt;&gt;"REQUIERE ASIGNACIÓN MANUAL (VARIAS CASILLAS)",0,IF(NOT(IFERROR(ISNUMBER(SEARCH("R"&amp;$C169,INDEX(Hoja_Trabajo!$G$6:$G$505,MATCH($I169,Hoja_Trabajo!$A$6:$A$505,0)))),FALSE)),0,IF(SUMIF($I$87:I168,$I169,$F$87:F168)+$D169&gt;IFERROR(INDEX(Hoja_Trabajo!$X$6:$X$505,MATCH($I169,Hoja_Trabajo!$A$6:$A$505,0)),0),0,$D169))))))</f>
        <v/>
      </c>
      <c r="G169">
        <f>IF(C169="","",C169)</f>
        <v/>
      </c>
      <c r="H169">
        <f>IF($D169="","SIN DATOS",IF(OR($I169="",$J169="",$C169=""),"INCOMPLETO — falta ID, casilla o justificación",IF($D169&lt;0,"VALOR NEGATIVO NO PERMITIDO",IF(COUNTIF(Hoja_Trabajo!$A$6:$A$505,$I169)&lt;&gt;1,"ID INEXISTENTE O DUPLICADO EN HOJA_TRABAJO",IF(IFERROR(INDEX(Hoja_Trabajo!$Q$6:$Q$505,MATCH($I169,Hoja_Trabajo!$A$6:$A$505,0)),"")&lt;&gt;"REQUIERE ASIGNACIÓN MANUAL (VARIAS CASILLAS)","FUENTE NO REQUIERE ASIGNACIÓN MANUAL",IF(NOT(IFERROR(ISNUMBER(SEARCH("R"&amp;$C169,INDEX(Hoja_Trabajo!$G$6:$G$505,MATCH($I169,Hoja_Trabajo!$A$6:$A$505,0)))),FALSE)),"CASILLA NO SUGERIDA PARA LA FUENTE",IF(SUMIF($I$87:I168,$I169,$F$87:F168)+$D169&gt;IFERROR(INDEX(Hoja_Trabajo!$X$6:$X$505,MATCH($I169,Hoja_Trabajo!$A$6:$A$505,0)),0),"EXCEDE VALOR ORIGINAL DE LA FUENTE","DILIGENCIADO")))))))</f>
        <v/>
      </c>
      <c r="I169" s="256" t="n"/>
      <c r="J169" s="256" t="n"/>
    </row>
    <row r="170" ht="14.25" customHeight="1" s="235">
      <c r="A170" t="inlineStr">
        <is>
          <t>Asignación múltiple</t>
        </is>
      </c>
      <c r="C170" s="256" t="n"/>
      <c r="D170" s="470" t="n"/>
      <c r="E170" s="256" t="n"/>
      <c r="F170">
        <f>IF(OR($D170="",$I170="",$J170="",$C170=""),0,IF($D170&lt;0,0,IF(COUNTIF(Hoja_Trabajo!$A$6:$A$505,$I170)&lt;&gt;1,0,IF(IFERROR(INDEX(Hoja_Trabajo!$Q$6:$Q$505,MATCH($I170,Hoja_Trabajo!$A$6:$A$505,0)),"")&lt;&gt;"REQUIERE ASIGNACIÓN MANUAL (VARIAS CASILLAS)",0,IF(NOT(IFERROR(ISNUMBER(SEARCH("R"&amp;$C170,INDEX(Hoja_Trabajo!$G$6:$G$505,MATCH($I170,Hoja_Trabajo!$A$6:$A$505,0)))),FALSE)),0,IF(SUMIF($I$87:I169,$I170,$F$87:F169)+$D170&gt;IFERROR(INDEX(Hoja_Trabajo!$X$6:$X$505,MATCH($I170,Hoja_Trabajo!$A$6:$A$505,0)),0),0,$D170))))))</f>
        <v/>
      </c>
      <c r="G170">
        <f>IF(C170="","",C170)</f>
        <v/>
      </c>
      <c r="H170">
        <f>IF($D170="","SIN DATOS",IF(OR($I170="",$J170="",$C170=""),"INCOMPLETO — falta ID, casilla o justificación",IF($D170&lt;0,"VALOR NEGATIVO NO PERMITIDO",IF(COUNTIF(Hoja_Trabajo!$A$6:$A$505,$I170)&lt;&gt;1,"ID INEXISTENTE O DUPLICADO EN HOJA_TRABAJO",IF(IFERROR(INDEX(Hoja_Trabajo!$Q$6:$Q$505,MATCH($I170,Hoja_Trabajo!$A$6:$A$505,0)),"")&lt;&gt;"REQUIERE ASIGNACIÓN MANUAL (VARIAS CASILLAS)","FUENTE NO REQUIERE ASIGNACIÓN MANUAL",IF(NOT(IFERROR(ISNUMBER(SEARCH("R"&amp;$C170,INDEX(Hoja_Trabajo!$G$6:$G$505,MATCH($I170,Hoja_Trabajo!$A$6:$A$505,0)))),FALSE)),"CASILLA NO SUGERIDA PARA LA FUENTE",IF(SUMIF($I$87:I169,$I170,$F$87:F169)+$D170&gt;IFERROR(INDEX(Hoja_Trabajo!$X$6:$X$505,MATCH($I170,Hoja_Trabajo!$A$6:$A$505,0)),0),"EXCEDE VALOR ORIGINAL DE LA FUENTE","DILIGENCIADO")))))))</f>
        <v/>
      </c>
      <c r="I170" s="256" t="n"/>
      <c r="J170" s="256" t="n"/>
    </row>
    <row r="171" ht="14.25" customHeight="1" s="235">
      <c r="A171" t="inlineStr">
        <is>
          <t>Asignación múltiple</t>
        </is>
      </c>
      <c r="C171" s="256" t="n"/>
      <c r="D171" s="470" t="n"/>
      <c r="E171" s="256" t="n"/>
      <c r="F171">
        <f>IF(OR($D171="",$I171="",$J171="",$C171=""),0,IF($D171&lt;0,0,IF(COUNTIF(Hoja_Trabajo!$A$6:$A$505,$I171)&lt;&gt;1,0,IF(IFERROR(INDEX(Hoja_Trabajo!$Q$6:$Q$505,MATCH($I171,Hoja_Trabajo!$A$6:$A$505,0)),"")&lt;&gt;"REQUIERE ASIGNACIÓN MANUAL (VARIAS CASILLAS)",0,IF(NOT(IFERROR(ISNUMBER(SEARCH("R"&amp;$C171,INDEX(Hoja_Trabajo!$G$6:$G$505,MATCH($I171,Hoja_Trabajo!$A$6:$A$505,0)))),FALSE)),0,IF(SUMIF($I$87:I170,$I171,$F$87:F170)+$D171&gt;IFERROR(INDEX(Hoja_Trabajo!$X$6:$X$505,MATCH($I171,Hoja_Trabajo!$A$6:$A$505,0)),0),0,$D171))))))</f>
        <v/>
      </c>
      <c r="G171">
        <f>IF(C171="","",C171)</f>
        <v/>
      </c>
      <c r="H171">
        <f>IF($D171="","SIN DATOS",IF(OR($I171="",$J171="",$C171=""),"INCOMPLETO — falta ID, casilla o justificación",IF($D171&lt;0,"VALOR NEGATIVO NO PERMITIDO",IF(COUNTIF(Hoja_Trabajo!$A$6:$A$505,$I171)&lt;&gt;1,"ID INEXISTENTE O DUPLICADO EN HOJA_TRABAJO",IF(IFERROR(INDEX(Hoja_Trabajo!$Q$6:$Q$505,MATCH($I171,Hoja_Trabajo!$A$6:$A$505,0)),"")&lt;&gt;"REQUIERE ASIGNACIÓN MANUAL (VARIAS CASILLAS)","FUENTE NO REQUIERE ASIGNACIÓN MANUAL",IF(NOT(IFERROR(ISNUMBER(SEARCH("R"&amp;$C171,INDEX(Hoja_Trabajo!$G$6:$G$505,MATCH($I171,Hoja_Trabajo!$A$6:$A$505,0)))),FALSE)),"CASILLA NO SUGERIDA PARA LA FUENTE",IF(SUMIF($I$87:I170,$I171,$F$87:F170)+$D171&gt;IFERROR(INDEX(Hoja_Trabajo!$X$6:$X$505,MATCH($I171,Hoja_Trabajo!$A$6:$A$505,0)),0),"EXCEDE VALOR ORIGINAL DE LA FUENTE","DILIGENCIADO")))))))</f>
        <v/>
      </c>
      <c r="I171" s="256" t="n"/>
      <c r="J171" s="256" t="n"/>
    </row>
    <row r="172" ht="14.25" customHeight="1" s="235">
      <c r="A172" t="inlineStr">
        <is>
          <t>Asignación múltiple</t>
        </is>
      </c>
      <c r="C172" s="256" t="n"/>
      <c r="D172" s="470" t="n"/>
      <c r="E172" s="256" t="n"/>
      <c r="F172">
        <f>IF(OR($D172="",$I172="",$J172="",$C172=""),0,IF($D172&lt;0,0,IF(COUNTIF(Hoja_Trabajo!$A$6:$A$505,$I172)&lt;&gt;1,0,IF(IFERROR(INDEX(Hoja_Trabajo!$Q$6:$Q$505,MATCH($I172,Hoja_Trabajo!$A$6:$A$505,0)),"")&lt;&gt;"REQUIERE ASIGNACIÓN MANUAL (VARIAS CASILLAS)",0,IF(NOT(IFERROR(ISNUMBER(SEARCH("R"&amp;$C172,INDEX(Hoja_Trabajo!$G$6:$G$505,MATCH($I172,Hoja_Trabajo!$A$6:$A$505,0)))),FALSE)),0,IF(SUMIF($I$87:I171,$I172,$F$87:F171)+$D172&gt;IFERROR(INDEX(Hoja_Trabajo!$X$6:$X$505,MATCH($I172,Hoja_Trabajo!$A$6:$A$505,0)),0),0,$D172))))))</f>
        <v/>
      </c>
      <c r="G172">
        <f>IF(C172="","",C172)</f>
        <v/>
      </c>
      <c r="H172">
        <f>IF($D172="","SIN DATOS",IF(OR($I172="",$J172="",$C172=""),"INCOMPLETO — falta ID, casilla o justificación",IF($D172&lt;0,"VALOR NEGATIVO NO PERMITIDO",IF(COUNTIF(Hoja_Trabajo!$A$6:$A$505,$I172)&lt;&gt;1,"ID INEXISTENTE O DUPLICADO EN HOJA_TRABAJO",IF(IFERROR(INDEX(Hoja_Trabajo!$Q$6:$Q$505,MATCH($I172,Hoja_Trabajo!$A$6:$A$505,0)),"")&lt;&gt;"REQUIERE ASIGNACIÓN MANUAL (VARIAS CASILLAS)","FUENTE NO REQUIERE ASIGNACIÓN MANUAL",IF(NOT(IFERROR(ISNUMBER(SEARCH("R"&amp;$C172,INDEX(Hoja_Trabajo!$G$6:$G$505,MATCH($I172,Hoja_Trabajo!$A$6:$A$505,0)))),FALSE)),"CASILLA NO SUGERIDA PARA LA FUENTE",IF(SUMIF($I$87:I171,$I172,$F$87:F171)+$D172&gt;IFERROR(INDEX(Hoja_Trabajo!$X$6:$X$505,MATCH($I172,Hoja_Trabajo!$A$6:$A$505,0)),0),"EXCEDE VALOR ORIGINAL DE LA FUENTE","DILIGENCIADO")))))))</f>
        <v/>
      </c>
      <c r="I172" s="256" t="n"/>
      <c r="J172" s="256" t="n"/>
    </row>
    <row r="173" ht="14.25" customHeight="1" s="235">
      <c r="A173" t="inlineStr">
        <is>
          <t>Asignación múltiple</t>
        </is>
      </c>
      <c r="C173" s="256" t="n"/>
      <c r="D173" s="470" t="n"/>
      <c r="E173" s="256" t="n"/>
      <c r="F173">
        <f>IF(OR($D173="",$I173="",$J173="",$C173=""),0,IF($D173&lt;0,0,IF(COUNTIF(Hoja_Trabajo!$A$6:$A$505,$I173)&lt;&gt;1,0,IF(IFERROR(INDEX(Hoja_Trabajo!$Q$6:$Q$505,MATCH($I173,Hoja_Trabajo!$A$6:$A$505,0)),"")&lt;&gt;"REQUIERE ASIGNACIÓN MANUAL (VARIAS CASILLAS)",0,IF(NOT(IFERROR(ISNUMBER(SEARCH("R"&amp;$C173,INDEX(Hoja_Trabajo!$G$6:$G$505,MATCH($I173,Hoja_Trabajo!$A$6:$A$505,0)))),FALSE)),0,IF(SUMIF($I$87:I172,$I173,$F$87:F172)+$D173&gt;IFERROR(INDEX(Hoja_Trabajo!$X$6:$X$505,MATCH($I173,Hoja_Trabajo!$A$6:$A$505,0)),0),0,$D173))))))</f>
        <v/>
      </c>
      <c r="G173">
        <f>IF(C173="","",C173)</f>
        <v/>
      </c>
      <c r="H173">
        <f>IF($D173="","SIN DATOS",IF(OR($I173="",$J173="",$C173=""),"INCOMPLETO — falta ID, casilla o justificación",IF($D173&lt;0,"VALOR NEGATIVO NO PERMITIDO",IF(COUNTIF(Hoja_Trabajo!$A$6:$A$505,$I173)&lt;&gt;1,"ID INEXISTENTE O DUPLICADO EN HOJA_TRABAJO",IF(IFERROR(INDEX(Hoja_Trabajo!$Q$6:$Q$505,MATCH($I173,Hoja_Trabajo!$A$6:$A$505,0)),"")&lt;&gt;"REQUIERE ASIGNACIÓN MANUAL (VARIAS CASILLAS)","FUENTE NO REQUIERE ASIGNACIÓN MANUAL",IF(NOT(IFERROR(ISNUMBER(SEARCH("R"&amp;$C173,INDEX(Hoja_Trabajo!$G$6:$G$505,MATCH($I173,Hoja_Trabajo!$A$6:$A$505,0)))),FALSE)),"CASILLA NO SUGERIDA PARA LA FUENTE",IF(SUMIF($I$87:I172,$I173,$F$87:F172)+$D173&gt;IFERROR(INDEX(Hoja_Trabajo!$X$6:$X$505,MATCH($I173,Hoja_Trabajo!$A$6:$A$505,0)),0),"EXCEDE VALOR ORIGINAL DE LA FUENTE","DILIGENCIADO")))))))</f>
        <v/>
      </c>
      <c r="I173" s="256" t="n"/>
      <c r="J173" s="256" t="n"/>
    </row>
    <row r="174" ht="14.25" customHeight="1" s="235">
      <c r="A174" t="inlineStr">
        <is>
          <t>Asignación múltiple</t>
        </is>
      </c>
      <c r="C174" s="256" t="n"/>
      <c r="D174" s="470" t="n"/>
      <c r="E174" s="256" t="n"/>
      <c r="F174">
        <f>IF(OR($D174="",$I174="",$J174="",$C174=""),0,IF($D174&lt;0,0,IF(COUNTIF(Hoja_Trabajo!$A$6:$A$505,$I174)&lt;&gt;1,0,IF(IFERROR(INDEX(Hoja_Trabajo!$Q$6:$Q$505,MATCH($I174,Hoja_Trabajo!$A$6:$A$505,0)),"")&lt;&gt;"REQUIERE ASIGNACIÓN MANUAL (VARIAS CASILLAS)",0,IF(NOT(IFERROR(ISNUMBER(SEARCH("R"&amp;$C174,INDEX(Hoja_Trabajo!$G$6:$G$505,MATCH($I174,Hoja_Trabajo!$A$6:$A$505,0)))),FALSE)),0,IF(SUMIF($I$87:I173,$I174,$F$87:F173)+$D174&gt;IFERROR(INDEX(Hoja_Trabajo!$X$6:$X$505,MATCH($I174,Hoja_Trabajo!$A$6:$A$505,0)),0),0,$D174))))))</f>
        <v/>
      </c>
      <c r="G174">
        <f>IF(C174="","",C174)</f>
        <v/>
      </c>
      <c r="H174">
        <f>IF($D174="","SIN DATOS",IF(OR($I174="",$J174="",$C174=""),"INCOMPLETO — falta ID, casilla o justificación",IF($D174&lt;0,"VALOR NEGATIVO NO PERMITIDO",IF(COUNTIF(Hoja_Trabajo!$A$6:$A$505,$I174)&lt;&gt;1,"ID INEXISTENTE O DUPLICADO EN HOJA_TRABAJO",IF(IFERROR(INDEX(Hoja_Trabajo!$Q$6:$Q$505,MATCH($I174,Hoja_Trabajo!$A$6:$A$505,0)),"")&lt;&gt;"REQUIERE ASIGNACIÓN MANUAL (VARIAS CASILLAS)","FUENTE NO REQUIERE ASIGNACIÓN MANUAL",IF(NOT(IFERROR(ISNUMBER(SEARCH("R"&amp;$C174,INDEX(Hoja_Trabajo!$G$6:$G$505,MATCH($I174,Hoja_Trabajo!$A$6:$A$505,0)))),FALSE)),"CASILLA NO SUGERIDA PARA LA FUENTE",IF(SUMIF($I$87:I173,$I174,$F$87:F173)+$D174&gt;IFERROR(INDEX(Hoja_Trabajo!$X$6:$X$505,MATCH($I174,Hoja_Trabajo!$A$6:$A$505,0)),0),"EXCEDE VALOR ORIGINAL DE LA FUENTE","DILIGENCIADO")))))))</f>
        <v/>
      </c>
      <c r="I174" s="256" t="n"/>
      <c r="J174" s="256" t="n"/>
    </row>
    <row r="175" ht="14.25" customHeight="1" s="235">
      <c r="A175" t="inlineStr">
        <is>
          <t>Asignación múltiple</t>
        </is>
      </c>
      <c r="C175" s="256" t="n"/>
      <c r="D175" s="470" t="n"/>
      <c r="E175" s="256" t="n"/>
      <c r="F175">
        <f>IF(OR($D175="",$I175="",$J175="",$C175=""),0,IF($D175&lt;0,0,IF(COUNTIF(Hoja_Trabajo!$A$6:$A$505,$I175)&lt;&gt;1,0,IF(IFERROR(INDEX(Hoja_Trabajo!$Q$6:$Q$505,MATCH($I175,Hoja_Trabajo!$A$6:$A$505,0)),"")&lt;&gt;"REQUIERE ASIGNACIÓN MANUAL (VARIAS CASILLAS)",0,IF(NOT(IFERROR(ISNUMBER(SEARCH("R"&amp;$C175,INDEX(Hoja_Trabajo!$G$6:$G$505,MATCH($I175,Hoja_Trabajo!$A$6:$A$505,0)))),FALSE)),0,IF(SUMIF($I$87:I174,$I175,$F$87:F174)+$D175&gt;IFERROR(INDEX(Hoja_Trabajo!$X$6:$X$505,MATCH($I175,Hoja_Trabajo!$A$6:$A$505,0)),0),0,$D175))))))</f>
        <v/>
      </c>
      <c r="G175">
        <f>IF(C175="","",C175)</f>
        <v/>
      </c>
      <c r="H175">
        <f>IF($D175="","SIN DATOS",IF(OR($I175="",$J175="",$C175=""),"INCOMPLETO — falta ID, casilla o justificación",IF($D175&lt;0,"VALOR NEGATIVO NO PERMITIDO",IF(COUNTIF(Hoja_Trabajo!$A$6:$A$505,$I175)&lt;&gt;1,"ID INEXISTENTE O DUPLICADO EN HOJA_TRABAJO",IF(IFERROR(INDEX(Hoja_Trabajo!$Q$6:$Q$505,MATCH($I175,Hoja_Trabajo!$A$6:$A$505,0)),"")&lt;&gt;"REQUIERE ASIGNACIÓN MANUAL (VARIAS CASILLAS)","FUENTE NO REQUIERE ASIGNACIÓN MANUAL",IF(NOT(IFERROR(ISNUMBER(SEARCH("R"&amp;$C175,INDEX(Hoja_Trabajo!$G$6:$G$505,MATCH($I175,Hoja_Trabajo!$A$6:$A$505,0)))),FALSE)),"CASILLA NO SUGERIDA PARA LA FUENTE",IF(SUMIF($I$87:I174,$I175,$F$87:F174)+$D175&gt;IFERROR(INDEX(Hoja_Trabajo!$X$6:$X$505,MATCH($I175,Hoja_Trabajo!$A$6:$A$505,0)),0),"EXCEDE VALOR ORIGINAL DE LA FUENTE","DILIGENCIADO")))))))</f>
        <v/>
      </c>
      <c r="I175" s="256" t="n"/>
      <c r="J175" s="256" t="n"/>
    </row>
    <row r="176" ht="14.25" customHeight="1" s="235">
      <c r="A176" t="inlineStr">
        <is>
          <t>Asignación múltiple</t>
        </is>
      </c>
      <c r="C176" s="256" t="n"/>
      <c r="D176" s="470" t="n"/>
      <c r="E176" s="256" t="n"/>
      <c r="F176">
        <f>IF(OR($D176="",$I176="",$J176="",$C176=""),0,IF($D176&lt;0,0,IF(COUNTIF(Hoja_Trabajo!$A$6:$A$505,$I176)&lt;&gt;1,0,IF(IFERROR(INDEX(Hoja_Trabajo!$Q$6:$Q$505,MATCH($I176,Hoja_Trabajo!$A$6:$A$505,0)),"")&lt;&gt;"REQUIERE ASIGNACIÓN MANUAL (VARIAS CASILLAS)",0,IF(NOT(IFERROR(ISNUMBER(SEARCH("R"&amp;$C176,INDEX(Hoja_Trabajo!$G$6:$G$505,MATCH($I176,Hoja_Trabajo!$A$6:$A$505,0)))),FALSE)),0,IF(SUMIF($I$87:I175,$I176,$F$87:F175)+$D176&gt;IFERROR(INDEX(Hoja_Trabajo!$X$6:$X$505,MATCH($I176,Hoja_Trabajo!$A$6:$A$505,0)),0),0,$D176))))))</f>
        <v/>
      </c>
      <c r="G176">
        <f>IF(C176="","",C176)</f>
        <v/>
      </c>
      <c r="H176">
        <f>IF($D176="","SIN DATOS",IF(OR($I176="",$J176="",$C176=""),"INCOMPLETO — falta ID, casilla o justificación",IF($D176&lt;0,"VALOR NEGATIVO NO PERMITIDO",IF(COUNTIF(Hoja_Trabajo!$A$6:$A$505,$I176)&lt;&gt;1,"ID INEXISTENTE O DUPLICADO EN HOJA_TRABAJO",IF(IFERROR(INDEX(Hoja_Trabajo!$Q$6:$Q$505,MATCH($I176,Hoja_Trabajo!$A$6:$A$505,0)),"")&lt;&gt;"REQUIERE ASIGNACIÓN MANUAL (VARIAS CASILLAS)","FUENTE NO REQUIERE ASIGNACIÓN MANUAL",IF(NOT(IFERROR(ISNUMBER(SEARCH("R"&amp;$C176,INDEX(Hoja_Trabajo!$G$6:$G$505,MATCH($I176,Hoja_Trabajo!$A$6:$A$505,0)))),FALSE)),"CASILLA NO SUGERIDA PARA LA FUENTE",IF(SUMIF($I$87:I175,$I176,$F$87:F175)+$D176&gt;IFERROR(INDEX(Hoja_Trabajo!$X$6:$X$505,MATCH($I176,Hoja_Trabajo!$A$6:$A$505,0)),0),"EXCEDE VALOR ORIGINAL DE LA FUENTE","DILIGENCIADO")))))))</f>
        <v/>
      </c>
      <c r="I176" s="256" t="n"/>
      <c r="J176" s="256" t="n"/>
    </row>
    <row r="177" ht="14.25" customHeight="1" s="235">
      <c r="A177" t="inlineStr">
        <is>
          <t>Asignación múltiple</t>
        </is>
      </c>
      <c r="C177" s="256" t="n"/>
      <c r="D177" s="470" t="n"/>
      <c r="E177" s="256" t="n"/>
      <c r="F177">
        <f>IF(OR($D177="",$I177="",$J177="",$C177=""),0,IF($D177&lt;0,0,IF(COUNTIF(Hoja_Trabajo!$A$6:$A$505,$I177)&lt;&gt;1,0,IF(IFERROR(INDEX(Hoja_Trabajo!$Q$6:$Q$505,MATCH($I177,Hoja_Trabajo!$A$6:$A$505,0)),"")&lt;&gt;"REQUIERE ASIGNACIÓN MANUAL (VARIAS CASILLAS)",0,IF(NOT(IFERROR(ISNUMBER(SEARCH("R"&amp;$C177,INDEX(Hoja_Trabajo!$G$6:$G$505,MATCH($I177,Hoja_Trabajo!$A$6:$A$505,0)))),FALSE)),0,IF(SUMIF($I$87:I176,$I177,$F$87:F176)+$D177&gt;IFERROR(INDEX(Hoja_Trabajo!$X$6:$X$505,MATCH($I177,Hoja_Trabajo!$A$6:$A$505,0)),0),0,$D177))))))</f>
        <v/>
      </c>
      <c r="G177">
        <f>IF(C177="","",C177)</f>
        <v/>
      </c>
      <c r="H177">
        <f>IF($D177="","SIN DATOS",IF(OR($I177="",$J177="",$C177=""),"INCOMPLETO — falta ID, casilla o justificación",IF($D177&lt;0,"VALOR NEGATIVO NO PERMITIDO",IF(COUNTIF(Hoja_Trabajo!$A$6:$A$505,$I177)&lt;&gt;1,"ID INEXISTENTE O DUPLICADO EN HOJA_TRABAJO",IF(IFERROR(INDEX(Hoja_Trabajo!$Q$6:$Q$505,MATCH($I177,Hoja_Trabajo!$A$6:$A$505,0)),"")&lt;&gt;"REQUIERE ASIGNACIÓN MANUAL (VARIAS CASILLAS)","FUENTE NO REQUIERE ASIGNACIÓN MANUAL",IF(NOT(IFERROR(ISNUMBER(SEARCH("R"&amp;$C177,INDEX(Hoja_Trabajo!$G$6:$G$505,MATCH($I177,Hoja_Trabajo!$A$6:$A$505,0)))),FALSE)),"CASILLA NO SUGERIDA PARA LA FUENTE",IF(SUMIF($I$87:I176,$I177,$F$87:F176)+$D177&gt;IFERROR(INDEX(Hoja_Trabajo!$X$6:$X$505,MATCH($I177,Hoja_Trabajo!$A$6:$A$505,0)),0),"EXCEDE VALOR ORIGINAL DE LA FUENTE","DILIGENCIADO")))))))</f>
        <v/>
      </c>
      <c r="I177" s="256" t="n"/>
      <c r="J177" s="256" t="n"/>
    </row>
    <row r="178" ht="14.25" customHeight="1" s="235">
      <c r="A178" t="inlineStr">
        <is>
          <t>Asignación múltiple</t>
        </is>
      </c>
      <c r="C178" s="256" t="n"/>
      <c r="D178" s="470" t="n"/>
      <c r="E178" s="256" t="n"/>
      <c r="F178">
        <f>IF(OR($D178="",$I178="",$J178="",$C178=""),0,IF($D178&lt;0,0,IF(COUNTIF(Hoja_Trabajo!$A$6:$A$505,$I178)&lt;&gt;1,0,IF(IFERROR(INDEX(Hoja_Trabajo!$Q$6:$Q$505,MATCH($I178,Hoja_Trabajo!$A$6:$A$505,0)),"")&lt;&gt;"REQUIERE ASIGNACIÓN MANUAL (VARIAS CASILLAS)",0,IF(NOT(IFERROR(ISNUMBER(SEARCH("R"&amp;$C178,INDEX(Hoja_Trabajo!$G$6:$G$505,MATCH($I178,Hoja_Trabajo!$A$6:$A$505,0)))),FALSE)),0,IF(SUMIF($I$87:I177,$I178,$F$87:F177)+$D178&gt;IFERROR(INDEX(Hoja_Trabajo!$X$6:$X$505,MATCH($I178,Hoja_Trabajo!$A$6:$A$505,0)),0),0,$D178))))))</f>
        <v/>
      </c>
      <c r="G178">
        <f>IF(C178="","",C178)</f>
        <v/>
      </c>
      <c r="H178">
        <f>IF($D178="","SIN DATOS",IF(OR($I178="",$J178="",$C178=""),"INCOMPLETO — falta ID, casilla o justificación",IF($D178&lt;0,"VALOR NEGATIVO NO PERMITIDO",IF(COUNTIF(Hoja_Trabajo!$A$6:$A$505,$I178)&lt;&gt;1,"ID INEXISTENTE O DUPLICADO EN HOJA_TRABAJO",IF(IFERROR(INDEX(Hoja_Trabajo!$Q$6:$Q$505,MATCH($I178,Hoja_Trabajo!$A$6:$A$505,0)),"")&lt;&gt;"REQUIERE ASIGNACIÓN MANUAL (VARIAS CASILLAS)","FUENTE NO REQUIERE ASIGNACIÓN MANUAL",IF(NOT(IFERROR(ISNUMBER(SEARCH("R"&amp;$C178,INDEX(Hoja_Trabajo!$G$6:$G$505,MATCH($I178,Hoja_Trabajo!$A$6:$A$505,0)))),FALSE)),"CASILLA NO SUGERIDA PARA LA FUENTE",IF(SUMIF($I$87:I177,$I178,$F$87:F177)+$D178&gt;IFERROR(INDEX(Hoja_Trabajo!$X$6:$X$505,MATCH($I178,Hoja_Trabajo!$A$6:$A$505,0)),0),"EXCEDE VALOR ORIGINAL DE LA FUENTE","DILIGENCIADO")))))))</f>
        <v/>
      </c>
      <c r="I178" s="256" t="n"/>
      <c r="J178" s="256" t="n"/>
    </row>
    <row r="179" ht="14.25" customHeight="1" s="235">
      <c r="A179" t="inlineStr">
        <is>
          <t>Asignación múltiple</t>
        </is>
      </c>
      <c r="C179" s="256" t="n"/>
      <c r="D179" s="470" t="n"/>
      <c r="E179" s="256" t="n"/>
      <c r="F179">
        <f>IF(OR($D179="",$I179="",$J179="",$C179=""),0,IF($D179&lt;0,0,IF(COUNTIF(Hoja_Trabajo!$A$6:$A$505,$I179)&lt;&gt;1,0,IF(IFERROR(INDEX(Hoja_Trabajo!$Q$6:$Q$505,MATCH($I179,Hoja_Trabajo!$A$6:$A$505,0)),"")&lt;&gt;"REQUIERE ASIGNACIÓN MANUAL (VARIAS CASILLAS)",0,IF(NOT(IFERROR(ISNUMBER(SEARCH("R"&amp;$C179,INDEX(Hoja_Trabajo!$G$6:$G$505,MATCH($I179,Hoja_Trabajo!$A$6:$A$505,0)))),FALSE)),0,IF(SUMIF($I$87:I178,$I179,$F$87:F178)+$D179&gt;IFERROR(INDEX(Hoja_Trabajo!$X$6:$X$505,MATCH($I179,Hoja_Trabajo!$A$6:$A$505,0)),0),0,$D179))))))</f>
        <v/>
      </c>
      <c r="G179">
        <f>IF(C179="","",C179)</f>
        <v/>
      </c>
      <c r="H179">
        <f>IF($D179="","SIN DATOS",IF(OR($I179="",$J179="",$C179=""),"INCOMPLETO — falta ID, casilla o justificación",IF($D179&lt;0,"VALOR NEGATIVO NO PERMITIDO",IF(COUNTIF(Hoja_Trabajo!$A$6:$A$505,$I179)&lt;&gt;1,"ID INEXISTENTE O DUPLICADO EN HOJA_TRABAJO",IF(IFERROR(INDEX(Hoja_Trabajo!$Q$6:$Q$505,MATCH($I179,Hoja_Trabajo!$A$6:$A$505,0)),"")&lt;&gt;"REQUIERE ASIGNACIÓN MANUAL (VARIAS CASILLAS)","FUENTE NO REQUIERE ASIGNACIÓN MANUAL",IF(NOT(IFERROR(ISNUMBER(SEARCH("R"&amp;$C179,INDEX(Hoja_Trabajo!$G$6:$G$505,MATCH($I179,Hoja_Trabajo!$A$6:$A$505,0)))),FALSE)),"CASILLA NO SUGERIDA PARA LA FUENTE",IF(SUMIF($I$87:I178,$I179,$F$87:F178)+$D179&gt;IFERROR(INDEX(Hoja_Trabajo!$X$6:$X$505,MATCH($I179,Hoja_Trabajo!$A$6:$A$505,0)),0),"EXCEDE VALOR ORIGINAL DE LA FUENTE","DILIGENCIADO")))))))</f>
        <v/>
      </c>
      <c r="I179" s="256" t="n"/>
      <c r="J179" s="256" t="n"/>
    </row>
    <row r="180" ht="14.25" customHeight="1" s="235">
      <c r="A180" t="inlineStr">
        <is>
          <t>Asignación múltiple</t>
        </is>
      </c>
      <c r="C180" s="256" t="n"/>
      <c r="D180" s="470" t="n"/>
      <c r="E180" s="256" t="n"/>
      <c r="F180">
        <f>IF(OR($D180="",$I180="",$J180="",$C180=""),0,IF($D180&lt;0,0,IF(COUNTIF(Hoja_Trabajo!$A$6:$A$505,$I180)&lt;&gt;1,0,IF(IFERROR(INDEX(Hoja_Trabajo!$Q$6:$Q$505,MATCH($I180,Hoja_Trabajo!$A$6:$A$505,0)),"")&lt;&gt;"REQUIERE ASIGNACIÓN MANUAL (VARIAS CASILLAS)",0,IF(NOT(IFERROR(ISNUMBER(SEARCH("R"&amp;$C180,INDEX(Hoja_Trabajo!$G$6:$G$505,MATCH($I180,Hoja_Trabajo!$A$6:$A$505,0)))),FALSE)),0,IF(SUMIF($I$87:I179,$I180,$F$87:F179)+$D180&gt;IFERROR(INDEX(Hoja_Trabajo!$X$6:$X$505,MATCH($I180,Hoja_Trabajo!$A$6:$A$505,0)),0),0,$D180))))))</f>
        <v/>
      </c>
      <c r="G180">
        <f>IF(C180="","",C180)</f>
        <v/>
      </c>
      <c r="H180">
        <f>IF($D180="","SIN DATOS",IF(OR($I180="",$J180="",$C180=""),"INCOMPLETO — falta ID, casilla o justificación",IF($D180&lt;0,"VALOR NEGATIVO NO PERMITIDO",IF(COUNTIF(Hoja_Trabajo!$A$6:$A$505,$I180)&lt;&gt;1,"ID INEXISTENTE O DUPLICADO EN HOJA_TRABAJO",IF(IFERROR(INDEX(Hoja_Trabajo!$Q$6:$Q$505,MATCH($I180,Hoja_Trabajo!$A$6:$A$505,0)),"")&lt;&gt;"REQUIERE ASIGNACIÓN MANUAL (VARIAS CASILLAS)","FUENTE NO REQUIERE ASIGNACIÓN MANUAL",IF(NOT(IFERROR(ISNUMBER(SEARCH("R"&amp;$C180,INDEX(Hoja_Trabajo!$G$6:$G$505,MATCH($I180,Hoja_Trabajo!$A$6:$A$505,0)))),FALSE)),"CASILLA NO SUGERIDA PARA LA FUENTE",IF(SUMIF($I$87:I179,$I180,$F$87:F179)+$D180&gt;IFERROR(INDEX(Hoja_Trabajo!$X$6:$X$505,MATCH($I180,Hoja_Trabajo!$A$6:$A$505,0)),0),"EXCEDE VALOR ORIGINAL DE LA FUENTE","DILIGENCIADO")))))))</f>
        <v/>
      </c>
      <c r="I180" s="256" t="n"/>
      <c r="J180" s="256" t="n"/>
    </row>
    <row r="181" ht="14.25" customHeight="1" s="235">
      <c r="A181" t="inlineStr">
        <is>
          <t>Asignación múltiple</t>
        </is>
      </c>
      <c r="C181" s="256" t="n"/>
      <c r="D181" s="470" t="n"/>
      <c r="E181" s="256" t="n"/>
      <c r="F181">
        <f>IF(OR($D181="",$I181="",$J181="",$C181=""),0,IF($D181&lt;0,0,IF(COUNTIF(Hoja_Trabajo!$A$6:$A$505,$I181)&lt;&gt;1,0,IF(IFERROR(INDEX(Hoja_Trabajo!$Q$6:$Q$505,MATCH($I181,Hoja_Trabajo!$A$6:$A$505,0)),"")&lt;&gt;"REQUIERE ASIGNACIÓN MANUAL (VARIAS CASILLAS)",0,IF(NOT(IFERROR(ISNUMBER(SEARCH("R"&amp;$C181,INDEX(Hoja_Trabajo!$G$6:$G$505,MATCH($I181,Hoja_Trabajo!$A$6:$A$505,0)))),FALSE)),0,IF(SUMIF($I$87:I180,$I181,$F$87:F180)+$D181&gt;IFERROR(INDEX(Hoja_Trabajo!$X$6:$X$505,MATCH($I181,Hoja_Trabajo!$A$6:$A$505,0)),0),0,$D181))))))</f>
        <v/>
      </c>
      <c r="G181">
        <f>IF(C181="","",C181)</f>
        <v/>
      </c>
      <c r="H181">
        <f>IF($D181="","SIN DATOS",IF(OR($I181="",$J181="",$C181=""),"INCOMPLETO — falta ID, casilla o justificación",IF($D181&lt;0,"VALOR NEGATIVO NO PERMITIDO",IF(COUNTIF(Hoja_Trabajo!$A$6:$A$505,$I181)&lt;&gt;1,"ID INEXISTENTE O DUPLICADO EN HOJA_TRABAJO",IF(IFERROR(INDEX(Hoja_Trabajo!$Q$6:$Q$505,MATCH($I181,Hoja_Trabajo!$A$6:$A$505,0)),"")&lt;&gt;"REQUIERE ASIGNACIÓN MANUAL (VARIAS CASILLAS)","FUENTE NO REQUIERE ASIGNACIÓN MANUAL",IF(NOT(IFERROR(ISNUMBER(SEARCH("R"&amp;$C181,INDEX(Hoja_Trabajo!$G$6:$G$505,MATCH($I181,Hoja_Trabajo!$A$6:$A$505,0)))),FALSE)),"CASILLA NO SUGERIDA PARA LA FUENTE",IF(SUMIF($I$87:I180,$I181,$F$87:F180)+$D181&gt;IFERROR(INDEX(Hoja_Trabajo!$X$6:$X$505,MATCH($I181,Hoja_Trabajo!$A$6:$A$505,0)),0),"EXCEDE VALOR ORIGINAL DE LA FUENTE","DILIGENCIADO")))))))</f>
        <v/>
      </c>
      <c r="I181" s="256" t="n"/>
      <c r="J181" s="256" t="n"/>
    </row>
    <row r="182" ht="14.25" customHeight="1" s="235">
      <c r="A182" t="inlineStr">
        <is>
          <t>Asignación múltiple</t>
        </is>
      </c>
      <c r="C182" s="256" t="n"/>
      <c r="D182" s="470" t="n"/>
      <c r="E182" s="256" t="n"/>
      <c r="F182">
        <f>IF(OR($D182="",$I182="",$J182="",$C182=""),0,IF($D182&lt;0,0,IF(COUNTIF(Hoja_Trabajo!$A$6:$A$505,$I182)&lt;&gt;1,0,IF(IFERROR(INDEX(Hoja_Trabajo!$Q$6:$Q$505,MATCH($I182,Hoja_Trabajo!$A$6:$A$505,0)),"")&lt;&gt;"REQUIERE ASIGNACIÓN MANUAL (VARIAS CASILLAS)",0,IF(NOT(IFERROR(ISNUMBER(SEARCH("R"&amp;$C182,INDEX(Hoja_Trabajo!$G$6:$G$505,MATCH($I182,Hoja_Trabajo!$A$6:$A$505,0)))),FALSE)),0,IF(SUMIF($I$87:I181,$I182,$F$87:F181)+$D182&gt;IFERROR(INDEX(Hoja_Trabajo!$X$6:$X$505,MATCH($I182,Hoja_Trabajo!$A$6:$A$505,0)),0),0,$D182))))))</f>
        <v/>
      </c>
      <c r="G182">
        <f>IF(C182="","",C182)</f>
        <v/>
      </c>
      <c r="H182">
        <f>IF($D182="","SIN DATOS",IF(OR($I182="",$J182="",$C182=""),"INCOMPLETO — falta ID, casilla o justificación",IF($D182&lt;0,"VALOR NEGATIVO NO PERMITIDO",IF(COUNTIF(Hoja_Trabajo!$A$6:$A$505,$I182)&lt;&gt;1,"ID INEXISTENTE O DUPLICADO EN HOJA_TRABAJO",IF(IFERROR(INDEX(Hoja_Trabajo!$Q$6:$Q$505,MATCH($I182,Hoja_Trabajo!$A$6:$A$505,0)),"")&lt;&gt;"REQUIERE ASIGNACIÓN MANUAL (VARIAS CASILLAS)","FUENTE NO REQUIERE ASIGNACIÓN MANUAL",IF(NOT(IFERROR(ISNUMBER(SEARCH("R"&amp;$C182,INDEX(Hoja_Trabajo!$G$6:$G$505,MATCH($I182,Hoja_Trabajo!$A$6:$A$505,0)))),FALSE)),"CASILLA NO SUGERIDA PARA LA FUENTE",IF(SUMIF($I$87:I181,$I182,$F$87:F181)+$D182&gt;IFERROR(INDEX(Hoja_Trabajo!$X$6:$X$505,MATCH($I182,Hoja_Trabajo!$A$6:$A$505,0)),0),"EXCEDE VALOR ORIGINAL DE LA FUENTE","DILIGENCIADO")))))))</f>
        <v/>
      </c>
      <c r="I182" s="256" t="n"/>
      <c r="J182" s="256" t="n"/>
    </row>
    <row r="183" ht="14.25" customHeight="1" s="235">
      <c r="A183" t="inlineStr">
        <is>
          <t>Asignación múltiple</t>
        </is>
      </c>
      <c r="C183" s="256" t="n"/>
      <c r="D183" s="470" t="n"/>
      <c r="E183" s="256" t="n"/>
      <c r="F183">
        <f>IF(OR($D183="",$I183="",$J183="",$C183=""),0,IF($D183&lt;0,0,IF(COUNTIF(Hoja_Trabajo!$A$6:$A$505,$I183)&lt;&gt;1,0,IF(IFERROR(INDEX(Hoja_Trabajo!$Q$6:$Q$505,MATCH($I183,Hoja_Trabajo!$A$6:$A$505,0)),"")&lt;&gt;"REQUIERE ASIGNACIÓN MANUAL (VARIAS CASILLAS)",0,IF(NOT(IFERROR(ISNUMBER(SEARCH("R"&amp;$C183,INDEX(Hoja_Trabajo!$G$6:$G$505,MATCH($I183,Hoja_Trabajo!$A$6:$A$505,0)))),FALSE)),0,IF(SUMIF($I$87:I182,$I183,$F$87:F182)+$D183&gt;IFERROR(INDEX(Hoja_Trabajo!$X$6:$X$505,MATCH($I183,Hoja_Trabajo!$A$6:$A$505,0)),0),0,$D183))))))</f>
        <v/>
      </c>
      <c r="G183">
        <f>IF(C183="","",C183)</f>
        <v/>
      </c>
      <c r="H183">
        <f>IF($D183="","SIN DATOS",IF(OR($I183="",$J183="",$C183=""),"INCOMPLETO — falta ID, casilla o justificación",IF($D183&lt;0,"VALOR NEGATIVO NO PERMITIDO",IF(COUNTIF(Hoja_Trabajo!$A$6:$A$505,$I183)&lt;&gt;1,"ID INEXISTENTE O DUPLICADO EN HOJA_TRABAJO",IF(IFERROR(INDEX(Hoja_Trabajo!$Q$6:$Q$505,MATCH($I183,Hoja_Trabajo!$A$6:$A$505,0)),"")&lt;&gt;"REQUIERE ASIGNACIÓN MANUAL (VARIAS CASILLAS)","FUENTE NO REQUIERE ASIGNACIÓN MANUAL",IF(NOT(IFERROR(ISNUMBER(SEARCH("R"&amp;$C183,INDEX(Hoja_Trabajo!$G$6:$G$505,MATCH($I183,Hoja_Trabajo!$A$6:$A$505,0)))),FALSE)),"CASILLA NO SUGERIDA PARA LA FUENTE",IF(SUMIF($I$87:I182,$I183,$F$87:F182)+$D183&gt;IFERROR(INDEX(Hoja_Trabajo!$X$6:$X$505,MATCH($I183,Hoja_Trabajo!$A$6:$A$505,0)),0),"EXCEDE VALOR ORIGINAL DE LA FUENTE","DILIGENCIADO")))))))</f>
        <v/>
      </c>
      <c r="I183" s="256" t="n"/>
      <c r="J183" s="256" t="n"/>
    </row>
    <row r="184" ht="14.25" customHeight="1" s="235">
      <c r="A184" t="inlineStr">
        <is>
          <t>Asignación múltiple</t>
        </is>
      </c>
      <c r="C184" s="256" t="n"/>
      <c r="D184" s="470" t="n"/>
      <c r="E184" s="256" t="n"/>
      <c r="F184">
        <f>IF(OR($D184="",$I184="",$J184="",$C184=""),0,IF($D184&lt;0,0,IF(COUNTIF(Hoja_Trabajo!$A$6:$A$505,$I184)&lt;&gt;1,0,IF(IFERROR(INDEX(Hoja_Trabajo!$Q$6:$Q$505,MATCH($I184,Hoja_Trabajo!$A$6:$A$505,0)),"")&lt;&gt;"REQUIERE ASIGNACIÓN MANUAL (VARIAS CASILLAS)",0,IF(NOT(IFERROR(ISNUMBER(SEARCH("R"&amp;$C184,INDEX(Hoja_Trabajo!$G$6:$G$505,MATCH($I184,Hoja_Trabajo!$A$6:$A$505,0)))),FALSE)),0,IF(SUMIF($I$87:I183,$I184,$F$87:F183)+$D184&gt;IFERROR(INDEX(Hoja_Trabajo!$X$6:$X$505,MATCH($I184,Hoja_Trabajo!$A$6:$A$505,0)),0),0,$D184))))))</f>
        <v/>
      </c>
      <c r="G184">
        <f>IF(C184="","",C184)</f>
        <v/>
      </c>
      <c r="H184">
        <f>IF($D184="","SIN DATOS",IF(OR($I184="",$J184="",$C184=""),"INCOMPLETO — falta ID, casilla o justificación",IF($D184&lt;0,"VALOR NEGATIVO NO PERMITIDO",IF(COUNTIF(Hoja_Trabajo!$A$6:$A$505,$I184)&lt;&gt;1,"ID INEXISTENTE O DUPLICADO EN HOJA_TRABAJO",IF(IFERROR(INDEX(Hoja_Trabajo!$Q$6:$Q$505,MATCH($I184,Hoja_Trabajo!$A$6:$A$505,0)),"")&lt;&gt;"REQUIERE ASIGNACIÓN MANUAL (VARIAS CASILLAS)","FUENTE NO REQUIERE ASIGNACIÓN MANUAL",IF(NOT(IFERROR(ISNUMBER(SEARCH("R"&amp;$C184,INDEX(Hoja_Trabajo!$G$6:$G$505,MATCH($I184,Hoja_Trabajo!$A$6:$A$505,0)))),FALSE)),"CASILLA NO SUGERIDA PARA LA FUENTE",IF(SUMIF($I$87:I183,$I184,$F$87:F183)+$D184&gt;IFERROR(INDEX(Hoja_Trabajo!$X$6:$X$505,MATCH($I184,Hoja_Trabajo!$A$6:$A$505,0)),0),"EXCEDE VALOR ORIGINAL DE LA FUENTE","DILIGENCIADO")))))))</f>
        <v/>
      </c>
      <c r="I184" s="256" t="n"/>
      <c r="J184" s="256" t="n"/>
    </row>
    <row r="185" ht="14.25" customHeight="1" s="235">
      <c r="A185" t="inlineStr">
        <is>
          <t>Asignación múltiple</t>
        </is>
      </c>
      <c r="C185" s="256" t="n"/>
      <c r="D185" s="470" t="n"/>
      <c r="E185" s="256" t="n"/>
      <c r="F185">
        <f>IF(OR($D185="",$I185="",$J185="",$C185=""),0,IF($D185&lt;0,0,IF(COUNTIF(Hoja_Trabajo!$A$6:$A$505,$I185)&lt;&gt;1,0,IF(IFERROR(INDEX(Hoja_Trabajo!$Q$6:$Q$505,MATCH($I185,Hoja_Trabajo!$A$6:$A$505,0)),"")&lt;&gt;"REQUIERE ASIGNACIÓN MANUAL (VARIAS CASILLAS)",0,IF(NOT(IFERROR(ISNUMBER(SEARCH("R"&amp;$C185,INDEX(Hoja_Trabajo!$G$6:$G$505,MATCH($I185,Hoja_Trabajo!$A$6:$A$505,0)))),FALSE)),0,IF(SUMIF($I$87:I184,$I185,$F$87:F184)+$D185&gt;IFERROR(INDEX(Hoja_Trabajo!$X$6:$X$505,MATCH($I185,Hoja_Trabajo!$A$6:$A$505,0)),0),0,$D185))))))</f>
        <v/>
      </c>
      <c r="G185">
        <f>IF(C185="","",C185)</f>
        <v/>
      </c>
      <c r="H185">
        <f>IF($D185="","SIN DATOS",IF(OR($I185="",$J185="",$C185=""),"INCOMPLETO — falta ID, casilla o justificación",IF($D185&lt;0,"VALOR NEGATIVO NO PERMITIDO",IF(COUNTIF(Hoja_Trabajo!$A$6:$A$505,$I185)&lt;&gt;1,"ID INEXISTENTE O DUPLICADO EN HOJA_TRABAJO",IF(IFERROR(INDEX(Hoja_Trabajo!$Q$6:$Q$505,MATCH($I185,Hoja_Trabajo!$A$6:$A$505,0)),"")&lt;&gt;"REQUIERE ASIGNACIÓN MANUAL (VARIAS CASILLAS)","FUENTE NO REQUIERE ASIGNACIÓN MANUAL",IF(NOT(IFERROR(ISNUMBER(SEARCH("R"&amp;$C185,INDEX(Hoja_Trabajo!$G$6:$G$505,MATCH($I185,Hoja_Trabajo!$A$6:$A$505,0)))),FALSE)),"CASILLA NO SUGERIDA PARA LA FUENTE",IF(SUMIF($I$87:I184,$I185,$F$87:F184)+$D185&gt;IFERROR(INDEX(Hoja_Trabajo!$X$6:$X$505,MATCH($I185,Hoja_Trabajo!$A$6:$A$505,0)),0),"EXCEDE VALOR ORIGINAL DE LA FUENTE","DILIGENCIADO")))))))</f>
        <v/>
      </c>
      <c r="I185" s="256" t="n"/>
      <c r="J185" s="256" t="n"/>
    </row>
    <row r="186" ht="14.25" customHeight="1" s="235">
      <c r="A186" t="inlineStr">
        <is>
          <t>Asignación múltiple</t>
        </is>
      </c>
      <c r="C186" s="256" t="n"/>
      <c r="D186" s="470" t="n"/>
      <c r="E186" s="256" t="n"/>
      <c r="F186">
        <f>IF(OR($D186="",$I186="",$J186="",$C186=""),0,IF($D186&lt;0,0,IF(COUNTIF(Hoja_Trabajo!$A$6:$A$505,$I186)&lt;&gt;1,0,IF(IFERROR(INDEX(Hoja_Trabajo!$Q$6:$Q$505,MATCH($I186,Hoja_Trabajo!$A$6:$A$505,0)),"")&lt;&gt;"REQUIERE ASIGNACIÓN MANUAL (VARIAS CASILLAS)",0,IF(NOT(IFERROR(ISNUMBER(SEARCH("R"&amp;$C186,INDEX(Hoja_Trabajo!$G$6:$G$505,MATCH($I186,Hoja_Trabajo!$A$6:$A$505,0)))),FALSE)),0,IF(SUMIF($I$87:I185,$I186,$F$87:F185)+$D186&gt;IFERROR(INDEX(Hoja_Trabajo!$X$6:$X$505,MATCH($I186,Hoja_Trabajo!$A$6:$A$505,0)),0),0,$D186))))))</f>
        <v/>
      </c>
      <c r="G186">
        <f>IF(C186="","",C186)</f>
        <v/>
      </c>
      <c r="H186">
        <f>IF($D186="","SIN DATOS",IF(OR($I186="",$J186="",$C186=""),"INCOMPLETO — falta ID, casilla o justificación",IF($D186&lt;0,"VALOR NEGATIVO NO PERMITIDO",IF(COUNTIF(Hoja_Trabajo!$A$6:$A$505,$I186)&lt;&gt;1,"ID INEXISTENTE O DUPLICADO EN HOJA_TRABAJO",IF(IFERROR(INDEX(Hoja_Trabajo!$Q$6:$Q$505,MATCH($I186,Hoja_Trabajo!$A$6:$A$505,0)),"")&lt;&gt;"REQUIERE ASIGNACIÓN MANUAL (VARIAS CASILLAS)","FUENTE NO REQUIERE ASIGNACIÓN MANUAL",IF(NOT(IFERROR(ISNUMBER(SEARCH("R"&amp;$C186,INDEX(Hoja_Trabajo!$G$6:$G$505,MATCH($I186,Hoja_Trabajo!$A$6:$A$505,0)))),FALSE)),"CASILLA NO SUGERIDA PARA LA FUENTE",IF(SUMIF($I$87:I185,$I186,$F$87:F185)+$D186&gt;IFERROR(INDEX(Hoja_Trabajo!$X$6:$X$505,MATCH($I186,Hoja_Trabajo!$A$6:$A$505,0)),0),"EXCEDE VALOR ORIGINAL DE LA FUENTE","DILIGENCIADO")))))))</f>
        <v/>
      </c>
      <c r="I186" s="256" t="n"/>
      <c r="J186" s="256" t="n"/>
    </row>
    <row r="187" ht="14.25" customHeight="1" s="235">
      <c r="A187" t="inlineStr">
        <is>
          <t>Asignación múltiple</t>
        </is>
      </c>
      <c r="C187" s="256" t="n"/>
      <c r="D187" s="470" t="n"/>
      <c r="E187" s="256" t="n"/>
      <c r="F187">
        <f>IF(OR($D187="",$I187="",$J187="",$C187=""),0,IF($D187&lt;0,0,IF(COUNTIF(Hoja_Trabajo!$A$6:$A$505,$I187)&lt;&gt;1,0,IF(IFERROR(INDEX(Hoja_Trabajo!$Q$6:$Q$505,MATCH($I187,Hoja_Trabajo!$A$6:$A$505,0)),"")&lt;&gt;"REQUIERE ASIGNACIÓN MANUAL (VARIAS CASILLAS)",0,IF(NOT(IFERROR(ISNUMBER(SEARCH("R"&amp;$C187,INDEX(Hoja_Trabajo!$G$6:$G$505,MATCH($I187,Hoja_Trabajo!$A$6:$A$505,0)))),FALSE)),0,IF(SUMIF($I$87:I186,$I187,$F$87:F186)+$D187&gt;IFERROR(INDEX(Hoja_Trabajo!$X$6:$X$505,MATCH($I187,Hoja_Trabajo!$A$6:$A$505,0)),0),0,$D187))))))</f>
        <v/>
      </c>
      <c r="G187">
        <f>IF(C187="","",C187)</f>
        <v/>
      </c>
      <c r="H187">
        <f>IF($D187="","SIN DATOS",IF(OR($I187="",$J187="",$C187=""),"INCOMPLETO — falta ID, casilla o justificación",IF($D187&lt;0,"VALOR NEGATIVO NO PERMITIDO",IF(COUNTIF(Hoja_Trabajo!$A$6:$A$505,$I187)&lt;&gt;1,"ID INEXISTENTE O DUPLICADO EN HOJA_TRABAJO",IF(IFERROR(INDEX(Hoja_Trabajo!$Q$6:$Q$505,MATCH($I187,Hoja_Trabajo!$A$6:$A$505,0)),"")&lt;&gt;"REQUIERE ASIGNACIÓN MANUAL (VARIAS CASILLAS)","FUENTE NO REQUIERE ASIGNACIÓN MANUAL",IF(NOT(IFERROR(ISNUMBER(SEARCH("R"&amp;$C187,INDEX(Hoja_Trabajo!$G$6:$G$505,MATCH($I187,Hoja_Trabajo!$A$6:$A$505,0)))),FALSE)),"CASILLA NO SUGERIDA PARA LA FUENTE",IF(SUMIF($I$87:I186,$I187,$F$87:F186)+$D187&gt;IFERROR(INDEX(Hoja_Trabajo!$X$6:$X$505,MATCH($I187,Hoja_Trabajo!$A$6:$A$505,0)),0),"EXCEDE VALOR ORIGINAL DE LA FUENTE","DILIGENCIADO")))))))</f>
        <v/>
      </c>
      <c r="I187" s="256" t="n"/>
      <c r="J187" s="256" t="n"/>
    </row>
    <row r="188" ht="14.25" customHeight="1" s="235">
      <c r="A188" t="inlineStr">
        <is>
          <t>Control</t>
        </is>
      </c>
      <c r="B188" t="inlineStr">
        <is>
          <t>Filas con valor pero con algún problema (incompleto, ID inexistente, fuente que no requiere asignación, casilla no sugerida, valor negativo, o excede el valor original)</t>
        </is>
      </c>
      <c r="F188">
        <f>SUMPRODUCT(($D$88:$D$187&lt;&gt;"")*($H$88:$H$187&lt;&gt;"DILIGENCIADO"))</f>
        <v/>
      </c>
    </row>
  </sheetData>
  <sheetProtection selectLockedCells="0" selectUnlockedCells="0" sheet="1" objects="1" insertRows="1" insertHyperlinks="1" autoFilter="1" scenarios="1" formatColumns="0" deleteColumns="1" insertColumns="1" pivotTables="1" deleteRows="1" formatCells="1" formatRows="0" sort="1"/>
  <mergeCells count="2">
    <mergeCell ref="A2:H2"/>
    <mergeCell ref="A1:H1"/>
  </mergeCells>
  <dataValidations count="3">
    <dataValidation sqref="D5:D84 D88:D187" showDropDown="0" showInputMessage="0" showErrorMessage="1" allowBlank="1" errorTitle="Valor inválido" error="El valor debe ser numérico y no negativo." type="decimal" operator="greaterThanOrEqual">
      <formula1>0</formula1>
      <formula2>0</formula2>
    </dataValidation>
    <dataValidation sqref="C88:C187" showDropDown="0" showInputMessage="0" showErrorMessage="1" allowBlank="1" errorTitle="Casilla inválida" error="La casilla debe ser un número entero entre 28 y 141." type="whole">
      <formula1>28</formula1>
      <formula2>141</formula2>
    </dataValidation>
    <dataValidation sqref="I88:I187" showDropDown="0" showInputMessage="0" showErrorMessage="1" allowBlank="1" errorTitle="ID inválido" error="El ID de fuente debe ser un número entero positivo." promptTitle="ID de fuente" prompt="Ingrese el ID entero positivo tal como aparece en Hoja_Trabajo columna A." type="whole" operator="greaterThanOrEqual">
      <formula1>1</formula1>
      <formula2>0</formula2>
    </dataValidation>
  </dataValidations>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J18"/>
  <sheetViews>
    <sheetView showGridLines="0" workbookViewId="0">
      <selection activeCell="A1" sqref="A1:G1"/>
    </sheetView>
  </sheetViews>
  <sheetFormatPr baseColWidth="10" defaultColWidth="9" defaultRowHeight="15"/>
  <cols>
    <col width="28" customWidth="1" style="235" min="1" max="1"/>
    <col width="30" customWidth="1" style="235" min="2" max="2"/>
    <col width="26" customWidth="1" style="235" min="3" max="3"/>
    <col width="20" customWidth="1" style="235" min="4" max="4"/>
    <col width="18" customWidth="1" style="235" min="5" max="5"/>
    <col width="27" customWidth="1" style="235" min="6" max="6"/>
    <col width="18" customWidth="1" style="235" min="7" max="7"/>
    <col width="13" customWidth="1" style="235" min="10" max="10"/>
  </cols>
  <sheetData>
    <row r="1" ht="30" customHeight="1" s="235">
      <c r="A1" s="254" t="inlineStr">
        <is>
          <t>ALERTAS DE TOPES — OBLIGACIÓN DE DECLARAR</t>
        </is>
      </c>
    </row>
    <row r="2" ht="31.5" customHeight="1" s="235">
      <c r="A2" s="253" t="inlineStr">
        <is>
          <t>Usa los totales resumen del reporte DIAN y los compara con los topes AG 2025.</t>
        </is>
      </c>
    </row>
    <row r="5" ht="90" customHeight="1" s="235">
      <c r="A5" s="25" t="inlineStr">
        <is>
          <t>Etiqueta fuente</t>
        </is>
      </c>
      <c r="B5" s="27" t="inlineStr">
        <is>
          <t>Control</t>
        </is>
      </c>
      <c r="C5" s="27" t="inlineStr">
        <is>
          <t>Valor reportado (redondeado, ref. Formulario_210)</t>
        </is>
      </c>
      <c r="D5" s="27" t="inlineStr">
        <is>
          <t>Tope AG 2025</t>
        </is>
      </c>
      <c r="E5" s="27" t="inlineStr">
        <is>
          <t>Operador obligación</t>
        </is>
      </c>
      <c r="F5" s="27" t="inlineStr">
        <is>
          <t>Estado</t>
        </is>
      </c>
      <c r="G5" s="26" t="inlineStr">
        <is>
          <t>Diferencia</t>
        </is>
      </c>
      <c r="H5" s="26" t="inlineStr">
        <is>
          <t>Coincidencias en reporte</t>
        </is>
      </c>
      <c r="I5" s="26" t="inlineStr">
        <is>
          <t>Valor manual (si no tiene Exógena)</t>
        </is>
      </c>
      <c r="J5" s="74" t="inlineStr">
        <is>
          <t>Valor exacto (sin redondeo, usado para el tope)</t>
        </is>
      </c>
    </row>
    <row r="6" ht="14.25" customHeight="1" s="235">
      <c r="A6" s="28" t="inlineStr">
        <is>
          <t>Tope 2 - Patrimonio</t>
        </is>
      </c>
      <c r="B6" s="30" t="inlineStr">
        <is>
          <t>Patrimonio bruto</t>
        </is>
      </c>
      <c r="C6" s="471">
        <f>Formulario_210!$G$7</f>
        <v/>
      </c>
      <c r="D6" s="471">
        <f>Reglas!$F$5</f>
        <v/>
      </c>
      <c r="E6" s="30" t="inlineStr">
        <is>
          <t>&gt;</t>
        </is>
      </c>
      <c r="F6" s="30">
        <f>IF(AND(Exogena_RAW!$C$4&lt;&gt;"",Exogena_RAW!$K$10&lt;&gt;Reglas!$B$5),"AÑO NO COINCIDE",IF(J6&gt;D6,"SUPERA TOPE — OBLIGADO","NO SUPERA"))</f>
        <v/>
      </c>
      <c r="G6" s="472">
        <f>J6-D6</f>
        <v/>
      </c>
      <c r="H6" s="31" t="n"/>
      <c r="J6" s="463">
        <f>SUMIF(Hoja_Trabajo!$V$6:$V$505,29,Hoja_Trabajo!$P$6:$P$505)+SUMIF(Entrada_Manual!$G$5:$G$187,29,Entrada_Manual!$F$5:$F$187)</f>
        <v/>
      </c>
    </row>
    <row r="7" ht="14.25" customHeight="1" s="235">
      <c r="A7" s="28" t="inlineStr">
        <is>
          <t>Tope 1 - Ingresos</t>
        </is>
      </c>
      <c r="B7" s="30" t="inlineStr">
        <is>
          <t>Ingresos brutos</t>
        </is>
      </c>
      <c r="C7" s="471">
        <f>Formulario_210!$G$10+Formulario_210!$G$21+Formulario_210!$G$36+Formulario_210!$G$52+Formulario_210!$G$77+Formulario_210!$G$82+Formulario_210!$G$85+Formulario_210!$G$86+Formulario_210!$G$87+Formulario_210!$G$90</f>
        <v/>
      </c>
      <c r="D7" s="471">
        <f>Reglas!$F$6</f>
        <v/>
      </c>
      <c r="E7" s="30" t="inlineStr">
        <is>
          <t>&gt;=</t>
        </is>
      </c>
      <c r="F7" s="30">
        <f>IF(AND(Exogena_RAW!$C$4&lt;&gt;"",Exogena_RAW!$K$10&lt;&gt;Reglas!$B$5),"AÑO NO COINCIDE",IF(J7&gt;=D7,"SUPERA TOPE — OBLIGADO","NO SUPERA"))</f>
        <v/>
      </c>
      <c r="G7" s="472">
        <f>J7-D7</f>
        <v/>
      </c>
      <c r="H7" s="31" t="n"/>
      <c r="J7" s="463">
        <f>SUMIF(Hoja_Trabajo!$V$6:$V$505,32,Hoja_Trabajo!$P$6:$P$505)+SUMIF(Entrada_Manual!$G$5:$G$187,32,Entrada_Manual!$F$5:$F$187)+SUMIF(Hoja_Trabajo!$V$6:$V$505,43,Hoja_Trabajo!$P$6:$P$505)+SUMIF(Entrada_Manual!$G$5:$G$187,43,Entrada_Manual!$F$5:$F$187)+SUMIF(Hoja_Trabajo!$V$6:$V$505,58,Hoja_Trabajo!$P$6:$P$505)+SUMIF(Entrada_Manual!$G$5:$G$187,58,Entrada_Manual!$F$5:$F$187)+SUMIF(Hoja_Trabajo!$V$6:$V$505,74,Hoja_Trabajo!$P$6:$P$505)+SUMIF(Entrada_Manual!$G$5:$G$187,74,Entrada_Manual!$F$5:$F$187)+SUMIF(Hoja_Trabajo!$V$6:$V$505,99,Hoja_Trabajo!$P$6:$P$505)+SUMIF(Entrada_Manual!$G$5:$G$187,99,Entrada_Manual!$F$5:$F$187)+SUMIF(Hoja_Trabajo!$V$6:$V$505,104,Hoja_Trabajo!$P$6:$P$505)+SUMIF(Entrada_Manual!$G$5:$G$187,104,Entrada_Manual!$F$5:$F$187)+SUMIF(Hoja_Trabajo!$V$6:$V$505,107,Hoja_Trabajo!$P$6:$P$505)+SUMIF(Entrada_Manual!$G$5:$G$187,107,Entrada_Manual!$F$5:$F$187)+SUMIF(Hoja_Trabajo!$V$6:$V$505,108,Hoja_Trabajo!$P$6:$P$505)+SUMIF(Entrada_Manual!$G$5:$G$187,108,Entrada_Manual!$F$5:$F$187)+SUMIF(Hoja_Trabajo!$V$6:$V$505,109,Hoja_Trabajo!$P$6:$P$505)+SUMIF(Entrada_Manual!$G$5:$G$187,109,Entrada_Manual!$F$5:$F$187)+SUMIF(Hoja_Trabajo!$V$6:$V$505,112,Hoja_Trabajo!$P$6:$P$505)+SUMIF(Entrada_Manual!$G$5:$G$187,112,Entrada_Manual!$F$5:$F$187)</f>
        <v/>
      </c>
    </row>
    <row r="8" ht="15" customHeight="1" s="235">
      <c r="A8" s="28" t="inlineStr">
        <is>
          <t>Tope 3 - Consumo TC</t>
        </is>
      </c>
      <c r="B8" s="30" t="inlineStr">
        <is>
          <t>Consumos tarjeta</t>
        </is>
      </c>
      <c r="C8" s="471">
        <f>IF(Exogena_RAW!$C$4&lt;&gt;"",SUMIF(Exogena_RAW!$E$15:$E$514,$A8,Exogena_RAW!$F$15:$F$514),IF(AND(ISNUMBER($I8),$I8&gt;=0),$I8,0))</f>
        <v/>
      </c>
      <c r="D8" s="471">
        <f>Reglas!$F$7</f>
        <v/>
      </c>
      <c r="E8" s="30" t="inlineStr">
        <is>
          <t>&gt;</t>
        </is>
      </c>
      <c r="F8" s="30">
        <f>IF(Exogena_RAW!$C$4&lt;&gt;"",IF(Exogena_RAW!$K$10&lt;&gt;Reglas!$B$5,"AÑO NO COINCIDE",IF($H8=0,"SIN COINCIDENCIAS — VERIFICAR ETIQUETA",IF($C8&gt;$D8,"SUPERA TOPE — OBLIGADO","NO SUPERA"))),IF(OR(COUNT(Entrada_Manual!$D$5:$D$187)&gt;0,COUNTA($I$8:$I$10)&gt;0),IF($I8="","FALTA DATO MANUAL",IF(NOT(ISNUMBER($I8)),"DATO MANUAL INVÁLIDO",IF($I8&lt;0,"DATO MANUAL INVÁLIDO",IF($I8&gt;$D8,"SUPERA TOPE — OBLIGADO","NO SUPERA")))),"SIN DATOS"))</f>
        <v/>
      </c>
      <c r="G8" s="472">
        <f>C8-D8</f>
        <v/>
      </c>
      <c r="H8" s="31">
        <f>IF(Exogena_RAW!$C$4="","",COUNTIF(Exogena_RAW!$E$15:$E$514,A8))</f>
        <v/>
      </c>
      <c r="I8" s="473" t="n"/>
    </row>
    <row r="9" ht="15" customHeight="1" s="235">
      <c r="A9" s="28" t="inlineStr">
        <is>
          <t>Tope 5 - Compras</t>
        </is>
      </c>
      <c r="B9" s="30" t="inlineStr">
        <is>
          <t>Compras y consumos</t>
        </is>
      </c>
      <c r="C9" s="471">
        <f>IF(Exogena_RAW!$C$4&lt;&gt;"",SUMIF(Exogena_RAW!$E$15:$E$514,$A9,Exogena_RAW!$F$15:$F$514),IF(AND(ISNUMBER($I9),$I9&gt;=0),$I9,0))</f>
        <v/>
      </c>
      <c r="D9" s="471">
        <f>Reglas!$F$8</f>
        <v/>
      </c>
      <c r="E9" s="30" t="inlineStr">
        <is>
          <t>&gt;</t>
        </is>
      </c>
      <c r="F9" s="30">
        <f>IF(Exogena_RAW!$C$4&lt;&gt;"",IF(Exogena_RAW!$K$10&lt;&gt;Reglas!$B$5,"AÑO NO COINCIDE",IF($H9=0,"SIN COINCIDENCIAS — VERIFICAR ETIQUETA",IF($C9&gt;$D9,"SUPERA TOPE — OBLIGADO","NO SUPERA"))),IF(OR(COUNT(Entrada_Manual!$D$5:$D$187)&gt;0,COUNTA($I$8:$I$10)&gt;0),IF($I9="","FALTA DATO MANUAL",IF(NOT(ISNUMBER($I9)),"DATO MANUAL INVÁLIDO",IF($I9&lt;0,"DATO MANUAL INVÁLIDO",IF($I9&gt;$D9,"SUPERA TOPE — OBLIGADO","NO SUPERA")))),"SIN DATOS"))</f>
        <v/>
      </c>
      <c r="G9" s="472">
        <f>C9-D9</f>
        <v/>
      </c>
      <c r="H9" s="31">
        <f>IF(Exogena_RAW!$C$4="","",COUNTIF(Exogena_RAW!$E$15:$E$514,A9))</f>
        <v/>
      </c>
      <c r="I9" s="473" t="n"/>
    </row>
    <row r="10" ht="15" customHeight="1" s="235">
      <c r="A10" s="33" t="inlineStr">
        <is>
          <t>Tope 4 - Movimiento</t>
        </is>
      </c>
      <c r="B10" s="34" t="inlineStr">
        <is>
          <t>Consignaciones / inversiones</t>
        </is>
      </c>
      <c r="C10" s="474">
        <f>IF(Exogena_RAW!$C$4&lt;&gt;"",SUMIF(Exogena_RAW!$E$15:$E$514,$A10,Exogena_RAW!$F$15:$F$514),IF(AND(ISNUMBER($I10),$I10&gt;=0),$I10,0))</f>
        <v/>
      </c>
      <c r="D10" s="474">
        <f>Reglas!$F$9</f>
        <v/>
      </c>
      <c r="E10" s="34" t="inlineStr">
        <is>
          <t>&gt;</t>
        </is>
      </c>
      <c r="F10" s="34">
        <f>IF(Exogena_RAW!$C$4&lt;&gt;"",IF(Exogena_RAW!$K$10&lt;&gt;Reglas!$B$5,"AÑO NO COINCIDE",IF($H10=0,"SIN COINCIDENCIAS — VERIFICAR ETIQUETA",IF($C10&gt;$D10,"SUPERA TOPE — OBLIGADO","NO SUPERA"))),IF(OR(COUNT(Entrada_Manual!$D$5:$D$187)&gt;0,COUNTA($I$8:$I$10)&gt;0),IF($I10="","FALTA DATO MANUAL",IF(NOT(ISNUMBER($I10)),"DATO MANUAL INVÁLIDO",IF($I10&lt;0,"DATO MANUAL INVÁLIDO",IF($I10&gt;$D10,"SUPERA TOPE — OBLIGADO","NO SUPERA")))),"SIN DATOS"))</f>
        <v/>
      </c>
      <c r="G10" s="475">
        <f>C10-D10</f>
        <v/>
      </c>
      <c r="H10" s="35">
        <f>IF(Exogena_RAW!$C$4="","",COUNTIF(Exogena_RAW!$E$15:$E$514,A10))</f>
        <v/>
      </c>
      <c r="I10" s="476" t="n"/>
    </row>
    <row r="13" ht="15" customHeight="1" s="235">
      <c r="A13" s="12" t="inlineStr">
        <is>
          <t>Control adicional</t>
        </is>
      </c>
      <c r="B13" s="12" t="inlineStr">
        <is>
          <t>Respuesta</t>
        </is>
      </c>
      <c r="C13" s="12" t="inlineStr">
        <is>
          <t>Estado</t>
        </is>
      </c>
      <c r="D13" s="12" t="inlineStr">
        <is>
          <t>Nota</t>
        </is>
      </c>
      <c r="E13" s="12" t="n"/>
      <c r="F13" s="12" t="n"/>
      <c r="G13" s="12" t="n"/>
    </row>
    <row r="14" ht="14.25" customHeight="1" s="235">
      <c r="A14" t="inlineStr">
        <is>
          <t>Responsable de IVA</t>
        </is>
      </c>
      <c r="B14">
        <f>IF(Reglas!$B$7="Sí","Sí",IF(Reglas!$B$7="No","No",IF(OR(SUMIF(Exogena_RAW!$E$15:$E$514,"Número declaraciones IVA",Exogena_RAW!$F$15:$F$514)&gt;0,SUMIF(Exogena_RAW!$E$15:$E$514,"Responsabilidad 48 RUT",Exogena_RAW!$F$15:$F$514)&gt;0),"Posible responsable IVA — confirmar","No confirmado")))</f>
        <v/>
      </c>
      <c r="C14">
        <f>IF(B14="Sí","OBLIGADO",IF(B14="No","NO ACTIVA","PENDIENTE CONFIRMACIÓN"))</f>
        <v/>
      </c>
      <c r="D14" t="inlineStr">
        <is>
          <t>Ser responsable de IVA al cierre obliga a declarar, sin depender de topes.</t>
        </is>
      </c>
    </row>
    <row r="15" ht="14.25" customHeight="1" s="235">
      <c r="A15" t="inlineStr">
        <is>
          <t>Conclusión</t>
        </is>
      </c>
      <c r="B15">
        <f>IF(AND(Exogena_RAW!$C$4="",COUNT(Entrada_Manual!$D$5:$D$187)=0,COUNTA($I$8:$I$10)=0,$C$6=0,$C$7=0),"SIN DATOS — CARGUE REPORTE O DILIGENCIE MANUAL",IF(COUNTIF($F$6:$F$10,"AÑO NO COINCIDE")&gt;0,"BLOQUEADO POR AÑO",IF(COUNTIF($F$8:$F$10,"FALTA DATO MANUAL")+COUNTIF($F$8:$F$10,"DATO MANUAL INVÁLIDO")&gt;0,"BLOQUEADO — COMPLETE TOPES MANUALES I8:I10",IF(COUNTIF($F$6:$F$10,"SIN COINCIDENCIAS — VERIFICAR ETIQUETA")&gt;0,"REVISAR — ETIQUETAS DE TOPES NO ENCONTRADAS EN EL REPORTE",IF(OR(COUNTIF($F$6:$F$10,"SUPERA TOPE — OBLIGADO")&gt;0,$C$14="OBLIGADO"),"OBLIGADO A DECLARAR","REVISAR DEMÁS CONDICIONES")))))</f>
        <v/>
      </c>
      <c r="D15" t="inlineStr">
        <is>
          <t>La herramienta no evalúa residencia, RST ni calidad de no residente.</t>
        </is>
      </c>
    </row>
    <row r="17" ht="14.25" customHeight="1" s="235">
      <c r="A17" t="inlineStr">
        <is>
          <t>Nota control</t>
        </is>
      </c>
      <c r="B17" t="inlineStr">
        <is>
          <t>Patrimonio bruto e ingresos brutos ahora se toman directo de Formulario_210 (funciona igual con reporte Exógena, con Entrada_Manual, o combinando ambos). Consumos tarjeta, compras/consumos y consignaciones no tienen casilla equivalente en el formulario: si hay reporte Exógena se usan sus datos; si no, diligencie la columna I (Valor manual) de esas tres filas. Si una fila muestra "SIN COINCIDENCIAS — VERIFICAR ETIQUETA", el reporte pegado no trae una fila con la etiqueta exacta de la columna A en su columna Detalle; busque el dato equivalente o diligéncielo en la columna I.</t>
        </is>
      </c>
    </row>
    <row r="18" ht="14.25" customHeight="1" s="235">
      <c r="A18" t="inlineStr">
        <is>
          <t>Nota A-05</t>
        </is>
      </c>
      <c r="B18" t="inlineStr">
        <is>
          <t>Desde v1.5, la comparación contra los topes de patrimonio e ingresos (Tope 1 y Tope 2) usa el valor EXACTO (columna J, sin redondear), no la cifra que se ve en Formulario_210 (ya redondeada a miles para la presentación del formulario). Esto evita falsos negativos cerca del umbral por efecto del redondeo.</t>
        </is>
      </c>
    </row>
  </sheetData>
  <sheetProtection selectLockedCells="0" selectUnlockedCells="0" sheet="1" objects="1" insertRows="1" insertHyperlinks="1" autoFilter="1" scenarios="1" formatColumns="0" deleteColumns="1" insertColumns="1" pivotTables="1" deleteRows="1" formatCells="1" formatRows="0" sort="1"/>
  <mergeCells count="2">
    <mergeCell ref="A2:G2"/>
    <mergeCell ref="A1:G1"/>
  </mergeCells>
  <conditionalFormatting sqref="F6:F10">
    <cfRule type="containsText" priority="2" operator="containsText" dxfId="1" text="SUPERA TOPE">
      <formula>NOT(ISERROR(SEARCH("SUPERA TOPE",F6)))</formula>
    </cfRule>
    <cfRule type="containsText" priority="3" operator="containsText" dxfId="3" text="NO SUPERA">
      <formula>NOT(ISERROR(SEARCH("NO SUPERA",F6)))</formula>
    </cfRule>
    <cfRule type="containsText" priority="4" operator="containsText" dxfId="0" text="AÑO">
      <formula>NOT(ISERROR(SEARCH("AÑO",F6)))</formula>
    </cfRule>
    <cfRule type="containsText" priority="5" operator="containsText" dxfId="6" text="SIN DATOS">
      <formula>NOT(ISERROR(SEARCH("SIN DATOS",F6)))</formula>
    </cfRule>
  </conditionalFormatting>
  <dataValidations count="1">
    <dataValidation sqref="I8:I10" showDropDown="0" showInputMessage="0" showErrorMessage="0" allowBlank="0" type="decimal" operator="greaterThanOrEqual">
      <formula1>0</formula1>
    </dataValidation>
  </dataValidations>
  <pageMargins left="0.7" right="0.7" top="0.75" bottom="0.75" header="0.3" footer="0.3"/>
  <drawing xmlns:r="http://schemas.openxmlformats.org/officeDocument/2006/relationships" r:id="rId1"/>
  <legacyDrawing xmlns:r="http://schemas.openxmlformats.org/officeDocument/2006/relationships" r:id="anysvml"/>
</worksheet>
</file>

<file path=xl/worksheets/sheet8.xml><?xml version="1.0" encoding="utf-8"?>
<worksheet xmlns="http://schemas.openxmlformats.org/spreadsheetml/2006/main">
  <sheetPr>
    <outlinePr summaryBelow="1" summaryRight="1"/>
    <pageSetUpPr/>
  </sheetPr>
  <dimension ref="A1:I135"/>
  <sheetViews>
    <sheetView showGridLines="0" workbookViewId="0">
      <selection activeCell="A1" sqref="A1:I1"/>
    </sheetView>
  </sheetViews>
  <sheetFormatPr baseColWidth="10" defaultColWidth="9" defaultRowHeight="15"/>
  <cols>
    <col width="20" customWidth="1" style="235" min="1" max="1"/>
    <col width="9" customWidth="1" style="235" min="2" max="2"/>
    <col width="48" customWidth="1" style="235" min="3" max="3"/>
    <col width="20" customWidth="1" style="235" min="4" max="4"/>
    <col width="18" customWidth="1" style="235" min="5" max="7"/>
    <col width="24" customWidth="1" style="235" min="8" max="8"/>
    <col width="52" customWidth="1" style="235" min="9" max="9"/>
  </cols>
  <sheetData>
    <row r="1" ht="30" customHeight="1" s="235">
      <c r="A1" s="254" t="inlineStr">
        <is>
          <t>MATRIZ TRAZABLE — FORMULARIO 210 AG 2025</t>
        </is>
      </c>
    </row>
    <row r="2" ht="31.5" customHeight="1" s="235">
      <c r="A2" s="253" t="inlineStr">
        <is>
          <t>Sugerido ≠ declarado. Ajustes amarillos son editables; casillas sensibles exigen revisión profesional.</t>
        </is>
      </c>
    </row>
    <row r="4" ht="15" customHeight="1" s="235">
      <c r="A4" s="25" t="inlineStr">
        <is>
          <t>Sección</t>
        </is>
      </c>
      <c r="B4" s="27" t="inlineStr">
        <is>
          <t>Casilla</t>
        </is>
      </c>
      <c r="C4" s="27" t="inlineStr">
        <is>
          <t>Concepto</t>
        </is>
      </c>
      <c r="D4" s="27" t="inlineStr">
        <is>
          <t>Tipo</t>
        </is>
      </c>
      <c r="E4" s="27" t="inlineStr">
        <is>
          <t>Valor sugerido</t>
        </is>
      </c>
      <c r="F4" s="27" t="inlineStr">
        <is>
          <t>Ajuste manual</t>
        </is>
      </c>
      <c r="G4" s="27" t="inlineStr">
        <is>
          <t>Valor final</t>
        </is>
      </c>
      <c r="H4" s="27" t="inlineStr">
        <is>
          <t>Estado</t>
        </is>
      </c>
      <c r="I4" s="26" t="inlineStr">
        <is>
          <t>Control / evidencia</t>
        </is>
      </c>
    </row>
    <row r="5" ht="14.25" customHeight="1" s="235">
      <c r="A5" s="47" t="n"/>
      <c r="B5" s="48" t="n"/>
      <c r="C5" s="48" t="n"/>
      <c r="D5" s="48" t="n"/>
      <c r="E5" s="48" t="n"/>
      <c r="F5" s="48" t="n"/>
      <c r="G5" s="48" t="n"/>
      <c r="H5" s="48" t="n"/>
      <c r="I5" s="50" t="n"/>
    </row>
    <row r="6" ht="71.25" customHeight="1" s="235">
      <c r="A6" s="47" t="inlineStr">
        <is>
          <t>Patrimonio</t>
        </is>
      </c>
      <c r="B6" s="48" t="n">
        <v>28</v>
      </c>
      <c r="C6" s="48" t="inlineStr">
        <is>
          <t>1% de compras con factura electrónica</t>
        </is>
      </c>
      <c r="D6" s="48" t="inlineStr">
        <is>
          <t>Sugerido Exógena</t>
        </is>
      </c>
      <c r="E6" s="461">
        <f>ROUND(MIN((SUMIF(Hoja_Trabajo!$V$6:$V$505,28,Hoja_Trabajo!$P$6:$P$505)+SUMIF(Entrada_Manual!$G$5:$G$187,28,Entrada_Manual!$F$5:$F$187))*1%,Reglas!$B$13*Reglas!$B$6),-3)</f>
        <v/>
      </c>
      <c r="F6" s="462" t="n"/>
      <c r="G6" s="461">
        <f>IF($F$6="",$E$6,IF(AND(ISNUMBER($F$6),$F$6&gt;=0),ROUND($F$6,-3),0))</f>
        <v/>
      </c>
      <c r="H6" s="48">
        <f>IF(AND($F$6&lt;&gt;"",OR(NOT(ISNUMBER($F$6)),$F$6&lt;0)),"BLOQUEADO: AJUSTE INVÁLIDO",IF(Exogena_RAW!$C$4="",IF(F6&lt;&gt;"","DILIGENCIADO",IF(E6&lt;&gt;0,"TRAZADO DESDE ENTRADA MANUAL","SIN DATOS")),IF(Exogena_RAW!$K$10&lt;&gt;Reglas!$B$5,"BLOQUEADO: AÑO",IF(F6&lt;&gt;"",IF(F6=0,"CONFIRMADO CERO","AJUSTADO"),IF(E6&lt;&gt;0,"TRAZADO","SIN MOVIMIENTO")))))</f>
        <v/>
      </c>
      <c r="I6" s="50" t="inlineStr">
        <is>
          <t>Solo compras que cumplan requisitos art. 336 núm. 5; base sugerida requiere aprobación. Incompatibilidad: las mismas compras usadas aquí NO pueden declararse también como costo o deducción en otra cédula (verifique manualmente que no se dupliquen por tercero/factura).</t>
        </is>
      </c>
    </row>
    <row r="7" ht="28.5" customHeight="1" s="235">
      <c r="A7" s="47" t="inlineStr">
        <is>
          <t>Patrimonio</t>
        </is>
      </c>
      <c r="B7" s="48" t="n">
        <v>29</v>
      </c>
      <c r="C7" s="48" t="inlineStr">
        <is>
          <t>Total patrimonio bruto</t>
        </is>
      </c>
      <c r="D7" s="48" t="inlineStr">
        <is>
          <t>Sugerido Exógena</t>
        </is>
      </c>
      <c r="E7" s="461">
        <f>ROUND(SUMIF(Hoja_Trabajo!$V$6:$V$505,29,Hoja_Trabajo!$P$6:$P$505)+SUMIF(Entrada_Manual!$G$5:$G$187,29,Entrada_Manual!$F$5:$F$187),-3)</f>
        <v/>
      </c>
      <c r="F7" s="462" t="n"/>
      <c r="G7" s="461">
        <f>IF($F$7="",$E$7,IF(AND(ISNUMBER($F$7),$F$7&gt;=0),ROUND($F$7,-3),0))</f>
        <v/>
      </c>
      <c r="H7" s="48">
        <f>IF(AND($F$7&lt;&gt;"",OR(NOT(ISNUMBER($F$7)),$F$7&lt;0)),"BLOQUEADO: AJUSTE INVÁLIDO",IF(Exogena_RAW!$C$4="",IF(F7&lt;&gt;"","DILIGENCIADO",IF(E7&lt;&gt;0,"TRAZADO DESDE ENTRADA MANUAL","SIN DATOS")),IF(Exogena_RAW!$K$10&lt;&gt;Reglas!$B$5,"BLOQUEADO: AÑO",IF(F7&lt;&gt;"",IF(F7=0,"CONFIRMADO CERO","AJUSTADO"),IF(E7&lt;&gt;0,"TRAZADO","SIN MOVIMIENTO")))))</f>
        <v/>
      </c>
      <c r="I7" s="50" t="inlineStr">
        <is>
          <t>Verificar titularidad, porcentaje de participación, valor patrimonial y no duplicidad. Si dos predios reportan el mismo valor exacto (avalúo catastral vs. valor base del impuesto predial), tómelo una sola vez (el mayor) — ver alerta automática en Hoja_Trabajo columna W.</t>
        </is>
      </c>
    </row>
    <row r="8" ht="14.25" customHeight="1" s="235">
      <c r="A8" s="47" t="inlineStr">
        <is>
          <t>Patrimonio</t>
        </is>
      </c>
      <c r="B8" s="48" t="n">
        <v>30</v>
      </c>
      <c r="C8" s="48" t="inlineStr">
        <is>
          <t>Deudas</t>
        </is>
      </c>
      <c r="D8" s="48" t="inlineStr">
        <is>
          <t>Sugerido Exógena</t>
        </is>
      </c>
      <c r="E8" s="461">
        <f>ROUND(SUMIF(Hoja_Trabajo!$V$6:$V$505,30,Hoja_Trabajo!$P$6:$P$505)+SUMIF(Entrada_Manual!$G$5:$G$187,30,Entrada_Manual!$F$5:$F$187),-3)</f>
        <v/>
      </c>
      <c r="F8" s="462" t="n"/>
      <c r="G8" s="461">
        <f>IF($F$8="",$E$8,IF(AND(ISNUMBER($F$8),$F$8&gt;=0),ROUND($F$8,-3),0))</f>
        <v/>
      </c>
      <c r="H8" s="48">
        <f>IF(AND($F$8&lt;&gt;"",OR(NOT(ISNUMBER($F$8)),$F$8&lt;0)),"BLOQUEADO: AJUSTE INVÁLIDO",IF(Exogena_RAW!$C$4="",IF(F8&lt;&gt;"","DILIGENCIADO",IF(E8&lt;&gt;0,"TRAZADO DESDE ENTRADA MANUAL","SIN DATOS")),IF(Exogena_RAW!$K$10&lt;&gt;Reglas!$B$5,"BLOQUEADO: AÑO",IF(F8&lt;&gt;"",IF(F8=0,"CONFIRMADO CERO","AJUSTADO"),IF(E8&lt;&gt;0,"TRAZADO","SIN MOVIMIENTO")))))</f>
        <v/>
      </c>
      <c r="I8" s="50" t="inlineStr">
        <is>
          <t>Verificar existencia, saldo a 31/12 y soporte del pasivo.</t>
        </is>
      </c>
    </row>
    <row r="9" ht="14.25" customHeight="1" s="235">
      <c r="A9" s="47" t="inlineStr">
        <is>
          <t>Patrimonio</t>
        </is>
      </c>
      <c r="B9" s="48" t="n">
        <v>31</v>
      </c>
      <c r="C9" s="48" t="inlineStr">
        <is>
          <t>Total patrimonio líquido (29-30)</t>
        </is>
      </c>
      <c r="D9" s="48" t="inlineStr">
        <is>
          <t>Calculado</t>
        </is>
      </c>
      <c r="E9" s="461" t="n">
        <v>0</v>
      </c>
      <c r="F9" s="477" t="n"/>
      <c r="G9" s="461">
        <f>ROUND(MAX($G$7-$G$8,0),-3)</f>
        <v/>
      </c>
      <c r="H9" s="48">
        <f>"CALCULADO"</f>
        <v/>
      </c>
      <c r="I9" s="50" t="n"/>
    </row>
    <row r="10" ht="14.25" customHeight="1" s="235">
      <c r="A10" s="47" t="inlineStr">
        <is>
          <t>Rentas de trabajo</t>
        </is>
      </c>
      <c r="B10" s="48" t="n">
        <v>32</v>
      </c>
      <c r="C10" s="48" t="inlineStr">
        <is>
          <t>Ingresos brutos rentas de trabajo</t>
        </is>
      </c>
      <c r="D10" s="48" t="inlineStr">
        <is>
          <t>Manual</t>
        </is>
      </c>
      <c r="E10" s="461">
        <f>ROUND(SUMIF(Hoja_Trabajo!$V$6:$V$505,32,Hoja_Trabajo!$P$6:$P$505)+SUMIF(Entrada_Manual!$G$5:$G$187,32,Entrada_Manual!$F$5:$F$187),-3)</f>
        <v/>
      </c>
      <c r="F10" s="462" t="n"/>
      <c r="G10" s="461">
        <f>IF($F$10="",$E$10,IF(AND(ISNUMBER($F$10),$F$10&gt;=0),ROUND($F$10,-3),0))</f>
        <v/>
      </c>
      <c r="H10" s="48">
        <f>IF(AND($F$10&lt;&gt;"",OR(NOT(ISNUMBER($F$10)),$F$10&lt;0)),"BLOQUEADO: AJUSTE INVÁLIDO",IF(Exogena_RAW!$C$4="",IF(F10&lt;&gt;"",IF(F10=0,"CONFIRMADO CERO","DILIGENCIADO"),IF(E10&lt;&gt;0,"TRAZADO DESDE ENTRADA MANUAL","SIN DATOS")),IF(Exogena_RAW!$K$10&lt;&gt;Reglas!$B$5,"BLOQUEADO: AÑO",IF(F10&lt;&gt;"",IF(F10=0,"CONFIRMADO CERO","DILIGENCIADO"),IF(E10&lt;&gt;0,"TRAZADO DESDE EXÓGENA","SIN MOVIMIENTO")))))</f>
        <v/>
      </c>
      <c r="I10" s="50" t="n"/>
    </row>
    <row r="11" ht="14.25" customHeight="1" s="235">
      <c r="A11" s="47" t="inlineStr">
        <is>
          <t>Rentas de trabajo</t>
        </is>
      </c>
      <c r="B11" s="48" t="n">
        <v>33</v>
      </c>
      <c r="C11" s="48" t="inlineStr">
        <is>
          <t>Ingresos no constitutivos rentas de trabajo</t>
        </is>
      </c>
      <c r="D11" s="48" t="inlineStr">
        <is>
          <t>Manual</t>
        </is>
      </c>
      <c r="E11" s="461">
        <f>ROUND(SUMIF(Hoja_Trabajo!$V$6:$V$505,33,Hoja_Trabajo!$P$6:$P$505)+SUMIF(Entrada_Manual!$G$5:$G$187,33,Entrada_Manual!$F$5:$F$187),-3)</f>
        <v/>
      </c>
      <c r="F11" s="462" t="n"/>
      <c r="G11" s="461">
        <f>IF($F$11="",$E$11,IF(AND(ISNUMBER($F$11),$F$11&gt;=0),ROUND($F$11,-3),0))</f>
        <v/>
      </c>
      <c r="H11" s="48">
        <f>IF(AND($F$11&lt;&gt;"",OR(NOT(ISNUMBER($F$11)),$F$11&lt;0)),"BLOQUEADO: AJUSTE INVÁLIDO",IF(Exogena_RAW!$C$4="",IF(F11&lt;&gt;"",IF(F11=0,"CONFIRMADO CERO","DILIGENCIADO"),IF(E11&lt;&gt;0,"TRAZADO DESDE ENTRADA MANUAL","SIN DATOS")),IF(Exogena_RAW!$K$10&lt;&gt;Reglas!$B$5,"BLOQUEADO: AÑO",IF(F11&lt;&gt;"",IF(F11=0,"CONFIRMADO CERO","DILIGENCIADO"),IF(E11&lt;&gt;0,"TRAZADO DESDE EXÓGENA","SIN MOVIMIENTO")))))</f>
        <v/>
      </c>
      <c r="I11" s="50" t="n"/>
    </row>
    <row r="12" ht="14.25" customHeight="1" s="235">
      <c r="A12" s="47" t="inlineStr">
        <is>
          <t>Rentas de trabajo</t>
        </is>
      </c>
      <c r="B12" s="48" t="n">
        <v>34</v>
      </c>
      <c r="C12" s="48" t="inlineStr">
        <is>
          <t>Renta líquida rentas de trabajo</t>
        </is>
      </c>
      <c r="D12" s="48" t="inlineStr">
        <is>
          <t>Calculado</t>
        </is>
      </c>
      <c r="E12" s="461" t="n">
        <v>0</v>
      </c>
      <c r="F12" s="477" t="n"/>
      <c r="G12" s="461">
        <f>ROUND(MAX($G$10-$G$11,0),-3)</f>
        <v/>
      </c>
      <c r="H12" s="48">
        <f>"CALCULADO"</f>
        <v/>
      </c>
      <c r="I12" s="50" t="n"/>
    </row>
    <row r="13" ht="14.25" customHeight="1" s="235">
      <c r="A13" s="47" t="inlineStr">
        <is>
          <t>Rentas de trabajo</t>
        </is>
      </c>
      <c r="B13" s="48" t="n">
        <v>35</v>
      </c>
      <c r="C13" s="48" t="inlineStr">
        <is>
          <t>Rentas exentas AFC/FVP/AVC trabajo</t>
        </is>
      </c>
      <c r="D13" s="48" t="inlineStr">
        <is>
          <t>Manual</t>
        </is>
      </c>
      <c r="E13" s="461">
        <f>ROUND(SUMIF(Hoja_Trabajo!$V$6:$V$505,35,Hoja_Trabajo!$P$6:$P$505)+SUMIF(Entrada_Manual!$G$5:$G$187,35,Entrada_Manual!$F$5:$F$187),-3)</f>
        <v/>
      </c>
      <c r="F13" s="462" t="n"/>
      <c r="G13" s="461">
        <f>IF($F$13="",$E$13,IF(AND(ISNUMBER($F$13),$F$13&gt;=0),ROUND($F$13,-3),0))</f>
        <v/>
      </c>
      <c r="H13" s="48">
        <f>IF(AND($F$13&lt;&gt;"",OR(NOT(ISNUMBER($F$13)),$F$13&lt;0)),"BLOQUEADO: AJUSTE INVÁLIDO",IF(Exogena_RAW!$C$4="",IF(F13&lt;&gt;"",IF(F13=0,"CONFIRMADO CERO","DILIGENCIADO"),IF(E13&lt;&gt;0,"TRAZADO DESDE ENTRADA MANUAL","SIN DATOS")),IF(Exogena_RAW!$K$10&lt;&gt;Reglas!$B$5,"BLOQUEADO: AÑO",IF(F13&lt;&gt;"",IF(F13=0,"CONFIRMADO CERO","DILIGENCIADO"),IF(E13&lt;&gt;0,"TRAZADO DESDE EXÓGENA","SIN MOVIMIENTO")))))</f>
        <v/>
      </c>
      <c r="I13" s="50" t="n"/>
    </row>
    <row r="14" ht="14.25" customHeight="1" s="235">
      <c r="A14" s="47" t="inlineStr">
        <is>
          <t>Rentas de trabajo</t>
        </is>
      </c>
      <c r="B14" s="48" t="n">
        <v>36</v>
      </c>
      <c r="C14" s="48" t="inlineStr">
        <is>
          <t>Otras rentas exentas trabajo</t>
        </is>
      </c>
      <c r="D14" s="48" t="inlineStr">
        <is>
          <t>Calculado (25% automático) + Manual</t>
        </is>
      </c>
      <c r="E14" s="461">
        <f>ROUND(MIN(25%*MAX($G$10-$G$11-$G$18-$G$13-(SUMIF(Hoja_Trabajo!$V$6:$V$505,36,Hoja_Trabajo!$P$6:$P$505)+SUMIF(Entrada_Manual!$G$5:$G$187,36,Entrada_Manual!$F$5:$F$187)),0),Reglas!$B$14*Reglas!$B$6)+SUMIF(Hoja_Trabajo!$V$6:$V$505,36,Hoja_Trabajo!$P$6:$P$505)+SUMIF(Entrada_Manual!$G$5:$G$187,36,Entrada_Manual!$F$5:$F$187),-3)</f>
        <v/>
      </c>
      <c r="F14" s="462" t="n"/>
      <c r="G14" s="461">
        <f>IF($F$14="",$E$14,IF(AND(ISNUMBER($F$14),$F$14&gt;=0),ROUND($F$14,-3),0))</f>
        <v/>
      </c>
      <c r="H14" s="48">
        <f>IF(AND($F$14&lt;&gt;"",OR(NOT(ISNUMBER($F$14)),$F$14&lt;0)),"BLOQUEADO: AJUSTE INVÁLIDO",IF(Exogena_RAW!$C$4="",IF(F14&lt;&gt;"",IF(F14=0,"CONFIRMADO CERO","DILIGENCIADO"),IF(E14&lt;&gt;0,"TRAZADO DESDE ENTRADA MANUAL","SIN DATOS")),IF(Exogena_RAW!$K$10&lt;&gt;Reglas!$B$5,"BLOQUEADO: AÑO",IF(F14&lt;&gt;"",IF(F14=0,"CONFIRMADO CERO","DILIGENCIADO"),IF(E14&lt;&gt;0,"TRAZADO DESDE EXÓGENA","SIN MOVIMIENTO")))))</f>
        <v/>
      </c>
      <c r="I14" s="50" t="inlineStr">
        <is>
          <t>25% automático (art. 206 núm. 10 ET) SOLO para empleados con relación laboral (casilla 32, no honorarios/casilla 43). Base: ingresos brutos trabajo (32) menos INCRNGO (33), deducciones (40) y rentas exentas AFC/FVP (35), topado a 790 UVT/año. Se suma cualquier valor adicional de Hoja_Trabajo/Entrada_Manual fila 23 (otras exentas, distintas al 25% — no lo repita ahí). Verifique la base excluida (cesantías, etc.) y el tope vigente.</t>
        </is>
      </c>
    </row>
    <row r="15" ht="14.25" customHeight="1" s="235">
      <c r="A15" s="47" t="inlineStr">
        <is>
          <t>Rentas de trabajo</t>
        </is>
      </c>
      <c r="B15" s="48" t="n">
        <v>37</v>
      </c>
      <c r="C15" s="48" t="inlineStr">
        <is>
          <t>Total rentas exentas trabajo</t>
        </is>
      </c>
      <c r="D15" s="48" t="inlineStr">
        <is>
          <t>Calculado</t>
        </is>
      </c>
      <c r="E15" s="461" t="n">
        <v>0</v>
      </c>
      <c r="F15" s="477" t="n"/>
      <c r="G15" s="461">
        <f>ROUND($G$13+$G$14,-3)</f>
        <v/>
      </c>
      <c r="H15" s="48">
        <f>"CALCULADO"</f>
        <v/>
      </c>
      <c r="I15" s="50" t="n"/>
    </row>
    <row r="16" ht="14.25" customHeight="1" s="235">
      <c r="A16" s="47" t="inlineStr">
        <is>
          <t>Rentas de trabajo</t>
        </is>
      </c>
      <c r="B16" s="48" t="n">
        <v>38</v>
      </c>
      <c r="C16" s="48" t="inlineStr">
        <is>
          <t>Intereses crédito de vivienda trabajo</t>
        </is>
      </c>
      <c r="D16" s="48" t="inlineStr">
        <is>
          <t>Manual</t>
        </is>
      </c>
      <c r="E16" s="461">
        <f>ROUND(SUMIF(Hoja_Trabajo!$V$6:$V$505,38,Hoja_Trabajo!$P$6:$P$505)+SUMIF(Entrada_Manual!$G$5:$G$187,38,Entrada_Manual!$F$5:$F$187),-3)</f>
        <v/>
      </c>
      <c r="F16" s="462" t="n"/>
      <c r="G16" s="461">
        <f>IF($F$16="",$E$16,IF(AND(ISNUMBER($F$16),$F$16&gt;=0),ROUND($F$16,-3),0))</f>
        <v/>
      </c>
      <c r="H16" s="48">
        <f>IF(AND($F$16&lt;&gt;"",OR(NOT(ISNUMBER($F$16)),$F$16&lt;0)),"BLOQUEADO: AJUSTE INVÁLIDO",IF(Exogena_RAW!$C$4="",IF(F16&lt;&gt;"",IF(F16=0,"CONFIRMADO CERO","DILIGENCIADO"),IF(E16&lt;&gt;0,"TRAZADO DESDE ENTRADA MANUAL","SIN DATOS")),IF(Exogena_RAW!$K$10&lt;&gt;Reglas!$B$5,"BLOQUEADO: AÑO",IF(F16&lt;&gt;"",IF(F16=0,"CONFIRMADO CERO","DILIGENCIADO"),IF(E16&lt;&gt;0,"TRAZADO DESDE EXÓGENA","SIN MOVIMIENTO")))))</f>
        <v/>
      </c>
      <c r="I16" s="50" t="n"/>
    </row>
    <row r="17" ht="14.25" customHeight="1" s="235">
      <c r="A17" s="47" t="inlineStr">
        <is>
          <t>Rentas de trabajo</t>
        </is>
      </c>
      <c r="B17" s="48" t="n">
        <v>39</v>
      </c>
      <c r="C17" s="48" t="inlineStr">
        <is>
          <t>Otras deducciones imputables trabajo</t>
        </is>
      </c>
      <c r="D17" s="48" t="inlineStr">
        <is>
          <t>Manual</t>
        </is>
      </c>
      <c r="E17" s="461">
        <f>ROUND(SUMIF(Hoja_Trabajo!$V$6:$V$505,39,Hoja_Trabajo!$P$6:$P$505)+SUMIF(Entrada_Manual!$G$5:$G$187,39,Entrada_Manual!$F$5:$F$187),-3)</f>
        <v/>
      </c>
      <c r="F17" s="462" t="n"/>
      <c r="G17" s="461">
        <f>IF($F$17="",$E$17,IF(AND(ISNUMBER($F$17),$F$17&gt;=0),ROUND($F$17,-3),0))</f>
        <v/>
      </c>
      <c r="H17" s="48">
        <f>IF(AND($F$17&lt;&gt;"",OR(NOT(ISNUMBER($F$17)),$F$17&lt;0)),"BLOQUEADO: AJUSTE INVÁLIDO",IF(Exogena_RAW!$C$4="",IF(F17&lt;&gt;"",IF(F17=0,"CONFIRMADO CERO","DILIGENCIADO"),IF(E17&lt;&gt;0,"TRAZADO DESDE ENTRADA MANUAL","SIN DATOS")),IF(Exogena_RAW!$K$10&lt;&gt;Reglas!$B$5,"BLOQUEADO: AÑO",IF(F17&lt;&gt;"",IF(F17=0,"CONFIRMADO CERO","DILIGENCIADO"),IF(E17&lt;&gt;0,"TRAZADO DESDE EXÓGENA","SIN MOVIMIENTO")))))</f>
        <v/>
      </c>
      <c r="I17" s="50" t="n"/>
    </row>
    <row r="18" ht="14.25" customHeight="1" s="235">
      <c r="A18" s="47" t="inlineStr">
        <is>
          <t>Rentas de trabajo</t>
        </is>
      </c>
      <c r="B18" s="48" t="n">
        <v>40</v>
      </c>
      <c r="C18" s="48" t="inlineStr">
        <is>
          <t>Total deducciones trabajo</t>
        </is>
      </c>
      <c r="D18" s="48" t="inlineStr">
        <is>
          <t>Calculado</t>
        </is>
      </c>
      <c r="E18" s="461" t="n">
        <v>0</v>
      </c>
      <c r="F18" s="477" t="n"/>
      <c r="G18" s="461">
        <f>ROUND($G$16+$G$17,-3)</f>
        <v/>
      </c>
      <c r="H18" s="48">
        <f>"CALCULADO"</f>
        <v/>
      </c>
      <c r="I18" s="50" t="n"/>
    </row>
    <row r="19" ht="14.25" customHeight="1" s="235">
      <c r="A19" s="47" t="inlineStr">
        <is>
          <t>Rentas de trabajo</t>
        </is>
      </c>
      <c r="B19" s="48" t="n">
        <v>41</v>
      </c>
      <c r="C19" s="48" t="inlineStr">
        <is>
          <t>Rentas exentas y deducciones limitadas trabajo</t>
        </is>
      </c>
      <c r="D19" s="48" t="inlineStr">
        <is>
          <t>Calculado</t>
        </is>
      </c>
      <c r="E19" s="461" t="n">
        <v>0</v>
      </c>
      <c r="F19" s="477" t="n"/>
      <c r="G19" s="461">
        <f>ROUND(MIN(MAX($G$15+$G$18,0),MAX($G$12,0),MAX($G$134,0)),-3)</f>
        <v/>
      </c>
      <c r="H19" s="48">
        <f>"CALCULADO"</f>
        <v/>
      </c>
      <c r="I19" s="50" t="n"/>
    </row>
    <row r="20" ht="14.25" customHeight="1" s="235">
      <c r="A20" s="47" t="inlineStr">
        <is>
          <t>Rentas de trabajo</t>
        </is>
      </c>
      <c r="B20" s="48" t="n">
        <v>42</v>
      </c>
      <c r="C20" s="48" t="inlineStr">
        <is>
          <t>Renta líquida ordinaria trabajo</t>
        </is>
      </c>
      <c r="D20" s="48" t="inlineStr">
        <is>
          <t>Calculado</t>
        </is>
      </c>
      <c r="E20" s="461" t="n">
        <v>0</v>
      </c>
      <c r="F20" s="477" t="n"/>
      <c r="G20" s="461">
        <f>ROUND(MAX($G$12-$G$19,0),-3)</f>
        <v/>
      </c>
      <c r="H20" s="48">
        <f>"CALCULADO"</f>
        <v/>
      </c>
      <c r="I20" s="50" t="n"/>
    </row>
    <row r="21" ht="28.5" customHeight="1" s="235">
      <c r="A21" s="47" t="inlineStr">
        <is>
          <t>Honorarios con costos</t>
        </is>
      </c>
      <c r="B21" s="48" t="n">
        <v>43</v>
      </c>
      <c r="C21" s="48" t="inlineStr">
        <is>
          <t>Ingresos brutos honorarios/servicios con costos</t>
        </is>
      </c>
      <c r="D21" s="48" t="inlineStr">
        <is>
          <t>Sugerido Exógena</t>
        </is>
      </c>
      <c r="E21" s="461">
        <f>ROUND(SUMIF(Hoja_Trabajo!$V$6:$V$505,43,Hoja_Trabajo!$P$6:$P$505)+SUMIF(Entrada_Manual!$G$5:$G$187,43,Entrada_Manual!$F$5:$F$187),-3)</f>
        <v/>
      </c>
      <c r="F21" s="462" t="n"/>
      <c r="G21" s="461">
        <f>IF($F$21="",$E$21,IF(AND(ISNUMBER($F$21),$F$21&gt;=0),ROUND($F$21,-3),0))</f>
        <v/>
      </c>
      <c r="H21" s="48">
        <f>IF(AND($F$21&lt;&gt;"",OR(NOT(ISNUMBER($F$21)),$F$21&lt;0)),"BLOQUEADO: AJUSTE INVÁLIDO",IF(Exogena_RAW!$C$4="",IF(F21&lt;&gt;"","DILIGENCIADO",IF(E21&lt;&gt;0,"TRAZADO DESDE ENTRADA MANUAL","SIN DATOS")),IF(Exogena_RAW!$K$10&lt;&gt;Reglas!$B$5,"BLOQUEADO: AÑO",IF(F21&lt;&gt;"",IF(F21=0,"CONFIRMADO CERO","AJUSTADO"),IF(E21&lt;&gt;0,"TRAZADO","SIN MOVIMIENTO")))))</f>
        <v/>
      </c>
      <c r="I21" s="50" t="inlineStr">
        <is>
          <t>Conciliar facturación, terceros, ingresos propios y documentos soporte; evitar duplicidades.</t>
        </is>
      </c>
    </row>
    <row r="22" ht="14.25" customHeight="1" s="235">
      <c r="A22" s="47" t="inlineStr">
        <is>
          <t>Honorarios con costos</t>
        </is>
      </c>
      <c r="B22" s="48" t="n">
        <v>44</v>
      </c>
      <c r="C22" s="48" t="inlineStr">
        <is>
          <t>Ingresos no constitutivos honorarios</t>
        </is>
      </c>
      <c r="D22" s="48" t="inlineStr">
        <is>
          <t>Manual</t>
        </is>
      </c>
      <c r="E22" s="461">
        <f>ROUND(SUMIF(Hoja_Trabajo!$V$6:$V$505,44,Hoja_Trabajo!$P$6:$P$505)+SUMIF(Entrada_Manual!$G$5:$G$187,44,Entrada_Manual!$F$5:$F$187),-3)</f>
        <v/>
      </c>
      <c r="F22" s="462" t="n"/>
      <c r="G22" s="461">
        <f>IF($F$22="",$E$22,IF(AND(ISNUMBER($F$22),$F$22&gt;=0),ROUND($F$22,-3),0))</f>
        <v/>
      </c>
      <c r="H22" s="48">
        <f>IF(AND($F$22&lt;&gt;"",OR(NOT(ISNUMBER($F$22)),$F$22&lt;0)),"BLOQUEADO: AJUSTE INVÁLIDO",IF(Exogena_RAW!$C$4="",IF(F22&lt;&gt;"",IF(F22=0,"CONFIRMADO CERO","DILIGENCIADO"),IF(E22&lt;&gt;0,"TRAZADO DESDE ENTRADA MANUAL","SIN DATOS")),IF(Exogena_RAW!$K$10&lt;&gt;Reglas!$B$5,"BLOQUEADO: AÑO",IF(F22&lt;&gt;"",IF(F22=0,"CONFIRMADO CERO","DILIGENCIADO"),IF(E22&lt;&gt;0,"TRAZADO DESDE EXÓGENA","SIN MOVIMIENTO")))))</f>
        <v/>
      </c>
      <c r="I22" s="50" t="n"/>
    </row>
    <row r="23" ht="14.25" customHeight="1" s="235">
      <c r="A23" s="47" t="inlineStr">
        <is>
          <t>Honorarios con costos</t>
        </is>
      </c>
      <c r="B23" s="48" t="n">
        <v>45</v>
      </c>
      <c r="C23" s="48" t="inlineStr">
        <is>
          <t>Costos y deducciones procedentes honorarios</t>
        </is>
      </c>
      <c r="D23" s="48" t="inlineStr">
        <is>
          <t>Manual</t>
        </is>
      </c>
      <c r="E23" s="461">
        <f>ROUND(SUMIF(Hoja_Trabajo!$V$6:$V$505,45,Hoja_Trabajo!$P$6:$P$505)+SUMIF(Entrada_Manual!$G$5:$G$187,45,Entrada_Manual!$F$5:$F$187),-3)</f>
        <v/>
      </c>
      <c r="F23" s="462" t="n"/>
      <c r="G23" s="461">
        <f>IF($F$23="",$E$23,IF(AND(ISNUMBER($F$23),$F$23&gt;=0),ROUND($F$23,-3),0))</f>
        <v/>
      </c>
      <c r="H23" s="48">
        <f>IF(AND($F$23&lt;&gt;"",OR(NOT(ISNUMBER($F$23)),$F$23&lt;0)),"BLOQUEADO: AJUSTE INVÁLIDO",IF(Exogena_RAW!$C$4="",IF(F23&lt;&gt;"",IF(F23=0,"CONFIRMADO CERO","DILIGENCIADO"),IF(E23&lt;&gt;0,"TRAZADO DESDE ENTRADA MANUAL","SIN DATOS")),IF(Exogena_RAW!$K$10&lt;&gt;Reglas!$B$5,"BLOQUEADO: AÑO",IF(F23&lt;&gt;"",IF(F23=0,"CONFIRMADO CERO","DILIGENCIADO"),IF(E23&lt;&gt;0,"TRAZADO DESDE EXÓGENA","SIN MOVIMIENTO")))))</f>
        <v/>
      </c>
      <c r="I23" s="50" t="n"/>
    </row>
    <row r="24" ht="14.25" customHeight="1" s="235">
      <c r="A24" s="47" t="inlineStr">
        <is>
          <t>Honorarios con costos</t>
        </is>
      </c>
      <c r="B24" s="48" t="n">
        <v>46</v>
      </c>
      <c r="C24" s="48" t="inlineStr">
        <is>
          <t>Renta líquida honorarios</t>
        </is>
      </c>
      <c r="D24" s="48" t="inlineStr">
        <is>
          <t>Calculado</t>
        </is>
      </c>
      <c r="E24" s="461" t="n">
        <v>0</v>
      </c>
      <c r="F24" s="477" t="n"/>
      <c r="G24" s="461">
        <f>ROUND(MAX($G$21-$G$22-$G$23,0),-3)</f>
        <v/>
      </c>
      <c r="H24" s="48">
        <f>"CALCULADO"</f>
        <v/>
      </c>
      <c r="I24" s="50" t="n"/>
    </row>
    <row r="25" ht="14.25" customHeight="1" s="235">
      <c r="A25" s="47" t="inlineStr">
        <is>
          <t>Honorarios con costos</t>
        </is>
      </c>
      <c r="B25" s="48" t="n">
        <v>47</v>
      </c>
      <c r="C25" s="48" t="inlineStr">
        <is>
          <t>Rentas exentas AFC/FVP/AVC honorarios</t>
        </is>
      </c>
      <c r="D25" s="48" t="inlineStr">
        <is>
          <t>Manual</t>
        </is>
      </c>
      <c r="E25" s="461">
        <f>ROUND(SUMIF(Hoja_Trabajo!$V$6:$V$505,47,Hoja_Trabajo!$P$6:$P$505)+SUMIF(Entrada_Manual!$G$5:$G$187,47,Entrada_Manual!$F$5:$F$187),-3)</f>
        <v/>
      </c>
      <c r="F25" s="462" t="n"/>
      <c r="G25" s="461">
        <f>IF($F$25="",$E$25,IF(AND(ISNUMBER($F$25),$F$25&gt;=0),ROUND($F$25,-3),0))</f>
        <v/>
      </c>
      <c r="H25" s="48">
        <f>IF(AND($F$25&lt;&gt;"",OR(NOT(ISNUMBER($F$25)),$F$25&lt;0)),"BLOQUEADO: AJUSTE INVÁLIDO",IF(Exogena_RAW!$C$4="",IF(F25&lt;&gt;"",IF(F25=0,"CONFIRMADO CERO","DILIGENCIADO"),IF(E25&lt;&gt;0,"TRAZADO DESDE ENTRADA MANUAL","SIN DATOS")),IF(Exogena_RAW!$K$10&lt;&gt;Reglas!$B$5,"BLOQUEADO: AÑO",IF(F25&lt;&gt;"",IF(F25=0,"CONFIRMADO CERO","DILIGENCIADO"),IF(E25&lt;&gt;0,"TRAZADO DESDE EXÓGENA","SIN MOVIMIENTO")))))</f>
        <v/>
      </c>
      <c r="I25" s="50" t="n"/>
    </row>
    <row r="26" ht="14.25" customHeight="1" s="235">
      <c r="A26" s="47" t="inlineStr">
        <is>
          <t>Honorarios con costos</t>
        </is>
      </c>
      <c r="B26" s="48" t="n">
        <v>48</v>
      </c>
      <c r="C26" s="48" t="inlineStr">
        <is>
          <t>Otras rentas exentas honorarios</t>
        </is>
      </c>
      <c r="D26" s="48" t="inlineStr">
        <is>
          <t>Manual</t>
        </is>
      </c>
      <c r="E26" s="461">
        <f>ROUND(SUMIF(Hoja_Trabajo!$V$6:$V$505,48,Hoja_Trabajo!$P$6:$P$505)+SUMIF(Entrada_Manual!$G$5:$G$187,48,Entrada_Manual!$F$5:$F$187),-3)</f>
        <v/>
      </c>
      <c r="F26" s="462" t="n"/>
      <c r="G26" s="461">
        <f>IF($F$26="",$E$26,IF(AND(ISNUMBER($F$26),$F$26&gt;=0),ROUND($F$26,-3),0))</f>
        <v/>
      </c>
      <c r="H26" s="48">
        <f>IF(AND($F$26&lt;&gt;"",OR(NOT(ISNUMBER($F$26)),$F$26&lt;0)),"BLOQUEADO: AJUSTE INVÁLIDO",IF(Exogena_RAW!$C$4="",IF(F26&lt;&gt;"",IF(F26=0,"CONFIRMADO CERO","DILIGENCIADO"),IF(E26&lt;&gt;0,"TRAZADO DESDE ENTRADA MANUAL","SIN DATOS")),IF(Exogena_RAW!$K$10&lt;&gt;Reglas!$B$5,"BLOQUEADO: AÑO",IF(F26&lt;&gt;"",IF(F26=0,"CONFIRMADO CERO","DILIGENCIADO"),IF(E26&lt;&gt;0,"TRAZADO DESDE EXÓGENA","SIN MOVIMIENTO")))))</f>
        <v/>
      </c>
      <c r="I26" s="50" t="n"/>
    </row>
    <row r="27" ht="14.25" customHeight="1" s="235">
      <c r="A27" s="47" t="inlineStr">
        <is>
          <t>Honorarios con costos</t>
        </is>
      </c>
      <c r="B27" s="48" t="n">
        <v>49</v>
      </c>
      <c r="C27" s="48" t="inlineStr">
        <is>
          <t>Total rentas exentas honorarios</t>
        </is>
      </c>
      <c r="D27" s="48" t="inlineStr">
        <is>
          <t>Calculado</t>
        </is>
      </c>
      <c r="E27" s="461" t="n">
        <v>0</v>
      </c>
      <c r="F27" s="477" t="n"/>
      <c r="G27" s="461">
        <f>ROUND($G$25+$G$26,-3)</f>
        <v/>
      </c>
      <c r="H27" s="48">
        <f>"CALCULADO"</f>
        <v/>
      </c>
      <c r="I27" s="50" t="n"/>
    </row>
    <row r="28" ht="14.25" customHeight="1" s="235">
      <c r="A28" s="47" t="inlineStr">
        <is>
          <t>Honorarios con costos</t>
        </is>
      </c>
      <c r="B28" s="48" t="n">
        <v>50</v>
      </c>
      <c r="C28" s="48" t="inlineStr">
        <is>
          <t>Intereses vivienda honorarios</t>
        </is>
      </c>
      <c r="D28" s="48" t="inlineStr">
        <is>
          <t>Manual</t>
        </is>
      </c>
      <c r="E28" s="461">
        <f>ROUND(SUMIF(Hoja_Trabajo!$V$6:$V$505,50,Hoja_Trabajo!$P$6:$P$505)+SUMIF(Entrada_Manual!$G$5:$G$187,50,Entrada_Manual!$F$5:$F$187),-3)</f>
        <v/>
      </c>
      <c r="F28" s="462" t="n"/>
      <c r="G28" s="461">
        <f>IF($F$28="",$E$28,IF(AND(ISNUMBER($F$28),$F$28&gt;=0),ROUND($F$28,-3),0))</f>
        <v/>
      </c>
      <c r="H28" s="48">
        <f>IF(AND($F$28&lt;&gt;"",OR(NOT(ISNUMBER($F$28)),$F$28&lt;0)),"BLOQUEADO: AJUSTE INVÁLIDO",IF(Exogena_RAW!$C$4="",IF(F28&lt;&gt;"",IF(F28=0,"CONFIRMADO CERO","DILIGENCIADO"),IF(E28&lt;&gt;0,"TRAZADO DESDE ENTRADA MANUAL","SIN DATOS")),IF(Exogena_RAW!$K$10&lt;&gt;Reglas!$B$5,"BLOQUEADO: AÑO",IF(F28&lt;&gt;"",IF(F28=0,"CONFIRMADO CERO","DILIGENCIADO"),IF(E28&lt;&gt;0,"TRAZADO DESDE EXÓGENA","SIN MOVIMIENTO")))))</f>
        <v/>
      </c>
      <c r="I28" s="50" t="n"/>
    </row>
    <row r="29" ht="14.25" customHeight="1" s="235">
      <c r="A29" s="47" t="inlineStr">
        <is>
          <t>Honorarios con costos</t>
        </is>
      </c>
      <c r="B29" s="48" t="n">
        <v>51</v>
      </c>
      <c r="C29" s="48" t="inlineStr">
        <is>
          <t>Otras deducciones honorarios</t>
        </is>
      </c>
      <c r="D29" s="48" t="inlineStr">
        <is>
          <t>Manual</t>
        </is>
      </c>
      <c r="E29" s="461">
        <f>ROUND(SUMIF(Hoja_Trabajo!$V$6:$V$505,51,Hoja_Trabajo!$P$6:$P$505)+SUMIF(Entrada_Manual!$G$5:$G$187,51,Entrada_Manual!$F$5:$F$187),-3)</f>
        <v/>
      </c>
      <c r="F29" s="462" t="n"/>
      <c r="G29" s="461">
        <f>IF($F$29="",$E$29,IF(AND(ISNUMBER($F$29),$F$29&gt;=0),ROUND($F$29,-3),0))</f>
        <v/>
      </c>
      <c r="H29" s="48">
        <f>IF(AND($F$29&lt;&gt;"",OR(NOT(ISNUMBER($F$29)),$F$29&lt;0)),"BLOQUEADO: AJUSTE INVÁLIDO",IF(Exogena_RAW!$C$4="",IF(F29&lt;&gt;"",IF(F29=0,"CONFIRMADO CERO","DILIGENCIADO"),IF(E29&lt;&gt;0,"TRAZADO DESDE ENTRADA MANUAL","SIN DATOS")),IF(Exogena_RAW!$K$10&lt;&gt;Reglas!$B$5,"BLOQUEADO: AÑO",IF(F29&lt;&gt;"",IF(F29=0,"CONFIRMADO CERO","DILIGENCIADO"),IF(E29&lt;&gt;0,"TRAZADO DESDE EXÓGENA","SIN MOVIMIENTO")))))</f>
        <v/>
      </c>
      <c r="I29" s="50" t="n"/>
    </row>
    <row r="30" ht="14.25" customHeight="1" s="235">
      <c r="A30" s="47" t="inlineStr">
        <is>
          <t>Honorarios con costos</t>
        </is>
      </c>
      <c r="B30" s="48" t="n">
        <v>52</v>
      </c>
      <c r="C30" s="48" t="inlineStr">
        <is>
          <t>Total deducciones honorarios</t>
        </is>
      </c>
      <c r="D30" s="48" t="inlineStr">
        <is>
          <t>Calculado</t>
        </is>
      </c>
      <c r="E30" s="461" t="n">
        <v>0</v>
      </c>
      <c r="F30" s="477" t="n"/>
      <c r="G30" s="461">
        <f>ROUND($G$28+$G$29,-3)</f>
        <v/>
      </c>
      <c r="H30" s="48">
        <f>"CALCULADO"</f>
        <v/>
      </c>
      <c r="I30" s="50" t="n"/>
    </row>
    <row r="31" ht="14.25" customHeight="1" s="235">
      <c r="A31" s="47" t="inlineStr">
        <is>
          <t>Honorarios con costos</t>
        </is>
      </c>
      <c r="B31" s="48" t="n">
        <v>53</v>
      </c>
      <c r="C31" s="48" t="inlineStr">
        <is>
          <t>Rentas exentas/deducciones limitadas honorarios</t>
        </is>
      </c>
      <c r="D31" s="48" t="inlineStr">
        <is>
          <t>Calculado</t>
        </is>
      </c>
      <c r="E31" s="461" t="n">
        <v>0</v>
      </c>
      <c r="F31" s="477" t="n"/>
      <c r="G31" s="461">
        <f>ROUND(MIN(MAX($G$27+$G$30,0),MAX($G$24,0),MAX($G$134-$G$19,0)),-3)</f>
        <v/>
      </c>
      <c r="H31" s="48">
        <f>"CALCULADO"</f>
        <v/>
      </c>
      <c r="I31" s="50" t="n"/>
    </row>
    <row r="32" ht="14.25" customHeight="1" s="235">
      <c r="A32" s="47" t="inlineStr">
        <is>
          <t>Honorarios con costos</t>
        </is>
      </c>
      <c r="B32" s="48" t="n">
        <v>54</v>
      </c>
      <c r="C32" s="48" t="inlineStr">
        <is>
          <t>Renta líquida ordinaria honorarios</t>
        </is>
      </c>
      <c r="D32" s="48" t="inlineStr">
        <is>
          <t>Calculado</t>
        </is>
      </c>
      <c r="E32" s="461" t="n">
        <v>0</v>
      </c>
      <c r="F32" s="477" t="n"/>
      <c r="G32" s="461">
        <f>ROUND(MAX($G$24-$G$31,0),-3)</f>
        <v/>
      </c>
      <c r="H32" s="48">
        <f>"CALCULADO"</f>
        <v/>
      </c>
      <c r="I32" s="50" t="n"/>
    </row>
    <row r="33" ht="14.25" customHeight="1" s="235">
      <c r="A33" s="47" t="inlineStr">
        <is>
          <t>Honorarios con costos</t>
        </is>
      </c>
      <c r="B33" s="48" t="n">
        <v>55</v>
      </c>
      <c r="C33" s="48" t="inlineStr">
        <is>
          <t>Pérdida líquida honorarios</t>
        </is>
      </c>
      <c r="D33" s="48" t="inlineStr">
        <is>
          <t>Calculado</t>
        </is>
      </c>
      <c r="E33" s="461" t="n">
        <v>0</v>
      </c>
      <c r="F33" s="477" t="n"/>
      <c r="G33" s="461">
        <f>ROUND(MAX($G$22+$G$23-$G$21,0),-3)</f>
        <v/>
      </c>
      <c r="H33" s="48">
        <f>"CALCULADO"</f>
        <v/>
      </c>
      <c r="I33" s="50" t="n"/>
    </row>
    <row r="34" ht="14.25" customHeight="1" s="235">
      <c r="A34" s="47" t="inlineStr">
        <is>
          <t>Honorarios con costos</t>
        </is>
      </c>
      <c r="B34" s="48" t="n">
        <v>56</v>
      </c>
      <c r="C34" s="48" t="inlineStr">
        <is>
          <t>Compensaciones pérdidas anteriores honorarios</t>
        </is>
      </c>
      <c r="D34" s="48" t="inlineStr">
        <is>
          <t>Manual</t>
        </is>
      </c>
      <c r="E34" s="461">
        <f>ROUND(SUMIF(Hoja_Trabajo!$V$6:$V$505,56,Hoja_Trabajo!$P$6:$P$505)+SUMIF(Entrada_Manual!$G$5:$G$187,56,Entrada_Manual!$F$5:$F$187),-3)</f>
        <v/>
      </c>
      <c r="F34" s="462" t="n"/>
      <c r="G34" s="461">
        <f>IF($F$34="",$E$34,IF(AND(ISNUMBER($F$34),$F$34&gt;=0),ROUND($F$34,-3),0))</f>
        <v/>
      </c>
      <c r="H34" s="48">
        <f>IF(AND($F$34&lt;&gt;"",OR(NOT(ISNUMBER($F$34)),$F$34&lt;0)),"BLOQUEADO: AJUSTE INVÁLIDO",IF(Exogena_RAW!$C$4="",IF(F34&lt;&gt;"",IF(F34=0,"CONFIRMADO CERO","DILIGENCIADO"),IF(E34&lt;&gt;0,"TRAZADO DESDE ENTRADA MANUAL","SIN DATOS")),IF(Exogena_RAW!$K$10&lt;&gt;Reglas!$B$5,"BLOQUEADO: AÑO",IF(F34&lt;&gt;"",IF(F34=0,"CONFIRMADO CERO","DILIGENCIADO"),IF(E34&lt;&gt;0,"TRAZADO DESDE EXÓGENA","SIN MOVIMIENTO")))))</f>
        <v/>
      </c>
      <c r="I34" s="50" t="n"/>
    </row>
    <row r="35" ht="14.25" customHeight="1" s="235">
      <c r="A35" s="47" t="inlineStr">
        <is>
          <t>Honorarios con costos</t>
        </is>
      </c>
      <c r="B35" s="48" t="n">
        <v>57</v>
      </c>
      <c r="C35" s="48" t="inlineStr">
        <is>
          <t>Renta líquida ordinaria honorarios con costos</t>
        </is>
      </c>
      <c r="D35" s="48" t="inlineStr">
        <is>
          <t>Calculado</t>
        </is>
      </c>
      <c r="E35" s="461" t="n">
        <v>0</v>
      </c>
      <c r="F35" s="477" t="n"/>
      <c r="G35" s="461">
        <f>ROUND(MAX($G$32-$G$34,0),-3)</f>
        <v/>
      </c>
      <c r="H35" s="48">
        <f>"CALCULADO"</f>
        <v/>
      </c>
      <c r="I35" s="50" t="n"/>
    </row>
    <row r="36" ht="28.5" customHeight="1" s="235">
      <c r="A36" s="47" t="inlineStr">
        <is>
          <t>Rentas de capital</t>
        </is>
      </c>
      <c r="B36" s="48" t="n">
        <v>58</v>
      </c>
      <c r="C36" s="48" t="inlineStr">
        <is>
          <t>Ingresos brutos rentas de capital</t>
        </is>
      </c>
      <c r="D36" s="48" t="inlineStr">
        <is>
          <t>Manual</t>
        </is>
      </c>
      <c r="E36" s="461">
        <f>ROUND(SUMIF(Hoja_Trabajo!$V$6:$V$505,58,Hoja_Trabajo!$P$6:$P$505)+SUMIF(Entrada_Manual!$G$5:$G$187,58,Entrada_Manual!$F$5:$F$187),-3)</f>
        <v/>
      </c>
      <c r="F36" s="462" t="n"/>
      <c r="G36" s="461">
        <f>IF($F$36="",$E$36,IF(AND(ISNUMBER($F$36),$F$36&gt;=0),ROUND($F$36,-3),0))</f>
        <v/>
      </c>
      <c r="H36" s="48">
        <f>IF(AND($F$36&lt;&gt;"",OR(NOT(ISNUMBER($F$36)),$F$36&lt;0)),"BLOQUEADO: AJUSTE INVÁLIDO",IF(Exogena_RAW!$C$4="",IF(F36&lt;&gt;"",IF(F36=0,"CONFIRMADO CERO","DILIGENCIADO"),IF(E36&lt;&gt;0,"TRAZADO DESDE ENTRADA MANUAL","SIN DATOS")),IF(Exogena_RAW!$K$10&lt;&gt;Reglas!$B$5,"BLOQUEADO: AÑO",IF(F36&lt;&gt;"",IF(F36=0,"CONFIRMADO CERO","DILIGENCIADO"),IF(E36&lt;&gt;0,"TRAZADO DESDE EXÓGENA","SIN MOVIMIENTO")))))</f>
        <v/>
      </c>
      <c r="I36" s="50" t="n"/>
    </row>
    <row r="37" ht="14.25" customHeight="1" s="235">
      <c r="A37" s="47" t="inlineStr">
        <is>
          <t>Rentas de capital</t>
        </is>
      </c>
      <c r="B37" s="48" t="n">
        <v>59</v>
      </c>
      <c r="C37" s="48" t="inlineStr">
        <is>
          <t>Ingresos no constitutivos capital</t>
        </is>
      </c>
      <c r="D37" s="48" t="inlineStr">
        <is>
          <t>Manual</t>
        </is>
      </c>
      <c r="E37" s="461">
        <f>ROUND(SUMIF(Hoja_Trabajo!$V$6:$V$505,59,Hoja_Trabajo!$P$6:$P$505)+SUMIF(Entrada_Manual!$G$5:$G$187,59,Entrada_Manual!$F$5:$F$187),-3)</f>
        <v/>
      </c>
      <c r="F37" s="462" t="n"/>
      <c r="G37" s="461">
        <f>IF($F$37="",$E$37,IF(AND(ISNUMBER($F$37),$F$37&gt;=0),ROUND($F$37,-3),0))</f>
        <v/>
      </c>
      <c r="H37" s="48">
        <f>IF(AND($F$37&lt;&gt;"",OR(NOT(ISNUMBER($F$37)),$F$37&lt;0)),"BLOQUEADO: AJUSTE INVÁLIDO",IF(Exogena_RAW!$C$4="",IF(F37&lt;&gt;"",IF(F37=0,"CONFIRMADO CERO","DILIGENCIADO"),IF(E37&lt;&gt;0,"TRAZADO DESDE ENTRADA MANUAL","SIN DATOS")),IF(Exogena_RAW!$K$10&lt;&gt;Reglas!$B$5,"BLOQUEADO: AÑO",IF(F37&lt;&gt;"",IF(F37=0,"CONFIRMADO CERO","DILIGENCIADO"),IF(E37&lt;&gt;0,"TRAZADO DESDE EXÓGENA","SIN MOVIMIENTO")))))</f>
        <v/>
      </c>
      <c r="I37" s="50" t="n"/>
    </row>
    <row r="38" ht="14.25" customHeight="1" s="235">
      <c r="A38" s="47" t="inlineStr">
        <is>
          <t>Rentas de capital</t>
        </is>
      </c>
      <c r="B38" s="48" t="n">
        <v>60</v>
      </c>
      <c r="C38" s="48" t="inlineStr">
        <is>
          <t>Costos y gastos capital</t>
        </is>
      </c>
      <c r="D38" s="48" t="inlineStr">
        <is>
          <t>Manual</t>
        </is>
      </c>
      <c r="E38" s="461">
        <f>ROUND(SUMIF(Hoja_Trabajo!$V$6:$V$505,60,Hoja_Trabajo!$P$6:$P$505)+SUMIF(Entrada_Manual!$G$5:$G$187,60,Entrada_Manual!$F$5:$F$187),-3)</f>
        <v/>
      </c>
      <c r="F38" s="462" t="n"/>
      <c r="G38" s="461">
        <f>IF($F$38="",$E$38,IF(AND(ISNUMBER($F$38),$F$38&gt;=0),ROUND($F$38,-3),0))</f>
        <v/>
      </c>
      <c r="H38" s="48">
        <f>IF(AND($F$38&lt;&gt;"",OR(NOT(ISNUMBER($F$38)),$F$38&lt;0)),"BLOQUEADO: AJUSTE INVÁLIDO",IF(Exogena_RAW!$C$4="",IF(F38&lt;&gt;"",IF(F38=0,"CONFIRMADO CERO","DILIGENCIADO"),IF(E38&lt;&gt;0,"TRAZADO DESDE ENTRADA MANUAL","SIN DATOS")),IF(Exogena_RAW!$K$10&lt;&gt;Reglas!$B$5,"BLOQUEADO: AÑO",IF(F38&lt;&gt;"",IF(F38=0,"CONFIRMADO CERO","DILIGENCIADO"),IF(E38&lt;&gt;0,"TRAZADO DESDE EXÓGENA","SIN MOVIMIENTO")))))</f>
        <v/>
      </c>
      <c r="I38" s="50" t="n"/>
    </row>
    <row r="39" ht="14.25" customHeight="1" s="235">
      <c r="A39" s="47" t="inlineStr">
        <is>
          <t>Rentas de capital</t>
        </is>
      </c>
      <c r="B39" s="48" t="n">
        <v>61</v>
      </c>
      <c r="C39" s="48" t="inlineStr">
        <is>
          <t>Renta líquida capital</t>
        </is>
      </c>
      <c r="D39" s="48" t="inlineStr">
        <is>
          <t>Calculado</t>
        </is>
      </c>
      <c r="E39" s="461" t="n">
        <v>0</v>
      </c>
      <c r="F39" s="477" t="n"/>
      <c r="G39" s="461">
        <f>ROUND(MAX($G$36-$G$37-$G$38,0),-3)</f>
        <v/>
      </c>
      <c r="H39" s="48">
        <f>"CALCULADO"</f>
        <v/>
      </c>
      <c r="I39" s="50" t="n"/>
    </row>
    <row r="40" ht="14.25" customHeight="1" s="235">
      <c r="A40" s="47" t="inlineStr">
        <is>
          <t>Rentas de capital</t>
        </is>
      </c>
      <c r="B40" s="48" t="n">
        <v>62</v>
      </c>
      <c r="C40" s="48" t="inlineStr">
        <is>
          <t>Rentas líquidas pasivas ECE capital</t>
        </is>
      </c>
      <c r="D40" s="48" t="inlineStr">
        <is>
          <t>Manual</t>
        </is>
      </c>
      <c r="E40" s="461">
        <f>ROUND(SUMIF(Hoja_Trabajo!$V$6:$V$505,62,Hoja_Trabajo!$P$6:$P$505)+SUMIF(Entrada_Manual!$G$5:$G$187,62,Entrada_Manual!$F$5:$F$187),-3)</f>
        <v/>
      </c>
      <c r="F40" s="462" t="n"/>
      <c r="G40" s="461">
        <f>IF($F$40="",$E$40,IF(AND(ISNUMBER($F$40),$F$40&gt;=0),ROUND($F$40,-3),0))</f>
        <v/>
      </c>
      <c r="H40" s="48">
        <f>IF(AND($F$40&lt;&gt;"",OR(NOT(ISNUMBER($F$40)),$F$40&lt;0)),"BLOQUEADO: AJUSTE INVÁLIDO",IF(Exogena_RAW!$C$4="",IF(F40&lt;&gt;"",IF(F40=0,"CONFIRMADO CERO","DILIGENCIADO"),IF(E40&lt;&gt;0,"TRAZADO DESDE ENTRADA MANUAL","SIN DATOS")),IF(Exogena_RAW!$K$10&lt;&gt;Reglas!$B$5,"BLOQUEADO: AÑO",IF(F40&lt;&gt;"",IF(F40=0,"CONFIRMADO CERO","DILIGENCIADO"),IF(E40&lt;&gt;0,"TRAZADO DESDE EXÓGENA","SIN MOVIMIENTO")))))</f>
        <v/>
      </c>
      <c r="I40" s="50" t="n"/>
    </row>
    <row r="41" ht="14.25" customHeight="1" s="235">
      <c r="A41" s="47" t="inlineStr">
        <is>
          <t>Rentas de capital</t>
        </is>
      </c>
      <c r="B41" s="48" t="n">
        <v>63</v>
      </c>
      <c r="C41" s="48" t="inlineStr">
        <is>
          <t>Rentas exentas AFC/FVP/AVC capital</t>
        </is>
      </c>
      <c r="D41" s="48" t="inlineStr">
        <is>
          <t>Manual</t>
        </is>
      </c>
      <c r="E41" s="461">
        <f>ROUND(SUMIF(Hoja_Trabajo!$V$6:$V$505,63,Hoja_Trabajo!$P$6:$P$505)+SUMIF(Entrada_Manual!$G$5:$G$187,63,Entrada_Manual!$F$5:$F$187),-3)</f>
        <v/>
      </c>
      <c r="F41" s="462" t="n"/>
      <c r="G41" s="461">
        <f>IF($F$41="",$E$41,IF(AND(ISNUMBER($F$41),$F$41&gt;=0),ROUND($F$41,-3),0))</f>
        <v/>
      </c>
      <c r="H41" s="48">
        <f>IF(AND($F$41&lt;&gt;"",OR(NOT(ISNUMBER($F$41)),$F$41&lt;0)),"BLOQUEADO: AJUSTE INVÁLIDO",IF(Exogena_RAW!$C$4="",IF(F41&lt;&gt;"",IF(F41=0,"CONFIRMADO CERO","DILIGENCIADO"),IF(E41&lt;&gt;0,"TRAZADO DESDE ENTRADA MANUAL","SIN DATOS")),IF(Exogena_RAW!$K$10&lt;&gt;Reglas!$B$5,"BLOQUEADO: AÑO",IF(F41&lt;&gt;"",IF(F41=0,"CONFIRMADO CERO","DILIGENCIADO"),IF(E41&lt;&gt;0,"TRAZADO DESDE EXÓGENA","SIN MOVIMIENTO")))))</f>
        <v/>
      </c>
      <c r="I41" s="50" t="n"/>
    </row>
    <row r="42" ht="14.25" customHeight="1" s="235">
      <c r="A42" s="47" t="inlineStr">
        <is>
          <t>Rentas de capital</t>
        </is>
      </c>
      <c r="B42" s="48" t="n">
        <v>64</v>
      </c>
      <c r="C42" s="48" t="inlineStr">
        <is>
          <t>Otras rentas exentas capital</t>
        </is>
      </c>
      <c r="D42" s="48" t="inlineStr">
        <is>
          <t>Manual</t>
        </is>
      </c>
      <c r="E42" s="461">
        <f>ROUND(SUMIF(Hoja_Trabajo!$V$6:$V$505,64,Hoja_Trabajo!$P$6:$P$505)+SUMIF(Entrada_Manual!$G$5:$G$187,64,Entrada_Manual!$F$5:$F$187),-3)</f>
        <v/>
      </c>
      <c r="F42" s="462" t="n"/>
      <c r="G42" s="461">
        <f>IF($F$42="",$E$42,IF(AND(ISNUMBER($F$42),$F$42&gt;=0),ROUND($F$42,-3),0))</f>
        <v/>
      </c>
      <c r="H42" s="48">
        <f>IF(AND($F$42&lt;&gt;"",OR(NOT(ISNUMBER($F$42)),$F$42&lt;0)),"BLOQUEADO: AJUSTE INVÁLIDO",IF(Exogena_RAW!$C$4="",IF(F42&lt;&gt;"",IF(F42=0,"CONFIRMADO CERO","DILIGENCIADO"),IF(E42&lt;&gt;0,"TRAZADO DESDE ENTRADA MANUAL","SIN DATOS")),IF(Exogena_RAW!$K$10&lt;&gt;Reglas!$B$5,"BLOQUEADO: AÑO",IF(F42&lt;&gt;"",IF(F42=0,"CONFIRMADO CERO","DILIGENCIADO"),IF(E42&lt;&gt;0,"TRAZADO DESDE EXÓGENA","SIN MOVIMIENTO")))))</f>
        <v/>
      </c>
      <c r="I42" s="50" t="n"/>
    </row>
    <row r="43" ht="14.25" customHeight="1" s="235">
      <c r="A43" s="47" t="inlineStr">
        <is>
          <t>Rentas de capital</t>
        </is>
      </c>
      <c r="B43" s="48" t="n">
        <v>65</v>
      </c>
      <c r="C43" s="48" t="inlineStr">
        <is>
          <t>Total rentas exentas capital</t>
        </is>
      </c>
      <c r="D43" s="48" t="inlineStr">
        <is>
          <t>Calculado</t>
        </is>
      </c>
      <c r="E43" s="461" t="n">
        <v>0</v>
      </c>
      <c r="F43" s="477" t="n"/>
      <c r="G43" s="461">
        <f>ROUND($G$41+$G$42,-3)</f>
        <v/>
      </c>
      <c r="H43" s="48">
        <f>"CALCULADO"</f>
        <v/>
      </c>
      <c r="I43" s="50" t="n"/>
    </row>
    <row r="44" ht="14.25" customHeight="1" s="235">
      <c r="A44" s="47" t="inlineStr">
        <is>
          <t>Rentas de capital</t>
        </is>
      </c>
      <c r="B44" s="48" t="n">
        <v>66</v>
      </c>
      <c r="C44" s="48" t="inlineStr">
        <is>
          <t>Intereses vivienda capital</t>
        </is>
      </c>
      <c r="D44" s="48" t="inlineStr">
        <is>
          <t>Manual</t>
        </is>
      </c>
      <c r="E44" s="461">
        <f>ROUND(SUMIF(Hoja_Trabajo!$V$6:$V$505,66,Hoja_Trabajo!$P$6:$P$505)+SUMIF(Entrada_Manual!$G$5:$G$187,66,Entrada_Manual!$F$5:$F$187),-3)</f>
        <v/>
      </c>
      <c r="F44" s="462" t="n"/>
      <c r="G44" s="461">
        <f>IF($F$44="",$E$44,IF(AND(ISNUMBER($F$44),$F$44&gt;=0),ROUND($F$44,-3),0))</f>
        <v/>
      </c>
      <c r="H44" s="48">
        <f>IF(AND($F$44&lt;&gt;"",OR(NOT(ISNUMBER($F$44)),$F$44&lt;0)),"BLOQUEADO: AJUSTE INVÁLIDO",IF(Exogena_RAW!$C$4="",IF(F44&lt;&gt;"",IF(F44=0,"CONFIRMADO CERO","DILIGENCIADO"),IF(E44&lt;&gt;0,"TRAZADO DESDE ENTRADA MANUAL","SIN DATOS")),IF(Exogena_RAW!$K$10&lt;&gt;Reglas!$B$5,"BLOQUEADO: AÑO",IF(F44&lt;&gt;"",IF(F44=0,"CONFIRMADO CERO","DILIGENCIADO"),IF(E44&lt;&gt;0,"TRAZADO DESDE EXÓGENA","SIN MOVIMIENTO")))))</f>
        <v/>
      </c>
      <c r="I44" s="50" t="n"/>
    </row>
    <row r="45" ht="14.25" customHeight="1" s="235">
      <c r="A45" s="47" t="inlineStr">
        <is>
          <t>Rentas de capital</t>
        </is>
      </c>
      <c r="B45" s="48" t="n">
        <v>67</v>
      </c>
      <c r="C45" s="48" t="inlineStr">
        <is>
          <t>Otras deducciones capital</t>
        </is>
      </c>
      <c r="D45" s="48" t="inlineStr">
        <is>
          <t>Manual</t>
        </is>
      </c>
      <c r="E45" s="461">
        <f>ROUND(SUMIF(Hoja_Trabajo!$V$6:$V$505,67,Hoja_Trabajo!$P$6:$P$505)+SUMIF(Entrada_Manual!$G$5:$G$187,67,Entrada_Manual!$F$5:$F$187),-3)</f>
        <v/>
      </c>
      <c r="F45" s="462" t="n"/>
      <c r="G45" s="461">
        <f>IF($F$45="",$E$45,IF(AND(ISNUMBER($F$45),$F$45&gt;=0),ROUND($F$45,-3),0))</f>
        <v/>
      </c>
      <c r="H45" s="48">
        <f>IF(AND($F$45&lt;&gt;"",OR(NOT(ISNUMBER($F$45)),$F$45&lt;0)),"BLOQUEADO: AJUSTE INVÁLIDO",IF(Exogena_RAW!$C$4="",IF(F45&lt;&gt;"",IF(F45=0,"CONFIRMADO CERO","DILIGENCIADO"),IF(E45&lt;&gt;0,"TRAZADO DESDE ENTRADA MANUAL","SIN DATOS")),IF(Exogena_RAW!$K$10&lt;&gt;Reglas!$B$5,"BLOQUEADO: AÑO",IF(F45&lt;&gt;"",IF(F45=0,"CONFIRMADO CERO","DILIGENCIADO"),IF(E45&lt;&gt;0,"TRAZADO DESDE EXÓGENA","SIN MOVIMIENTO")))))</f>
        <v/>
      </c>
      <c r="I45" s="50" t="n"/>
    </row>
    <row r="46" ht="14.25" customHeight="1" s="235">
      <c r="A46" s="47" t="inlineStr">
        <is>
          <t>Rentas de capital</t>
        </is>
      </c>
      <c r="B46" s="48" t="n">
        <v>68</v>
      </c>
      <c r="C46" s="48" t="inlineStr">
        <is>
          <t>Total deducciones capital</t>
        </is>
      </c>
      <c r="D46" s="48" t="inlineStr">
        <is>
          <t>Calculado</t>
        </is>
      </c>
      <c r="E46" s="461" t="n">
        <v>0</v>
      </c>
      <c r="F46" s="477" t="n"/>
      <c r="G46" s="461">
        <f>ROUND($G$44+$G$45,-3)</f>
        <v/>
      </c>
      <c r="H46" s="48">
        <f>"CALCULADO"</f>
        <v/>
      </c>
      <c r="I46" s="50" t="n"/>
    </row>
    <row r="47" ht="14.25" customHeight="1" s="235">
      <c r="A47" s="47" t="inlineStr">
        <is>
          <t>Rentas de capital</t>
        </is>
      </c>
      <c r="B47" s="48" t="n">
        <v>69</v>
      </c>
      <c r="C47" s="48" t="inlineStr">
        <is>
          <t>Rentas exentas/deducciones limitadas capital</t>
        </is>
      </c>
      <c r="D47" s="48" t="inlineStr">
        <is>
          <t>Calculado</t>
        </is>
      </c>
      <c r="E47" s="461" t="n">
        <v>0</v>
      </c>
      <c r="F47" s="477" t="n"/>
      <c r="G47" s="461">
        <f>ROUND(MIN(MAX($G$43+$G$46,0),MAX($G$39+$G$40,0),MAX($G$134-$G$19-$G$31,0)),-3)</f>
        <v/>
      </c>
      <c r="H47" s="48">
        <f>"CALCULADO"</f>
        <v/>
      </c>
      <c r="I47" s="50" t="n"/>
    </row>
    <row r="48" ht="14.25" customHeight="1" s="235">
      <c r="A48" s="47" t="inlineStr">
        <is>
          <t>Rentas de capital</t>
        </is>
      </c>
      <c r="B48" s="48" t="n">
        <v>70</v>
      </c>
      <c r="C48" s="48" t="inlineStr">
        <is>
          <t>Renta líquida ordinaria capital</t>
        </is>
      </c>
      <c r="D48" s="48" t="inlineStr">
        <is>
          <t>Calculado</t>
        </is>
      </c>
      <c r="E48" s="461" t="n">
        <v>0</v>
      </c>
      <c r="F48" s="477" t="n"/>
      <c r="G48" s="461">
        <f>ROUND(MAX($G$36+$G$40-$G$37-$G$38-$G$47,0),-3)</f>
        <v/>
      </c>
      <c r="H48" s="48">
        <f>"CALCULADO"</f>
        <v/>
      </c>
      <c r="I48" s="50" t="n"/>
    </row>
    <row r="49" ht="14.25" customHeight="1" s="235">
      <c r="A49" s="47" t="inlineStr">
        <is>
          <t>Rentas de capital</t>
        </is>
      </c>
      <c r="B49" s="48" t="n">
        <v>71</v>
      </c>
      <c r="C49" s="48" t="inlineStr">
        <is>
          <t>Pérdida líquida capital</t>
        </is>
      </c>
      <c r="D49" s="48" t="inlineStr">
        <is>
          <t>Calculado</t>
        </is>
      </c>
      <c r="E49" s="461" t="n">
        <v>0</v>
      </c>
      <c r="F49" s="477" t="n"/>
      <c r="G49" s="461">
        <f>ROUND(MAX($G$37+$G$38-$G$36-$G$40,0),-3)</f>
        <v/>
      </c>
      <c r="H49" s="48">
        <f>"CALCULADO"</f>
        <v/>
      </c>
      <c r="I49" s="50" t="n"/>
    </row>
    <row r="50" ht="14.25" customHeight="1" s="235">
      <c r="A50" s="47" t="inlineStr">
        <is>
          <t>Rentas de capital</t>
        </is>
      </c>
      <c r="B50" s="48" t="n">
        <v>72</v>
      </c>
      <c r="C50" s="48" t="inlineStr">
        <is>
          <t>Compensaciones pérdidas anteriores capital</t>
        </is>
      </c>
      <c r="D50" s="48" t="inlineStr">
        <is>
          <t>Manual</t>
        </is>
      </c>
      <c r="E50" s="461">
        <f>ROUND(SUMIF(Hoja_Trabajo!$V$6:$V$505,72,Hoja_Trabajo!$P$6:$P$505)+SUMIF(Entrada_Manual!$G$5:$G$187,72,Entrada_Manual!$F$5:$F$187),-3)</f>
        <v/>
      </c>
      <c r="F50" s="462" t="n"/>
      <c r="G50" s="461">
        <f>IF($F$50="",$E$50,IF(AND(ISNUMBER($F$50),$F$50&gt;=0),ROUND($F$50,-3),0))</f>
        <v/>
      </c>
      <c r="H50" s="48">
        <f>IF(AND($F$50&lt;&gt;"",OR(NOT(ISNUMBER($F$50)),$F$50&lt;0)),"BLOQUEADO: AJUSTE INVÁLIDO",IF(Exogena_RAW!$C$4="",IF(F50&lt;&gt;"",IF(F50=0,"CONFIRMADO CERO","DILIGENCIADO"),IF(E50&lt;&gt;0,"TRAZADO DESDE ENTRADA MANUAL","SIN DATOS")),IF(Exogena_RAW!$K$10&lt;&gt;Reglas!$B$5,"BLOQUEADO: AÑO",IF(F50&lt;&gt;"",IF(F50=0,"CONFIRMADO CERO","DILIGENCIADO"),IF(E50&lt;&gt;0,"TRAZADO DESDE EXÓGENA","SIN MOVIMIENTO")))))</f>
        <v/>
      </c>
      <c r="I50" s="50" t="n"/>
    </row>
    <row r="51" ht="14.25" customHeight="1" s="235">
      <c r="A51" s="47" t="inlineStr">
        <is>
          <t>Rentas de capital</t>
        </is>
      </c>
      <c r="B51" s="48" t="n">
        <v>73</v>
      </c>
      <c r="C51" s="48" t="inlineStr">
        <is>
          <t>Renta líquida ordinaria capital</t>
        </is>
      </c>
      <c r="D51" s="48" t="inlineStr">
        <is>
          <t>Calculado</t>
        </is>
      </c>
      <c r="E51" s="461" t="n">
        <v>0</v>
      </c>
      <c r="F51" s="477" t="n"/>
      <c r="G51" s="461">
        <f>ROUND(MAX($G$48-$G$50,0),-3)</f>
        <v/>
      </c>
      <c r="H51" s="48">
        <f>"CALCULADO"</f>
        <v/>
      </c>
      <c r="I51" s="50" t="n"/>
    </row>
    <row r="52" ht="14.25" customHeight="1" s="235">
      <c r="A52" s="47" t="inlineStr">
        <is>
          <t>Rentas no laborales</t>
        </is>
      </c>
      <c r="B52" s="48" t="n">
        <v>74</v>
      </c>
      <c r="C52" s="48" t="inlineStr">
        <is>
          <t>Ingresos brutos rentas no laborales</t>
        </is>
      </c>
      <c r="D52" s="48" t="inlineStr">
        <is>
          <t>Manual</t>
        </is>
      </c>
      <c r="E52" s="461">
        <f>ROUND(SUMIF(Hoja_Trabajo!$V$6:$V$505,74,Hoja_Trabajo!$P$6:$P$505)+SUMIF(Entrada_Manual!$G$5:$G$187,74,Entrada_Manual!$F$5:$F$187),-3)</f>
        <v/>
      </c>
      <c r="F52" s="462" t="n"/>
      <c r="G52" s="461">
        <f>IF($F$52="",$E$52,IF(AND(ISNUMBER($F$52),$F$52&gt;=0),ROUND($F$52,-3),0))</f>
        <v/>
      </c>
      <c r="H52" s="48">
        <f>IF(AND($F$52&lt;&gt;"",OR(NOT(ISNUMBER($F$52)),$F$52&lt;0)),"BLOQUEADO: AJUSTE INVÁLIDO",IF(Exogena_RAW!$C$4="",IF(F52&lt;&gt;"",IF(F52=0,"CONFIRMADO CERO","DILIGENCIADO"),IF(E52&lt;&gt;0,"TRAZADO DESDE ENTRADA MANUAL","SIN DATOS")),IF(Exogena_RAW!$K$10&lt;&gt;Reglas!$B$5,"BLOQUEADO: AÑO",IF(F52&lt;&gt;"",IF(F52=0,"CONFIRMADO CERO","DILIGENCIADO"),IF(E52&lt;&gt;0,"TRAZADO DESDE EXÓGENA","SIN MOVIMIENTO")))))</f>
        <v/>
      </c>
      <c r="I52" s="50" t="n"/>
    </row>
    <row r="53" ht="14.25" customHeight="1" s="235">
      <c r="A53" s="47" t="inlineStr">
        <is>
          <t>Rentas no laborales</t>
        </is>
      </c>
      <c r="B53" s="48" t="n">
        <v>75</v>
      </c>
      <c r="C53" s="48" t="inlineStr">
        <is>
          <t>Devoluciones, rebajas y descuentos</t>
        </is>
      </c>
      <c r="D53" s="48" t="inlineStr">
        <is>
          <t>Manual</t>
        </is>
      </c>
      <c r="E53" s="461">
        <f>ROUND(SUMIF(Hoja_Trabajo!$V$6:$V$505,75,Hoja_Trabajo!$P$6:$P$505)+SUMIF(Entrada_Manual!$G$5:$G$187,75,Entrada_Manual!$F$5:$F$187),-3)</f>
        <v/>
      </c>
      <c r="F53" s="462" t="n"/>
      <c r="G53" s="461">
        <f>IF($F$53="",$E$53,IF(AND(ISNUMBER($F$53),$F$53&gt;=0),ROUND($F$53,-3),0))</f>
        <v/>
      </c>
      <c r="H53" s="48">
        <f>IF(AND($F$53&lt;&gt;"",OR(NOT(ISNUMBER($F$53)),$F$53&lt;0)),"BLOQUEADO: AJUSTE INVÁLIDO",IF(Exogena_RAW!$C$4="",IF(F53&lt;&gt;"",IF(F53=0,"CONFIRMADO CERO","DILIGENCIADO"),IF(E53&lt;&gt;0,"TRAZADO DESDE ENTRADA MANUAL","SIN DATOS")),IF(Exogena_RAW!$K$10&lt;&gt;Reglas!$B$5,"BLOQUEADO: AÑO",IF(F53&lt;&gt;"",IF(F53=0,"CONFIRMADO CERO","DILIGENCIADO"),IF(E53&lt;&gt;0,"TRAZADO DESDE EXÓGENA","SIN MOVIMIENTO")))))</f>
        <v/>
      </c>
      <c r="I53" s="50" t="n"/>
    </row>
    <row r="54" ht="14.25" customHeight="1" s="235">
      <c r="A54" s="47" t="inlineStr">
        <is>
          <t>Rentas no laborales</t>
        </is>
      </c>
      <c r="B54" s="48" t="n">
        <v>76</v>
      </c>
      <c r="C54" s="48" t="inlineStr">
        <is>
          <t>Ingresos no gravados no laborales</t>
        </is>
      </c>
      <c r="D54" s="48" t="inlineStr">
        <is>
          <t>Manual</t>
        </is>
      </c>
      <c r="E54" s="461">
        <f>ROUND(SUMIF(Hoja_Trabajo!$V$6:$V$505,76,Hoja_Trabajo!$P$6:$P$505)+SUMIF(Entrada_Manual!$G$5:$G$187,76,Entrada_Manual!$F$5:$F$187),-3)</f>
        <v/>
      </c>
      <c r="F54" s="462" t="n"/>
      <c r="G54" s="461">
        <f>IF($F$54="",$E$54,IF(AND(ISNUMBER($F$54),$F$54&gt;=0),ROUND($F$54,-3),0))</f>
        <v/>
      </c>
      <c r="H54" s="48">
        <f>IF(AND($F$54&lt;&gt;"",OR(NOT(ISNUMBER($F$54)),$F$54&lt;0)),"BLOQUEADO: AJUSTE INVÁLIDO",IF(Exogena_RAW!$C$4="",IF(F54&lt;&gt;"",IF(F54=0,"CONFIRMADO CERO","DILIGENCIADO"),IF(E54&lt;&gt;0,"TRAZADO DESDE ENTRADA MANUAL","SIN DATOS")),IF(Exogena_RAW!$K$10&lt;&gt;Reglas!$B$5,"BLOQUEADO: AÑO",IF(F54&lt;&gt;"",IF(F54=0,"CONFIRMADO CERO","DILIGENCIADO"),IF(E54&lt;&gt;0,"TRAZADO DESDE EXÓGENA","SIN MOVIMIENTO")))))</f>
        <v/>
      </c>
      <c r="I54" s="50" t="n"/>
    </row>
    <row r="55" ht="14.25" customHeight="1" s="235">
      <c r="A55" s="47" t="inlineStr">
        <is>
          <t>Rentas no laborales</t>
        </is>
      </c>
      <c r="B55" s="48" t="n">
        <v>77</v>
      </c>
      <c r="C55" s="48" t="inlineStr">
        <is>
          <t>Costos y gastos no laborales</t>
        </is>
      </c>
      <c r="D55" s="48" t="inlineStr">
        <is>
          <t>Manual</t>
        </is>
      </c>
      <c r="E55" s="461">
        <f>ROUND(SUMIF(Hoja_Trabajo!$V$6:$V$505,77,Hoja_Trabajo!$P$6:$P$505)+SUMIF(Entrada_Manual!$G$5:$G$187,77,Entrada_Manual!$F$5:$F$187),-3)</f>
        <v/>
      </c>
      <c r="F55" s="462" t="n"/>
      <c r="G55" s="461">
        <f>IF($F$55="",$E$55,IF(AND(ISNUMBER($F$55),$F$55&gt;=0),ROUND($F$55,-3),0))</f>
        <v/>
      </c>
      <c r="H55" s="48">
        <f>IF(AND($F$55&lt;&gt;"",OR(NOT(ISNUMBER($F$55)),$F$55&lt;0)),"BLOQUEADO: AJUSTE INVÁLIDO",IF(Exogena_RAW!$C$4="",IF(F55&lt;&gt;"",IF(F55=0,"CONFIRMADO CERO","DILIGENCIADO"),IF(E55&lt;&gt;0,"TRAZADO DESDE ENTRADA MANUAL","SIN DATOS")),IF(Exogena_RAW!$K$10&lt;&gt;Reglas!$B$5,"BLOQUEADO: AÑO",IF(F55&lt;&gt;"",IF(F55=0,"CONFIRMADO CERO","DILIGENCIADO"),IF(E55&lt;&gt;0,"TRAZADO DESDE EXÓGENA","SIN MOVIMIENTO")))))</f>
        <v/>
      </c>
      <c r="I55" s="50" t="n"/>
    </row>
    <row r="56" ht="14.25" customHeight="1" s="235">
      <c r="A56" s="47" t="inlineStr">
        <is>
          <t>Rentas no laborales</t>
        </is>
      </c>
      <c r="B56" s="48" t="n">
        <v>78</v>
      </c>
      <c r="C56" s="48" t="inlineStr">
        <is>
          <t>Renta líquida no laboral</t>
        </is>
      </c>
      <c r="D56" s="48" t="inlineStr">
        <is>
          <t>Calculado</t>
        </is>
      </c>
      <c r="E56" s="461" t="n">
        <v>0</v>
      </c>
      <c r="F56" s="477" t="n"/>
      <c r="G56" s="461">
        <f>ROUND(MAX($G$52-$G$53-$G$54-$G$55,0),-3)</f>
        <v/>
      </c>
      <c r="H56" s="48">
        <f>"CALCULADO"</f>
        <v/>
      </c>
      <c r="I56" s="50" t="n"/>
    </row>
    <row r="57" ht="14.25" customHeight="1" s="235">
      <c r="A57" s="47" t="inlineStr">
        <is>
          <t>Rentas no laborales</t>
        </is>
      </c>
      <c r="B57" s="48" t="n">
        <v>79</v>
      </c>
      <c r="C57" s="48" t="inlineStr">
        <is>
          <t>Rentas líquidas pasivas ECE no laborales</t>
        </is>
      </c>
      <c r="D57" s="48" t="inlineStr">
        <is>
          <t>Manual</t>
        </is>
      </c>
      <c r="E57" s="461">
        <f>ROUND(SUMIF(Hoja_Trabajo!$V$6:$V$505,79,Hoja_Trabajo!$P$6:$P$505)+SUMIF(Entrada_Manual!$G$5:$G$187,79,Entrada_Manual!$F$5:$F$187),-3)</f>
        <v/>
      </c>
      <c r="F57" s="462" t="n"/>
      <c r="G57" s="461">
        <f>IF($F$57="",$E$57,IF(AND(ISNUMBER($F$57),$F$57&gt;=0),ROUND($F$57,-3),0))</f>
        <v/>
      </c>
      <c r="H57" s="48">
        <f>IF(AND($F$57&lt;&gt;"",OR(NOT(ISNUMBER($F$57)),$F$57&lt;0)),"BLOQUEADO: AJUSTE INVÁLIDO",IF(Exogena_RAW!$C$4="",IF(F57&lt;&gt;"",IF(F57=0,"CONFIRMADO CERO","DILIGENCIADO"),IF(E57&lt;&gt;0,"TRAZADO DESDE ENTRADA MANUAL","SIN DATOS")),IF(Exogena_RAW!$K$10&lt;&gt;Reglas!$B$5,"BLOQUEADO: AÑO",IF(F57&lt;&gt;"",IF(F57=0,"CONFIRMADO CERO","DILIGENCIADO"),IF(E57&lt;&gt;0,"TRAZADO DESDE EXÓGENA","SIN MOVIMIENTO")))))</f>
        <v/>
      </c>
      <c r="I57" s="50" t="n"/>
    </row>
    <row r="58" ht="14.25" customHeight="1" s="235">
      <c r="A58" s="47" t="inlineStr">
        <is>
          <t>Rentas no laborales</t>
        </is>
      </c>
      <c r="B58" s="48" t="n">
        <v>80</v>
      </c>
      <c r="C58" s="48" t="inlineStr">
        <is>
          <t>Rentas exentas AFC/FVP/AVC no laborales</t>
        </is>
      </c>
      <c r="D58" s="48" t="inlineStr">
        <is>
          <t>Manual</t>
        </is>
      </c>
      <c r="E58" s="461">
        <f>ROUND(SUMIF(Hoja_Trabajo!$V$6:$V$505,80,Hoja_Trabajo!$P$6:$P$505)+SUMIF(Entrada_Manual!$G$5:$G$187,80,Entrada_Manual!$F$5:$F$187),-3)</f>
        <v/>
      </c>
      <c r="F58" s="462" t="n"/>
      <c r="G58" s="461">
        <f>IF($F$58="",$E$58,IF(AND(ISNUMBER($F$58),$F$58&gt;=0),ROUND($F$58,-3),0))</f>
        <v/>
      </c>
      <c r="H58" s="48">
        <f>IF(AND($F$58&lt;&gt;"",OR(NOT(ISNUMBER($F$58)),$F$58&lt;0)),"BLOQUEADO: AJUSTE INVÁLIDO",IF(Exogena_RAW!$C$4="",IF(F58&lt;&gt;"",IF(F58=0,"CONFIRMADO CERO","DILIGENCIADO"),IF(E58&lt;&gt;0,"TRAZADO DESDE ENTRADA MANUAL","SIN DATOS")),IF(Exogena_RAW!$K$10&lt;&gt;Reglas!$B$5,"BLOQUEADO: AÑO",IF(F58&lt;&gt;"",IF(F58=0,"CONFIRMADO CERO","DILIGENCIADO"),IF(E58&lt;&gt;0,"TRAZADO DESDE EXÓGENA","SIN MOVIMIENTO")))))</f>
        <v/>
      </c>
      <c r="I58" s="50" t="n"/>
    </row>
    <row r="59" ht="14.25" customHeight="1" s="235">
      <c r="A59" s="47" t="inlineStr">
        <is>
          <t>Rentas no laborales</t>
        </is>
      </c>
      <c r="B59" s="48" t="n">
        <v>81</v>
      </c>
      <c r="C59" s="48" t="inlineStr">
        <is>
          <t>Otras rentas exentas no laborales</t>
        </is>
      </c>
      <c r="D59" s="48" t="inlineStr">
        <is>
          <t>Manual</t>
        </is>
      </c>
      <c r="E59" s="461">
        <f>ROUND(SUMIF(Hoja_Trabajo!$V$6:$V$505,81,Hoja_Trabajo!$P$6:$P$505)+SUMIF(Entrada_Manual!$G$5:$G$187,81,Entrada_Manual!$F$5:$F$187),-3)</f>
        <v/>
      </c>
      <c r="F59" s="462" t="n"/>
      <c r="G59" s="461">
        <f>IF($F$59="",$E$59,IF(AND(ISNUMBER($F$59),$F$59&gt;=0),ROUND($F$59,-3),0))</f>
        <v/>
      </c>
      <c r="H59" s="48">
        <f>IF(AND($F$59&lt;&gt;"",OR(NOT(ISNUMBER($F$59)),$F$59&lt;0)),"BLOQUEADO: AJUSTE INVÁLIDO",IF(Exogena_RAW!$C$4="",IF(F59&lt;&gt;"",IF(F59=0,"CONFIRMADO CERO","DILIGENCIADO"),IF(E59&lt;&gt;0,"TRAZADO DESDE ENTRADA MANUAL","SIN DATOS")),IF(Exogena_RAW!$K$10&lt;&gt;Reglas!$B$5,"BLOQUEADO: AÑO",IF(F59&lt;&gt;"",IF(F59=0,"CONFIRMADO CERO","DILIGENCIADO"),IF(E59&lt;&gt;0,"TRAZADO DESDE EXÓGENA","SIN MOVIMIENTO")))))</f>
        <v/>
      </c>
      <c r="I59" s="50" t="n"/>
    </row>
    <row r="60" ht="14.25" customHeight="1" s="235">
      <c r="A60" s="47" t="inlineStr">
        <is>
          <t>Rentas no laborales</t>
        </is>
      </c>
      <c r="B60" s="48" t="n">
        <v>82</v>
      </c>
      <c r="C60" s="48" t="inlineStr">
        <is>
          <t>Total rentas exentas no laborales</t>
        </is>
      </c>
      <c r="D60" s="48" t="inlineStr">
        <is>
          <t>Calculado</t>
        </is>
      </c>
      <c r="E60" s="461" t="n">
        <v>0</v>
      </c>
      <c r="F60" s="477" t="n"/>
      <c r="G60" s="461">
        <f>ROUND($G$58+$G$59,-3)</f>
        <v/>
      </c>
      <c r="H60" s="48">
        <f>"CALCULADO"</f>
        <v/>
      </c>
      <c r="I60" s="50" t="n"/>
    </row>
    <row r="61" ht="14.25" customHeight="1" s="235">
      <c r="A61" s="47" t="inlineStr">
        <is>
          <t>Rentas no laborales</t>
        </is>
      </c>
      <c r="B61" s="48" t="n">
        <v>83</v>
      </c>
      <c r="C61" s="48" t="inlineStr">
        <is>
          <t>Intereses vivienda no laborales</t>
        </is>
      </c>
      <c r="D61" s="48" t="inlineStr">
        <is>
          <t>Manual</t>
        </is>
      </c>
      <c r="E61" s="461">
        <f>ROUND(SUMIF(Hoja_Trabajo!$V$6:$V$505,83,Hoja_Trabajo!$P$6:$P$505)+SUMIF(Entrada_Manual!$G$5:$G$187,83,Entrada_Manual!$F$5:$F$187),-3)</f>
        <v/>
      </c>
      <c r="F61" s="462" t="n"/>
      <c r="G61" s="461">
        <f>IF($F$61="",$E$61,IF(AND(ISNUMBER($F$61),$F$61&gt;=0),ROUND($F$61,-3),0))</f>
        <v/>
      </c>
      <c r="H61" s="48">
        <f>IF(AND($F$61&lt;&gt;"",OR(NOT(ISNUMBER($F$61)),$F$61&lt;0)),"BLOQUEADO: AJUSTE INVÁLIDO",IF(Exogena_RAW!$C$4="",IF(F61&lt;&gt;"",IF(F61=0,"CONFIRMADO CERO","DILIGENCIADO"),IF(E61&lt;&gt;0,"TRAZADO DESDE ENTRADA MANUAL","SIN DATOS")),IF(Exogena_RAW!$K$10&lt;&gt;Reglas!$B$5,"BLOQUEADO: AÑO",IF(F61&lt;&gt;"",IF(F61=0,"CONFIRMADO CERO","DILIGENCIADO"),IF(E61&lt;&gt;0,"TRAZADO DESDE EXÓGENA","SIN MOVIMIENTO")))))</f>
        <v/>
      </c>
      <c r="I61" s="50" t="n"/>
    </row>
    <row r="62" ht="14.25" customHeight="1" s="235">
      <c r="A62" s="47" t="inlineStr">
        <is>
          <t>Rentas no laborales</t>
        </is>
      </c>
      <c r="B62" s="48" t="n">
        <v>84</v>
      </c>
      <c r="C62" s="48" t="inlineStr">
        <is>
          <t>Otras deducciones no laborales</t>
        </is>
      </c>
      <c r="D62" s="48" t="inlineStr">
        <is>
          <t>Manual</t>
        </is>
      </c>
      <c r="E62" s="461">
        <f>ROUND(SUMIF(Hoja_Trabajo!$V$6:$V$505,84,Hoja_Trabajo!$P$6:$P$505)+SUMIF(Entrada_Manual!$G$5:$G$187,84,Entrada_Manual!$F$5:$F$187),-3)</f>
        <v/>
      </c>
      <c r="F62" s="462" t="n"/>
      <c r="G62" s="461">
        <f>IF($F$62="",$E$62,IF(AND(ISNUMBER($F$62),$F$62&gt;=0),ROUND($F$62,-3),0))</f>
        <v/>
      </c>
      <c r="H62" s="48">
        <f>IF(AND($F$62&lt;&gt;"",OR(NOT(ISNUMBER($F$62)),$F$62&lt;0)),"BLOQUEADO: AJUSTE INVÁLIDO",IF(Exogena_RAW!$C$4="",IF(F62&lt;&gt;"",IF(F62=0,"CONFIRMADO CERO","DILIGENCIADO"),IF(E62&lt;&gt;0,"TRAZADO DESDE ENTRADA MANUAL","SIN DATOS")),IF(Exogena_RAW!$K$10&lt;&gt;Reglas!$B$5,"BLOQUEADO: AÑO",IF(F62&lt;&gt;"",IF(F62=0,"CONFIRMADO CERO","DILIGENCIADO"),IF(E62&lt;&gt;0,"TRAZADO DESDE EXÓGENA","SIN MOVIMIENTO")))))</f>
        <v/>
      </c>
      <c r="I62" s="50" t="n"/>
    </row>
    <row r="63" ht="14.25" customHeight="1" s="235">
      <c r="A63" s="47" t="inlineStr">
        <is>
          <t>Rentas no laborales</t>
        </is>
      </c>
      <c r="B63" s="48" t="n">
        <v>85</v>
      </c>
      <c r="C63" s="48" t="inlineStr">
        <is>
          <t>Total deducciones no laborales</t>
        </is>
      </c>
      <c r="D63" s="48" t="inlineStr">
        <is>
          <t>Calculado</t>
        </is>
      </c>
      <c r="E63" s="461" t="n">
        <v>0</v>
      </c>
      <c r="F63" s="477" t="n"/>
      <c r="G63" s="461">
        <f>ROUND($G$61+$G$62,-3)</f>
        <v/>
      </c>
      <c r="H63" s="48">
        <f>"CALCULADO"</f>
        <v/>
      </c>
      <c r="I63" s="50" t="n"/>
    </row>
    <row r="64" ht="14.25" customHeight="1" s="235">
      <c r="A64" s="47" t="inlineStr">
        <is>
          <t>Rentas no laborales</t>
        </is>
      </c>
      <c r="B64" s="48" t="n">
        <v>86</v>
      </c>
      <c r="C64" s="48" t="inlineStr">
        <is>
          <t>Rentas exentas/deducciones limitadas no laborales</t>
        </is>
      </c>
      <c r="D64" s="48" t="inlineStr">
        <is>
          <t>Calculado</t>
        </is>
      </c>
      <c r="E64" s="461" t="n">
        <v>0</v>
      </c>
      <c r="F64" s="477" t="n"/>
      <c r="G64" s="461">
        <f>ROUND(MIN(MAX($G$60+$G$63,0),MAX($G$56+$G$57,0),MAX($G$134-$G$19-$G$31-$G$47,0)),-3)</f>
        <v/>
      </c>
      <c r="H64" s="48">
        <f>"CALCULADO"</f>
        <v/>
      </c>
      <c r="I64" s="50" t="n"/>
    </row>
    <row r="65" ht="14.25" customHeight="1" s="235">
      <c r="A65" s="47" t="inlineStr">
        <is>
          <t>Rentas no laborales</t>
        </is>
      </c>
      <c r="B65" s="48" t="n">
        <v>87</v>
      </c>
      <c r="C65" s="48" t="inlineStr">
        <is>
          <t>Renta líquida ordinaria no laboral</t>
        </is>
      </c>
      <c r="D65" s="48" t="inlineStr">
        <is>
          <t>Calculado</t>
        </is>
      </c>
      <c r="E65" s="461" t="n">
        <v>0</v>
      </c>
      <c r="F65" s="477" t="n"/>
      <c r="G65" s="461">
        <f>ROUND(MAX($G$52+$G$57-$G$53-$G$54-$G$55-$G$64,0),-3)</f>
        <v/>
      </c>
      <c r="H65" s="48">
        <f>"CALCULADO"</f>
        <v/>
      </c>
      <c r="I65" s="50" t="n"/>
    </row>
    <row r="66" ht="14.25" customHeight="1" s="235">
      <c r="A66" s="47" t="inlineStr">
        <is>
          <t>Rentas no laborales</t>
        </is>
      </c>
      <c r="B66" s="48" t="n">
        <v>88</v>
      </c>
      <c r="C66" s="48" t="inlineStr">
        <is>
          <t>Pérdida líquida no laboral</t>
        </is>
      </c>
      <c r="D66" s="48" t="inlineStr">
        <is>
          <t>Calculado</t>
        </is>
      </c>
      <c r="E66" s="461" t="n">
        <v>0</v>
      </c>
      <c r="F66" s="477" t="n"/>
      <c r="G66" s="461">
        <f>ROUND(MAX($G$53+$G$54+$G$55-$G$52-$G$57,0),-3)</f>
        <v/>
      </c>
      <c r="H66" s="48">
        <f>"CALCULADO"</f>
        <v/>
      </c>
      <c r="I66" s="50" t="n"/>
    </row>
    <row r="67" ht="14.25" customHeight="1" s="235">
      <c r="A67" s="47" t="inlineStr">
        <is>
          <t>Rentas no laborales</t>
        </is>
      </c>
      <c r="B67" s="48" t="n">
        <v>89</v>
      </c>
      <c r="C67" s="48" t="inlineStr">
        <is>
          <t>Compensaciones pérdidas anteriores no laborales</t>
        </is>
      </c>
      <c r="D67" s="48" t="inlineStr">
        <is>
          <t>Manual</t>
        </is>
      </c>
      <c r="E67" s="461">
        <f>ROUND(SUMIF(Hoja_Trabajo!$V$6:$V$505,89,Hoja_Trabajo!$P$6:$P$505)+SUMIF(Entrada_Manual!$G$5:$G$187,89,Entrada_Manual!$F$5:$F$187),-3)</f>
        <v/>
      </c>
      <c r="F67" s="462" t="n"/>
      <c r="G67" s="461">
        <f>IF($F$67="",$E$67,IF(AND(ISNUMBER($F$67),$F$67&gt;=0),ROUND($F$67,-3),0))</f>
        <v/>
      </c>
      <c r="H67" s="48">
        <f>IF(AND($F$67&lt;&gt;"",OR(NOT(ISNUMBER($F$67)),$F$67&lt;0)),"BLOQUEADO: AJUSTE INVÁLIDO",IF(Exogena_RAW!$C$4="",IF(F67&lt;&gt;"",IF(F67=0,"CONFIRMADO CERO","DILIGENCIADO"),IF(E67&lt;&gt;0,"TRAZADO DESDE ENTRADA MANUAL","SIN DATOS")),IF(Exogena_RAW!$K$10&lt;&gt;Reglas!$B$5,"BLOQUEADO: AÑO",IF(F67&lt;&gt;"",IF(F67=0,"CONFIRMADO CERO","DILIGENCIADO"),IF(E67&lt;&gt;0,"TRAZADO DESDE EXÓGENA","SIN MOVIMIENTO")))))</f>
        <v/>
      </c>
      <c r="I67" s="50" t="n"/>
    </row>
    <row r="68" ht="14.25" customHeight="1" s="235">
      <c r="A68" s="47" t="inlineStr">
        <is>
          <t>Rentas no laborales</t>
        </is>
      </c>
      <c r="B68" s="48" t="n">
        <v>90</v>
      </c>
      <c r="C68" s="48" t="inlineStr">
        <is>
          <t>Renta líquida ordinaria no laboral</t>
        </is>
      </c>
      <c r="D68" s="48" t="inlineStr">
        <is>
          <t>Calculado</t>
        </is>
      </c>
      <c r="E68" s="461" t="n">
        <v>0</v>
      </c>
      <c r="F68" s="477" t="n"/>
      <c r="G68" s="461">
        <f>ROUND(MAX($G$65-$G$67,0),-3)</f>
        <v/>
      </c>
      <c r="H68" s="48">
        <f>"CALCULADO"</f>
        <v/>
      </c>
      <c r="I68" s="50" t="n"/>
    </row>
    <row r="69" ht="14.25" customHeight="1" s="235">
      <c r="A69" s="47" t="inlineStr">
        <is>
          <t>Cédula general</t>
        </is>
      </c>
      <c r="B69" s="48" t="n">
        <v>91</v>
      </c>
      <c r="C69" s="48" t="inlineStr">
        <is>
          <t>Renta líquida cédula general antes de limitadas</t>
        </is>
      </c>
      <c r="D69" s="48" t="inlineStr">
        <is>
          <t>Calculado</t>
        </is>
      </c>
      <c r="E69" s="461" t="n">
        <v>0</v>
      </c>
      <c r="F69" s="477" t="n"/>
      <c r="G69" s="461">
        <f>ROUND(SUM($G$19,$G$20,$G$31,$G$35,$G$47,$G$51,$G$64,$G$68),-3)</f>
        <v/>
      </c>
      <c r="H69" s="48">
        <f>"CALCULADO"</f>
        <v/>
      </c>
      <c r="I69" s="50" t="n"/>
    </row>
    <row r="70" ht="85.5" customHeight="1" s="235">
      <c r="A70" s="47" t="inlineStr">
        <is>
          <t>Cédula general</t>
        </is>
      </c>
      <c r="B70" s="48" t="n">
        <v>92</v>
      </c>
      <c r="C70" s="48" t="inlineStr">
        <is>
          <t>Rentas exentas y deducciones imputables limitadas</t>
        </is>
      </c>
      <c r="D70" s="48" t="inlineStr">
        <is>
          <t>Calculado</t>
        </is>
      </c>
      <c r="E70" s="461" t="n">
        <v>0</v>
      </c>
      <c r="F70" s="477" t="n"/>
      <c r="G70" s="461">
        <f>ROUND($G$19+$G$31+$G$47+$G$64+$G$6+$G$117,-3)</f>
        <v/>
      </c>
      <c r="H70" s="48">
        <f>"CALCULADO"</f>
        <v/>
      </c>
      <c r="I70" s="50" t="inlineStr">
        <is>
          <t>Límite 40% y 1.340 UVT aplica solo a rentas exentas y deducciones de las 4 subcédulas (35+38+39, 47+50+51, 63+66+67, 80+83+84). La casilla 28 (1% compras con factura electrónica, tope 240 UVT) y la adición por dependientes (casilla 139) se suman aparte, SIN tope combinado (art. 336 núm. 5 ET).</t>
        </is>
      </c>
    </row>
    <row r="71" ht="14.25" customHeight="1" s="235">
      <c r="A71" s="47" t="inlineStr">
        <is>
          <t>Cédula general</t>
        </is>
      </c>
      <c r="B71" s="48" t="n">
        <v>93</v>
      </c>
      <c r="C71" s="48" t="inlineStr">
        <is>
          <t>Renta líquida ordinaria cédula general</t>
        </is>
      </c>
      <c r="D71" s="48" t="inlineStr">
        <is>
          <t>Calculado</t>
        </is>
      </c>
      <c r="E71" s="461" t="n">
        <v>0</v>
      </c>
      <c r="F71" s="477" t="n"/>
      <c r="G71" s="461">
        <f>ROUND(MAX($G$69-$G$70,0),-3)</f>
        <v/>
      </c>
      <c r="H71" s="48">
        <f>"CALCULADO"</f>
        <v/>
      </c>
      <c r="I71" s="50" t="n"/>
    </row>
    <row r="72" ht="14.25" customHeight="1" s="235">
      <c r="A72" s="47" t="inlineStr">
        <is>
          <t>Cédula general</t>
        </is>
      </c>
      <c r="B72" s="48" t="n">
        <v>94</v>
      </c>
      <c r="C72" s="48" t="inlineStr">
        <is>
          <t>Compensación pérdidas fiscales 2018 y anteriores</t>
        </is>
      </c>
      <c r="D72" s="48" t="inlineStr">
        <is>
          <t>Manual</t>
        </is>
      </c>
      <c r="E72" s="461">
        <f>ROUND(SUMIF(Hoja_Trabajo!$V$6:$V$505,94,Hoja_Trabajo!$P$6:$P$505)+SUMIF(Entrada_Manual!$G$5:$G$187,94,Entrada_Manual!$F$5:$F$187),-3)</f>
        <v/>
      </c>
      <c r="F72" s="462" t="n"/>
      <c r="G72" s="461">
        <f>IF($F$72="",$E$72,IF(AND(ISNUMBER($F$72),$F$72&gt;=0),ROUND($F$72,-3),0))</f>
        <v/>
      </c>
      <c r="H72" s="48">
        <f>IF(AND($F$72&lt;&gt;"",OR(NOT(ISNUMBER($F$72)),$F$72&lt;0)),"BLOQUEADO: AJUSTE INVÁLIDO",IF(Exogena_RAW!$C$4="",IF(F72&lt;&gt;"",IF(F72=0,"CONFIRMADO CERO","DILIGENCIADO"),IF(E72&lt;&gt;0,"TRAZADO DESDE ENTRADA MANUAL","SIN DATOS")),IF(Exogena_RAW!$K$10&lt;&gt;Reglas!$B$5,"BLOQUEADO: AÑO",IF(F72&lt;&gt;"",IF(F72=0,"CONFIRMADO CERO","DILIGENCIADO"),IF(E72&lt;&gt;0,"TRAZADO DESDE EXÓGENA","SIN MOVIMIENTO")))))</f>
        <v/>
      </c>
      <c r="I72" s="50" t="n"/>
    </row>
    <row r="73" ht="14.25" customHeight="1" s="235">
      <c r="A73" s="47" t="inlineStr">
        <is>
          <t>Cédula general</t>
        </is>
      </c>
      <c r="B73" s="48" t="n">
        <v>95</v>
      </c>
      <c r="C73" s="48" t="inlineStr">
        <is>
          <t>Compensación excesos de renta presuntiva</t>
        </is>
      </c>
      <c r="D73" s="48" t="inlineStr">
        <is>
          <t>Manual</t>
        </is>
      </c>
      <c r="E73" s="461">
        <f>ROUND(SUMIF(Hoja_Trabajo!$V$6:$V$505,95,Hoja_Trabajo!$P$6:$P$505)+SUMIF(Entrada_Manual!$G$5:$G$187,95,Entrada_Manual!$F$5:$F$187),-3)</f>
        <v/>
      </c>
      <c r="F73" s="462" t="n"/>
      <c r="G73" s="461">
        <f>IF($F$73="",$E$73,IF(AND(ISNUMBER($F$73),$F$73&gt;=0),ROUND($F$73,-3),0))</f>
        <v/>
      </c>
      <c r="H73" s="48">
        <f>IF(AND($F$73&lt;&gt;"",OR(NOT(ISNUMBER($F$73)),$F$73&lt;0)),"BLOQUEADO: AJUSTE INVÁLIDO",IF(Exogena_RAW!$C$4="",IF(F73&lt;&gt;"",IF(F73=0,"CONFIRMADO CERO","DILIGENCIADO"),IF(E73&lt;&gt;0,"TRAZADO DESDE ENTRADA MANUAL","SIN DATOS")),IF(Exogena_RAW!$K$10&lt;&gt;Reglas!$B$5,"BLOQUEADO: AÑO",IF(F73&lt;&gt;"",IF(F73=0,"CONFIRMADO CERO","DILIGENCIADO"),IF(E73&lt;&gt;0,"TRAZADO DESDE EXÓGENA","SIN MOVIMIENTO")))))</f>
        <v/>
      </c>
      <c r="I73" s="50" t="n"/>
    </row>
    <row r="74" ht="14.25" customHeight="1" s="235">
      <c r="A74" s="47" t="inlineStr">
        <is>
          <t>Cédula general</t>
        </is>
      </c>
      <c r="B74" s="48" t="n">
        <v>96</v>
      </c>
      <c r="C74" s="48" t="inlineStr">
        <is>
          <t>Rentas gravables</t>
        </is>
      </c>
      <c r="D74" s="48" t="inlineStr">
        <is>
          <t>Manual</t>
        </is>
      </c>
      <c r="E74" s="461">
        <f>ROUND(SUMIF(Hoja_Trabajo!$V$6:$V$505,96,Hoja_Trabajo!$P$6:$P$505)+SUMIF(Entrada_Manual!$G$5:$G$187,96,Entrada_Manual!$F$5:$F$187),-3)</f>
        <v/>
      </c>
      <c r="F74" s="462" t="n"/>
      <c r="G74" s="461">
        <f>IF($F$74="",$E$74,IF(AND(ISNUMBER($F$74),$F$74&gt;=0),ROUND($F$74,-3),0))</f>
        <v/>
      </c>
      <c r="H74" s="48">
        <f>IF(AND($F$74&lt;&gt;"",OR(NOT(ISNUMBER($F$74)),$F$74&lt;0)),"BLOQUEADO: AJUSTE INVÁLIDO",IF(Exogena_RAW!$C$4="",IF(F74&lt;&gt;"",IF(F74=0,"CONFIRMADO CERO","DILIGENCIADO"),IF(E74&lt;&gt;0,"TRAZADO DESDE ENTRADA MANUAL","SIN DATOS")),IF(Exogena_RAW!$K$10&lt;&gt;Reglas!$B$5,"BLOQUEADO: AÑO",IF(F74&lt;&gt;"",IF(F74=0,"CONFIRMADO CERO","DILIGENCIADO"),IF(E74&lt;&gt;0,"TRAZADO DESDE EXÓGENA","SIN MOVIMIENTO")))))</f>
        <v/>
      </c>
      <c r="I74" s="50" t="n"/>
    </row>
    <row r="75" ht="14.25" customHeight="1" s="235">
      <c r="A75" s="47" t="inlineStr">
        <is>
          <t>Cédula general</t>
        </is>
      </c>
      <c r="B75" s="48" t="n">
        <v>97</v>
      </c>
      <c r="C75" s="48" t="inlineStr">
        <is>
          <t>Renta líquida gravable cédula general</t>
        </is>
      </c>
      <c r="D75" s="48" t="inlineStr">
        <is>
          <t>Calculado</t>
        </is>
      </c>
      <c r="E75" s="461" t="n">
        <v>0</v>
      </c>
      <c r="F75" s="477" t="n"/>
      <c r="G75" s="461">
        <f>ROUND(MAX($G$71+$G$74-$G$72-$G$73,0),-3)</f>
        <v/>
      </c>
      <c r="H75" s="48">
        <f>"CALCULADO"</f>
        <v/>
      </c>
      <c r="I75" s="50" t="n"/>
    </row>
    <row r="76" ht="14.25" customHeight="1" s="235">
      <c r="A76" s="47" t="inlineStr">
        <is>
          <t>Cédula general</t>
        </is>
      </c>
      <c r="B76" s="48" t="n">
        <v>98</v>
      </c>
      <c r="C76" s="48" t="inlineStr">
        <is>
          <t>Renta presuntiva</t>
        </is>
      </c>
      <c r="D76" s="48" t="inlineStr">
        <is>
          <t>Manual</t>
        </is>
      </c>
      <c r="E76" s="461">
        <f>ROUND(SUMIF(Hoja_Trabajo!$V$6:$V$505,98,Hoja_Trabajo!$P$6:$P$505)+SUMIF(Entrada_Manual!$G$5:$G$187,98,Entrada_Manual!$F$5:$F$187),-3)</f>
        <v/>
      </c>
      <c r="F76" s="462" t="n"/>
      <c r="G76" s="461">
        <f>IF($F$76="",$E$76,IF(AND(ISNUMBER($F$76),$F$76&gt;=0),ROUND($F$76,-3),0))</f>
        <v/>
      </c>
      <c r="H76" s="48">
        <f>IF(AND($F$76&lt;&gt;"",OR(NOT(ISNUMBER($F$76)),$F$76&lt;0)),"BLOQUEADO: AJUSTE INVÁLIDO",IF(Exogena_RAW!$C$4="",IF(F76&lt;&gt;"",IF(F76=0,"CONFIRMADO CERO","DILIGENCIADO"),IF(E76&lt;&gt;0,"TRAZADO DESDE ENTRADA MANUAL","SIN DATOS")),IF(Exogena_RAW!$K$10&lt;&gt;Reglas!$B$5,"BLOQUEADO: AÑO",IF(F76&lt;&gt;"",IF(F76=0,"CONFIRMADO CERO","DILIGENCIADO"),IF(E76&lt;&gt;0,"TRAZADO DESDE EXÓGENA","SIN MOVIMIENTO")))))</f>
        <v/>
      </c>
      <c r="I76" s="50" t="n"/>
    </row>
    <row r="77" ht="14.25" customHeight="1" s="235">
      <c r="A77" s="47" t="inlineStr">
        <is>
          <t>Pensiones</t>
        </is>
      </c>
      <c r="B77" s="48" t="n">
        <v>99</v>
      </c>
      <c r="C77" s="48" t="inlineStr">
        <is>
          <t>Ingresos brutos pensiones</t>
        </is>
      </c>
      <c r="D77" s="48" t="inlineStr">
        <is>
          <t>Manual</t>
        </is>
      </c>
      <c r="E77" s="461">
        <f>ROUND(SUMIF(Hoja_Trabajo!$V$6:$V$505,99,Hoja_Trabajo!$P$6:$P$505)+SUMIF(Entrada_Manual!$G$5:$G$187,99,Entrada_Manual!$F$5:$F$187),-3)</f>
        <v/>
      </c>
      <c r="F77" s="462" t="n"/>
      <c r="G77" s="461">
        <f>IF($F$77="",$E$77,IF(AND(ISNUMBER($F$77),$F$77&gt;=0),ROUND($F$77,-3),0))</f>
        <v/>
      </c>
      <c r="H77" s="48">
        <f>IF(AND($F$77&lt;&gt;"",OR(NOT(ISNUMBER($F$77)),$F$77&lt;0)),"BLOQUEADO: AJUSTE INVÁLIDO",IF(Exogena_RAW!$C$4="",IF(F77&lt;&gt;"",IF(F77=0,"CONFIRMADO CERO","DILIGENCIADO"),IF(E77&lt;&gt;0,"TRAZADO DESDE ENTRADA MANUAL","SIN DATOS")),IF(Exogena_RAW!$K$10&lt;&gt;Reglas!$B$5,"BLOQUEADO: AÑO",IF(F77&lt;&gt;"",IF(F77=0,"CONFIRMADO CERO","DILIGENCIADO"),IF(E77&lt;&gt;0,"TRAZADO DESDE EXÓGENA","SIN MOVIMIENTO")))))</f>
        <v/>
      </c>
      <c r="I77" s="50" t="n"/>
    </row>
    <row r="78" ht="14.25" customHeight="1" s="235">
      <c r="A78" s="47" t="inlineStr">
        <is>
          <t>Pensiones</t>
        </is>
      </c>
      <c r="B78" s="48" t="n">
        <v>100</v>
      </c>
      <c r="C78" s="48" t="inlineStr">
        <is>
          <t>Ingresos no constitutivos pensiones</t>
        </is>
      </c>
      <c r="D78" s="48" t="inlineStr">
        <is>
          <t>Manual</t>
        </is>
      </c>
      <c r="E78" s="461">
        <f>ROUND(SUMIF(Hoja_Trabajo!$V$6:$V$505,100,Hoja_Trabajo!$P$6:$P$505)+SUMIF(Entrada_Manual!$G$5:$G$187,100,Entrada_Manual!$F$5:$F$187),-3)</f>
        <v/>
      </c>
      <c r="F78" s="462" t="n"/>
      <c r="G78" s="461">
        <f>IF($F$78="",$E$78,IF(AND(ISNUMBER($F$78),$F$78&gt;=0),ROUND($F$78,-3),0))</f>
        <v/>
      </c>
      <c r="H78" s="48">
        <f>IF(AND($F$78&lt;&gt;"",OR(NOT(ISNUMBER($F$78)),$F$78&lt;0)),"BLOQUEADO: AJUSTE INVÁLIDO",IF(Exogena_RAW!$C$4="",IF(F78&lt;&gt;"",IF(F78=0,"CONFIRMADO CERO","DILIGENCIADO"),IF(E78&lt;&gt;0,"TRAZADO DESDE ENTRADA MANUAL","SIN DATOS")),IF(Exogena_RAW!$K$10&lt;&gt;Reglas!$B$5,"BLOQUEADO: AÑO",IF(F78&lt;&gt;"",IF(F78=0,"CONFIRMADO CERO","DILIGENCIADO"),IF(E78&lt;&gt;0,"TRAZADO DESDE EXÓGENA","SIN MOVIMIENTO")))))</f>
        <v/>
      </c>
      <c r="I78" s="50" t="n"/>
    </row>
    <row r="79" ht="14.25" customHeight="1" s="235">
      <c r="A79" s="47" t="inlineStr">
        <is>
          <t>Pensiones</t>
        </is>
      </c>
      <c r="B79" s="48" t="n">
        <v>101</v>
      </c>
      <c r="C79" s="48" t="inlineStr">
        <is>
          <t>Renta líquida pensiones</t>
        </is>
      </c>
      <c r="D79" s="48" t="inlineStr">
        <is>
          <t>Calculado</t>
        </is>
      </c>
      <c r="E79" s="461" t="n">
        <v>0</v>
      </c>
      <c r="F79" s="477" t="n"/>
      <c r="G79" s="461">
        <f>ROUND(MAX($G$77-$G$78,0),-3)</f>
        <v/>
      </c>
      <c r="H79" s="48">
        <f>"CALCULADO"</f>
        <v/>
      </c>
      <c r="I79" s="50" t="n"/>
    </row>
    <row r="80" ht="28.5" customHeight="1" s="235">
      <c r="A80" s="47" t="inlineStr">
        <is>
          <t>Pensiones</t>
        </is>
      </c>
      <c r="B80" s="48" t="n">
        <v>102</v>
      </c>
      <c r="C80" s="48" t="inlineStr">
        <is>
          <t>Rentas exentas pensiones</t>
        </is>
      </c>
      <c r="D80" s="48" t="inlineStr">
        <is>
          <t>Revisión especial</t>
        </is>
      </c>
      <c r="E80" s="461">
        <f>ROUND(MIN($G$79,12000*Reglas!$B$6),-3)</f>
        <v/>
      </c>
      <c r="F80" s="462" t="n"/>
      <c r="G80" s="461">
        <f>IF($F$80="",$E$80,IF(AND(ISNUMBER($F$80),$F$80&gt;=0),ROUND($F$80,-3),0))</f>
        <v/>
      </c>
      <c r="H80" s="48">
        <f>IF(AND($F$80&lt;&gt;"",OR(NOT(ISNUMBER($F$80)),$F$80&lt;0)),"BLOQUEADO: AJUSTE INVÁLIDO",IF(Exogena_RAW!$C$4="",IF(F80&lt;&gt;"","DILIGENCIADO",IF(E80&lt;&gt;0,"REVISIÓN ESPECIAL","SIN DATOS")),IF(Exogena_RAW!$K$10&lt;&gt;Reglas!$B$5,"BLOQUEADO: AÑO",IF(F80&lt;&gt;"",IF(F80=0,"CONFIRMADO CERO","AJUSTADO"),IF(E80&lt;&gt;0,"REVISIÓN ESPECIAL","SIN MOVIMIENTO")))))</f>
        <v/>
      </c>
      <c r="I80" s="50" t="inlineStr">
        <is>
          <t>Revisar pensiones del exterior/CAN y meses recibidos; el sugerido no reemplaza análisis.</t>
        </is>
      </c>
    </row>
    <row r="81" ht="14.25" customHeight="1" s="235">
      <c r="A81" s="47" t="inlineStr">
        <is>
          <t>Pensiones</t>
        </is>
      </c>
      <c r="B81" s="48" t="n">
        <v>103</v>
      </c>
      <c r="C81" s="48" t="inlineStr">
        <is>
          <t>Renta líquida cedular pensiones</t>
        </is>
      </c>
      <c r="D81" s="48" t="inlineStr">
        <is>
          <t>Calculado</t>
        </is>
      </c>
      <c r="E81" s="461" t="n">
        <v>0</v>
      </c>
      <c r="F81" s="477" t="n"/>
      <c r="G81" s="461">
        <f>ROUND(MAX($G$79-$G$80,0),-3)</f>
        <v/>
      </c>
      <c r="H81" s="48">
        <f>"CALCULADO"</f>
        <v/>
      </c>
      <c r="I81" s="50" t="n"/>
    </row>
    <row r="82" ht="14.25" customHeight="1" s="235">
      <c r="A82" s="47" t="inlineStr">
        <is>
          <t>Dividendos</t>
        </is>
      </c>
      <c r="B82" s="48" t="n">
        <v>104</v>
      </c>
      <c r="C82" s="48" t="inlineStr">
        <is>
          <t>Dividendos 2016 y anteriores y otros</t>
        </is>
      </c>
      <c r="D82" s="48" t="inlineStr">
        <is>
          <t>Manual</t>
        </is>
      </c>
      <c r="E82" s="461">
        <f>ROUND(SUMIF(Hoja_Trabajo!$V$6:$V$505,104,Hoja_Trabajo!$P$6:$P$505)+SUMIF(Entrada_Manual!$G$5:$G$187,104,Entrada_Manual!$F$5:$F$187),-3)</f>
        <v/>
      </c>
      <c r="F82" s="462" t="n"/>
      <c r="G82" s="461">
        <f>IF($F$82="",$E$82,IF(AND(ISNUMBER($F$82),$F$82&gt;=0),ROUND($F$82,-3),0))</f>
        <v/>
      </c>
      <c r="H82" s="48">
        <f>IF(AND($F$82&lt;&gt;"",OR(NOT(ISNUMBER($F$82)),$F$82&lt;0)),"BLOQUEADO: AJUSTE INVÁLIDO",IF(Exogena_RAW!$C$4="",IF(F82&lt;&gt;"",IF(F82=0,"CONFIRMADO CERO","DILIGENCIADO"),IF(E82&lt;&gt;0,"TRAZADO DESDE ENTRADA MANUAL","SIN DATOS")),IF(Exogena_RAW!$K$10&lt;&gt;Reglas!$B$5,"BLOQUEADO: AÑO",IF(F82&lt;&gt;"",IF(F82=0,"CONFIRMADO CERO","DILIGENCIADO"),IF(E82&lt;&gt;0,"TRAZADO DESDE EXÓGENA","SIN MOVIMIENTO")))))</f>
        <v/>
      </c>
      <c r="I82" s="50" t="n"/>
    </row>
    <row r="83" ht="14.25" customHeight="1" s="235">
      <c r="A83" s="47" t="inlineStr">
        <is>
          <t>Dividendos</t>
        </is>
      </c>
      <c r="B83" s="48" t="n">
        <v>105</v>
      </c>
      <c r="C83" s="48" t="inlineStr">
        <is>
          <t>Ingresos no constitutivos dividendos</t>
        </is>
      </c>
      <c r="D83" s="48" t="inlineStr">
        <is>
          <t>Manual</t>
        </is>
      </c>
      <c r="E83" s="461">
        <f>ROUND(SUMIF(Hoja_Trabajo!$V$6:$V$505,105,Hoja_Trabajo!$P$6:$P$505)+SUMIF(Entrada_Manual!$G$5:$G$187,105,Entrada_Manual!$F$5:$F$187),-3)</f>
        <v/>
      </c>
      <c r="F83" s="462" t="n"/>
      <c r="G83" s="461">
        <f>IF($F$83="",$E$83,IF(AND(ISNUMBER($F$83),$F$83&gt;=0),ROUND($F$83,-3),0))</f>
        <v/>
      </c>
      <c r="H83" s="48">
        <f>IF(AND($F$83&lt;&gt;"",OR(NOT(ISNUMBER($F$83)),$F$83&lt;0)),"BLOQUEADO: AJUSTE INVÁLIDO",IF(Exogena_RAW!$C$4="",IF(F83&lt;&gt;"",IF(F83=0,"CONFIRMADO CERO","DILIGENCIADO"),IF(E83&lt;&gt;0,"TRAZADO DESDE ENTRADA MANUAL","SIN DATOS")),IF(Exogena_RAW!$K$10&lt;&gt;Reglas!$B$5,"BLOQUEADO: AÑO",IF(F83&lt;&gt;"",IF(F83=0,"CONFIRMADO CERO","DILIGENCIADO"),IF(E83&lt;&gt;0,"TRAZADO DESDE EXÓGENA","SIN MOVIMIENTO")))))</f>
        <v/>
      </c>
      <c r="I83" s="50" t="n"/>
    </row>
    <row r="84" ht="14.25" customHeight="1" s="235">
      <c r="A84" s="47" t="inlineStr">
        <is>
          <t>Dividendos</t>
        </is>
      </c>
      <c r="B84" s="48" t="n">
        <v>106</v>
      </c>
      <c r="C84" s="48" t="inlineStr">
        <is>
          <t>Renta líquida dividendos 2016 y anteriores</t>
        </is>
      </c>
      <c r="D84" s="48" t="inlineStr">
        <is>
          <t>Calculado</t>
        </is>
      </c>
      <c r="E84" s="461" t="n">
        <v>0</v>
      </c>
      <c r="F84" s="477" t="n"/>
      <c r="G84" s="461">
        <f>ROUND(MAX($G$82-$G$83,0),-3)</f>
        <v/>
      </c>
      <c r="H84" s="48">
        <f>"CALCULADO"</f>
        <v/>
      </c>
      <c r="I84" s="50" t="n"/>
    </row>
    <row r="85" ht="14.25" customHeight="1" s="235">
      <c r="A85" s="47" t="inlineStr">
        <is>
          <t>Dividendos</t>
        </is>
      </c>
      <c r="B85" s="48" t="n">
        <v>107</v>
      </c>
      <c r="C85" s="48" t="inlineStr">
        <is>
          <t>Dividendos no gravados 2017 y siguientes</t>
        </is>
      </c>
      <c r="D85" s="48" t="inlineStr">
        <is>
          <t>Manual</t>
        </is>
      </c>
      <c r="E85" s="461">
        <f>ROUND(SUMIF(Hoja_Trabajo!$V$6:$V$505,107,Hoja_Trabajo!$P$6:$P$505)+SUMIF(Entrada_Manual!$G$5:$G$187,107,Entrada_Manual!$F$5:$F$187),-3)</f>
        <v/>
      </c>
      <c r="F85" s="462" t="n"/>
      <c r="G85" s="461">
        <f>IF($F$85="",$E$85,IF(AND(ISNUMBER($F$85),$F$85&gt;=0),ROUND($F$85,-3),0))</f>
        <v/>
      </c>
      <c r="H85" s="48">
        <f>IF(AND($F$85&lt;&gt;"",OR(NOT(ISNUMBER($F$85)),$F$85&lt;0)),"BLOQUEADO: AJUSTE INVÁLIDO",IF(Exogena_RAW!$C$4="",IF(F85&lt;&gt;"",IF(F85=0,"CONFIRMADO CERO","DILIGENCIADO"),IF(E85&lt;&gt;0,"TRAZADO DESDE ENTRADA MANUAL","SIN DATOS")),IF(Exogena_RAW!$K$10&lt;&gt;Reglas!$B$5,"BLOQUEADO: AÑO",IF(F85&lt;&gt;"",IF(F85=0,"CONFIRMADO CERO","DILIGENCIADO"),IF(E85&lt;&gt;0,"TRAZADO DESDE EXÓGENA","SIN MOVIMIENTO")))))</f>
        <v/>
      </c>
      <c r="I85" s="50" t="n"/>
    </row>
    <row r="86" ht="14.25" customHeight="1" s="235">
      <c r="A86" s="47" t="inlineStr">
        <is>
          <t>Dividendos</t>
        </is>
      </c>
      <c r="B86" s="48" t="n">
        <v>108</v>
      </c>
      <c r="C86" s="48" t="inlineStr">
        <is>
          <t>Dividendos gravados 2017 y siguientes</t>
        </is>
      </c>
      <c r="D86" s="48" t="inlineStr">
        <is>
          <t>Manual</t>
        </is>
      </c>
      <c r="E86" s="461">
        <f>ROUND(SUMIF(Hoja_Trabajo!$V$6:$V$505,108,Hoja_Trabajo!$P$6:$P$505)+SUMIF(Entrada_Manual!$G$5:$G$187,108,Entrada_Manual!$F$5:$F$187),-3)</f>
        <v/>
      </c>
      <c r="F86" s="462" t="n"/>
      <c r="G86" s="461">
        <f>IF($F$86="",$E$86,IF(AND(ISNUMBER($F$86),$F$86&gt;=0),ROUND($F$86,-3),0))</f>
        <v/>
      </c>
      <c r="H86" s="48">
        <f>IF(AND($F$86&lt;&gt;"",OR(NOT(ISNUMBER($F$86)),$F$86&lt;0)),"BLOQUEADO: AJUSTE INVÁLIDO",IF(Exogena_RAW!$C$4="",IF(F86&lt;&gt;"",IF(F86=0,"CONFIRMADO CERO","DILIGENCIADO"),IF(E86&lt;&gt;0,"TRAZADO DESDE ENTRADA MANUAL","SIN DATOS")),IF(Exogena_RAW!$K$10&lt;&gt;Reglas!$B$5,"BLOQUEADO: AÑO",IF(F86&lt;&gt;"",IF(F86=0,"CONFIRMADO CERO","DILIGENCIADO"),IF(E86&lt;&gt;0,"TRAZADO DESDE EXÓGENA","SIN MOVIMIENTO")))))</f>
        <v/>
      </c>
      <c r="I86" s="50" t="n"/>
    </row>
    <row r="87" ht="14.25" customHeight="1" s="235">
      <c r="A87" s="47" t="inlineStr">
        <is>
          <t>Dividendos</t>
        </is>
      </c>
      <c r="B87" s="48" t="n">
        <v>109</v>
      </c>
      <c r="C87" s="48" t="inlineStr">
        <is>
          <t>Dividendos recibidos del exterior</t>
        </is>
      </c>
      <c r="D87" s="48" t="inlineStr">
        <is>
          <t>Manual</t>
        </is>
      </c>
      <c r="E87" s="461">
        <f>ROUND(SUMIF(Hoja_Trabajo!$V$6:$V$505,109,Hoja_Trabajo!$P$6:$P$505)+SUMIF(Entrada_Manual!$G$5:$G$187,109,Entrada_Manual!$F$5:$F$187),-3)</f>
        <v/>
      </c>
      <c r="F87" s="462" t="n"/>
      <c r="G87" s="461">
        <f>IF($F$87="",$E$87,IF(AND(ISNUMBER($F$87),$F$87&gt;=0),ROUND($F$87,-3),0))</f>
        <v/>
      </c>
      <c r="H87" s="48">
        <f>IF(AND($F$87&lt;&gt;"",OR(NOT(ISNUMBER($F$87)),$F$87&lt;0)),"BLOQUEADO: AJUSTE INVÁLIDO",IF(Exogena_RAW!$C$4="",IF(F87&lt;&gt;"",IF(F87=0,"CONFIRMADO CERO","DILIGENCIADO"),IF(E87&lt;&gt;0,"TRAZADO DESDE ENTRADA MANUAL","SIN DATOS")),IF(Exogena_RAW!$K$10&lt;&gt;Reglas!$B$5,"BLOQUEADO: AÑO",IF(F87&lt;&gt;"",IF(F87=0,"CONFIRMADO CERO","DILIGENCIADO"),IF(E87&lt;&gt;0,"TRAZADO DESDE EXÓGENA","SIN MOVIMIENTO")))))</f>
        <v/>
      </c>
      <c r="I87" s="50" t="n"/>
    </row>
    <row r="88" ht="14.25" customHeight="1" s="235">
      <c r="A88" s="47" t="inlineStr">
        <is>
          <t>Dividendos</t>
        </is>
      </c>
      <c r="B88" s="48" t="n">
        <v>110</v>
      </c>
      <c r="C88" s="48" t="inlineStr">
        <is>
          <t>Rentas exentas dividendos exterior</t>
        </is>
      </c>
      <c r="D88" s="48" t="inlineStr">
        <is>
          <t>Manual</t>
        </is>
      </c>
      <c r="E88" s="461">
        <f>ROUND(SUMIF(Hoja_Trabajo!$V$6:$V$505,110,Hoja_Trabajo!$P$6:$P$505)+SUMIF(Entrada_Manual!$G$5:$G$187,110,Entrada_Manual!$F$5:$F$187),-3)</f>
        <v/>
      </c>
      <c r="F88" s="462" t="n"/>
      <c r="G88" s="461">
        <f>IF($F$88="",$E$88,IF(AND(ISNUMBER($F$88),$F$88&gt;=0),ROUND($F$88,-3),0))</f>
        <v/>
      </c>
      <c r="H88" s="48">
        <f>IF(AND($F$88&lt;&gt;"",OR(NOT(ISNUMBER($F$88)),$F$88&lt;0)),"BLOQUEADO: AJUSTE INVÁLIDO",IF(Exogena_RAW!$C$4="",IF(F88&lt;&gt;"",IF(F88=0,"CONFIRMADO CERO","DILIGENCIADO"),IF(E88&lt;&gt;0,"TRAZADO DESDE ENTRADA MANUAL","SIN DATOS")),IF(Exogena_RAW!$K$10&lt;&gt;Reglas!$B$5,"BLOQUEADO: AÑO",IF(F88&lt;&gt;"",IF(F88=0,"CONFIRMADO CERO","DILIGENCIADO"),IF(E88&lt;&gt;0,"TRAZADO DESDE EXÓGENA","SIN MOVIMIENTO")))))</f>
        <v/>
      </c>
      <c r="I88" s="50" t="n"/>
    </row>
    <row r="89" ht="28.5" customHeight="1" s="235">
      <c r="A89" s="47" t="inlineStr">
        <is>
          <t>Dividendos</t>
        </is>
      </c>
      <c r="B89" s="48" t="n">
        <v>111</v>
      </c>
      <c r="C89" s="48" t="inlineStr">
        <is>
          <t>Renta líquida gravable tabla art. 241</t>
        </is>
      </c>
      <c r="D89" s="48" t="inlineStr">
        <is>
          <t>Revisión especial</t>
        </is>
      </c>
      <c r="E89" s="461">
        <f>ROUND(MAX($G$75,$G$76)+$G$81+$G$85+$G$86-$G$96,-3)</f>
        <v/>
      </c>
      <c r="F89" s="462" t="n"/>
      <c r="G89" s="461">
        <f>IF($F$89="",$E$89,IF(AND(ISNUMBER($F$89),$F$89&gt;=0),ROUND($F$89,-3),0))</f>
        <v/>
      </c>
      <c r="H89" s="48">
        <f>IF(AND($F$89&lt;&gt;"",OR(NOT(ISNUMBER($F$89)),$F$89&lt;0)),"BLOQUEADO: AJUSTE INVÁLIDO",IF(Exogena_RAW!$C$4="",IF(F89&lt;&gt;"","DILIGENCIADO",IF(E89&lt;&gt;0,"REVISIÓN ESPECIAL","SIN DATOS")),IF(Exogena_RAW!$K$10&lt;&gt;Reglas!$B$5,"BLOQUEADO: AÑO",IF(F89&lt;&gt;"",IF(F89=0,"CONFIRMADO CERO","AJUSTADO"),IF(E89&lt;&gt;0,"REVISIÓN ESPECIAL","SIN MOVIMIENTO")))))</f>
        <v/>
      </c>
      <c r="I89" s="50" t="inlineStr">
        <is>
          <t>Si hay casillas 108-110, dividendos o megainversiones, ajustar manualmente.</t>
        </is>
      </c>
    </row>
    <row r="90" ht="14.25" customHeight="1" s="235">
      <c r="A90" s="47" t="inlineStr">
        <is>
          <t>Ganancias ocasionales</t>
        </is>
      </c>
      <c r="B90" s="48" t="n">
        <v>112</v>
      </c>
      <c r="C90" s="48" t="inlineStr">
        <is>
          <t>Ingresos por ganancias ocasionales</t>
        </is>
      </c>
      <c r="D90" s="48" t="inlineStr">
        <is>
          <t>Manual</t>
        </is>
      </c>
      <c r="E90" s="461">
        <f>ROUND(SUMIF(Hoja_Trabajo!$V$6:$V$505,112,Hoja_Trabajo!$P$6:$P$505)+SUMIF(Entrada_Manual!$G$5:$G$187,112,Entrada_Manual!$F$5:$F$187),-3)</f>
        <v/>
      </c>
      <c r="F90" s="462" t="n"/>
      <c r="G90" s="461">
        <f>IF($F$90="",$E$90,IF(AND(ISNUMBER($F$90),$F$90&gt;=0),ROUND($F$90,-3),0))</f>
        <v/>
      </c>
      <c r="H90" s="48">
        <f>IF(AND($F$90&lt;&gt;"",OR(NOT(ISNUMBER($F$90)),$F$90&lt;0)),"BLOQUEADO: AJUSTE INVÁLIDO",IF(Exogena_RAW!$C$4="",IF(F90&lt;&gt;"",IF(F90=0,"CONFIRMADO CERO","DILIGENCIADO"),IF(E90&lt;&gt;0,"TRAZADO DESDE ENTRADA MANUAL","SIN DATOS")),IF(Exogena_RAW!$K$10&lt;&gt;Reglas!$B$5,"BLOQUEADO: AÑO",IF(F90&lt;&gt;"",IF(F90=0,"CONFIRMADO CERO","DILIGENCIADO"),IF(E90&lt;&gt;0,"TRAZADO DESDE EXÓGENA","SIN MOVIMIENTO")))))</f>
        <v/>
      </c>
      <c r="I90" s="50" t="n"/>
    </row>
    <row r="91" ht="14.25" customHeight="1" s="235">
      <c r="A91" s="47" t="inlineStr">
        <is>
          <t>Ganancias ocasionales</t>
        </is>
      </c>
      <c r="B91" s="48" t="n">
        <v>113</v>
      </c>
      <c r="C91" s="48" t="inlineStr">
        <is>
          <t>Costos ganancias ocasionales</t>
        </is>
      </c>
      <c r="D91" s="48" t="inlineStr">
        <is>
          <t>Manual</t>
        </is>
      </c>
      <c r="E91" s="461">
        <f>ROUND(SUMIF(Hoja_Trabajo!$V$6:$V$505,113,Hoja_Trabajo!$P$6:$P$505)+SUMIF(Entrada_Manual!$G$5:$G$187,113,Entrada_Manual!$F$5:$F$187),-3)</f>
        <v/>
      </c>
      <c r="F91" s="462" t="n"/>
      <c r="G91" s="461">
        <f>IF($F$91="",$E$91,IF(AND(ISNUMBER($F$91),$F$91&gt;=0),ROUND($F$91,-3),0))</f>
        <v/>
      </c>
      <c r="H91" s="48">
        <f>IF(AND($F$91&lt;&gt;"",OR(NOT(ISNUMBER($F$91)),$F$91&lt;0)),"BLOQUEADO: AJUSTE INVÁLIDO",IF(Exogena_RAW!$C$4="",IF(F91&lt;&gt;"",IF(F91=0,"CONFIRMADO CERO","DILIGENCIADO"),IF(E91&lt;&gt;0,"TRAZADO DESDE ENTRADA MANUAL","SIN DATOS")),IF(Exogena_RAW!$K$10&lt;&gt;Reglas!$B$5,"BLOQUEADO: AÑO",IF(F91&lt;&gt;"",IF(F91=0,"CONFIRMADO CERO","DILIGENCIADO"),IF(E91&lt;&gt;0,"TRAZADO DESDE EXÓGENA","SIN MOVIMIENTO")))))</f>
        <v/>
      </c>
      <c r="I91" s="50" t="n"/>
    </row>
    <row r="92" ht="14.25" customHeight="1" s="235">
      <c r="A92" s="47" t="inlineStr">
        <is>
          <t>Ganancias ocasionales</t>
        </is>
      </c>
      <c r="B92" s="48" t="n">
        <v>114</v>
      </c>
      <c r="C92" s="48" t="inlineStr">
        <is>
          <t>Ganancias ocasionales no gravadas/exentas</t>
        </is>
      </c>
      <c r="D92" s="48" t="inlineStr">
        <is>
          <t>Manual</t>
        </is>
      </c>
      <c r="E92" s="461">
        <f>ROUND(SUMIF(Hoja_Trabajo!$V$6:$V$505,114,Hoja_Trabajo!$P$6:$P$505)+SUMIF(Entrada_Manual!$G$5:$G$187,114,Entrada_Manual!$F$5:$F$187),-3)</f>
        <v/>
      </c>
      <c r="F92" s="462" t="n"/>
      <c r="G92" s="461">
        <f>IF($F$92="",$E$92,IF(AND(ISNUMBER($F$92),$F$92&gt;=0),ROUND($F$92,-3),0))</f>
        <v/>
      </c>
      <c r="H92" s="48">
        <f>IF(AND($F$92&lt;&gt;"",OR(NOT(ISNUMBER($F$92)),$F$92&lt;0)),"BLOQUEADO: AJUSTE INVÁLIDO",IF(Exogena_RAW!$C$4="",IF(F92&lt;&gt;"",IF(F92=0,"CONFIRMADO CERO","DILIGENCIADO"),IF(E92&lt;&gt;0,"TRAZADO DESDE ENTRADA MANUAL","SIN DATOS")),IF(Exogena_RAW!$K$10&lt;&gt;Reglas!$B$5,"BLOQUEADO: AÑO",IF(F92&lt;&gt;"",IF(F92=0,"CONFIRMADO CERO","DILIGENCIADO"),IF(E92&lt;&gt;0,"TRAZADO DESDE EXÓGENA","SIN MOVIMIENTO")))))</f>
        <v/>
      </c>
      <c r="I92" s="50" t="n"/>
    </row>
    <row r="93" ht="14.25" customHeight="1" s="235">
      <c r="A93" s="47" t="inlineStr">
        <is>
          <t>Ganancias ocasionales</t>
        </is>
      </c>
      <c r="B93" s="48" t="n">
        <v>115</v>
      </c>
      <c r="C93" s="48" t="inlineStr">
        <is>
          <t>Ganancias ocasionales gravables</t>
        </is>
      </c>
      <c r="D93" s="48" t="inlineStr">
        <is>
          <t>Calculado</t>
        </is>
      </c>
      <c r="E93" s="461" t="n">
        <v>0</v>
      </c>
      <c r="F93" s="477" t="n"/>
      <c r="G93" s="461">
        <f>ROUND(MAX($G$90-$G$91-$G$92,0),-3)</f>
        <v/>
      </c>
      <c r="H93" s="48">
        <f>"CALCULADO"</f>
        <v/>
      </c>
      <c r="I93" s="50" t="n"/>
    </row>
    <row r="94" ht="14.25" customHeight="1" s="235">
      <c r="A94" s="47" t="inlineStr">
        <is>
          <t>Impuesto</t>
        </is>
      </c>
      <c r="B94" s="48" t="n">
        <v>116</v>
      </c>
      <c r="C94" s="48" t="inlineStr">
        <is>
          <t>Impuesto cédulas cuando prevalece renta ordinaria</t>
        </is>
      </c>
      <c r="D94" s="48" t="inlineStr">
        <is>
          <t>Calculado</t>
        </is>
      </c>
      <c r="E94" s="461" t="n">
        <v>0</v>
      </c>
      <c r="F94" s="477" t="n"/>
      <c r="G94" s="461">
        <f>IF($G$75&gt;=$G$76,ROUND(IF($G$89/Reglas!$B$6&lt;=1090,0,IF($G$89/Reglas!$B$6&lt;=1700,($G$89/Reglas!$B$6-1090)*19%,IF($G$89/Reglas!$B$6&lt;=4100,($G$89/Reglas!$B$6-1700)*28%+116,IF($G$89/Reglas!$B$6&lt;=8670,($G$89/Reglas!$B$6-4100)*33%+788,IF($G$89/Reglas!$B$6&lt;=18970,($G$89/Reglas!$B$6-8670)*35%+2296,IF($G$89/Reglas!$B$6&lt;=31000,($G$89/Reglas!$B$6-18970)*37%+5901,($G$89/Reglas!$B$6-31000)*39%+10352))))))*Reglas!$B$6,-3),0)</f>
        <v/>
      </c>
      <c r="H94" s="48">
        <f>"CALCULADO"</f>
        <v/>
      </c>
      <c r="I94" s="50" t="n"/>
    </row>
    <row r="95" ht="14.25" customHeight="1" s="235">
      <c r="A95" s="47" t="inlineStr">
        <is>
          <t>Impuesto</t>
        </is>
      </c>
      <c r="B95" s="48" t="n">
        <v>117</v>
      </c>
      <c r="C95" s="48" t="inlineStr">
        <is>
          <t>Impuesto cuando prevalece renta presuntiva</t>
        </is>
      </c>
      <c r="D95" s="48" t="inlineStr">
        <is>
          <t>Calculado</t>
        </is>
      </c>
      <c r="E95" s="461" t="n">
        <v>0</v>
      </c>
      <c r="F95" s="477" t="n"/>
      <c r="G95" s="461">
        <f>IF($G$76&gt;$G$75,ROUND(IF($G$89/Reglas!$B$6&lt;=1090,0,IF($G$89/Reglas!$B$6&lt;=1700,($G$89/Reglas!$B$6-1090)*19%,IF($G$89/Reglas!$B$6&lt;=4100,($G$89/Reglas!$B$6-1700)*28%+116,IF($G$89/Reglas!$B$6&lt;=8670,($G$89/Reglas!$B$6-4100)*33%+788,IF($G$89/Reglas!$B$6&lt;=18970,($G$89/Reglas!$B$6-8670)*35%+2296,IF($G$89/Reglas!$B$6&lt;=31000,($G$89/Reglas!$B$6-18970)*37%+5901,($G$89/Reglas!$B$6-31000)*39%+10352))))))*Reglas!$B$6,-3),0)</f>
        <v/>
      </c>
      <c r="H95" s="48">
        <f>"CALCULADO"</f>
        <v/>
      </c>
      <c r="I95" s="50" t="n"/>
    </row>
    <row r="96" ht="14.25" customHeight="1" s="235">
      <c r="A96" s="47" t="inlineStr">
        <is>
          <t>Impuesto</t>
        </is>
      </c>
      <c r="B96" s="48" t="n">
        <v>118</v>
      </c>
      <c r="C96" s="48" t="inlineStr">
        <is>
          <t>Impuesto dividendos gravados 2017+</t>
        </is>
      </c>
      <c r="D96" s="48" t="inlineStr">
        <is>
          <t>Manual</t>
        </is>
      </c>
      <c r="E96" s="461">
        <f>ROUND(SUMIF(Hoja_Trabajo!$V$6:$V$505,118,Hoja_Trabajo!$P$6:$P$505)+SUMIF(Entrada_Manual!$G$5:$G$187,118,Entrada_Manual!$F$5:$F$187),-3)</f>
        <v/>
      </c>
      <c r="F96" s="462" t="n"/>
      <c r="G96" s="461">
        <f>IF($F$96="",$E$96,IF(AND(ISNUMBER($F$96),$F$96&gt;=0),ROUND($F$96,-3),0))</f>
        <v/>
      </c>
      <c r="H96" s="48">
        <f>IF(AND($F$96&lt;&gt;"",OR(NOT(ISNUMBER($F$96)),$F$96&lt;0)),"BLOQUEADO: AJUSTE INVÁLIDO",IF(Exogena_RAW!$C$4="",IF(F96&lt;&gt;"",IF(F96=0,"CONFIRMADO CERO","DILIGENCIADO"),IF(E96&lt;&gt;0,"TRAZADO DESDE ENTRADA MANUAL","SIN DATOS")),IF(Exogena_RAW!$K$10&lt;&gt;Reglas!$B$5,"BLOQUEADO: AÑO",IF(F96&lt;&gt;"",IF(F96=0,"CONFIRMADO CERO","DILIGENCIADO"),IF(E96&lt;&gt;0,"TRAZADO DESDE EXÓGENA","SIN MOVIMIENTO")))))</f>
        <v/>
      </c>
      <c r="I96" s="50" t="n"/>
    </row>
    <row r="97" ht="14.25" customHeight="1" s="235">
      <c r="A97" s="47" t="inlineStr">
        <is>
          <t>Impuesto</t>
        </is>
      </c>
      <c r="B97" s="48" t="n">
        <v>119</v>
      </c>
      <c r="C97" s="48" t="inlineStr">
        <is>
          <t>Impuesto dividendos 2016 y anteriores</t>
        </is>
      </c>
      <c r="D97" s="48" t="inlineStr">
        <is>
          <t>Manual</t>
        </is>
      </c>
      <c r="E97" s="461">
        <f>ROUND(SUMIF(Hoja_Trabajo!$V$6:$V$505,119,Hoja_Trabajo!$P$6:$P$505)+SUMIF(Entrada_Manual!$G$5:$G$187,119,Entrada_Manual!$F$5:$F$187),-3)</f>
        <v/>
      </c>
      <c r="F97" s="462" t="n"/>
      <c r="G97" s="461">
        <f>IF($F$97="",$E$97,IF(AND(ISNUMBER($F$97),$F$97&gt;=0),ROUND($F$97,-3),0))</f>
        <v/>
      </c>
      <c r="H97" s="48">
        <f>IF(AND($F$97&lt;&gt;"",OR(NOT(ISNUMBER($F$97)),$F$97&lt;0)),"BLOQUEADO: AJUSTE INVÁLIDO",IF(Exogena_RAW!$C$4="",IF(F97&lt;&gt;"",IF(F97=0,"CONFIRMADO CERO","DILIGENCIADO"),IF(E97&lt;&gt;0,"TRAZADO DESDE ENTRADA MANUAL","SIN DATOS")),IF(Exogena_RAW!$K$10&lt;&gt;Reglas!$B$5,"BLOQUEADO: AÑO",IF(F97&lt;&gt;"",IF(F97=0,"CONFIRMADO CERO","DILIGENCIADO"),IF(E97&lt;&gt;0,"TRAZADO DESDE EXÓGENA","SIN MOVIMIENTO")))))</f>
        <v/>
      </c>
      <c r="I97" s="50" t="n"/>
    </row>
    <row r="98" ht="14.25" customHeight="1" s="235">
      <c r="A98" s="47" t="inlineStr">
        <is>
          <t>Impuesto</t>
        </is>
      </c>
      <c r="B98" s="48" t="n">
        <v>120</v>
      </c>
      <c r="C98" s="48" t="inlineStr">
        <is>
          <t>Impuesto dividendos del exterior</t>
        </is>
      </c>
      <c r="D98" s="48" t="inlineStr">
        <is>
          <t>Manual</t>
        </is>
      </c>
      <c r="E98" s="461">
        <f>ROUND(SUMIF(Hoja_Trabajo!$V$6:$V$505,120,Hoja_Trabajo!$P$6:$P$505)+SUMIF(Entrada_Manual!$G$5:$G$187,120,Entrada_Manual!$F$5:$F$187),-3)</f>
        <v/>
      </c>
      <c r="F98" s="462" t="n"/>
      <c r="G98" s="461">
        <f>IF($F$98="",$E$98,IF(AND(ISNUMBER($F$98),$F$98&gt;=0),ROUND($F$98,-3),0))</f>
        <v/>
      </c>
      <c r="H98" s="48">
        <f>IF(AND($F$98&lt;&gt;"",OR(NOT(ISNUMBER($F$98)),$F$98&lt;0)),"BLOQUEADO: AJUSTE INVÁLIDO",IF(Exogena_RAW!$C$4="",IF(F98&lt;&gt;"",IF(F98=0,"CONFIRMADO CERO","DILIGENCIADO"),IF(E98&lt;&gt;0,"TRAZADO DESDE ENTRADA MANUAL","SIN DATOS")),IF(Exogena_RAW!$K$10&lt;&gt;Reglas!$B$5,"BLOQUEADO: AÑO",IF(F98&lt;&gt;"",IF(F98=0,"CONFIRMADO CERO","DILIGENCIADO"),IF(E98&lt;&gt;0,"TRAZADO DESDE EXÓGENA","SIN MOVIMIENTO")))))</f>
        <v/>
      </c>
      <c r="I98" s="50" t="n"/>
    </row>
    <row r="99" ht="14.25" customHeight="1" s="235">
      <c r="A99" s="47" t="inlineStr">
        <is>
          <t>Impuesto</t>
        </is>
      </c>
      <c r="B99" s="48" t="n">
        <v>121</v>
      </c>
      <c r="C99" s="48" t="inlineStr">
        <is>
          <t>Total impuesto sobre rentas líquidas</t>
        </is>
      </c>
      <c r="D99" s="48" t="inlineStr">
        <is>
          <t>Calculado</t>
        </is>
      </c>
      <c r="E99" s="461" t="n">
        <v>0</v>
      </c>
      <c r="F99" s="477" t="n"/>
      <c r="G99" s="461">
        <f>ROUND(SUM($G$94:$G$98),-3)</f>
        <v/>
      </c>
      <c r="H99" s="48">
        <f>"CALCULADO"</f>
        <v/>
      </c>
      <c r="I99" s="50" t="n"/>
    </row>
    <row r="100" ht="14.25" customHeight="1" s="235">
      <c r="A100" s="47" t="inlineStr">
        <is>
          <t>Impuesto</t>
        </is>
      </c>
      <c r="B100" s="48" t="n">
        <v>122</v>
      </c>
      <c r="C100" s="48" t="inlineStr">
        <is>
          <t>Descuento impuestos pagados exterior</t>
        </is>
      </c>
      <c r="D100" s="48" t="inlineStr">
        <is>
          <t>Manual</t>
        </is>
      </c>
      <c r="E100" s="461">
        <f>ROUND(SUMIF(Hoja_Trabajo!$V$6:$V$505,122,Hoja_Trabajo!$P$6:$P$505)+SUMIF(Entrada_Manual!$G$5:$G$187,122,Entrada_Manual!$F$5:$F$187),-3)</f>
        <v/>
      </c>
      <c r="F100" s="462" t="n"/>
      <c r="G100" s="461">
        <f>IF($F$100="",$E$100,IF(AND(ISNUMBER($F$100),$F$100&gt;=0),ROUND($F$100,-3),0))</f>
        <v/>
      </c>
      <c r="H100" s="48">
        <f>IF(AND($F$100&lt;&gt;"",OR(NOT(ISNUMBER($F$100)),$F$100&lt;0)),"BLOQUEADO: AJUSTE INVÁLIDO",IF(Exogena_RAW!$C$4="",IF(F100&lt;&gt;"",IF(F100=0,"CONFIRMADO CERO","DILIGENCIADO"),IF(E100&lt;&gt;0,"TRAZADO DESDE ENTRADA MANUAL","SIN DATOS")),IF(Exogena_RAW!$K$10&lt;&gt;Reglas!$B$5,"BLOQUEADO: AÑO",IF(F100&lt;&gt;"",IF(F100=0,"CONFIRMADO CERO","DILIGENCIADO"),IF(E100&lt;&gt;0,"TRAZADO DESDE EXÓGENA","SIN MOVIMIENTO")))))</f>
        <v/>
      </c>
      <c r="I100" s="50" t="n"/>
    </row>
    <row r="101" ht="14.25" customHeight="1" s="235">
      <c r="A101" s="47" t="inlineStr">
        <is>
          <t>Impuesto</t>
        </is>
      </c>
      <c r="B101" s="48" t="n">
        <v>123</v>
      </c>
      <c r="C101" s="48" t="inlineStr">
        <is>
          <t>Descuento por donaciones</t>
        </is>
      </c>
      <c r="D101" s="48" t="inlineStr">
        <is>
          <t>Manual</t>
        </is>
      </c>
      <c r="E101" s="461">
        <f>ROUND(SUMIF(Hoja_Trabajo!$V$6:$V$505,123,Hoja_Trabajo!$P$6:$P$505)+SUMIF(Entrada_Manual!$G$5:$G$187,123,Entrada_Manual!$F$5:$F$187),-3)</f>
        <v/>
      </c>
      <c r="F101" s="462" t="n"/>
      <c r="G101" s="461">
        <f>IF($F$101="",$E$101,IF(AND(ISNUMBER($F$101),$F$101&gt;=0),ROUND($F$101,-3),0))</f>
        <v/>
      </c>
      <c r="H101" s="48">
        <f>IF(AND($F$101&lt;&gt;"",OR(NOT(ISNUMBER($F$101)),$F$101&lt;0)),"BLOQUEADO: AJUSTE INVÁLIDO",IF(Exogena_RAW!$C$4="",IF(F101&lt;&gt;"",IF(F101=0,"CONFIRMADO CERO","DILIGENCIADO"),IF(E101&lt;&gt;0,"TRAZADO DESDE ENTRADA MANUAL","SIN DATOS")),IF(Exogena_RAW!$K$10&lt;&gt;Reglas!$B$5,"BLOQUEADO: AÑO",IF(F101&lt;&gt;"",IF(F101=0,"CONFIRMADO CERO","DILIGENCIADO"),IF(E101&lt;&gt;0,"TRAZADO DESDE EXÓGENA","SIN MOVIMIENTO")))))</f>
        <v/>
      </c>
      <c r="I101" s="50" t="n"/>
    </row>
    <row r="102" ht="14.25" customHeight="1" s="235">
      <c r="A102" s="47" t="inlineStr">
        <is>
          <t>Impuesto</t>
        </is>
      </c>
      <c r="B102" s="48" t="n">
        <v>124</v>
      </c>
      <c r="C102" s="48" t="inlineStr">
        <is>
          <t>Descuentos dividendos/otros</t>
        </is>
      </c>
      <c r="D102" s="48" t="inlineStr">
        <is>
          <t>Manual</t>
        </is>
      </c>
      <c r="E102" s="461">
        <f>ROUND(SUMIF(Hoja_Trabajo!$V$6:$V$505,124,Hoja_Trabajo!$P$6:$P$505)+SUMIF(Entrada_Manual!$G$5:$G$187,124,Entrada_Manual!$F$5:$F$187),-3)</f>
        <v/>
      </c>
      <c r="F102" s="462" t="n"/>
      <c r="G102" s="461">
        <f>IF($F$102="",$E$102,IF(AND(ISNUMBER($F$102),$F$102&gt;=0),ROUND($F$102,-3),0))</f>
        <v/>
      </c>
      <c r="H102" s="48">
        <f>IF(AND($F$102&lt;&gt;"",OR(NOT(ISNUMBER($F$102)),$F$102&lt;0)),"BLOQUEADO: AJUSTE INVÁLIDO",IF(Exogena_RAW!$C$4="",IF(F102&lt;&gt;"",IF(F102=0,"CONFIRMADO CERO","DILIGENCIADO"),IF(E102&lt;&gt;0,"TRAZADO DESDE ENTRADA MANUAL","SIN DATOS")),IF(Exogena_RAW!$K$10&lt;&gt;Reglas!$B$5,"BLOQUEADO: AÑO",IF(F102&lt;&gt;"",IF(F102=0,"CONFIRMADO CERO","DILIGENCIADO"),IF(E102&lt;&gt;0,"TRAZADO DESDE EXÓGENA","SIN MOVIMIENTO")))))</f>
        <v/>
      </c>
      <c r="I102" s="50" t="n"/>
    </row>
    <row r="103" ht="14.25" customHeight="1" s="235">
      <c r="A103" s="47" t="inlineStr">
        <is>
          <t>Impuesto</t>
        </is>
      </c>
      <c r="B103" s="48" t="n">
        <v>125</v>
      </c>
      <c r="C103" s="48" t="inlineStr">
        <is>
          <t>Total descuentos tributarios</t>
        </is>
      </c>
      <c r="D103" s="48" t="inlineStr">
        <is>
          <t>Calculado</t>
        </is>
      </c>
      <c r="E103" s="461" t="n">
        <v>0</v>
      </c>
      <c r="F103" s="477" t="n"/>
      <c r="G103" s="461">
        <f>ROUND(SUM($G$100:$G$102),-3)</f>
        <v/>
      </c>
      <c r="H103" s="48">
        <f>"CALCULADO"</f>
        <v/>
      </c>
      <c r="I103" s="50" t="n"/>
    </row>
    <row r="104" ht="14.25" customHeight="1" s="235">
      <c r="A104" s="47" t="inlineStr">
        <is>
          <t>Impuesto</t>
        </is>
      </c>
      <c r="B104" s="48" t="n">
        <v>126</v>
      </c>
      <c r="C104" s="48" t="inlineStr">
        <is>
          <t>Impuesto neto de renta</t>
        </is>
      </c>
      <c r="D104" s="48" t="inlineStr">
        <is>
          <t>Calculado</t>
        </is>
      </c>
      <c r="E104" s="461" t="n">
        <v>0</v>
      </c>
      <c r="F104" s="477" t="n"/>
      <c r="G104" s="461">
        <f>ROUND(MAX($G$99-$G$103,0),-3)</f>
        <v/>
      </c>
      <c r="H104" s="48">
        <f>"CALCULADO"</f>
        <v/>
      </c>
      <c r="I104" s="50" t="n"/>
    </row>
    <row r="105" ht="14.25" customHeight="1" s="235">
      <c r="A105" s="47" t="inlineStr">
        <is>
          <t>Impuesto</t>
        </is>
      </c>
      <c r="B105" s="48" t="n">
        <v>127</v>
      </c>
      <c r="C105" s="48" t="inlineStr">
        <is>
          <t>Impuesto ganancias ocasionales</t>
        </is>
      </c>
      <c r="D105" s="48" t="inlineStr">
        <is>
          <t>Revisión especial</t>
        </is>
      </c>
      <c r="E105" s="461">
        <f>ROUND($G$93*15%,-3)</f>
        <v/>
      </c>
      <c r="F105" s="462" t="n"/>
      <c r="G105" s="461">
        <f>IF($F$105="",$E$105,IF(AND(ISNUMBER($F$105),$F$105&gt;=0),ROUND($F$105,-3),0))</f>
        <v/>
      </c>
      <c r="H105" s="48">
        <f>IF(AND($F$105&lt;&gt;"",OR(NOT(ISNUMBER($F$105)),$F$105&lt;0)),"BLOQUEADO: AJUSTE INVÁLIDO",IF(Exogena_RAW!$C$4="",IF(F105&lt;&gt;"","DILIGENCIADO",IF(E105&lt;&gt;0,"REVISIÓN ESPECIAL","SIN DATOS")),IF(Exogena_RAW!$K$10&lt;&gt;Reglas!$B$5,"BLOQUEADO: AÑO",IF(F105&lt;&gt;"",IF(F105=0,"CONFIRMADO CERO","AJUSTADO"),IF(E105&lt;&gt;0,"REVISIÓN ESPECIAL","SIN MOVIMIENTO")))))</f>
        <v/>
      </c>
      <c r="I105" s="50" t="inlineStr">
        <is>
          <t>15% general; loterías, rifas, apuestas y similares usan 20%.</t>
        </is>
      </c>
    </row>
    <row r="106" ht="14.25" customHeight="1" s="235">
      <c r="A106" s="47" t="inlineStr">
        <is>
          <t>Impuesto</t>
        </is>
      </c>
      <c r="B106" s="48" t="n">
        <v>128</v>
      </c>
      <c r="C106" s="48" t="inlineStr">
        <is>
          <t>Descuento exterior ganancias ocasionales</t>
        </is>
      </c>
      <c r="D106" s="48" t="inlineStr">
        <is>
          <t>Manual</t>
        </is>
      </c>
      <c r="E106" s="461">
        <f>ROUND(SUMIF(Hoja_Trabajo!$V$6:$V$505,128,Hoja_Trabajo!$P$6:$P$505)+SUMIF(Entrada_Manual!$G$5:$G$187,128,Entrada_Manual!$F$5:$F$187),-3)</f>
        <v/>
      </c>
      <c r="F106" s="462" t="n"/>
      <c r="G106" s="461">
        <f>IF($F$106="",$E$106,IF(AND(ISNUMBER($F$106),$F$106&gt;=0),ROUND($F$106,-3),0))</f>
        <v/>
      </c>
      <c r="H106" s="48">
        <f>IF(AND($F$106&lt;&gt;"",OR(NOT(ISNUMBER($F$106)),$F$106&lt;0)),"BLOQUEADO: AJUSTE INVÁLIDO",IF(Exogena_RAW!$C$4="",IF(F106&lt;&gt;"",IF(F106=0,"CONFIRMADO CERO","DILIGENCIADO"),IF(E106&lt;&gt;0,"TRAZADO DESDE ENTRADA MANUAL","SIN DATOS")),IF(Exogena_RAW!$K$10&lt;&gt;Reglas!$B$5,"BLOQUEADO: AÑO",IF(F106&lt;&gt;"",IF(F106=0,"CONFIRMADO CERO","DILIGENCIADO"),IF(E106&lt;&gt;0,"TRAZADO DESDE EXÓGENA","SIN MOVIMIENTO")))))</f>
        <v/>
      </c>
      <c r="I106" s="50" t="n"/>
    </row>
    <row r="107" ht="14.25" customHeight="1" s="235">
      <c r="A107" s="47" t="inlineStr">
        <is>
          <t>Impuesto</t>
        </is>
      </c>
      <c r="B107" s="48" t="n">
        <v>129</v>
      </c>
      <c r="C107" s="48" t="inlineStr">
        <is>
          <t>Total impuesto a cargo</t>
        </is>
      </c>
      <c r="D107" s="48" t="inlineStr">
        <is>
          <t>Calculado</t>
        </is>
      </c>
      <c r="E107" s="461" t="n">
        <v>0</v>
      </c>
      <c r="F107" s="477" t="n"/>
      <c r="G107" s="461">
        <f>ROUND(MAX($G$104+$G$105-$G$106,0),-3)</f>
        <v/>
      </c>
      <c r="H107" s="48">
        <f>"CALCULADO"</f>
        <v/>
      </c>
      <c r="I107" s="50" t="n"/>
    </row>
    <row r="108" ht="14.25" customHeight="1" s="235">
      <c r="A108" s="47" t="inlineStr">
        <is>
          <t>Liquidación</t>
        </is>
      </c>
      <c r="B108" s="48" t="n">
        <v>130</v>
      </c>
      <c r="C108" s="48" t="inlineStr">
        <is>
          <t>Anticipo renta año anterior</t>
        </is>
      </c>
      <c r="D108" s="48" t="inlineStr">
        <is>
          <t>Manual</t>
        </is>
      </c>
      <c r="E108" s="461">
        <f>ROUND(SUMIF(Hoja_Trabajo!$V$6:$V$505,130,Hoja_Trabajo!$P$6:$P$505)+SUMIF(Entrada_Manual!$G$5:$G$187,130,Entrada_Manual!$F$5:$F$187),-3)</f>
        <v/>
      </c>
      <c r="F108" s="462" t="n"/>
      <c r="G108" s="461">
        <f>IF($F$108="",$E$108,IF(AND(ISNUMBER($F$108),$F$108&gt;=0),ROUND($F$108,-3),0))</f>
        <v/>
      </c>
      <c r="H108" s="48">
        <f>IF(AND($F$108&lt;&gt;"",OR(NOT(ISNUMBER($F$108)),$F$108&lt;0)),"BLOQUEADO: AJUSTE INVÁLIDO",IF(Exogena_RAW!$C$4="",IF(F108&lt;&gt;"",IF(F108=0,"CONFIRMADO CERO","DILIGENCIADO"),IF(E108&lt;&gt;0,"TRAZADO DESDE ENTRADA MANUAL","SIN DATOS")),IF(Exogena_RAW!$K$10&lt;&gt;Reglas!$B$5,"BLOQUEADO: AÑO",IF(F108&lt;&gt;"",IF(F108=0,"CONFIRMADO CERO","DILIGENCIADO"),IF(E108&lt;&gt;0,"TRAZADO DESDE EXÓGENA","SIN MOVIMIENTO")))))</f>
        <v/>
      </c>
      <c r="I108" s="50" t="n"/>
    </row>
    <row r="109" ht="14.25" customHeight="1" s="235">
      <c r="A109" s="47" t="inlineStr">
        <is>
          <t>Liquidación</t>
        </is>
      </c>
      <c r="B109" s="48" t="n">
        <v>131</v>
      </c>
      <c r="C109" s="48" t="inlineStr">
        <is>
          <t>Saldo a favor año anterior</t>
        </is>
      </c>
      <c r="D109" s="48" t="inlineStr">
        <is>
          <t>Manual</t>
        </is>
      </c>
      <c r="E109" s="461">
        <f>ROUND(SUMIF(Hoja_Trabajo!$V$6:$V$505,131,Hoja_Trabajo!$P$6:$P$505)+SUMIF(Entrada_Manual!$G$5:$G$187,131,Entrada_Manual!$F$5:$F$187),-3)</f>
        <v/>
      </c>
      <c r="F109" s="462" t="n"/>
      <c r="G109" s="461">
        <f>IF($F$109="",$E$109,IF(AND(ISNUMBER($F$109),$F$109&gt;=0),ROUND($F$109,-3),0))</f>
        <v/>
      </c>
      <c r="H109" s="48">
        <f>IF(AND($F$109&lt;&gt;"",OR(NOT(ISNUMBER($F$109)),$F$109&lt;0)),"BLOQUEADO: AJUSTE INVÁLIDO",IF(Exogena_RAW!$C$4="",IF(F109&lt;&gt;"",IF(F109=0,"CONFIRMADO CERO","DILIGENCIADO"),IF(E109&lt;&gt;0,"TRAZADO DESDE ENTRADA MANUAL","SIN DATOS")),IF(Exogena_RAW!$K$10&lt;&gt;Reglas!$B$5,"BLOQUEADO: AÑO",IF(F109&lt;&gt;"",IF(F109=0,"CONFIRMADO CERO","DILIGENCIADO"),IF(E109&lt;&gt;0,"TRAZADO DESDE EXÓGENA","SIN MOVIMIENTO")))))</f>
        <v/>
      </c>
      <c r="I109" s="50" t="n"/>
    </row>
    <row r="110" ht="28.5" customHeight="1" s="235">
      <c r="A110" s="47" t="inlineStr">
        <is>
          <t>Liquidación</t>
        </is>
      </c>
      <c r="B110" s="48" t="n">
        <v>132</v>
      </c>
      <c r="C110" s="48" t="inlineStr">
        <is>
          <t>Retenciones año gravable</t>
        </is>
      </c>
      <c r="D110" s="48" t="inlineStr">
        <is>
          <t>Manual</t>
        </is>
      </c>
      <c r="E110" s="461">
        <f>ROUND(SUMIF(Hoja_Trabajo!$V$6:$V$505,132,Hoja_Trabajo!$P$6:$P$505)+SUMIF(Entrada_Manual!$G$5:$G$187,132,Entrada_Manual!$F$5:$F$187),-3)</f>
        <v/>
      </c>
      <c r="F110" s="462" t="n"/>
      <c r="G110" s="461">
        <f>IF($F$110="",$E$110,IF(AND(ISNUMBER($F$110),$F$110&gt;=0),ROUND($F$110,-3),0))</f>
        <v/>
      </c>
      <c r="H110" s="48">
        <f>IF(AND($F$110&lt;&gt;"",OR(NOT(ISNUMBER($F$110)),$F$110&lt;0)),"BLOQUEADO: AJUSTE INVÁLIDO",IF(Exogena_RAW!$C$4="",IF(F110&lt;&gt;"",IF(F110=0,"CONFIRMADO CERO","DILIGENCIADO"),IF(E110&lt;&gt;0,"TRAZADO DESDE ENTRADA MANUAL","SIN DATOS")),IF(Exogena_RAW!$K$10&lt;&gt;Reglas!$B$5,"BLOQUEADO: AÑO",IF(F110&lt;&gt;"",IF(F110=0,"CONFIRMADO CERO","DILIGENCIADO"),IF(E110&lt;&gt;0,"TRAZADO DESDE EXÓGENA","SIN MOVIMIENTO")))))</f>
        <v/>
      </c>
      <c r="I110" s="50" t="n"/>
    </row>
    <row r="111" ht="28.5" customHeight="1" s="235">
      <c r="A111" s="47" t="inlineStr">
        <is>
          <t>Liquidación</t>
        </is>
      </c>
      <c r="B111" s="48" t="n">
        <v>133</v>
      </c>
      <c r="C111" s="48" t="inlineStr">
        <is>
          <t>Anticipo renta año siguiente</t>
        </is>
      </c>
      <c r="D111" s="48" t="inlineStr">
        <is>
          <t>Calculado (automático — menor de los 2 métodos)</t>
        </is>
      </c>
      <c r="E111" s="461">
        <f>IF($G$104=0,0,IF(OR(Reglas!$B$8="",NOT(ISNUMBER(Reglas!$B$8))),0,IF(OR(Reglas!$B$8&lt;0,Reglas!$B$8&lt;&gt;INT(Reglas!$B$8)),0,IF(Reglas!$B$8=0,ROUND(MAX(25%*$G$104-$G$110,0),-3),IF(OR(Reglas!$B$9="",NOT(ISNUMBER(Reglas!$B$9))),0,IF(Reglas!$B$9&lt;0,0,ROUND(MAX(IF(Reglas!$B$8=1,50%,75%)*MIN($G$104,AVERAGE($G$104,Reglas!$B$9))-$G$110,0),-3)))))))</f>
        <v/>
      </c>
      <c r="F111" s="462" t="n"/>
      <c r="G111" s="461">
        <f>IF($F$111="",$E$111,IF(AND(ISNUMBER($F$111),$F$111&gt;=0),ROUND($F$111,-3),0))</f>
        <v/>
      </c>
      <c r="H111" s="48">
        <f>IF(AND(Exogena_RAW!$C$4&lt;&gt;"",Exogena_RAW!$K$10&lt;&gt;Reglas!$B$5),"BLOQUEADO: AÑO",IF(AND($G$104&gt;0,Reglas!$B$8=""),"FALTA PARÁMETRO: DECLARACIONES PREVIAS",IF(AND($G$104&gt;0,IFERROR(OR(NOT(ISNUMBER(Reglas!$B$8)),Reglas!$B$8&lt;0,Reglas!$B$8&lt;&gt;INT(Reglas!$B$8)),TRUE)),"PARÁMETRO INVÁLIDO: DECLARACIONES PREVIAS",IF(AND($G$104&gt;0,Reglas!$B$8&gt;=1,Reglas!$B$9=""),"FALTA PARÁMETRO: IMPUESTO AÑO ANTERIOR",IF(AND($G$104&gt;0,Reglas!$B$8&gt;=1,IFERROR(OR(NOT(ISNUMBER(Reglas!$B$9)),Reglas!$B$9&lt;0),TRUE)),"PARÁMETRO INVÁLIDO: IMPUESTO AÑO ANTERIOR",IF($F$111&lt;&gt;"",IF(OR(NOT(ISNUMBER($F$111)),$F$111&lt;0),"BLOQUEADO: AJUSTE INVÁLIDO",IF($F$111=0,"CONFIRMADO CERO","AJUSTADO")),IF($E$111&lt;&gt;0,"REVISIÓN ESPECIAL","SIN MOVIMIENTO")))))))</f>
        <v/>
      </c>
      <c r="I111" s="50" t="inlineStr">
        <is>
          <t>Se calculan AMBOS métodos del art. 807 ET (ordinario: % sobre el impuesto neto de este año; promedio: % sobre el promedio del impuesto neto de este año y el año anterior, Reglas!B9) y se toma automáticamente el MENOR. % según Reglas!B8 (declaraciones previas): 0=primer año (25%), 1=segundo año (50%), 2+=tercer año en adelante (75%). Si da cero, el anticipo es cero. Se resta la retención del año (casilla 132).</t>
        </is>
      </c>
    </row>
    <row r="112" ht="14.25" customHeight="1" s="235">
      <c r="A112" s="47" t="inlineStr">
        <is>
          <t>Liquidación</t>
        </is>
      </c>
      <c r="B112" s="48" t="n">
        <v>134</v>
      </c>
      <c r="C112" s="48" t="inlineStr">
        <is>
          <t>Saldo a pagar por impuesto</t>
        </is>
      </c>
      <c r="D112" s="48" t="inlineStr">
        <is>
          <t>Calculado</t>
        </is>
      </c>
      <c r="E112" s="461" t="n">
        <v>0</v>
      </c>
      <c r="F112" s="477" t="n"/>
      <c r="G112" s="461">
        <f>ROUND(MAX($G$107+$G$111-$G$108-$G$109-$G$110,0),-3)</f>
        <v/>
      </c>
      <c r="H112" s="48">
        <f>"CALCULADO"</f>
        <v/>
      </c>
      <c r="I112" s="50" t="n"/>
    </row>
    <row r="113" ht="14.25" customHeight="1" s="235">
      <c r="A113" s="47" t="inlineStr">
        <is>
          <t>Liquidación</t>
        </is>
      </c>
      <c r="B113" s="48" t="n">
        <v>135</v>
      </c>
      <c r="C113" s="48" t="inlineStr">
        <is>
          <t>Sanciones</t>
        </is>
      </c>
      <c r="D113" s="48" t="inlineStr">
        <is>
          <t>Manual</t>
        </is>
      </c>
      <c r="E113" s="461">
        <f>ROUND(SUMIF(Hoja_Trabajo!$V$6:$V$505,135,Hoja_Trabajo!$P$6:$P$505)+SUMIF(Entrada_Manual!$G$5:$G$187,135,Entrada_Manual!$F$5:$F$187),-3)</f>
        <v/>
      </c>
      <c r="F113" s="462" t="n"/>
      <c r="G113" s="461">
        <f>IF($F$113="",$E$113,IF(AND(ISNUMBER($F$113),$F$113&gt;=0),ROUND($F$113,-3),0))</f>
        <v/>
      </c>
      <c r="H113" s="48">
        <f>IF(AND($F$113&lt;&gt;"",OR(NOT(ISNUMBER($F$113)),$F$113&lt;0)),"BLOQUEADO: AJUSTE INVÁLIDO",IF(Exogena_RAW!$C$4="",IF(F113&lt;&gt;"",IF(F113=0,"CONFIRMADO CERO","DILIGENCIADO"),IF(E113&lt;&gt;0,"TRAZADO DESDE ENTRADA MANUAL","SIN DATOS")),IF(Exogena_RAW!$K$10&lt;&gt;Reglas!$B$5,"BLOQUEADO: AÑO",IF(F113&lt;&gt;"",IF(F113=0,"CONFIRMADO CERO","DILIGENCIADO"),IF(E113&lt;&gt;0,"TRAZADO DESDE EXÓGENA","SIN MOVIMIENTO")))))</f>
        <v/>
      </c>
      <c r="I113" s="50" t="n"/>
    </row>
    <row r="114" ht="14.25" customHeight="1" s="235">
      <c r="A114" s="47" t="inlineStr">
        <is>
          <t>Liquidación</t>
        </is>
      </c>
      <c r="B114" s="48" t="n">
        <v>136</v>
      </c>
      <c r="C114" s="48" t="inlineStr">
        <is>
          <t>Total saldo a pagar</t>
        </is>
      </c>
      <c r="D114" s="48" t="inlineStr">
        <is>
          <t>Calculado</t>
        </is>
      </c>
      <c r="E114" s="461" t="n">
        <v>0</v>
      </c>
      <c r="F114" s="477" t="n"/>
      <c r="G114" s="461">
        <f>ROUND(MAX($G$107+$G$111+$G$113-$G$108-$G$109-$G$110,0),-3)</f>
        <v/>
      </c>
      <c r="H114" s="48">
        <f>"CALCULADO"</f>
        <v/>
      </c>
      <c r="I114" s="50" t="n"/>
    </row>
    <row r="115" ht="14.25" customHeight="1" s="235">
      <c r="A115" s="47" t="inlineStr">
        <is>
          <t>Liquidación</t>
        </is>
      </c>
      <c r="B115" s="48" t="n">
        <v>137</v>
      </c>
      <c r="C115" s="48" t="inlineStr">
        <is>
          <t>Total saldo a favor</t>
        </is>
      </c>
      <c r="D115" s="48" t="inlineStr">
        <is>
          <t>Calculado</t>
        </is>
      </c>
      <c r="E115" s="461" t="n">
        <v>0</v>
      </c>
      <c r="F115" s="477" t="n"/>
      <c r="G115" s="461">
        <f>ROUND(MAX($G$108+$G$109+$G$110-$G$107-$G$111-$G$113,0),-3)</f>
        <v/>
      </c>
      <c r="H115" s="48">
        <f>"CALCULADO"</f>
        <v/>
      </c>
      <c r="I115" s="50" t="n"/>
    </row>
    <row r="116" ht="14.25" customHeight="1" s="235">
      <c r="A116" s="47" t="inlineStr">
        <is>
          <t>Informativas</t>
        </is>
      </c>
      <c r="B116" s="48" t="n">
        <v>138</v>
      </c>
      <c r="C116" s="48" t="inlineStr">
        <is>
          <t>Número dependientes económicos</t>
        </is>
      </c>
      <c r="D116" s="48" t="inlineStr">
        <is>
          <t>Manual</t>
        </is>
      </c>
      <c r="E116" s="61">
        <f>SUMIF(Hoja_Trabajo!$V$6:$V$505,138,Hoja_Trabajo!$P$6:$P$505)+SUMIF(Entrada_Manual!$G$5:$G$187,138,Entrada_Manual!$F$5:$F$187)</f>
        <v/>
      </c>
      <c r="F116" s="462" t="n"/>
      <c r="G116" s="61">
        <f>IF($F$116="",$E$116,IF(AND(ISNUMBER($F$116),$F$116&gt;=0,$F$116=INT($F$116),$F$116&lt;=4),$F$116,0))</f>
        <v/>
      </c>
      <c r="H116" s="48">
        <f>IF(AND($F$116&lt;&gt;"",OR(NOT(ISNUMBER($F$116)),$F$116&lt;0,$F$116&lt;&gt;INT($F$116),$F$116&gt;4)),"BLOQUEADO: AJUSTE INVÁLIDO",IF(Exogena_RAW!$C$4="",IF(F116&lt;&gt;"",IF(F116=0,"CONFIRMADO CERO","DILIGENCIADO"),IF(E116&lt;&gt;0,"TRAZADO DESDE ENTRADA MANUAL","SIN DATOS")),IF(Exogena_RAW!$K$10&lt;&gt;Reglas!$B$5,"BLOQUEADO: AÑO",IF(F116&lt;&gt;"",IF(F116=0,"CONFIRMADO CERO","DILIGENCIADO"),IF(E116&lt;&gt;0,"TRAZADO DESDE EXÓGENA","SIN MOVIMIENTO")))))</f>
        <v/>
      </c>
      <c r="I116" s="50" t="n"/>
    </row>
    <row r="117" ht="14.25" customHeight="1" s="235">
      <c r="A117" s="47" t="inlineStr">
        <is>
          <t>Informativas</t>
        </is>
      </c>
      <c r="B117" s="48" t="n">
        <v>139</v>
      </c>
      <c r="C117" s="48" t="inlineStr">
        <is>
          <t>Adición por dependientes a casilla 92</t>
        </is>
      </c>
      <c r="D117" s="48" t="inlineStr">
        <is>
          <t>Calculado</t>
        </is>
      </c>
      <c r="E117" s="461" t="n">
        <v>0</v>
      </c>
      <c r="F117" s="477" t="n"/>
      <c r="G117" s="461">
        <f>ROUND(MIN(MIN($G$116,4)*72*Reglas!$B$6,$G$20+$G$35),-3)</f>
        <v/>
      </c>
      <c r="H117" s="48">
        <f>"CALCULADO"</f>
        <v/>
      </c>
      <c r="I117" s="50" t="n"/>
    </row>
    <row r="118" ht="14.25" customHeight="1" s="235">
      <c r="A118" s="47" t="inlineStr">
        <is>
          <t>Informativas</t>
        </is>
      </c>
      <c r="B118" s="48" t="n">
        <v>140</v>
      </c>
      <c r="C118" s="48" t="inlineStr">
        <is>
          <t>Superó tope indicativo costos art. 336-1</t>
        </is>
      </c>
      <c r="D118" s="48" t="inlineStr">
        <is>
          <t>Calculado</t>
        </is>
      </c>
      <c r="E118" s="79" t="n">
        <v>0</v>
      </c>
      <c r="F118" s="477" t="n"/>
      <c r="G118" s="79">
        <f>IF($G$21=0,"",IF($G$23/$G$21&gt;60%,"X",""))</f>
        <v/>
      </c>
      <c r="H118" s="48">
        <f>"CALCULADO"</f>
        <v/>
      </c>
      <c r="I118" s="50" t="inlineStr">
        <is>
          <t>Si supera 60%, marcar X y conservar soportes electrónicos.</t>
        </is>
      </c>
    </row>
    <row r="119" ht="14.25" customHeight="1" s="235">
      <c r="A119" s="51" t="inlineStr">
        <is>
          <t>Informativas</t>
        </is>
      </c>
      <c r="B119" s="52" t="n">
        <v>141</v>
      </c>
      <c r="C119" s="52" t="inlineStr">
        <is>
          <t>Aporte voluntario</t>
        </is>
      </c>
      <c r="D119" s="52" t="inlineStr">
        <is>
          <t>Manual</t>
        </is>
      </c>
      <c r="E119" s="464">
        <f>ROUND(SUMIF(Hoja_Trabajo!$V$6:$V$505,141,Hoja_Trabajo!$P$6:$P$505)+SUMIF(Entrada_Manual!$G$5:$G$187,141,Entrada_Manual!$F$5:$F$187),-3)</f>
        <v/>
      </c>
      <c r="F119" s="465" t="n"/>
      <c r="G119" s="464">
        <f>IF($F$119="",$E$119,IF(AND(ISNUMBER($F$119),$F$119&gt;=0),ROUND($F$119,-3),0))</f>
        <v/>
      </c>
      <c r="H119" s="52">
        <f>IF(AND($F$119&lt;&gt;"",OR(NOT(ISNUMBER($F$119)),$F$119&lt;0)),"BLOQUEADO: AJUSTE INVÁLIDO",IF(Exogena_RAW!$C$4="",IF(F119&lt;&gt;"",IF(F119=0,"CONFIRMADO CERO","DILIGENCIADO"),IF(E119&lt;&gt;0,"TRAZADO DESDE ENTRADA MANUAL","SIN DATOS")),IF(Exogena_RAW!$K$10&lt;&gt;Reglas!$B$5,"BLOQUEADO: AÑO",IF(F119&lt;&gt;"",IF(F119=0,"CONFIRMADO CERO","DILIGENCIADO"),IF(E119&lt;&gt;0,"TRAZADO DESDE EXÓGENA","SIN MOVIMIENTO")))))</f>
        <v/>
      </c>
      <c r="I119" s="54" t="inlineStr">
        <is>
          <t>No genera beneficio tributario ni saldo a favor.</t>
        </is>
      </c>
    </row>
    <row r="121" ht="15" customHeight="1" s="235">
      <c r="A121" s="80" t="inlineStr">
        <is>
          <t>PANEL DE CONTROL</t>
        </is>
      </c>
      <c r="C121" s="80" t="inlineStr">
        <is>
          <t>PANEL DE CONTROL — LÍMITE ART. 336 ET (RES. DIAN 000120/2024). Auxiliar: no son casillas oficiales del Formulario 210.</t>
        </is>
      </c>
    </row>
    <row r="122" ht="14.25" customHeight="1" s="235">
      <c r="C122" t="inlineStr">
        <is>
          <t>Ingreso bruto pasivo ECE — Rentas de capital (casilla 268, oculta en el PDF, la habilita el SI cuando hay dato en casilla 62)</t>
        </is>
      </c>
      <c r="F122" s="230" t="n"/>
      <c r="G122" s="463">
        <f>MAX(ROUND($F$122,-3),0)</f>
        <v/>
      </c>
      <c r="H122" t="inlineStr">
        <is>
          <t>Art. 883 ET — ingreso pasivo ECE</t>
        </is>
      </c>
      <c r="I122">
        <f>IF(AND($G$40&gt;0,$G$122&lt;$G$40),"ERROR: 268 no puede ser menor a casilla 62","")</f>
        <v/>
      </c>
    </row>
    <row r="123" ht="14.25" customHeight="1" s="235">
      <c r="C123" t="inlineStr">
        <is>
          <t>Ingreso bruto pasivo ECE — Rentas no laborales (casilla 269, oculta en el PDF, la habilita el SI cuando hay dato en casilla 79)</t>
        </is>
      </c>
      <c r="F123" s="230" t="n"/>
      <c r="G123" s="463">
        <f>MAX(ROUND($F$123,-3),0)</f>
        <v/>
      </c>
      <c r="H123" t="inlineStr">
        <is>
          <t>Art. 883 ET — ingreso pasivo ECE</t>
        </is>
      </c>
      <c r="I123">
        <f>IF(AND($G$57&gt;0,$G$123&lt;$G$57),"ERROR: 269 no puede ser menor a casilla 79","")</f>
        <v/>
      </c>
    </row>
    <row r="124" ht="14.25" customHeight="1" s="235">
      <c r="C124" t="inlineStr">
        <is>
          <t>Confirmación expresa: ¿revisó si el contribuyente tiene ingresos pasivos ECE (268/269)?</t>
        </is>
      </c>
      <c r="F124" s="230" t="n"/>
      <c r="I124">
        <f>IF($F$124="Sí","CONFIRMADO","BLOQUEADO: FALTA CONFIRMACIÓN ECE")</f>
        <v/>
      </c>
    </row>
    <row r="125" ht="14.25" customHeight="1" s="235">
      <c r="C125" t="inlineStr">
        <is>
          <t>Base límite art. 336 (ingresos brutos 32+43+58+74 + ECE 268/269 pasivos, menos INCRNGO 33+44+59+76)</t>
        </is>
      </c>
      <c r="G125" s="463">
        <f>MAX($G$10+$G$21+$G$36+$G$122+$G$52+$G$123-$G$11-$G$22-$G$37-$G$54,0)</f>
        <v/>
      </c>
    </row>
    <row r="126" ht="14.25" customHeight="1" s="235">
      <c r="C126" t="inlineStr">
        <is>
          <t>Renta exenta NO sujeta al límite del 40%/1.340 UVT — trabajo (dentro de la casilla 36)</t>
        </is>
      </c>
      <c r="F126" s="230" t="n"/>
      <c r="G126" s="463">
        <f>MAX(ROUND($F$126,-3),0)</f>
        <v/>
      </c>
      <c r="H126" s="230" t="n"/>
      <c r="I126">
        <f>IF(AND($G$126&gt;0,$H$126=""),"BLOQUEADO: FALTA FUNDAMENTO",IF($G$126&gt;$G$14,"BLOQUEADO: EXCEDE CASILLA 36",""))</f>
        <v/>
      </c>
    </row>
    <row r="127" ht="14.25" customHeight="1" s="235">
      <c r="C127" t="inlineStr">
        <is>
          <t>Renta exenta NO sujeta al límite del 40%/1.340 UVT — honorarios (dentro de la casilla 48)</t>
        </is>
      </c>
      <c r="F127" s="230" t="n"/>
      <c r="G127" s="463">
        <f>MAX(ROUND($F$127,-3),0)</f>
        <v/>
      </c>
      <c r="H127" s="230" t="n"/>
      <c r="I127">
        <f>IF(AND($G$127&gt;0,$H$127=""),"BLOQUEADO: FALTA FUNDAMENTO",IF($G$127&gt;$G$26,"BLOQUEADO: EXCEDE CASILLA 48",""))</f>
        <v/>
      </c>
    </row>
    <row r="128" ht="14.25" customHeight="1" s="235">
      <c r="C128" t="inlineStr">
        <is>
          <t>Renta exenta NO sujeta al límite del 40%/1.340 UVT — capital (dentro de la casilla 64)</t>
        </is>
      </c>
      <c r="F128" s="230" t="n"/>
      <c r="G128" s="463">
        <f>MAX(ROUND($F$128,-3),0)</f>
        <v/>
      </c>
      <c r="H128" s="230" t="n"/>
      <c r="I128">
        <f>IF(AND($G$128&gt;0,$H$128=""),"BLOQUEADO: FALTA FUNDAMENTO",IF($G$128&gt;$G$42,"BLOQUEADO: EXCEDE CASILLA 64",""))</f>
        <v/>
      </c>
    </row>
    <row r="129" ht="14.25" customHeight="1" s="235">
      <c r="C129" t="inlineStr">
        <is>
          <t>Renta exenta NO sujeta al límite del 40%/1.340 UVT — no laboral (dentro de la casilla 81)</t>
        </is>
      </c>
      <c r="F129" s="230" t="n"/>
      <c r="G129" s="463">
        <f>MAX(ROUND($F$129,-3),0)</f>
        <v/>
      </c>
      <c r="H129" s="230" t="n"/>
      <c r="I129">
        <f>IF(AND($G$129&gt;0,$H$129=""),"BLOQUEADO: FALTA FUNDAMENTO",IF($G$129&gt;$G$59,"BLOQUEADO: EXCEDE CASILLA 81",""))</f>
        <v/>
      </c>
    </row>
    <row r="130" ht="14.25" customHeight="1" s="235">
      <c r="C130" t="inlineStr">
        <is>
          <t>Total rentas NO sujetas al límite (suma 126:129)</t>
        </is>
      </c>
      <c r="G130" s="463">
        <f>ROUND(SUM($G$126:$G$129),-3)</f>
        <v/>
      </c>
    </row>
    <row r="131" ht="14.25" customHeight="1" s="235">
      <c r="C131" t="inlineStr">
        <is>
          <t>Estado — rentas no sujetas al límite</t>
        </is>
      </c>
      <c r="I131">
        <f>IF(COUNTIF($I$126:$I$129,"BLOQUEADO*")&gt;0,"BLOQUEADO: REVISAR FILAS 126-129","OK")</f>
        <v/>
      </c>
    </row>
    <row r="133" ht="14.25" customHeight="1" s="235">
      <c r="C133" t="inlineStr">
        <is>
          <t>Límite ordinario (40% de la Base límite, tope 1.340 UVT)</t>
        </is>
      </c>
      <c r="G133" s="463">
        <f>ROUND(MIN(40%*$G$125,Reglas!$B$12*Reglas!$B$6),-3)</f>
        <v/>
      </c>
    </row>
    <row r="134" ht="14.25" customHeight="1" s="235">
      <c r="C134" t="inlineStr">
        <is>
          <t>Techo global antes de disponibilidad (límite ordinario + no sujetas)</t>
        </is>
      </c>
      <c r="G134" s="463">
        <f>ROUND($G$133+$G$130,-3)</f>
        <v/>
      </c>
    </row>
    <row r="135" ht="14.25" customHeight="1" s="235">
      <c r="C135" t="inlineStr">
        <is>
          <t>Control: G19+G31+G47+G64 no debe exceder el techo global (G134)</t>
        </is>
      </c>
      <c r="I135">
        <f>IF(($G$19+$G$31+$G$47+$G$64)&lt;=$G$134,"OK","ERROR: EXCEDE TECHO GLOBAL")</f>
        <v/>
      </c>
    </row>
  </sheetData>
  <sheetProtection selectLockedCells="0" selectUnlockedCells="0" sheet="1" objects="1" insertRows="1" insertHyperlinks="1" autoFilter="1" scenarios="1" formatColumns="0" deleteColumns="1" insertColumns="1" pivotTables="1" deleteRows="1" formatCells="1" formatRows="0" sort="1"/>
  <mergeCells count="2">
    <mergeCell ref="A1:I1"/>
    <mergeCell ref="A2:I2"/>
  </mergeCells>
  <conditionalFormatting sqref="H6:H119">
    <cfRule type="containsText" priority="2" operator="containsText" dxfId="0" text="PENDIENTE">
      <formula>NOT(ISERROR(SEARCH("PENDIENTE",H6)))</formula>
    </cfRule>
    <cfRule type="containsText" priority="3" operator="containsText" dxfId="1" text="BLOQUEADO">
      <formula>NOT(ISERROR(SEARCH("BLOQUEADO",H6)))</formula>
    </cfRule>
    <cfRule type="containsText" priority="4" operator="containsText" dxfId="3" text="CALCULADO">
      <formula>NOT(ISERROR(SEARCH("CALCULADO",H6)))</formula>
    </cfRule>
    <cfRule type="containsText" priority="5" operator="containsText" dxfId="2" text="ESPECIAL">
      <formula>NOT(ISERROR(SEARCH("ESPECIAL",H6)))</formula>
    </cfRule>
  </conditionalFormatting>
  <dataValidations count="4">
    <dataValidation sqref="F122:F123 F126:F129" showDropDown="0" showInputMessage="0" showErrorMessage="1" allowBlank="1" errorTitle="Valor inválido" error="El valor debe ser numérico y no negativo." type="decimal" operator="greaterThanOrEqual">
      <formula1>0</formula1>
      <formula2>0</formula2>
    </dataValidation>
    <dataValidation sqref="F124" showDropDown="0" showInputMessage="0" showErrorMessage="1" allowBlank="1" errorTitle="Confirmación ECE" error="Seleccione Sí o No." type="list">
      <formula1>"Sí,No"</formula1>
      <formula2>0</formula2>
    </dataValidation>
    <dataValidation sqref="F6:F8 F10:F11 F13:F14 F16:F17 F21:F23 F25:F26 F28:F29 F34 F36:F38 F40:F42 F44:F45 F50 F52:F55 F57:F59 F61:F62 F67 F72:F74 F76:F78 F80 F82:F83 F85:F92 F96:F98 F100:F102 F105:F106 F108:F111 F113 F119" showDropDown="0" showInputMessage="0" showErrorMessage="0" allowBlank="0" type="decimal" operator="greaterThanOrEqual">
      <formula1>0</formula1>
    </dataValidation>
    <dataValidation sqref="F116" showDropDown="0" showInputMessage="0" showErrorMessage="0" allowBlank="0" type="whole">
      <formula1>0</formula1>
      <formula2>4</formula2>
    </dataValidation>
  </dataValidations>
  <pageMargins left="0.7" right="0.7" top="0.75" bottom="0.75" header="0.3" footer="0.3"/>
</worksheet>
</file>

<file path=xl/worksheets/sheet9.xml><?xml version="1.0" encoding="utf-8"?>
<worksheet xmlns="http://schemas.openxmlformats.org/spreadsheetml/2006/main">
  <sheetPr>
    <outlinePr summaryBelow="1" summaryRight="1"/>
    <pageSetUpPr/>
  </sheetPr>
  <dimension ref="A1:AA66"/>
  <sheetViews>
    <sheetView showGridLines="0" tabSelected="1" zoomScale="80" zoomScaleNormal="80" workbookViewId="0">
      <selection activeCell="A1" sqref="A1:AA1"/>
    </sheetView>
  </sheetViews>
  <sheetFormatPr baseColWidth="10" defaultColWidth="9" defaultRowHeight="15"/>
  <cols>
    <col width="26.28515625" customWidth="1" style="235" min="1" max="1"/>
    <col width="4.28515625" customWidth="1" style="235" min="2" max="2"/>
    <col width="7" customWidth="1" style="235" min="3" max="3"/>
    <col width="9.7109375" customWidth="1" style="235" min="4" max="4"/>
    <col width="8.28515625" customWidth="1" style="235" min="5" max="5"/>
    <col width="7" customWidth="1" style="235" min="8" max="8"/>
    <col width="9.5703125" customWidth="1" style="235" min="9" max="9"/>
    <col width="7.5703125" customWidth="1" style="235" min="10" max="10"/>
    <col width="8.42578125" customWidth="1" style="235" min="11" max="11"/>
    <col width="13.42578125" customWidth="1" style="235" min="12" max="12"/>
    <col width="5.5703125" customWidth="1" style="235" min="13" max="13"/>
    <col width="16.42578125" customWidth="1" style="235" min="14" max="14"/>
    <col width="7.28515625" customWidth="1" style="235" min="15" max="15"/>
    <col width="6" customWidth="1" style="235" min="16" max="16"/>
    <col width="8.28515625" customWidth="1" style="235" min="17" max="17"/>
    <col width="6.5703125" customWidth="1" style="235" min="18" max="18"/>
    <col width="9.5703125" customWidth="1" style="235" min="19" max="19"/>
    <col width="7" customWidth="1" style="235" min="20" max="20"/>
    <col width="12.28515625" customWidth="1" style="235" min="21" max="21"/>
    <col width="8.42578125" customWidth="1" style="235" min="22" max="22"/>
    <col width="10.28515625" customWidth="1" style="235" min="23" max="23"/>
    <col width="6.28515625" customWidth="1" style="235" min="24" max="24"/>
    <col width="7.7109375" customWidth="1" style="235" min="25" max="25"/>
    <col width="7.42578125" customWidth="1" style="235" min="26" max="26"/>
    <col width="16.42578125" customWidth="1" style="235" min="27" max="27"/>
  </cols>
  <sheetData>
    <row r="1" ht="18" customHeight="1" s="235">
      <c r="A1" s="392" t="inlineStr">
        <is>
          <t>FORMULARIO 210 — VISTA OFICIAL (vinculada a Formulario_210)</t>
        </is>
      </c>
    </row>
    <row r="2" ht="27.75" customHeight="1" s="235">
      <c r="A2" s="361">
        <f>CONCATENATE("Año gravable: ",Reglas!$B$5,"   |   UVT: ",TEXT(Reglas!$B$6,"$#,##0"))</f>
        <v/>
      </c>
      <c r="G2" s="331" t="inlineStr">
        <is>
          <t>Cada casilla trae su valor por referencia desde Formulario_210 (columna G). Vista protegida de solo lectura para revisar e imprimir antes de digitar en el portal MUISCA de la DIAN.</t>
        </is>
      </c>
    </row>
    <row r="3" ht="6" customHeight="1" s="235"/>
    <row r="4" ht="14.25" customHeight="1" s="235">
      <c r="A4" s="81" t="n"/>
      <c r="B4" s="81" t="n"/>
      <c r="C4" s="81" t="n"/>
      <c r="D4" s="81" t="n"/>
      <c r="E4" s="81" t="n"/>
      <c r="F4" s="81" t="n"/>
      <c r="G4" s="81" t="n"/>
      <c r="H4" s="81" t="n"/>
      <c r="I4" s="81" t="n"/>
      <c r="J4" s="81" t="n"/>
      <c r="K4" s="81" t="n"/>
      <c r="L4" s="81" t="n"/>
      <c r="M4" s="81" t="n"/>
      <c r="N4" s="81" t="n"/>
      <c r="O4" s="81" t="n"/>
      <c r="P4" s="81" t="n"/>
      <c r="Q4" s="81" t="n"/>
      <c r="R4" s="81" t="n"/>
      <c r="S4" s="81" t="n"/>
      <c r="T4" s="81" t="n"/>
      <c r="U4" s="81" t="n"/>
      <c r="V4" s="81" t="n"/>
      <c r="W4" s="81" t="n"/>
      <c r="X4" s="81" t="n"/>
      <c r="Y4" s="81" t="n"/>
      <c r="Z4" s="81" t="n"/>
      <c r="AA4" s="81" t="n"/>
    </row>
    <row r="5" ht="76.5" customHeight="1" s="235">
      <c r="A5" s="81" t="n"/>
      <c r="B5" s="404" t="n"/>
      <c r="C5" s="274" t="n"/>
      <c r="D5" s="274" t="n"/>
      <c r="E5" s="274" t="n"/>
      <c r="F5" s="274" t="n"/>
      <c r="G5" s="274" t="n"/>
      <c r="H5" s="289" t="n"/>
      <c r="I5" s="82" t="n"/>
      <c r="J5" s="372" t="inlineStr">
        <is>
          <t>Declaración de renta y complementario 
personas naturales y asimiladas de residentes 
y sucesiones ilíquidas de causantes residentes</t>
        </is>
      </c>
      <c r="K5" s="274" t="n"/>
      <c r="L5" s="274" t="n"/>
      <c r="M5" s="274" t="n"/>
      <c r="N5" s="274" t="n"/>
      <c r="O5" s="274" t="n"/>
      <c r="P5" s="274" t="n"/>
      <c r="Q5" s="274" t="n"/>
      <c r="R5" s="274" t="n"/>
      <c r="S5" s="289" t="n"/>
      <c r="T5" s="83" t="n"/>
      <c r="U5" s="355" t="n"/>
      <c r="V5" s="274" t="n"/>
      <c r="W5" s="274" t="n"/>
      <c r="X5" s="289" t="n"/>
      <c r="Y5" s="345" t="n"/>
      <c r="Z5" s="274" t="n"/>
      <c r="AA5" s="289" t="n"/>
    </row>
    <row r="6" ht="7.5" customHeight="1" s="235">
      <c r="A6" s="81" t="n"/>
      <c r="B6" s="84" t="n"/>
      <c r="C6" s="85" t="n"/>
      <c r="D6" s="85" t="n"/>
      <c r="E6" s="85" t="n"/>
      <c r="F6" s="85" t="n"/>
      <c r="G6" s="82" t="n"/>
      <c r="H6" s="376" t="n"/>
      <c r="I6" s="285" t="n"/>
      <c r="J6" s="285" t="n"/>
      <c r="K6" s="285" t="n"/>
      <c r="L6" s="285" t="n"/>
      <c r="M6" s="285" t="n"/>
      <c r="N6" s="285" t="n"/>
      <c r="O6" s="285" t="n"/>
      <c r="P6" s="286" t="n"/>
      <c r="Q6" s="420" t="n"/>
      <c r="R6" s="285" t="n"/>
      <c r="S6" s="285" t="n"/>
      <c r="T6" s="285" t="n"/>
      <c r="U6" s="285" t="n"/>
      <c r="V6" s="285" t="n"/>
      <c r="W6" s="285" t="n"/>
      <c r="X6" s="285" t="n"/>
      <c r="Y6" s="285" t="n"/>
      <c r="Z6" s="285" t="n"/>
      <c r="AA6" s="286" t="n"/>
    </row>
    <row r="7" ht="23.25" customHeight="1" s="235">
      <c r="A7" s="332" t="n"/>
      <c r="B7" s="397" t="inlineStr">
        <is>
          <t>1. Año</t>
        </is>
      </c>
      <c r="D7" s="87" t="n"/>
      <c r="E7" s="88" t="n"/>
      <c r="F7" s="88" t="n"/>
      <c r="G7" s="88" t="n"/>
      <c r="P7" s="291" t="n"/>
      <c r="Q7" s="298" t="inlineStr">
        <is>
          <t xml:space="preserve">
     4. Número de formulario</t>
        </is>
      </c>
      <c r="AA7" s="291" t="n"/>
    </row>
    <row r="8" ht="122.25" customHeight="1" s="235">
      <c r="A8" s="332" t="n"/>
      <c r="B8" s="298" t="inlineStr">
        <is>
          <t xml:space="preserve">
    Espacio reservado para la DIAN</t>
        </is>
      </c>
      <c r="C8" s="297" t="n"/>
      <c r="D8" s="297" t="n"/>
      <c r="E8" s="297" t="n"/>
      <c r="F8" s="297" t="n"/>
      <c r="G8" s="297" t="n"/>
      <c r="H8" s="297" t="n"/>
      <c r="I8" s="297" t="n"/>
      <c r="J8" s="297" t="n"/>
      <c r="K8" s="297" t="n"/>
      <c r="L8" s="297" t="n"/>
      <c r="M8" s="297" t="n"/>
      <c r="N8" s="297" t="n"/>
      <c r="O8" s="297" t="n"/>
      <c r="P8" s="282" t="n"/>
      <c r="Q8" s="279" t="n"/>
      <c r="R8" s="297" t="n"/>
      <c r="S8" s="297" t="n"/>
      <c r="T8" s="297" t="n"/>
      <c r="U8" s="297" t="n"/>
      <c r="V8" s="297" t="n"/>
      <c r="W8" s="297" t="n"/>
      <c r="X8" s="297" t="n"/>
      <c r="Y8" s="297" t="n"/>
      <c r="Z8" s="297" t="n"/>
      <c r="AA8" s="282" t="n"/>
    </row>
    <row r="9" ht="30" customHeight="1" s="235">
      <c r="A9" s="332" t="n"/>
      <c r="B9" s="357" t="inlineStr">
        <is>
          <t>Datos del declarante</t>
        </is>
      </c>
      <c r="C9" s="286" t="n"/>
      <c r="D9" s="449" t="inlineStr">
        <is>
          <t>5. Número de Identificación Tributaria (NIT)</t>
        </is>
      </c>
      <c r="E9" s="285" t="n"/>
      <c r="F9" s="285" t="n"/>
      <c r="G9" s="285" t="n"/>
      <c r="H9" s="285" t="n"/>
      <c r="I9" s="285" t="n"/>
      <c r="J9" s="285" t="n"/>
      <c r="K9" s="285" t="n"/>
      <c r="L9" s="89" t="inlineStr">
        <is>
          <t>6.DV</t>
        </is>
      </c>
      <c r="M9" s="332" t="inlineStr">
        <is>
          <t>7. Primer apellido</t>
        </is>
      </c>
      <c r="P9" s="332" t="inlineStr">
        <is>
          <t xml:space="preserve">8. Segundo apellido </t>
        </is>
      </c>
      <c r="T9" s="332" t="inlineStr">
        <is>
          <t>9. Primer nombre</t>
        </is>
      </c>
      <c r="X9" s="378" t="inlineStr">
        <is>
          <t xml:space="preserve">10. Otros nombres </t>
        </is>
      </c>
      <c r="Y9" s="285" t="n"/>
      <c r="Z9" s="285" t="n"/>
      <c r="AA9" s="398" t="inlineStr">
        <is>
          <t>12. Cod. Dirección seccional</t>
        </is>
      </c>
    </row>
    <row r="10" ht="30" customHeight="1" s="235">
      <c r="A10" s="332" t="n"/>
      <c r="B10" s="279" t="n"/>
      <c r="C10" s="282" t="n"/>
      <c r="D10" s="371">
        <f>$B$62</f>
        <v/>
      </c>
      <c r="E10" s="297" t="n"/>
      <c r="F10" s="297" t="n"/>
      <c r="G10" s="297" t="n"/>
      <c r="H10" s="297" t="n"/>
      <c r="I10" s="297" t="n"/>
      <c r="J10" s="297" t="n"/>
      <c r="K10" s="282" t="n"/>
      <c r="L10" s="371" t="n"/>
      <c r="M10" s="371">
        <f>IFERROR(IF($B$63="","",TRIM(LEFT($B$63,$B$64-1))),"")</f>
        <v/>
      </c>
      <c r="N10" s="297" t="n"/>
      <c r="O10" s="282" t="n"/>
      <c r="P10" s="371">
        <f>IFERROR(IF($B$63="","",TRIM(MID($B$63,$B$64+1,$B$65-$B$64-1))),"")</f>
        <v/>
      </c>
      <c r="Q10" s="297" t="n"/>
      <c r="R10" s="297" t="n"/>
      <c r="S10" s="282" t="n"/>
      <c r="T10" s="371">
        <f>IFERROR(IF($B$63="","",IF(LEN(TRIM($B$63))-LEN(SUBSTITUTE(TRIM($B$63)," ",""))&lt;3,TRIM(MID($B$63,$B$65+1,LEN($B$63))),TRIM(MID($B$63,$B$65+1,$B$66-$B$65-1)))),"")</f>
        <v/>
      </c>
      <c r="U10" s="297" t="n"/>
      <c r="V10" s="297" t="n"/>
      <c r="W10" s="282" t="n"/>
      <c r="X10" s="371">
        <f>IFERROR(IF($B$63="","",IF(LEN(TRIM($B$63))-LEN(SUBSTITUTE(TRIM($B$63)," ",""))&lt;3,"",TRIM(MID($B$63,$B$66+1,LEN($B$63))))),"")</f>
        <v/>
      </c>
      <c r="Y10" s="297" t="n"/>
      <c r="Z10" s="282" t="n"/>
      <c r="AA10" s="399" t="n"/>
    </row>
    <row r="11" ht="36" customHeight="1" s="235">
      <c r="A11" s="332" t="n"/>
      <c r="B11" s="273" t="inlineStr">
        <is>
          <t>24. Actividad
económica principal</t>
        </is>
      </c>
      <c r="C11" s="274" t="n"/>
      <c r="D11" s="274" t="n"/>
      <c r="E11" s="445" t="n"/>
      <c r="F11" s="274" t="n"/>
      <c r="G11" s="353" t="inlineStr">
        <is>
          <t>Si es una
corrección indique:</t>
        </is>
      </c>
      <c r="H11" s="274" t="n"/>
      <c r="I11" s="274" t="n"/>
      <c r="J11" s="92" t="inlineStr">
        <is>
          <t xml:space="preserve"> 25.Cód.</t>
        </is>
      </c>
      <c r="K11" s="353" t="n"/>
      <c r="L11" s="353" t="inlineStr">
        <is>
          <t xml:space="preserve">26. No. Formulario 
anterior </t>
        </is>
      </c>
      <c r="M11" s="274" t="n"/>
      <c r="N11" s="93" t="n"/>
      <c r="O11" s="93" t="n"/>
      <c r="P11" s="93" t="n"/>
      <c r="Q11" s="353" t="inlineStr">
        <is>
          <t>27. Fracción año gravable siguiente</t>
        </is>
      </c>
      <c r="R11" s="274" t="n"/>
      <c r="S11" s="274" t="n"/>
      <c r="T11" s="274" t="n"/>
      <c r="U11" s="93" t="n"/>
      <c r="V11" s="353" t="inlineStr">
        <is>
          <t>28. Uno por ciento ( 1%) de compras
con factura electrónica</t>
        </is>
      </c>
      <c r="W11" s="274" t="n"/>
      <c r="X11" s="274" t="n"/>
      <c r="Y11" s="274" t="n"/>
      <c r="Z11" s="478">
        <f>INDEX(Formulario_210!$G$6:$G$119,28-27)</f>
        <v/>
      </c>
      <c r="AA11" s="289" t="n"/>
    </row>
    <row r="12" ht="24" customHeight="1" s="235">
      <c r="A12" s="332" t="n"/>
      <c r="B12" s="307" t="inlineStr">
        <is>
          <t>Patrimonio</t>
        </is>
      </c>
      <c r="C12" s="289" t="n"/>
      <c r="D12" s="432" t="inlineStr">
        <is>
          <t>Total patrimonio bruto</t>
        </is>
      </c>
      <c r="E12" s="274" t="n"/>
      <c r="F12" s="274" t="n"/>
      <c r="G12" s="289" t="n"/>
      <c r="H12" s="432" t="n">
        <v>29</v>
      </c>
      <c r="I12" s="479">
        <f>INDEX(Formulario_210!$G$6:$G$119,29-27)</f>
        <v/>
      </c>
      <c r="J12" s="274" t="n"/>
      <c r="K12" s="274" t="n"/>
      <c r="L12" s="274" t="n"/>
      <c r="M12" s="289" t="n"/>
      <c r="N12" s="96" t="inlineStr">
        <is>
          <t>Deudas</t>
        </is>
      </c>
      <c r="O12" s="97" t="n">
        <v>30</v>
      </c>
      <c r="P12" s="480">
        <f>INDEX(Formulario_210!$G$6:$G$119,30-27)</f>
        <v/>
      </c>
      <c r="Q12" s="274" t="n"/>
      <c r="R12" s="274" t="n"/>
      <c r="S12" s="274" t="n"/>
      <c r="T12" s="274" t="n"/>
      <c r="U12" s="289" t="n"/>
      <c r="V12" s="368" t="inlineStr">
        <is>
          <t>Total patrimonio líquido</t>
        </is>
      </c>
      <c r="W12" s="289" t="n"/>
      <c r="X12" s="97" t="n">
        <v>31</v>
      </c>
      <c r="Y12" s="480">
        <f>INDEX(Formulario_210!$G$6:$G$119,31-27)</f>
        <v/>
      </c>
      <c r="Z12" s="274" t="n"/>
      <c r="AA12" s="289" t="n"/>
    </row>
    <row r="13" ht="28.5" customHeight="1" s="235">
      <c r="A13" s="98" t="n"/>
      <c r="B13" s="407" t="inlineStr">
        <is>
          <t xml:space="preserve"> </t>
        </is>
      </c>
      <c r="C13" s="308" t="inlineStr">
        <is>
          <t>Conceptos/Rentas</t>
        </is>
      </c>
      <c r="D13" s="274" t="n"/>
      <c r="E13" s="274" t="n"/>
      <c r="F13" s="289" t="n"/>
      <c r="G13" s="433" t="inlineStr">
        <is>
          <t>Rentas de trabajo</t>
        </is>
      </c>
      <c r="H13" s="274" t="n"/>
      <c r="I13" s="274" t="n"/>
      <c r="J13" s="274" t="n"/>
      <c r="K13" s="274" t="n"/>
      <c r="L13" s="289" t="n"/>
      <c r="M13" s="333" t="inlineStr">
        <is>
          <t>Rentas de trabajo que no provengan de una
relación laboral o legal y reglamentaria</t>
        </is>
      </c>
      <c r="N13" s="274" t="n"/>
      <c r="O13" s="274" t="n"/>
      <c r="P13" s="274" t="n"/>
      <c r="Q13" s="274" t="n"/>
      <c r="R13" s="274" t="n"/>
      <c r="S13" s="289" t="n"/>
      <c r="T13" s="333" t="inlineStr">
        <is>
          <t>Rentas de capital</t>
        </is>
      </c>
      <c r="U13" s="274" t="n"/>
      <c r="V13" s="274" t="n"/>
      <c r="W13" s="289" t="n"/>
      <c r="X13" s="333" t="inlineStr">
        <is>
          <t>Rentas no laborales</t>
        </is>
      </c>
      <c r="Y13" s="274" t="n"/>
      <c r="Z13" s="274" t="n"/>
      <c r="AA13" s="289" t="n"/>
    </row>
    <row r="14" ht="24.75" customHeight="1" s="235">
      <c r="A14" s="98" t="n"/>
      <c r="B14" s="302" t="n"/>
      <c r="C14" s="373" t="inlineStr">
        <is>
          <t>Ingresos brutos</t>
        </is>
      </c>
      <c r="D14" s="285" t="n"/>
      <c r="E14" s="285" t="n"/>
      <c r="F14" s="276" t="n"/>
      <c r="G14" s="100" t="n">
        <v>32</v>
      </c>
      <c r="H14" s="481">
        <f>INDEX(Formulario_210!$G$6:$G$119,32-27)</f>
        <v/>
      </c>
      <c r="I14" s="285" t="n"/>
      <c r="J14" s="285" t="n"/>
      <c r="K14" s="285" t="n"/>
      <c r="L14" s="286" t="n"/>
      <c r="M14" s="101" t="n">
        <v>43</v>
      </c>
      <c r="N14" s="482">
        <f>INDEX(Formulario_210!$G$6:$G$119,43-27)</f>
        <v/>
      </c>
      <c r="S14" s="300" t="n"/>
      <c r="T14" s="102" t="n">
        <v>58</v>
      </c>
      <c r="U14" s="483">
        <f>INDEX(Formulario_210!$G$6:$G$119,58-27)</f>
        <v/>
      </c>
      <c r="V14" s="285" t="n"/>
      <c r="W14" s="347" t="n"/>
      <c r="X14" s="102" t="n">
        <v>74</v>
      </c>
      <c r="Y14" s="483">
        <f>INDEX(Formulario_210!$G$6:$G$119,74-27)</f>
        <v/>
      </c>
      <c r="Z14" s="285" t="n"/>
      <c r="AA14" s="347" t="n"/>
    </row>
    <row r="15" ht="24.75" customHeight="1" s="235">
      <c r="A15" s="98" t="n"/>
      <c r="B15" s="302" t="n"/>
      <c r="C15" s="315" t="inlineStr">
        <is>
          <t>Devoluciones, rebajas y
descuentos</t>
        </is>
      </c>
      <c r="F15" s="291" t="n"/>
      <c r="G15" s="103" t="n"/>
      <c r="H15" s="427" t="n"/>
      <c r="M15" s="104" t="n"/>
      <c r="N15" s="414" t="n"/>
      <c r="T15" s="104" t="n"/>
      <c r="U15" s="414" t="n"/>
      <c r="X15" s="105" t="n">
        <v>75</v>
      </c>
      <c r="Y15" s="484">
        <f>INDEX(Formulario_210!$G$6:$G$119,75-27)</f>
        <v/>
      </c>
      <c r="AA15" s="291" t="n"/>
    </row>
    <row r="16" ht="24.75" customHeight="1" s="235">
      <c r="A16" s="98" t="n"/>
      <c r="B16" s="302" t="n"/>
      <c r="C16" s="442" t="inlineStr">
        <is>
          <t>Ingresos no constitutivos
de renta</t>
        </is>
      </c>
      <c r="F16" s="291" t="n"/>
      <c r="G16" s="106" t="n">
        <v>33</v>
      </c>
      <c r="H16" s="485">
        <f>INDEX(Formulario_210!$G$6:$G$119,33-27)</f>
        <v/>
      </c>
      <c r="L16" s="291" t="n"/>
      <c r="M16" s="101" t="n">
        <v>44</v>
      </c>
      <c r="N16" s="486">
        <f>INDEX(Formulario_210!$G$6:$G$119,44-27)</f>
        <v/>
      </c>
      <c r="T16" s="107" t="n">
        <v>59</v>
      </c>
      <c r="U16" s="487">
        <f>INDEX(Formulario_210!$G$6:$G$119,59-27)</f>
        <v/>
      </c>
      <c r="W16" s="291" t="n"/>
      <c r="X16" s="107" t="n">
        <v>76</v>
      </c>
      <c r="Y16" s="487">
        <f>INDEX(Formulario_210!$G$6:$G$119,76-27)</f>
        <v/>
      </c>
      <c r="AA16" s="291" t="n"/>
    </row>
    <row r="17" ht="24.75" customHeight="1" s="235">
      <c r="A17" s="81" t="n"/>
      <c r="B17" s="302" t="n"/>
      <c r="C17" s="315" t="inlineStr">
        <is>
          <t>Costos y deducciones
procedentes</t>
        </is>
      </c>
      <c r="F17" s="291" t="n"/>
      <c r="G17" s="108" t="n"/>
      <c r="H17" s="319" t="n"/>
      <c r="L17" s="291" t="n"/>
      <c r="M17" s="109" t="n">
        <v>45</v>
      </c>
      <c r="N17" s="488">
        <f>INDEX(Formulario_210!$G$6:$G$119,45-27)</f>
        <v/>
      </c>
      <c r="T17" s="105" t="n">
        <v>60</v>
      </c>
      <c r="U17" s="484">
        <f>INDEX(Formulario_210!$G$6:$G$119,60-27)</f>
        <v/>
      </c>
      <c r="W17" s="291" t="n"/>
      <c r="X17" s="105" t="n">
        <v>77</v>
      </c>
      <c r="Y17" s="484">
        <f>INDEX(Formulario_210!$G$6:$G$119,77-27)</f>
        <v/>
      </c>
      <c r="AA17" s="291" t="n"/>
    </row>
    <row r="18" ht="24.75" customHeight="1" s="235">
      <c r="A18" s="81" t="n"/>
      <c r="B18" s="302" t="n"/>
      <c r="C18" s="409" t="inlineStr">
        <is>
          <t>Renta líquida</t>
        </is>
      </c>
      <c r="F18" s="291" t="n"/>
      <c r="G18" s="110" t="n">
        <v>34</v>
      </c>
      <c r="H18" s="489">
        <f>INDEX(Formulario_210!$G$6:$G$119,34-27)</f>
        <v/>
      </c>
      <c r="L18" s="291" t="n"/>
      <c r="M18" s="111" t="n">
        <v>46</v>
      </c>
      <c r="N18" s="490">
        <f>INDEX(Formulario_210!$G$6:$G$119,46-27)</f>
        <v/>
      </c>
      <c r="T18" s="112" t="n">
        <v>61</v>
      </c>
      <c r="U18" s="491">
        <f>INDEX(Formulario_210!$G$6:$G$119,61-27)</f>
        <v/>
      </c>
      <c r="W18" s="291" t="n"/>
      <c r="X18" s="112" t="n">
        <v>78</v>
      </c>
      <c r="Y18" s="491">
        <f>INDEX(Formulario_210!$G$6:$G$119,78-27)</f>
        <v/>
      </c>
      <c r="AA18" s="291" t="n"/>
    </row>
    <row r="19" ht="24.75" customHeight="1" s="235">
      <c r="A19" s="81" t="n"/>
      <c r="B19" s="302" t="n"/>
      <c r="C19" s="356" t="inlineStr">
        <is>
          <t>Rentas líquidas pasivas -
ECE</t>
        </is>
      </c>
      <c r="D19" s="297" t="n"/>
      <c r="E19" s="297" t="n"/>
      <c r="F19" s="282" t="n"/>
      <c r="G19" s="103" t="n"/>
      <c r="H19" s="327" t="n"/>
      <c r="I19" s="297" t="n"/>
      <c r="J19" s="297" t="n"/>
      <c r="K19" s="297" t="n"/>
      <c r="L19" s="297" t="n"/>
      <c r="M19" s="113" t="n"/>
      <c r="N19" s="438" t="n"/>
      <c r="O19" s="297" t="n"/>
      <c r="P19" s="297" t="n"/>
      <c r="Q19" s="297" t="n"/>
      <c r="R19" s="297" t="n"/>
      <c r="S19" s="297" t="n"/>
      <c r="T19" s="114" t="n">
        <v>62</v>
      </c>
      <c r="U19" s="492">
        <f>INDEX(Formulario_210!$G$6:$G$119,62-27)</f>
        <v/>
      </c>
      <c r="V19" s="297" t="n"/>
      <c r="W19" s="282" t="n"/>
      <c r="X19" s="114" t="n">
        <v>79</v>
      </c>
      <c r="Y19" s="492">
        <f>INDEX(Formulario_210!$G$6:$G$119,79-27)</f>
        <v/>
      </c>
      <c r="Z19" s="297" t="n"/>
      <c r="AA19" s="282" t="n"/>
    </row>
    <row r="20" ht="24.75" customHeight="1" s="235">
      <c r="A20" s="81" t="n"/>
      <c r="B20" s="302" t="n"/>
      <c r="C20" s="419" t="inlineStr">
        <is>
          <t>Rentas
exentas</t>
        </is>
      </c>
      <c r="D20" s="422" t="inlineStr">
        <is>
          <t>Aportes voluntarios 
AFC, FVP y AVC</t>
        </is>
      </c>
      <c r="E20" s="285" t="n"/>
      <c r="F20" s="286" t="n"/>
      <c r="G20" s="100" t="n">
        <v>35</v>
      </c>
      <c r="H20" s="493">
        <f>INDEX(Formulario_210!$G$6:$G$119,35-27)</f>
        <v/>
      </c>
      <c r="L20" s="291" t="n"/>
      <c r="M20" s="107" t="n">
        <v>47</v>
      </c>
      <c r="N20" s="494">
        <f>INDEX(Formulario_210!$G$6:$G$119,47-27)</f>
        <v/>
      </c>
      <c r="S20" s="300" t="n"/>
      <c r="T20" s="102" t="n">
        <v>63</v>
      </c>
      <c r="U20" s="483">
        <f>INDEX(Formulario_210!$G$6:$G$119,63-27)</f>
        <v/>
      </c>
      <c r="V20" s="285" t="n"/>
      <c r="W20" s="347" t="n"/>
      <c r="X20" s="102" t="n">
        <v>80</v>
      </c>
      <c r="Y20" s="483">
        <f>INDEX(Formulario_210!$G$6:$G$119,80-27)</f>
        <v/>
      </c>
      <c r="Z20" s="285" t="n"/>
      <c r="AA20" s="347" t="n"/>
    </row>
    <row r="21" ht="24.75" customHeight="1" s="235">
      <c r="A21" s="81" t="n"/>
      <c r="B21" s="302" t="n"/>
      <c r="C21" s="302" t="n"/>
      <c r="D21" s="391" t="inlineStr">
        <is>
          <t>Otras rentas exentas</t>
        </is>
      </c>
      <c r="F21" s="291" t="n"/>
      <c r="G21" s="115" t="n">
        <v>36</v>
      </c>
      <c r="H21" s="495">
        <f>INDEX(Formulario_210!$G$6:$G$119,36-27)</f>
        <v/>
      </c>
      <c r="L21" s="291" t="n"/>
      <c r="M21" s="105" t="n">
        <v>48</v>
      </c>
      <c r="N21" s="496">
        <f>INDEX(Formulario_210!$G$6:$G$119,48-27)</f>
        <v/>
      </c>
      <c r="T21" s="105" t="n">
        <v>64</v>
      </c>
      <c r="U21" s="484">
        <f>INDEX(Formulario_210!$G$6:$G$119,64-27)</f>
        <v/>
      </c>
      <c r="W21" s="291" t="n"/>
      <c r="X21" s="105" t="n">
        <v>81</v>
      </c>
      <c r="Y21" s="484">
        <f>INDEX(Formulario_210!$G$6:$G$119,81-27)</f>
        <v/>
      </c>
      <c r="AA21" s="291" t="n"/>
    </row>
    <row r="22" ht="24.75" customHeight="1" s="235">
      <c r="A22" s="81" t="n"/>
      <c r="B22" s="302" t="n"/>
      <c r="C22" s="303" t="n"/>
      <c r="D22" s="366" t="inlineStr">
        <is>
          <t>Total rentas exentas</t>
        </is>
      </c>
      <c r="E22" s="297" t="n"/>
      <c r="F22" s="282" t="n"/>
      <c r="G22" s="116" t="n">
        <v>37</v>
      </c>
      <c r="H22" s="497">
        <f>INDEX(Formulario_210!$G$6:$G$119,37-27)</f>
        <v/>
      </c>
      <c r="I22" s="381" t="n"/>
      <c r="J22" s="381" t="n"/>
      <c r="K22" s="381" t="n"/>
      <c r="L22" s="382" t="n"/>
      <c r="M22" s="117" t="n">
        <v>49</v>
      </c>
      <c r="N22" s="498">
        <f>INDEX(Formulario_210!$G$6:$G$119,49-27)</f>
        <v/>
      </c>
      <c r="O22" s="297" t="n"/>
      <c r="P22" s="297" t="n"/>
      <c r="Q22" s="297" t="n"/>
      <c r="R22" s="297" t="n"/>
      <c r="S22" s="282" t="n"/>
      <c r="T22" s="117" t="n">
        <v>65</v>
      </c>
      <c r="U22" s="499">
        <f>INDEX(Formulario_210!$G$6:$G$119,65-27)</f>
        <v/>
      </c>
      <c r="V22" s="297" t="n"/>
      <c r="W22" s="282" t="n"/>
      <c r="X22" s="117" t="n">
        <v>82</v>
      </c>
      <c r="Y22" s="498">
        <f>INDEX(Formulario_210!$G$6:$G$119,82-27)</f>
        <v/>
      </c>
      <c r="Z22" s="297" t="n"/>
      <c r="AA22" s="282" t="n"/>
    </row>
    <row r="23" ht="24.75" customHeight="1" s="235">
      <c r="A23" s="81" t="n"/>
      <c r="B23" s="302" t="n"/>
      <c r="C23" s="301" t="inlineStr">
        <is>
          <t>Deducciones
imputables</t>
        </is>
      </c>
      <c r="D23" s="321" t="inlineStr">
        <is>
          <t>Intereses de vivienda</t>
        </is>
      </c>
      <c r="E23" s="285" t="n"/>
      <c r="F23" s="286" t="n"/>
      <c r="G23" s="118" t="n">
        <v>38</v>
      </c>
      <c r="H23" s="500">
        <f>INDEX(Formulario_210!$G$6:$G$119,38-27)</f>
        <v/>
      </c>
      <c r="M23" s="105" t="n">
        <v>50</v>
      </c>
      <c r="N23" s="501">
        <f>INDEX(Formulario_210!$G$6:$G$119,50-27)</f>
        <v/>
      </c>
      <c r="S23" s="291" t="n"/>
      <c r="T23" s="119" t="n">
        <v>66</v>
      </c>
      <c r="U23" s="502">
        <f>INDEX(Formulario_210!$G$6:$G$119,66-27)</f>
        <v/>
      </c>
      <c r="V23" s="285" t="n"/>
      <c r="W23" s="286" t="n"/>
      <c r="X23" s="120" t="n">
        <v>83</v>
      </c>
      <c r="Y23" s="496">
        <f>INDEX(Formulario_210!$G$6:$G$119,83-27)</f>
        <v/>
      </c>
    </row>
    <row r="24" ht="24.75" customHeight="1" s="235">
      <c r="A24" s="81" t="n"/>
      <c r="B24" s="302" t="n"/>
      <c r="C24" s="302" t="n"/>
      <c r="D24" s="442" t="inlineStr">
        <is>
          <t>Otras deducciones
imputables</t>
        </is>
      </c>
      <c r="F24" s="291" t="n"/>
      <c r="G24" s="121" t="n">
        <v>39</v>
      </c>
      <c r="H24" s="503">
        <f>INDEX(Formulario_210!$G$6:$G$119,39-27)</f>
        <v/>
      </c>
      <c r="M24" s="107" t="n">
        <v>51</v>
      </c>
      <c r="N24" s="504">
        <f>INDEX(Formulario_210!$G$6:$G$119,51-27)</f>
        <v/>
      </c>
      <c r="S24" s="291" t="n"/>
      <c r="T24" s="107" t="n">
        <v>67</v>
      </c>
      <c r="U24" s="504">
        <f>INDEX(Formulario_210!$G$6:$G$119,67-27)</f>
        <v/>
      </c>
      <c r="W24" s="291" t="n"/>
      <c r="X24" s="122" t="n">
        <v>84</v>
      </c>
      <c r="Y24" s="505">
        <f>INDEX(Formulario_210!$G$6:$G$119,84-27)</f>
        <v/>
      </c>
    </row>
    <row r="25" ht="24.75" customHeight="1" s="235">
      <c r="A25" s="81" t="n"/>
      <c r="B25" s="302" t="n"/>
      <c r="C25" s="303" t="n"/>
      <c r="D25" s="370" t="inlineStr">
        <is>
          <t>Total deducciones
imputables</t>
        </is>
      </c>
      <c r="E25" s="297" t="n"/>
      <c r="F25" s="282" t="n"/>
      <c r="G25" s="123" t="n">
        <v>40</v>
      </c>
      <c r="H25" s="506">
        <f>INDEX(Formulario_210!$G$6:$G$119,40-27)</f>
        <v/>
      </c>
      <c r="I25" s="297" t="n"/>
      <c r="J25" s="297" t="n"/>
      <c r="K25" s="297" t="n"/>
      <c r="L25" s="297" t="n"/>
      <c r="M25" s="124" t="n">
        <v>52</v>
      </c>
      <c r="N25" s="507">
        <f>INDEX(Formulario_210!$G$6:$G$119,52-27)</f>
        <v/>
      </c>
      <c r="O25" s="297" t="n"/>
      <c r="P25" s="297" t="n"/>
      <c r="Q25" s="297" t="n"/>
      <c r="R25" s="297" t="n"/>
      <c r="S25" s="282" t="n"/>
      <c r="T25" s="124" t="n">
        <v>68</v>
      </c>
      <c r="U25" s="507">
        <f>INDEX(Formulario_210!$G$6:$G$119,68-27)</f>
        <v/>
      </c>
      <c r="V25" s="297" t="n"/>
      <c r="W25" s="282" t="n"/>
      <c r="X25" s="125" t="n">
        <v>85</v>
      </c>
      <c r="Y25" s="508">
        <f>INDEX(Formulario_210!$G$6:$G$119,85-27)</f>
        <v/>
      </c>
      <c r="Z25" s="297" t="n"/>
      <c r="AA25" s="297" t="n"/>
    </row>
    <row r="26" ht="24.75" customHeight="1" s="235">
      <c r="A26" s="126" t="n"/>
      <c r="B26" s="302" t="n"/>
      <c r="C26" s="324" t="inlineStr">
        <is>
          <t>Rentas exentas y/o deduc.
 imputables (Limitadas)</t>
        </is>
      </c>
      <c r="D26" s="285" t="n"/>
      <c r="E26" s="285" t="n"/>
      <c r="F26" s="286" t="n"/>
      <c r="G26" s="116" t="n">
        <v>41</v>
      </c>
      <c r="H26" s="509">
        <f>INDEX(Formulario_210!$G$6:$G$119,41-27)</f>
        <v/>
      </c>
      <c r="M26" s="127" t="n">
        <v>53</v>
      </c>
      <c r="N26" s="510">
        <f>INDEX(Formulario_210!$G$6:$G$119,53-27)</f>
        <v/>
      </c>
      <c r="S26" s="300" t="n"/>
      <c r="T26" s="112" t="n">
        <v>69</v>
      </c>
      <c r="U26" s="510">
        <f>INDEX(Formulario_210!$G$6:$G$119,69-27)</f>
        <v/>
      </c>
      <c r="W26" s="300" t="n"/>
      <c r="X26" s="128" t="n">
        <v>86</v>
      </c>
      <c r="Y26" s="510">
        <f>INDEX(Formulario_210!$G$6:$G$119,86-27)</f>
        <v/>
      </c>
      <c r="AA26" s="300" t="n"/>
    </row>
    <row r="27" ht="24.75" customHeight="1" s="235">
      <c r="A27" s="81" t="n"/>
      <c r="B27" s="302" t="n"/>
      <c r="C27" s="338" t="inlineStr">
        <is>
          <t>Rentas líquida ordinaria
del ejercicio</t>
        </is>
      </c>
      <c r="F27" s="291" t="n"/>
      <c r="G27" s="426" t="n"/>
      <c r="M27" s="129" t="n">
        <v>54</v>
      </c>
      <c r="N27" s="511">
        <f>INDEX(Formulario_210!$G$6:$G$119,54-27)</f>
        <v/>
      </c>
      <c r="S27" s="291" t="n"/>
      <c r="T27" s="129" t="n">
        <v>70</v>
      </c>
      <c r="U27" s="511">
        <f>INDEX(Formulario_210!$G$6:$G$119,70-27)</f>
        <v/>
      </c>
      <c r="W27" s="291" t="n"/>
      <c r="X27" s="130" t="n">
        <v>87</v>
      </c>
      <c r="Y27" s="512">
        <f>INDEX(Formulario_210!$G$6:$G$119,87-27)</f>
        <v/>
      </c>
    </row>
    <row r="28" ht="24.75" customHeight="1" s="235">
      <c r="A28" s="81" t="n"/>
      <c r="B28" s="302" t="n"/>
      <c r="C28" s="358" t="inlineStr">
        <is>
          <t>Pérdida líquida
del ejercicio</t>
        </is>
      </c>
      <c r="F28" s="291" t="n"/>
      <c r="M28" s="112" t="n">
        <v>55</v>
      </c>
      <c r="N28" s="513">
        <f>INDEX(Formulario_210!$G$6:$G$119,55-27)</f>
        <v/>
      </c>
      <c r="S28" s="291" t="n"/>
      <c r="T28" s="112" t="n">
        <v>71</v>
      </c>
      <c r="U28" s="513">
        <f>INDEX(Formulario_210!$G$6:$G$119,71-27)</f>
        <v/>
      </c>
      <c r="W28" s="291" t="n"/>
      <c r="X28" s="128" t="n">
        <v>88</v>
      </c>
      <c r="Y28" s="514">
        <f>INDEX(Formulario_210!$G$6:$G$119,88-27)</f>
        <v/>
      </c>
    </row>
    <row r="29" ht="24.75" customHeight="1" s="235">
      <c r="A29" s="81" t="n"/>
      <c r="B29" s="302" t="n"/>
      <c r="C29" s="315" t="inlineStr">
        <is>
          <t>Compensaciones por
pérdidas</t>
        </is>
      </c>
      <c r="F29" s="291" t="n"/>
      <c r="M29" s="105" t="n">
        <v>56</v>
      </c>
      <c r="N29" s="501">
        <f>INDEX(Formulario_210!$G$6:$G$119,56-27)</f>
        <v/>
      </c>
      <c r="S29" s="291" t="n"/>
      <c r="T29" s="105" t="n">
        <v>72</v>
      </c>
      <c r="U29" s="501">
        <f>INDEX(Formulario_210!$G$6:$G$119,72-27)</f>
        <v/>
      </c>
      <c r="W29" s="291" t="n"/>
      <c r="X29" s="120" t="n">
        <v>89</v>
      </c>
      <c r="Y29" s="496">
        <f>INDEX(Formulario_210!$G$6:$G$119,89-27)</f>
        <v/>
      </c>
    </row>
    <row r="30" ht="24.75" customHeight="1" s="235">
      <c r="A30" s="81" t="n"/>
      <c r="B30" s="302" t="n"/>
      <c r="C30" s="366" t="inlineStr">
        <is>
          <t>Renta líquida ordinaria</t>
        </is>
      </c>
      <c r="D30" s="297" t="n"/>
      <c r="E30" s="297" t="n"/>
      <c r="F30" s="282" t="n"/>
      <c r="G30" s="131" t="n">
        <v>42</v>
      </c>
      <c r="H30" s="509">
        <f>INDEX(Formulario_210!$G$6:$G$119,42-27)</f>
        <v/>
      </c>
      <c r="M30" s="117" t="n">
        <v>57</v>
      </c>
      <c r="N30" s="498">
        <f>INDEX(Formulario_210!$G$6:$G$119,57-27)</f>
        <v/>
      </c>
      <c r="O30" s="297" t="n"/>
      <c r="P30" s="297" t="n"/>
      <c r="Q30" s="297" t="n"/>
      <c r="R30" s="297" t="n"/>
      <c r="S30" s="282" t="n"/>
      <c r="T30" s="117" t="n">
        <v>73</v>
      </c>
      <c r="U30" s="498">
        <f>INDEX(Formulario_210!$G$6:$G$119,73-27)</f>
        <v/>
      </c>
      <c r="V30" s="297" t="n"/>
      <c r="W30" s="282" t="n"/>
      <c r="X30" s="132" t="n">
        <v>90</v>
      </c>
      <c r="Y30" s="514">
        <f>INDEX(Formulario_210!$G$6:$G$119,90-27)</f>
        <v/>
      </c>
    </row>
    <row r="31" ht="24.75" customHeight="1" s="235">
      <c r="A31" s="81" t="n"/>
      <c r="B31" s="302" t="n"/>
      <c r="C31" s="313" t="inlineStr">
        <is>
          <t>Ren líquida 
céd. gen.</t>
        </is>
      </c>
      <c r="E31" s="307" t="n">
        <v>91</v>
      </c>
      <c r="F31" s="515">
        <f>INDEX(Formulario_210!$G$6:$G$119,91-27)</f>
        <v/>
      </c>
      <c r="G31" s="274" t="n"/>
      <c r="H31" s="274" t="n"/>
      <c r="I31" s="289" t="n"/>
      <c r="J31" s="326" t="inlineStr">
        <is>
          <t>Ren. ex. Y
ded. imp. li</t>
        </is>
      </c>
      <c r="K31" s="289" t="n"/>
      <c r="L31" s="288" t="n">
        <v>92</v>
      </c>
      <c r="M31" s="516">
        <f>INDEX(Formulario_210!$G$6:$G$119,92-27)</f>
        <v/>
      </c>
      <c r="N31" s="274" t="n"/>
      <c r="O31" s="330" t="n"/>
      <c r="P31" s="390" t="inlineStr">
        <is>
          <t>R. líq. ord.
cédula gen.</t>
        </is>
      </c>
      <c r="Q31" s="274" t="n"/>
      <c r="R31" s="289" t="n"/>
      <c r="S31" s="288" t="n">
        <v>93</v>
      </c>
      <c r="T31" s="517">
        <f>INDEX(Formulario_210!$G$6:$G$119,93-27)</f>
        <v/>
      </c>
      <c r="U31" s="285" t="n"/>
      <c r="V31" s="286" t="n"/>
      <c r="W31" s="413" t="inlineStr">
        <is>
          <t>Comp. Pérdidas
año 2018 y ant.</t>
        </is>
      </c>
      <c r="X31" s="289" t="n"/>
      <c r="Y31" s="134" t="n">
        <v>94</v>
      </c>
      <c r="Z31" s="518">
        <f>INDEX(Formulario_210!$G$6:$G$119,94-27)</f>
        <v/>
      </c>
      <c r="AA31" s="289" t="n"/>
    </row>
    <row r="32" ht="27" customHeight="1" s="235">
      <c r="A32" s="81" t="n"/>
      <c r="B32" s="303" t="n"/>
      <c r="C32" s="424" t="inlineStr">
        <is>
          <t>Comp. Exc. ren.
presuntiva</t>
        </is>
      </c>
      <c r="D32" s="425" t="n"/>
      <c r="E32" s="432" t="n">
        <v>95</v>
      </c>
      <c r="F32" s="519">
        <f>INDEX(Formulario_210!$G$6:$G$119,95-27)</f>
        <v/>
      </c>
      <c r="G32" s="274" t="n"/>
      <c r="H32" s="274" t="n"/>
      <c r="I32" s="289" t="n"/>
      <c r="J32" s="444" t="inlineStr">
        <is>
          <t>Rentas
gravables</t>
        </is>
      </c>
      <c r="K32" s="289" t="n"/>
      <c r="L32" s="96" t="n">
        <v>96</v>
      </c>
      <c r="M32" s="520">
        <f>INDEX(Formulario_210!$G$6:$G$119,96-27)</f>
        <v/>
      </c>
      <c r="N32" s="274" t="n"/>
      <c r="O32" s="330" t="n"/>
      <c r="P32" s="410" t="inlineStr">
        <is>
          <t>R. líq. grav.
cédula gen.</t>
        </is>
      </c>
      <c r="Q32" s="274" t="n"/>
      <c r="R32" s="289" t="n"/>
      <c r="S32" s="135" t="n">
        <v>97</v>
      </c>
      <c r="T32" s="521">
        <f>INDEX(Formulario_210!$G$6:$G$119,97-27)</f>
        <v/>
      </c>
      <c r="U32" s="297" t="n"/>
      <c r="V32" s="282" t="n"/>
      <c r="W32" s="368" t="inlineStr">
        <is>
          <t>Renta presuntiva</t>
        </is>
      </c>
      <c r="X32" s="289" t="n"/>
      <c r="Y32" s="97" t="n">
        <v>98</v>
      </c>
      <c r="Z32" s="522">
        <f>INDEX(Formulario_210!$G$6:$G$119,98-27)</f>
        <v/>
      </c>
      <c r="AA32" s="289" t="n"/>
    </row>
    <row r="33" ht="24.75" customHeight="1" s="235">
      <c r="A33" s="81" t="n"/>
      <c r="B33" s="275" t="inlineStr">
        <is>
          <t>Cédula de
pensiones</t>
        </is>
      </c>
      <c r="C33" s="276" t="n"/>
      <c r="D33" s="304" t="inlineStr">
        <is>
          <t>Ingresos brutos por rentas de pensiones del país y
del exterior</t>
        </is>
      </c>
      <c r="E33" s="305" t="n"/>
      <c r="F33" s="305" t="n"/>
      <c r="G33" s="305" t="n"/>
      <c r="H33" s="305" t="n"/>
      <c r="I33" s="305" t="n"/>
      <c r="J33" s="305" t="n"/>
      <c r="K33" s="136" t="n">
        <v>99</v>
      </c>
      <c r="L33" s="523">
        <f>INDEX(Formulario_210!$G$6:$G$119,99-27)</f>
        <v/>
      </c>
      <c r="O33" s="278" t="n"/>
      <c r="P33" s="288" t="inlineStr">
        <is>
          <t>Liquidación privada</t>
        </is>
      </c>
      <c r="Q33" s="405" t="inlineStr">
        <is>
          <t>Impuesto sobre las rentas
líquidas gravables</t>
        </is>
      </c>
      <c r="R33" s="431" t="inlineStr">
        <is>
          <t>Cedula general, de pensiones y de dividendos y
participaciones</t>
        </is>
      </c>
      <c r="S33" s="285" t="n"/>
      <c r="T33" s="285" t="n"/>
      <c r="U33" s="285" t="n"/>
      <c r="V33" s="286" t="n"/>
      <c r="W33" s="137" t="n">
        <v>116</v>
      </c>
      <c r="X33" s="524">
        <f>INDEX(Formulario_210!$G$6:$G$119,116-27)</f>
        <v/>
      </c>
      <c r="Y33" s="381" t="n"/>
      <c r="Z33" s="381" t="n"/>
      <c r="AA33" s="454" t="n"/>
    </row>
    <row r="34" ht="24.75" customHeight="1" s="235">
      <c r="A34" s="81" t="n"/>
      <c r="B34" s="277" t="n"/>
      <c r="C34" s="278" t="n"/>
      <c r="D34" s="359" t="inlineStr">
        <is>
          <t>Ingresos no constitutivos de renta</t>
        </is>
      </c>
      <c r="K34" s="138" t="n">
        <v>100</v>
      </c>
      <c r="L34" s="525">
        <f>INDEX(Formulario_210!$G$6:$G$119,100-27)</f>
        <v/>
      </c>
      <c r="O34" s="278" t="n"/>
      <c r="P34" s="302" t="n"/>
      <c r="Q34" s="291" t="n"/>
      <c r="R34" s="310" t="inlineStr">
        <is>
          <t>Renta presuntiva, de pensiones y de dividendos y
participaciones</t>
        </is>
      </c>
      <c r="V34" s="291" t="n"/>
      <c r="W34" s="122" t="n">
        <v>117</v>
      </c>
      <c r="X34" s="526">
        <f>INDEX(Formulario_210!$G$6:$G$119,117-27)</f>
        <v/>
      </c>
      <c r="Y34" s="305" t="n"/>
      <c r="Z34" s="305" t="n"/>
      <c r="AA34" s="384" t="n"/>
    </row>
    <row r="35" ht="24.75" customHeight="1" s="235">
      <c r="A35" s="81" t="n"/>
      <c r="B35" s="277" t="n"/>
      <c r="C35" s="278" t="n"/>
      <c r="D35" s="313" t="inlineStr">
        <is>
          <t>Renta líquida</t>
        </is>
      </c>
      <c r="K35" s="139" t="n">
        <v>101</v>
      </c>
      <c r="L35" s="527">
        <f>INDEX(Formulario_210!$G$6:$G$119,101-27)</f>
        <v/>
      </c>
      <c r="O35" s="278" t="n"/>
      <c r="P35" s="302" t="n"/>
      <c r="Q35" s="291" t="n"/>
      <c r="R35" s="377" t="inlineStr">
        <is>
          <t>Por dividendos y participaciones año 2017 y
siguientes, 2a subcedula (Art. 240 E.T.)</t>
        </is>
      </c>
      <c r="V35" s="291" t="n"/>
      <c r="W35" s="120" t="n">
        <v>118</v>
      </c>
      <c r="X35" s="528">
        <f>INDEX(Formulario_210!$G$6:$G$119,118-27)</f>
        <v/>
      </c>
      <c r="AA35" s="278" t="n"/>
    </row>
    <row r="36" ht="24.75" customHeight="1" s="235">
      <c r="A36" s="81" t="n"/>
      <c r="B36" s="277" t="n"/>
      <c r="C36" s="278" t="n"/>
      <c r="D36" s="359" t="inlineStr">
        <is>
          <t>Rentas exentas de pensiones</t>
        </is>
      </c>
      <c r="K36" s="138" t="n">
        <v>102</v>
      </c>
      <c r="L36" s="525">
        <f>INDEX(Formulario_210!$G$6:$G$119,102-27)</f>
        <v/>
      </c>
      <c r="O36" s="278" t="n"/>
      <c r="P36" s="302" t="n"/>
      <c r="Q36" s="291" t="n"/>
      <c r="R36" s="310" t="inlineStr">
        <is>
          <t>Por dividendos y participaciones año 2016</t>
        </is>
      </c>
      <c r="V36" s="291" t="n"/>
      <c r="W36" s="122" t="n">
        <v>119</v>
      </c>
      <c r="X36" s="529">
        <f>INDEX(Formulario_210!$G$6:$G$119,119-27)</f>
        <v/>
      </c>
      <c r="AA36" s="278" t="n"/>
    </row>
    <row r="37" ht="24.75" customHeight="1" s="235">
      <c r="A37" s="81" t="n"/>
      <c r="B37" s="279" t="n"/>
      <c r="C37" s="280" t="n"/>
      <c r="D37" s="344" t="inlineStr">
        <is>
          <t>Renta líquida gravable cédula de pensiones</t>
        </is>
      </c>
      <c r="E37" s="297" t="n"/>
      <c r="F37" s="297" t="n"/>
      <c r="G37" s="297" t="n"/>
      <c r="H37" s="297" t="n"/>
      <c r="I37" s="297" t="n"/>
      <c r="J37" s="297" t="n"/>
      <c r="K37" s="140" t="n">
        <v>103</v>
      </c>
      <c r="L37" s="530">
        <f>INDEX(Formulario_210!$G$6:$G$119,103-27)</f>
        <v/>
      </c>
      <c r="M37" s="297" t="n"/>
      <c r="N37" s="297" t="n"/>
      <c r="O37" s="280" t="n"/>
      <c r="P37" s="302" t="n"/>
      <c r="Q37" s="291" t="n"/>
      <c r="R37" s="377" t="inlineStr">
        <is>
          <t>Por dividendos y participaciones recibidas del
exterior</t>
        </is>
      </c>
      <c r="V37" s="291" t="n"/>
      <c r="W37" s="120" t="n">
        <v>120</v>
      </c>
      <c r="X37" s="528">
        <f>INDEX(Formulario_210!$G$6:$G$119,120-27)</f>
        <v/>
      </c>
      <c r="AA37" s="278" t="n"/>
    </row>
    <row r="38" ht="24.75" customHeight="1" s="235">
      <c r="A38" s="81" t="n"/>
      <c r="B38" s="275" t="inlineStr">
        <is>
          <t>Cédula de dividendos y/o
participaciones</t>
        </is>
      </c>
      <c r="C38" s="276" t="n"/>
      <c r="D38" s="359" t="inlineStr">
        <is>
          <t>Dividendos y participaciones 2016 y anteriores, y otros</t>
        </is>
      </c>
      <c r="K38" s="138" t="n">
        <v>104</v>
      </c>
      <c r="L38" s="531">
        <f>INDEX(Formulario_210!$G$6:$G$119,104-27)</f>
        <v/>
      </c>
      <c r="M38" s="285" t="n"/>
      <c r="N38" s="285" t="n"/>
      <c r="O38" s="276" t="n"/>
      <c r="P38" s="302" t="n"/>
      <c r="Q38" s="291" t="n"/>
      <c r="R38" s="402" t="inlineStr">
        <is>
          <t>Total impuesto sobre las rentas líquidas
gravables</t>
        </is>
      </c>
      <c r="V38" s="291" t="n"/>
      <c r="W38" s="128" t="n">
        <v>121</v>
      </c>
      <c r="X38" s="532">
        <f>INDEX(Formulario_210!$G$6:$G$119,121-27)</f>
        <v/>
      </c>
      <c r="AA38" s="278" t="n"/>
    </row>
    <row r="39" ht="29.25" customHeight="1" s="235">
      <c r="A39" s="81" t="n"/>
      <c r="B39" s="277" t="n"/>
      <c r="C39" s="278" t="n"/>
      <c r="D39" s="335" t="inlineStr">
        <is>
          <t>Ingresos no constitutivos de renta</t>
        </is>
      </c>
      <c r="K39" s="141" t="n">
        <v>105</v>
      </c>
      <c r="L39" s="523">
        <f>INDEX(Formulario_210!$G$6:$G$119,105-27)</f>
        <v/>
      </c>
      <c r="O39" s="278" t="n"/>
      <c r="P39" s="302" t="n"/>
      <c r="Q39" s="360" t="inlineStr">
        <is>
          <t>Descuentos
tributarios</t>
        </is>
      </c>
      <c r="R39" s="431" t="inlineStr">
        <is>
          <t>Imp. pagados
en el exterior</t>
        </is>
      </c>
      <c r="S39" s="286" t="n"/>
      <c r="T39" s="142" t="n">
        <v>122</v>
      </c>
      <c r="U39" s="533">
        <f>INDEX(Formulario_210!$G$6:$G$119,122-27)</f>
        <v/>
      </c>
      <c r="V39" s="286" t="n"/>
      <c r="W39" s="450" t="inlineStr">
        <is>
          <t>Donaciones</t>
        </is>
      </c>
      <c r="X39" s="286" t="n"/>
      <c r="Y39" s="134" t="n">
        <v>123</v>
      </c>
      <c r="Z39" s="534">
        <f>INDEX(Formulario_210!$G$6:$G$119,123-27)</f>
        <v/>
      </c>
      <c r="AA39" s="286" t="n"/>
    </row>
    <row r="40" ht="29.25" customHeight="1" s="235">
      <c r="A40" s="81" t="n"/>
      <c r="B40" s="277" t="n"/>
      <c r="C40" s="278" t="n"/>
      <c r="D40" s="417" t="inlineStr">
        <is>
          <t>Renta líquida ordinaria año 2016 y anteriores</t>
        </is>
      </c>
      <c r="K40" s="110" t="n">
        <v>106</v>
      </c>
      <c r="L40" s="535">
        <f>INDEX(Formulario_210!$G$6:$G$119,106-27)</f>
        <v/>
      </c>
      <c r="O40" s="278" t="n"/>
      <c r="P40" s="302" t="n"/>
      <c r="Q40" s="282" t="n"/>
      <c r="R40" s="283" t="inlineStr">
        <is>
          <t>Dividendos
particip. y otros</t>
        </is>
      </c>
      <c r="S40" s="282" t="n"/>
      <c r="T40" s="143" t="n">
        <v>124</v>
      </c>
      <c r="U40" s="536">
        <f>INDEX(Formulario_210!$G$6:$G$119,124-27)</f>
        <v/>
      </c>
      <c r="V40" s="282" t="n"/>
      <c r="W40" s="283" t="inlineStr">
        <is>
          <t>Total des-
cuentos trib.</t>
        </is>
      </c>
      <c r="X40" s="282" t="n"/>
      <c r="Y40" s="144" t="n">
        <v>125</v>
      </c>
      <c r="Z40" s="537">
        <f>INDEX(Formulario_210!$G$6:$G$119,125-27)</f>
        <v/>
      </c>
      <c r="AA40" s="282" t="n"/>
    </row>
    <row r="41" ht="24.75" customHeight="1" s="235">
      <c r="A41" s="81" t="n"/>
      <c r="B41" s="277" t="n"/>
      <c r="C41" s="278" t="n"/>
      <c r="D41" s="335" t="inlineStr">
        <is>
          <t>1a. Subcédula año 2017 y siguientes numeral 3
art. 49 del ET</t>
        </is>
      </c>
      <c r="K41" s="141" t="n">
        <v>107</v>
      </c>
      <c r="L41" s="523">
        <f>INDEX(Formulario_210!$G$6:$G$119,107-27)</f>
        <v/>
      </c>
      <c r="O41" s="278" t="n"/>
      <c r="P41" s="302" t="n"/>
      <c r="Q41" s="443" t="inlineStr">
        <is>
          <t>Impuesto neto de renta</t>
        </is>
      </c>
      <c r="R41" s="285" t="n"/>
      <c r="S41" s="285" t="n"/>
      <c r="T41" s="285" t="n"/>
      <c r="U41" s="285" t="n"/>
      <c r="V41" s="286" t="n"/>
      <c r="W41" s="145" t="n">
        <v>126</v>
      </c>
      <c r="X41" s="517">
        <f>INDEX(Formulario_210!$G$6:$G$119,126-27)</f>
        <v/>
      </c>
      <c r="Y41" s="285" t="n"/>
      <c r="Z41" s="285" t="n"/>
      <c r="AA41" s="286" t="n"/>
    </row>
    <row r="42" ht="24.75" customHeight="1" s="235">
      <c r="A42" s="81" t="n"/>
      <c r="B42" s="277" t="n"/>
      <c r="C42" s="278" t="n"/>
      <c r="D42" s="359" t="inlineStr">
        <is>
          <t>2a. Subcédula año 2017 y siguientes parágrafo 2
art. 49 del ET</t>
        </is>
      </c>
      <c r="K42" s="138" t="n">
        <v>108</v>
      </c>
      <c r="L42" s="525">
        <f>INDEX(Formulario_210!$G$6:$G$119,108-27)</f>
        <v/>
      </c>
      <c r="O42" s="278" t="n"/>
      <c r="P42" s="302" t="n"/>
      <c r="Q42" s="311" t="inlineStr">
        <is>
          <t>Impuesto de ganancias ocasionales</t>
        </is>
      </c>
      <c r="V42" s="291" t="n"/>
      <c r="W42" s="128" t="n">
        <v>127</v>
      </c>
      <c r="X42" s="538">
        <f>INDEX(Formulario_210!$G$6:$G$119,127-27)</f>
        <v/>
      </c>
      <c r="AA42" s="291" t="n"/>
    </row>
    <row r="43" ht="24.75" customHeight="1" s="235">
      <c r="A43" s="81" t="n"/>
      <c r="B43" s="277" t="n"/>
      <c r="C43" s="278" t="n"/>
      <c r="D43" s="335" t="inlineStr">
        <is>
          <t>Dividendos y participaciones recibidas del exterior</t>
        </is>
      </c>
      <c r="K43" s="141" t="n">
        <v>109</v>
      </c>
      <c r="L43" s="523">
        <f>INDEX(Formulario_210!$G$6:$G$119,109-27)</f>
        <v/>
      </c>
      <c r="O43" s="278" t="n"/>
      <c r="P43" s="302" t="n"/>
      <c r="Q43" s="322" t="inlineStr">
        <is>
          <t>Descuento por impuestos pagados en el exterior
por ganancias ocasionales</t>
        </is>
      </c>
      <c r="V43" s="291" t="n"/>
      <c r="W43" s="120" t="n">
        <v>128</v>
      </c>
      <c r="X43" s="539">
        <f>INDEX(Formulario_210!$G$6:$G$119,128-27)</f>
        <v/>
      </c>
      <c r="AA43" s="291" t="n"/>
    </row>
    <row r="44" ht="24.75" customHeight="1" s="235">
      <c r="A44" s="81" t="n"/>
      <c r="B44" s="279" t="n"/>
      <c r="C44" s="280" t="n"/>
      <c r="D44" s="359" t="inlineStr">
        <is>
          <t>Rentas exentas de la casilla 109</t>
        </is>
      </c>
      <c r="K44" s="138" t="n">
        <v>110</v>
      </c>
      <c r="L44" s="540">
        <f>INDEX(Formulario_210!$G$6:$G$119,110-27)</f>
        <v/>
      </c>
      <c r="O44" s="278" t="n"/>
      <c r="P44" s="302" t="n"/>
      <c r="Q44" s="311" t="inlineStr">
        <is>
          <t>Total impuesto a cargo</t>
        </is>
      </c>
      <c r="V44" s="291" t="n"/>
      <c r="W44" s="128" t="n">
        <v>129</v>
      </c>
      <c r="X44" s="538">
        <f>INDEX(Formulario_210!$G$6:$G$119,129-27)</f>
        <v/>
      </c>
      <c r="AA44" s="291" t="n"/>
    </row>
    <row r="45" ht="24.75" customHeight="1" s="235">
      <c r="A45" s="81" t="n"/>
      <c r="B45" s="418" t="inlineStr">
        <is>
          <t>Renta liquida gravable (Cédula general o renta presuntiva de
pensiones y de dividendos y participaciones, art. 241 E.T.)</t>
        </is>
      </c>
      <c r="C45" s="274" t="n"/>
      <c r="D45" s="274" t="n"/>
      <c r="E45" s="274" t="n"/>
      <c r="F45" s="274" t="n"/>
      <c r="G45" s="274" t="n"/>
      <c r="H45" s="274" t="n"/>
      <c r="I45" s="274" t="n"/>
      <c r="J45" s="289" t="n"/>
      <c r="K45" s="433" t="n">
        <v>111</v>
      </c>
      <c r="L45" s="541">
        <f>INDEX(Formulario_210!$G$6:$G$119,111-27)</f>
        <v/>
      </c>
      <c r="M45" s="274" t="n"/>
      <c r="N45" s="274" t="n"/>
      <c r="O45" s="330" t="n"/>
      <c r="P45" s="302" t="n"/>
      <c r="Q45" s="322" t="inlineStr">
        <is>
          <t>Anticipo renta liquidado año gravable anterior</t>
        </is>
      </c>
      <c r="V45" s="291" t="n"/>
      <c r="W45" s="120" t="n">
        <v>130</v>
      </c>
      <c r="X45" s="539">
        <f>INDEX(Formulario_210!$G$6:$G$119,130-27)</f>
        <v/>
      </c>
      <c r="AA45" s="291" t="n"/>
    </row>
    <row r="46" ht="24.75" customHeight="1" s="235">
      <c r="A46" s="81" t="n"/>
      <c r="B46" s="451" t="inlineStr">
        <is>
          <t>Ganancias
ocasionales</t>
        </is>
      </c>
      <c r="C46" s="291" t="n"/>
      <c r="D46" s="359" t="inlineStr">
        <is>
          <t>Ingresos por ganancias ocasionales del país y del
exterior</t>
        </is>
      </c>
      <c r="K46" s="138" t="n">
        <v>112</v>
      </c>
      <c r="L46" s="525">
        <f>INDEX(Formulario_210!$G$6:$G$119,112-27)</f>
        <v/>
      </c>
      <c r="O46" s="278" t="n"/>
      <c r="P46" s="302" t="n"/>
      <c r="Q46" s="437" t="inlineStr">
        <is>
          <t>Saldo a favor del año gravable anterior sin
solicitud de devolución y/o compensación</t>
        </is>
      </c>
      <c r="V46" s="291" t="n"/>
      <c r="W46" s="122" t="n">
        <v>131</v>
      </c>
      <c r="X46" s="542">
        <f>INDEX(Formulario_210!$G$6:$G$119,131-27)</f>
        <v/>
      </c>
      <c r="AA46" s="291" t="n"/>
    </row>
    <row r="47" ht="24.75" customHeight="1" s="235">
      <c r="A47" s="81" t="n"/>
      <c r="B47" s="277" t="n"/>
      <c r="C47" s="291" t="n"/>
      <c r="D47" s="335" t="inlineStr">
        <is>
          <t>Costos por ganancias ocasionales</t>
        </is>
      </c>
      <c r="K47" s="141" t="n">
        <v>113</v>
      </c>
      <c r="L47" s="523">
        <f>INDEX(Formulario_210!$G$6:$G$119,113-27)</f>
        <v/>
      </c>
      <c r="O47" s="278" t="n"/>
      <c r="P47" s="302" t="n"/>
      <c r="Q47" s="322" t="inlineStr">
        <is>
          <t>Retenciones año gravable a declarar</t>
        </is>
      </c>
      <c r="V47" s="291" t="n"/>
      <c r="W47" s="120" t="n">
        <v>132</v>
      </c>
      <c r="X47" s="539">
        <f>INDEX(Formulario_210!$G$6:$G$119,132-27)</f>
        <v/>
      </c>
      <c r="AA47" s="291" t="n"/>
    </row>
    <row r="48" ht="24.75" customHeight="1" s="235">
      <c r="A48" s="81" t="n"/>
      <c r="B48" s="277" t="n"/>
      <c r="C48" s="291" t="n"/>
      <c r="D48" s="359" t="inlineStr">
        <is>
          <t>Ganancias ocasionales no gravadas y exentas</t>
        </is>
      </c>
      <c r="K48" s="138" t="n">
        <v>114</v>
      </c>
      <c r="L48" s="525">
        <f>INDEX(Formulario_210!$G$6:$G$119,114-27)</f>
        <v/>
      </c>
      <c r="O48" s="278" t="n"/>
      <c r="P48" s="399" t="n"/>
      <c r="Q48" s="441" t="inlineStr">
        <is>
          <t>Anticipo renta para el año gravable siguiente</t>
        </is>
      </c>
      <c r="V48" s="278" t="n"/>
      <c r="W48" s="122" t="n">
        <v>133</v>
      </c>
      <c r="X48" s="543">
        <f>INDEX(Formulario_210!$G$6:$G$119,133-27)</f>
        <v/>
      </c>
      <c r="AA48" s="278" t="n"/>
    </row>
    <row r="49" ht="24.75" customHeight="1" s="235">
      <c r="A49" s="98" t="n"/>
      <c r="B49" s="279" t="n"/>
      <c r="C49" s="282" t="n"/>
      <c r="D49" s="313" t="inlineStr">
        <is>
          <t>Ganancias ocasionales gravables</t>
        </is>
      </c>
      <c r="K49" s="140" t="n">
        <v>115</v>
      </c>
      <c r="L49" s="530">
        <f>INDEX(Formulario_210!$G$6:$G$119,115-27)</f>
        <v/>
      </c>
      <c r="M49" s="297" t="n"/>
      <c r="N49" s="297" t="n"/>
      <c r="O49" s="280" t="n"/>
      <c r="P49" s="288" t="n"/>
      <c r="Q49" s="274" t="n"/>
      <c r="R49" s="274" t="n"/>
      <c r="S49" s="274" t="n"/>
      <c r="T49" s="274" t="n"/>
      <c r="U49" s="274" t="n"/>
      <c r="V49" s="274" t="n"/>
      <c r="W49" s="274" t="n"/>
      <c r="X49" s="274" t="n"/>
      <c r="Y49" s="274" t="n"/>
      <c r="Z49" s="274" t="n"/>
      <c r="AA49" s="289" t="n"/>
    </row>
    <row r="50" ht="24.75" customHeight="1" s="235">
      <c r="A50" s="98" t="n"/>
      <c r="B50" s="354" t="inlineStr">
        <is>
          <t>Saldo a pagar por impuesto</t>
        </is>
      </c>
      <c r="C50" s="274" t="n"/>
      <c r="D50" s="289" t="n"/>
      <c r="E50" s="146" t="n">
        <v>134</v>
      </c>
      <c r="F50" s="515">
        <f>INDEX(Formulario_210!$G$6:$G$119,134-27)</f>
        <v/>
      </c>
      <c r="G50" s="274" t="n"/>
      <c r="H50" s="274" t="n"/>
      <c r="I50" s="289" t="n"/>
      <c r="J50" s="316" t="inlineStr">
        <is>
          <t>Sanciones</t>
        </is>
      </c>
      <c r="K50" s="274" t="n"/>
      <c r="L50" s="289" t="n"/>
      <c r="M50" s="96" t="n">
        <v>135</v>
      </c>
      <c r="N50" s="518">
        <f>INDEX(Formulario_210!$G$6:$G$119,135-27)</f>
        <v/>
      </c>
      <c r="O50" s="289" t="n"/>
      <c r="P50" s="317" t="inlineStr">
        <is>
          <t>Total saldo a
pagar</t>
        </is>
      </c>
      <c r="Q50" s="297" t="n"/>
      <c r="R50" s="282" t="n"/>
      <c r="S50" s="117" t="n">
        <v>136</v>
      </c>
      <c r="T50" s="544">
        <f>INDEX(Formulario_210!$G$6:$G$119,136-27)</f>
        <v/>
      </c>
      <c r="U50" s="282" t="n"/>
      <c r="V50" s="317" t="inlineStr">
        <is>
          <t>Total saldo
a favor</t>
        </is>
      </c>
      <c r="W50" s="297" t="n"/>
      <c r="X50" s="282" t="n"/>
      <c r="Y50" s="117" t="n">
        <v>137</v>
      </c>
      <c r="Z50" s="544">
        <f>INDEX(Formulario_210!$G$6:$G$119,137-27)</f>
        <v/>
      </c>
      <c r="AA50" s="282" t="n"/>
    </row>
    <row r="51" ht="24.75" customHeight="1" s="235">
      <c r="A51" s="98" t="n"/>
      <c r="B51" s="354" t="inlineStr">
        <is>
          <t>Número de dependientes
económicos</t>
        </is>
      </c>
      <c r="C51" s="274" t="n"/>
      <c r="D51" s="274" t="n"/>
      <c r="E51" s="289" t="n"/>
      <c r="F51" s="147" t="n">
        <v>138</v>
      </c>
      <c r="G51" s="148">
        <f>INDEX(Formulario_210!$G$6:$G$119,138-27)</f>
        <v/>
      </c>
      <c r="H51" s="354" t="inlineStr">
        <is>
          <t>Adición por dependientes a 
la casilla 92</t>
        </is>
      </c>
      <c r="I51" s="274" t="n"/>
      <c r="J51" s="274" t="n"/>
      <c r="K51" s="289" t="n"/>
      <c r="L51" s="149" t="n">
        <v>139</v>
      </c>
      <c r="M51" s="545">
        <f>INDEX(Formulario_210!$G$6:$G$119,139-27)</f>
        <v/>
      </c>
      <c r="N51" s="274" t="n"/>
      <c r="O51" s="368" t="inlineStr">
        <is>
          <t>Ud. superó tope indicativo
art 336-1 del E.T., marque X</t>
        </is>
      </c>
      <c r="P51" s="274" t="n"/>
      <c r="Q51" s="274" t="n"/>
      <c r="R51" s="289" t="n"/>
      <c r="S51" s="144" t="n">
        <v>140</v>
      </c>
      <c r="T51" s="323">
        <f>INDEX(Formulario_210!$G$6:$G$119,140-27)</f>
        <v/>
      </c>
      <c r="U51" s="282" t="n"/>
      <c r="V51" s="410" t="inlineStr">
        <is>
          <t>Aporte voluntario</t>
        </is>
      </c>
      <c r="W51" s="274" t="n"/>
      <c r="X51" s="289" t="n"/>
      <c r="Y51" s="144" t="n">
        <v>141</v>
      </c>
      <c r="Z51" s="546">
        <f>INDEX(Formulario_210!$G$6:$G$119,141-27)</f>
        <v/>
      </c>
      <c r="AA51" s="151" t="n"/>
    </row>
    <row r="52" ht="90.75" customHeight="1" s="235">
      <c r="A52" s="81" t="n"/>
      <c r="B52" s="439" t="n"/>
      <c r="C52" s="274" t="n"/>
      <c r="D52" s="274" t="n"/>
      <c r="E52" s="274" t="n"/>
      <c r="F52" s="274" t="n"/>
      <c r="G52" s="274" t="n"/>
      <c r="H52" s="274" t="n"/>
      <c r="I52" s="274" t="n"/>
      <c r="J52" s="274" t="n"/>
      <c r="K52" s="274" t="n"/>
      <c r="L52" s="274" t="n"/>
      <c r="M52" s="274" t="n"/>
      <c r="N52" s="274" t="n"/>
      <c r="O52" s="274" t="n"/>
      <c r="P52" s="274" t="n"/>
      <c r="Q52" s="274" t="n"/>
      <c r="R52" s="274" t="n"/>
      <c r="S52" s="274" t="n"/>
      <c r="T52" s="274" t="n"/>
      <c r="U52" s="274" t="n"/>
      <c r="V52" s="274" t="n"/>
      <c r="W52" s="274" t="n"/>
      <c r="X52" s="274" t="n"/>
      <c r="Y52" s="274" t="n"/>
      <c r="Z52" s="274" t="n"/>
      <c r="AA52" s="289" t="n"/>
    </row>
    <row r="53" ht="7.5" customHeight="1" s="235">
      <c r="A53" s="81" t="n"/>
      <c r="B53" s="152" t="n"/>
      <c r="C53" s="153" t="n"/>
      <c r="D53" s="153" t="n"/>
      <c r="E53" s="153" t="n"/>
      <c r="F53" s="153" t="n"/>
      <c r="G53" s="153" t="n"/>
      <c r="H53" s="153" t="n"/>
      <c r="I53" s="153" t="n"/>
      <c r="J53" s="153" t="n"/>
      <c r="K53" s="153" t="n"/>
      <c r="L53" s="318" t="inlineStr">
        <is>
          <t>997. Espacio exclusivo para el sello 
de la entidad recaudadora</t>
        </is>
      </c>
      <c r="M53" s="285" t="n"/>
      <c r="N53" s="285" t="n"/>
      <c r="O53" s="285" t="n"/>
      <c r="P53" s="285" t="n"/>
      <c r="Q53" s="285" t="n"/>
      <c r="R53" s="285" t="n"/>
      <c r="S53" s="285" t="n"/>
      <c r="T53" s="152" t="n"/>
      <c r="U53" s="153" t="n"/>
      <c r="V53" s="153" t="n"/>
      <c r="W53" s="153" t="n"/>
      <c r="X53" s="153" t="n"/>
      <c r="Y53" s="153" t="n"/>
      <c r="Z53" s="153" t="n"/>
      <c r="AA53" s="154" t="n"/>
    </row>
    <row r="54" ht="33.75" customHeight="1" s="235">
      <c r="A54" s="81" t="n"/>
      <c r="B54" s="547" t="inlineStr">
        <is>
          <t>981. Cód. Representación</t>
        </is>
      </c>
      <c r="E54" s="291" t="n"/>
      <c r="F54" s="155" t="n"/>
      <c r="G54" s="156" t="n"/>
      <c r="H54" s="548" t="inlineStr">
        <is>
          <t>Firma del declarante o de quien lo
representa</t>
        </is>
      </c>
      <c r="K54" s="291" t="n"/>
      <c r="T54" s="446" t="inlineStr">
        <is>
          <t>980. Pago total $</t>
        </is>
      </c>
      <c r="V54" s="296" t="n"/>
      <c r="W54" s="285" t="n"/>
      <c r="X54" s="285" t="n"/>
      <c r="Y54" s="285" t="n"/>
      <c r="Z54" s="286" t="n"/>
      <c r="AA54" s="157" t="n"/>
    </row>
    <row r="55" ht="19.5" customHeight="1" s="235">
      <c r="A55" s="81" t="n"/>
      <c r="B55" s="549" t="n"/>
      <c r="C55" s="550" t="n"/>
      <c r="D55" s="550" t="n"/>
      <c r="E55" s="550" t="n"/>
      <c r="F55" s="550" t="n"/>
      <c r="G55" s="550" t="n"/>
      <c r="H55" s="550" t="n"/>
      <c r="I55" s="550" t="n"/>
      <c r="J55" s="550" t="n"/>
      <c r="K55" s="551" t="n"/>
      <c r="T55" s="277" t="n"/>
      <c r="V55" s="279" t="n"/>
      <c r="W55" s="297" t="n"/>
      <c r="X55" s="297" t="n"/>
      <c r="Y55" s="297" t="n"/>
      <c r="Z55" s="282" t="n"/>
      <c r="AA55" s="157" t="n"/>
    </row>
    <row r="56" ht="4.5" customHeight="1" s="235">
      <c r="A56" s="81" t="n"/>
      <c r="B56" s="552" t="n"/>
      <c r="C56" s="553" t="n"/>
      <c r="D56" s="553" t="n"/>
      <c r="E56" s="553" t="n"/>
      <c r="F56" s="553" t="n"/>
      <c r="G56" s="553" t="n"/>
      <c r="H56" s="553" t="n"/>
      <c r="I56" s="553" t="n"/>
      <c r="J56" s="553" t="n"/>
      <c r="K56" s="554" t="n"/>
      <c r="T56" s="164" t="n"/>
      <c r="U56" s="165" t="n"/>
      <c r="V56" s="165" t="n"/>
      <c r="W56" s="165" t="n"/>
      <c r="X56" s="165" t="n"/>
      <c r="Y56" s="165" t="n"/>
      <c r="Z56" s="165" t="n"/>
      <c r="AA56" s="166" t="n"/>
    </row>
    <row r="57" ht="26.25" customHeight="1" s="235">
      <c r="A57" s="81" t="n"/>
      <c r="B57" s="547" t="inlineStr">
        <is>
          <t>982. Cód. Contador</t>
        </is>
      </c>
      <c r="D57" s="291" t="n"/>
      <c r="E57" s="155" t="n"/>
      <c r="F57" s="555" t="inlineStr">
        <is>
          <t>Firma Contador</t>
        </is>
      </c>
      <c r="H57" s="556" t="inlineStr">
        <is>
          <t>994. Con salvedades</t>
        </is>
      </c>
      <c r="J57" s="291" t="n"/>
      <c r="K57" s="155" t="n"/>
      <c r="T57" s="434" t="inlineStr">
        <is>
          <t>996. Espacio para el número interno de la DIAN/ Adhesivo</t>
        </is>
      </c>
      <c r="U57" s="285" t="n"/>
      <c r="V57" s="285" t="n"/>
      <c r="W57" s="285" t="n"/>
      <c r="X57" s="285" t="n"/>
      <c r="Y57" s="285" t="n"/>
      <c r="Z57" s="285" t="n"/>
      <c r="AA57" s="285" t="n"/>
    </row>
    <row r="58" ht="26.25" customHeight="1" s="235">
      <c r="A58" s="81" t="n"/>
      <c r="B58" s="557" t="n"/>
      <c r="C58" s="555" t="n"/>
      <c r="D58" s="555" t="n"/>
      <c r="E58" s="555" t="n"/>
      <c r="F58" s="555" t="n"/>
      <c r="G58" s="555" t="n"/>
      <c r="H58" s="555" t="n"/>
      <c r="I58" s="555" t="n"/>
      <c r="J58" s="555" t="n"/>
      <c r="K58" s="555" t="n"/>
      <c r="T58" s="277" t="n"/>
    </row>
    <row r="59" ht="37.5" customHeight="1" s="235">
      <c r="A59" s="81" t="n"/>
      <c r="B59" s="549" t="inlineStr">
        <is>
          <t>983. No. Tarjeta profesional</t>
        </is>
      </c>
      <c r="C59" s="550" t="n"/>
      <c r="D59" s="550" t="n"/>
      <c r="E59" s="550" t="n"/>
      <c r="F59" s="558" t="n"/>
      <c r="G59" s="297" t="n"/>
      <c r="H59" s="297" t="n"/>
      <c r="I59" s="297" t="n"/>
      <c r="J59" s="297" t="n"/>
      <c r="K59" s="282" t="n"/>
      <c r="L59" s="297" t="n"/>
      <c r="M59" s="297" t="n"/>
      <c r="N59" s="297" t="n"/>
      <c r="O59" s="297" t="n"/>
      <c r="P59" s="297" t="n"/>
      <c r="Q59" s="297" t="n"/>
      <c r="R59" s="297" t="n"/>
      <c r="S59" s="297" t="n"/>
      <c r="T59" s="277" t="n"/>
    </row>
    <row r="61">
      <c r="A61" s="559" t="inlineStr">
        <is>
          <t>AUXILIAR — no hace parte del formulario oficial (no borrar)</t>
        </is>
      </c>
    </row>
    <row r="62">
      <c r="A62" s="559" t="inlineStr">
        <is>
          <t>NIT detectado</t>
        </is>
      </c>
      <c r="B62">
        <f>IFERROR(IF(Exogena_RAW!$C$20&lt;&gt;"",Exogena_RAW!$C$20,IF(Exogena_RAW!$C$21&lt;&gt;"",Exogena_RAW!$C$21,IF(Exogena_RAW!$C$22&lt;&gt;"",Exogena_RAW!$C$22,IF(Exogena_RAW!$C$23&lt;&gt;"",Exogena_RAW!$C$23,IF(Exogena_RAW!$C$24&lt;&gt;"",Exogena_RAW!$C$24,""))))),"")</f>
        <v/>
      </c>
    </row>
    <row r="63">
      <c r="A63" s="559" t="inlineStr">
        <is>
          <t>Nombre completo detectado</t>
        </is>
      </c>
      <c r="B63">
        <f>IFERROR(IF(Exogena_RAW!$D$20&lt;&gt;"",Exogena_RAW!$D$20,IF(Exogena_RAW!$D$21&lt;&gt;"",Exogena_RAW!$D$21,IF(Exogena_RAW!$D$22&lt;&gt;"",Exogena_RAW!$D$22,IF(Exogena_RAW!$D$23&lt;&gt;"",Exogena_RAW!$D$23,IF(Exogena_RAW!$D$24&lt;&gt;"",Exogena_RAW!$D$24,""))))),"")</f>
        <v/>
      </c>
    </row>
    <row r="64">
      <c r="A64" s="559" t="inlineStr">
        <is>
          <t>Posición espacio 1</t>
        </is>
      </c>
      <c r="B64">
        <f>IFERROR(FIND(" ",$B$63&amp;"   "),0)</f>
        <v/>
      </c>
    </row>
    <row r="65">
      <c r="A65" s="559" t="inlineStr">
        <is>
          <t>Posición espacio 2</t>
        </is>
      </c>
      <c r="B65">
        <f>IFERROR(FIND(" ",$B$63&amp;"   ",$B$64+1),0)</f>
        <v/>
      </c>
    </row>
    <row r="66">
      <c r="A66" s="559" t="inlineStr">
        <is>
          <t>Posición espacio 3</t>
        </is>
      </c>
      <c r="B66">
        <f>IFERROR(FIND(" ",$B$63&amp;"   ",$B$65+1),0)</f>
        <v/>
      </c>
    </row>
  </sheetData>
  <sheetProtection selectLockedCells="0" selectUnlockedCells="0" sheet="1" objects="1" insertRows="1" insertHyperlinks="1" autoFilter="1" scenarios="1" formatColumns="0" deleteColumns="1" insertColumns="1" pivotTables="1" deleteRows="1" formatCells="1" formatRows="0" sort="1"/>
  <mergeCells count="246">
    <mergeCell ref="B11:D11"/>
    <mergeCell ref="B33:C37"/>
    <mergeCell ref="U40:V40"/>
    <mergeCell ref="W40:X40"/>
    <mergeCell ref="X41:AA41"/>
    <mergeCell ref="X35:AA35"/>
    <mergeCell ref="P49:AA49"/>
    <mergeCell ref="B57:D57"/>
    <mergeCell ref="N23:S23"/>
    <mergeCell ref="Z11:AA11"/>
    <mergeCell ref="N18:S18"/>
    <mergeCell ref="L34:O34"/>
    <mergeCell ref="V54:Z55"/>
    <mergeCell ref="B8:P8"/>
    <mergeCell ref="Y26:AA26"/>
    <mergeCell ref="C23:C25"/>
    <mergeCell ref="D33:J33"/>
    <mergeCell ref="L49:O49"/>
    <mergeCell ref="B12:C12"/>
    <mergeCell ref="C13:F13"/>
    <mergeCell ref="L36:O36"/>
    <mergeCell ref="H25:L25"/>
    <mergeCell ref="R34:V34"/>
    <mergeCell ref="Q44:V44"/>
    <mergeCell ref="Z50:AA50"/>
    <mergeCell ref="D35:J35"/>
    <mergeCell ref="U18:W18"/>
    <mergeCell ref="T50:U50"/>
    <mergeCell ref="Q7:AA8"/>
    <mergeCell ref="C15:F15"/>
    <mergeCell ref="T31:V31"/>
    <mergeCell ref="J50:L50"/>
    <mergeCell ref="R36:V36"/>
    <mergeCell ref="V50:X50"/>
    <mergeCell ref="L53:S59"/>
    <mergeCell ref="H17:L17"/>
    <mergeCell ref="Z39:AA39"/>
    <mergeCell ref="D23:F23"/>
    <mergeCell ref="Q45:V45"/>
    <mergeCell ref="T51:U51"/>
    <mergeCell ref="C26:F26"/>
    <mergeCell ref="N27:S27"/>
    <mergeCell ref="J31:K31"/>
    <mergeCell ref="H19:L19"/>
    <mergeCell ref="X37:AA37"/>
    <mergeCell ref="N20:S20"/>
    <mergeCell ref="Q47:V47"/>
    <mergeCell ref="L45:O45"/>
    <mergeCell ref="G2:AA2"/>
    <mergeCell ref="M9:O9"/>
    <mergeCell ref="M13:S13"/>
    <mergeCell ref="U27:W27"/>
    <mergeCell ref="N22:S22"/>
    <mergeCell ref="D47:J47"/>
    <mergeCell ref="X42:AA42"/>
    <mergeCell ref="U30:W30"/>
    <mergeCell ref="L38:O38"/>
    <mergeCell ref="C27:F27"/>
    <mergeCell ref="U17:W17"/>
    <mergeCell ref="Y30:AA30"/>
    <mergeCell ref="F57:G57"/>
    <mergeCell ref="X38:AA38"/>
    <mergeCell ref="D37:J37"/>
    <mergeCell ref="F59:K59"/>
    <mergeCell ref="Y5:AA5"/>
    <mergeCell ref="Y20:AA20"/>
    <mergeCell ref="N21:S21"/>
    <mergeCell ref="C17:F17"/>
    <mergeCell ref="Y14:AA14"/>
    <mergeCell ref="Y29:AA29"/>
    <mergeCell ref="L40:O40"/>
    <mergeCell ref="T13:W13"/>
    <mergeCell ref="D39:J39"/>
    <mergeCell ref="N50:O50"/>
    <mergeCell ref="N14:S14"/>
    <mergeCell ref="M31:O31"/>
    <mergeCell ref="Q11:T11"/>
    <mergeCell ref="B51:E51"/>
    <mergeCell ref="Y22:AA22"/>
    <mergeCell ref="U5:X5"/>
    <mergeCell ref="C19:F19"/>
    <mergeCell ref="B9:C10"/>
    <mergeCell ref="C28:F28"/>
    <mergeCell ref="D38:J38"/>
    <mergeCell ref="Q39:Q40"/>
    <mergeCell ref="A2:F2"/>
    <mergeCell ref="U21:W21"/>
    <mergeCell ref="M51:N51"/>
    <mergeCell ref="H21:L21"/>
    <mergeCell ref="Y28:AA28"/>
    <mergeCell ref="H57:J57"/>
    <mergeCell ref="X43:AA43"/>
    <mergeCell ref="C30:F30"/>
    <mergeCell ref="Y12:AA12"/>
    <mergeCell ref="W32:X32"/>
    <mergeCell ref="H54:K54"/>
    <mergeCell ref="D25:F25"/>
    <mergeCell ref="P10:S10"/>
    <mergeCell ref="J5:S5"/>
    <mergeCell ref="C14:F14"/>
    <mergeCell ref="I12:M12"/>
    <mergeCell ref="N24:S24"/>
    <mergeCell ref="R35:V35"/>
    <mergeCell ref="H6:P7"/>
    <mergeCell ref="P9:S9"/>
    <mergeCell ref="H16:L16"/>
    <mergeCell ref="Y23:AA23"/>
    <mergeCell ref="X9:Z9"/>
    <mergeCell ref="T10:W10"/>
    <mergeCell ref="U26:W26"/>
    <mergeCell ref="N26:S26"/>
    <mergeCell ref="L42:O42"/>
    <mergeCell ref="D49:J49"/>
    <mergeCell ref="H22:L22"/>
    <mergeCell ref="X34:AA34"/>
    <mergeCell ref="T9:W9"/>
    <mergeCell ref="N16:S16"/>
    <mergeCell ref="N25:S25"/>
    <mergeCell ref="Y24:AA24"/>
    <mergeCell ref="T32:V32"/>
    <mergeCell ref="L39:O39"/>
    <mergeCell ref="P31:R31"/>
    <mergeCell ref="Z31:AA31"/>
    <mergeCell ref="D21:F21"/>
    <mergeCell ref="V11:Y11"/>
    <mergeCell ref="A1:AA1"/>
    <mergeCell ref="Z40:AA40"/>
    <mergeCell ref="X45:AA45"/>
    <mergeCell ref="H30:L30"/>
    <mergeCell ref="U16:W16"/>
    <mergeCell ref="L44:O44"/>
    <mergeCell ref="B7:C7"/>
    <mergeCell ref="U25:W25"/>
    <mergeCell ref="AA9:AA10"/>
    <mergeCell ref="H20:L20"/>
    <mergeCell ref="Y19:AA19"/>
    <mergeCell ref="R38:V38"/>
    <mergeCell ref="L46:O46"/>
    <mergeCell ref="Y17:AA17"/>
    <mergeCell ref="Z32:AA32"/>
    <mergeCell ref="B5:H5"/>
    <mergeCell ref="Q33:Q38"/>
    <mergeCell ref="Y25:AA25"/>
    <mergeCell ref="V51:X51"/>
    <mergeCell ref="B13:B32"/>
    <mergeCell ref="X46:AA46"/>
    <mergeCell ref="C18:F18"/>
    <mergeCell ref="U28:W28"/>
    <mergeCell ref="N29:S29"/>
    <mergeCell ref="P33:P48"/>
    <mergeCell ref="L48:O48"/>
    <mergeCell ref="B54:E54"/>
    <mergeCell ref="R37:V37"/>
    <mergeCell ref="X48:AA48"/>
    <mergeCell ref="C31:D31"/>
    <mergeCell ref="W31:X31"/>
    <mergeCell ref="X10:Z10"/>
    <mergeCell ref="D46:J46"/>
    <mergeCell ref="U20:W20"/>
    <mergeCell ref="U14:W14"/>
    <mergeCell ref="U29:W29"/>
    <mergeCell ref="M32:O32"/>
    <mergeCell ref="D40:J40"/>
    <mergeCell ref="L47:O47"/>
    <mergeCell ref="B45:J45"/>
    <mergeCell ref="N15:S15"/>
    <mergeCell ref="U23:W23"/>
    <mergeCell ref="X13:AA13"/>
    <mergeCell ref="C20:C22"/>
    <mergeCell ref="B50:D50"/>
    <mergeCell ref="L43:O43"/>
    <mergeCell ref="C29:F29"/>
    <mergeCell ref="Q6:AA6"/>
    <mergeCell ref="U22:W22"/>
    <mergeCell ref="D20:F20"/>
    <mergeCell ref="L33:O33"/>
    <mergeCell ref="F50:I50"/>
    <mergeCell ref="B38:C44"/>
    <mergeCell ref="C32:D32"/>
    <mergeCell ref="D41:J41"/>
    <mergeCell ref="U15:W15"/>
    <mergeCell ref="G27:L29"/>
    <mergeCell ref="H15:L15"/>
    <mergeCell ref="Y15:AA15"/>
    <mergeCell ref="D22:F22"/>
    <mergeCell ref="H24:L24"/>
    <mergeCell ref="L35:O35"/>
    <mergeCell ref="L11:M11"/>
    <mergeCell ref="H18:L18"/>
    <mergeCell ref="R33:V33"/>
    <mergeCell ref="D43:J43"/>
    <mergeCell ref="R39:S39"/>
    <mergeCell ref="Y21:AA21"/>
    <mergeCell ref="O51:R51"/>
    <mergeCell ref="V12:W12"/>
    <mergeCell ref="H26:L26"/>
    <mergeCell ref="F31:I31"/>
    <mergeCell ref="M10:O10"/>
    <mergeCell ref="D12:G12"/>
    <mergeCell ref="G13:L13"/>
    <mergeCell ref="T57:AA59"/>
    <mergeCell ref="D10:K10"/>
    <mergeCell ref="N17:S17"/>
    <mergeCell ref="D42:J42"/>
    <mergeCell ref="X44:AA44"/>
    <mergeCell ref="Y16:AA16"/>
    <mergeCell ref="R40:S40"/>
    <mergeCell ref="X36:AA36"/>
    <mergeCell ref="U24:W24"/>
    <mergeCell ref="P32:R32"/>
    <mergeCell ref="Q46:V46"/>
    <mergeCell ref="N19:S19"/>
    <mergeCell ref="D44:J44"/>
    <mergeCell ref="B52:AA52"/>
    <mergeCell ref="N28:S28"/>
    <mergeCell ref="Y27:AA27"/>
    <mergeCell ref="D34:J34"/>
    <mergeCell ref="Y18:AA18"/>
    <mergeCell ref="Q48:V48"/>
    <mergeCell ref="P12:U12"/>
    <mergeCell ref="D24:F24"/>
    <mergeCell ref="L37:O37"/>
    <mergeCell ref="N30:S30"/>
    <mergeCell ref="D36:J36"/>
    <mergeCell ref="U19:W19"/>
    <mergeCell ref="Q41:V41"/>
    <mergeCell ref="J32:K32"/>
    <mergeCell ref="E11:F11"/>
    <mergeCell ref="C16:F16"/>
    <mergeCell ref="T54:U55"/>
    <mergeCell ref="H51:K51"/>
    <mergeCell ref="G11:I11"/>
    <mergeCell ref="X47:AA47"/>
    <mergeCell ref="F32:I32"/>
    <mergeCell ref="D9:K9"/>
    <mergeCell ref="W39:X39"/>
    <mergeCell ref="Q43:V43"/>
    <mergeCell ref="U39:V39"/>
    <mergeCell ref="D48:J48"/>
    <mergeCell ref="B46:C49"/>
    <mergeCell ref="P50:R50"/>
    <mergeCell ref="Q42:V42"/>
    <mergeCell ref="H14:L14"/>
    <mergeCell ref="X33:AA33"/>
    <mergeCell ref="H23:L23"/>
    <mergeCell ref="L41:O41"/>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2026-08-05T23:03:57Z</dcterms:created>
  <dcterms:modified xmlns:dcterms="http://purl.org/dc/terms/" xmlns:xsi="http://www.w3.org/2001/XMLSchema-instance" xsi:type="dcterms:W3CDTF">2026-08-06T00:59:51Z</dcterms:modified>
  <cp:lastModifiedBy>Janneth Castañeda Forero</cp:lastModifiedBy>
</cp:coreProperties>
</file>